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charts/chart6.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connections.xml" ContentType="application/vnd.openxmlformats-officedocument.spreadsheetml.connection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8\Q4\Publisert\"/>
    </mc:Choice>
  </mc:AlternateContent>
  <xr:revisionPtr revIDLastSave="0" documentId="13_ncr:1_{02F45EB8-97B5-4D7F-8A77-7126FC00F2E8}" xr6:coauthVersionLast="36" xr6:coauthVersionMax="36" xr10:uidLastSave="{00000000-0000-0000-0000-000000000000}"/>
  <bookViews>
    <workbookView xWindow="4275" yWindow="0" windowWidth="5325" windowHeight="3225"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kreditt Forsikring" sheetId="40" r:id="rId21"/>
    <sheet name="NEMI Forsikring" sheetId="41" r:id="rId22"/>
    <sheet name="Nordea Liv "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Tabell 4" sheetId="65" r:id="rId31"/>
    <sheet name="Tabell 5.1" sheetId="66" r:id="rId32"/>
    <sheet name="Tabell 5.2" sheetId="67" r:id="rId33"/>
    <sheet name="Tabell 5.3" sheetId="68" r:id="rId34"/>
    <sheet name="Tabell 6" sheetId="62" r:id="rId35"/>
    <sheet name="Tabell 7a" sheetId="69" r:id="rId36"/>
    <sheet name="Tabell 7b" sheetId="70" r:id="rId37"/>
    <sheet name="Tabell 8" sheetId="71" r:id="rId38"/>
    <sheet name="Noter og kommentarer" sheetId="3" r:id="rId39"/>
  </sheets>
  <externalReferences>
    <externalReference r:id="rId40"/>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Group'!$A$1:$M$137</definedName>
    <definedName name="_xlnm.Print_Area" localSheetId="21">'NEMI Forsikring'!$A$1:$M$137</definedName>
    <definedName name="_xlnm.Print_Area" localSheetId="38">'Noter og kommentarer'!$A$1:$L$43</definedName>
    <definedName name="_xlnm.Print_Area" localSheetId="6">'Skjema total MA'!$A$1:$J$138</definedName>
    <definedName name="_xlnm.Print_Area" localSheetId="31">'Tabell 5.1'!$A$2:$AQ$109</definedName>
    <definedName name="_xlnm.Print_Area" localSheetId="32">'Tabell 5.2'!$A$2:$AQ$145</definedName>
    <definedName name="_xlnm.Print_Area" localSheetId="35">'Tabell 7a'!$A$2:$AK$57</definedName>
    <definedName name="_xlnm.Print_Area" localSheetId="36">'Tabell 7b'!$A$2:$AK$44</definedName>
    <definedName name="_xlnm.Print_Area" localSheetId="37">'Tabell 8'!$A$2:$AH$52</definedName>
    <definedName name="_xlnm.Print_Titles" localSheetId="31">'Tabell 5.1'!$A:$A,'Tabell 5.1'!$2:$9</definedName>
    <definedName name="_xlnm.Print_Titles" localSheetId="32">'Tabell 5.2'!$A:$A,'Tabell 5.2'!$2:$9</definedName>
    <definedName name="_xlnm.Print_Titles" localSheetId="35">'Tabell 7a'!$A:$A</definedName>
    <definedName name="_xlnm.Print_Titles" localSheetId="36">'Tabell 7b'!$A:$A</definedName>
    <definedName name="_xlnm.Print_Titles" localSheetId="37">'Tabell 8'!$A:$A</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0" i="8" l="1"/>
  <c r="M70" i="8"/>
  <c r="N64" i="8"/>
  <c r="M64" i="8"/>
  <c r="C48" i="4"/>
  <c r="AE34" i="69"/>
  <c r="AE22" i="69"/>
  <c r="AB45" i="69"/>
  <c r="Y33" i="69"/>
  <c r="Y30" i="69"/>
  <c r="P15" i="69"/>
  <c r="P12" i="69"/>
  <c r="M43" i="69"/>
  <c r="M42" i="69"/>
  <c r="M37" i="69"/>
  <c r="J34" i="69"/>
  <c r="J30" i="69"/>
  <c r="J24" i="69"/>
  <c r="J22" i="69"/>
  <c r="J18" i="69"/>
  <c r="J12" i="69"/>
  <c r="D37" i="69"/>
  <c r="D34" i="69"/>
  <c r="D32" i="69"/>
  <c r="D31" i="69"/>
  <c r="D30" i="69"/>
  <c r="D27" i="69"/>
  <c r="D22" i="69"/>
  <c r="D20" i="69"/>
  <c r="D19" i="69"/>
  <c r="D18" i="69"/>
  <c r="D17" i="69"/>
  <c r="D15" i="69"/>
  <c r="D14" i="69"/>
  <c r="AK53" i="62"/>
  <c r="AK46" i="62"/>
  <c r="AH24" i="62"/>
  <c r="AB78" i="62"/>
  <c r="AB77" i="62"/>
  <c r="AB21" i="62"/>
  <c r="Y87" i="62"/>
  <c r="Y83" i="62"/>
  <c r="Y42" i="62"/>
  <c r="Y33" i="62"/>
  <c r="Y25" i="62"/>
  <c r="Y24" i="62"/>
  <c r="V19" i="62"/>
  <c r="S82" i="62"/>
  <c r="S78" i="62"/>
  <c r="S77" i="62"/>
  <c r="S52" i="62"/>
  <c r="P73" i="62"/>
  <c r="M76" i="62"/>
  <c r="M71" i="62"/>
  <c r="M49" i="62"/>
  <c r="M46" i="62"/>
  <c r="M40" i="62"/>
  <c r="M34" i="62"/>
  <c r="M25" i="62"/>
  <c r="J88" i="62"/>
  <c r="J37" i="62"/>
  <c r="J36" i="62"/>
  <c r="J18" i="62"/>
  <c r="J17" i="62"/>
  <c r="G46" i="62"/>
  <c r="G38" i="62"/>
  <c r="G19" i="62"/>
  <c r="G18" i="62"/>
  <c r="G17" i="62"/>
  <c r="D58" i="62"/>
  <c r="D57" i="62"/>
  <c r="P12" i="68"/>
  <c r="I47" i="68"/>
  <c r="H47" i="68"/>
  <c r="I45" i="68"/>
  <c r="H45" i="68"/>
  <c r="I44" i="68"/>
  <c r="H44" i="68"/>
  <c r="I42" i="68"/>
  <c r="H42" i="68"/>
  <c r="I41" i="68"/>
  <c r="H41" i="68"/>
  <c r="I39" i="68"/>
  <c r="H39" i="68"/>
  <c r="J39" i="68" s="1"/>
  <c r="D24" i="68"/>
  <c r="D12" i="68"/>
  <c r="C38" i="68"/>
  <c r="C39" i="68"/>
  <c r="C40" i="68"/>
  <c r="C41" i="68"/>
  <c r="C42" i="68"/>
  <c r="C43" i="68"/>
  <c r="C44" i="68"/>
  <c r="C45" i="68"/>
  <c r="C46" i="68"/>
  <c r="C47" i="68"/>
  <c r="C48" i="68"/>
  <c r="AK113" i="67"/>
  <c r="AK109" i="67"/>
  <c r="AK105" i="67"/>
  <c r="AK82" i="67"/>
  <c r="AK81" i="67"/>
  <c r="AK80" i="67"/>
  <c r="AK74" i="67"/>
  <c r="AK72" i="67"/>
  <c r="AK70" i="67"/>
  <c r="AK69" i="67"/>
  <c r="AK68" i="67"/>
  <c r="AK66" i="67"/>
  <c r="AK65" i="67"/>
  <c r="AK64" i="67"/>
  <c r="AK63" i="67"/>
  <c r="AK62" i="67"/>
  <c r="AK61" i="67"/>
  <c r="AK60" i="67"/>
  <c r="AK57" i="67"/>
  <c r="AK46" i="67"/>
  <c r="AK45" i="67"/>
  <c r="AK44" i="67"/>
  <c r="AK38" i="67"/>
  <c r="AK36" i="67"/>
  <c r="AH81" i="67"/>
  <c r="AH57" i="67"/>
  <c r="AE56" i="67"/>
  <c r="AE58" i="67"/>
  <c r="AE50" i="67"/>
  <c r="AB126" i="67"/>
  <c r="AB122" i="67"/>
  <c r="Y105" i="67"/>
  <c r="Y103" i="67"/>
  <c r="Y87" i="67"/>
  <c r="Y57" i="67"/>
  <c r="V106" i="67"/>
  <c r="V105" i="67"/>
  <c r="V104" i="67"/>
  <c r="V101" i="67"/>
  <c r="V99" i="67"/>
  <c r="V98" i="67"/>
  <c r="V97" i="67"/>
  <c r="V96" i="67"/>
  <c r="V94" i="67"/>
  <c r="V93" i="67"/>
  <c r="V92" i="67"/>
  <c r="V91" i="67"/>
  <c r="V86" i="67"/>
  <c r="V85" i="67"/>
  <c r="V84" i="67"/>
  <c r="V18" i="67"/>
  <c r="S140" i="67"/>
  <c r="S135" i="67"/>
  <c r="M90" i="67"/>
  <c r="M52" i="67"/>
  <c r="M51" i="67"/>
  <c r="G85" i="67"/>
  <c r="D96" i="67"/>
  <c r="AH116" i="67"/>
  <c r="AK105" i="66"/>
  <c r="AK55" i="66"/>
  <c r="AH75" i="66"/>
  <c r="Y95" i="66"/>
  <c r="Y30" i="66"/>
  <c r="P36" i="66"/>
  <c r="M105" i="66"/>
  <c r="G53" i="66"/>
  <c r="D86" i="66"/>
  <c r="D36" i="66"/>
  <c r="D72" i="29" l="1"/>
  <c r="H74" i="29"/>
  <c r="H73" i="29"/>
  <c r="H72" i="29"/>
  <c r="H71" i="29"/>
  <c r="H70" i="29"/>
  <c r="H69" i="29"/>
  <c r="L9" i="20"/>
  <c r="L8" i="20"/>
  <c r="L9" i="22"/>
  <c r="L8" i="22"/>
  <c r="L9" i="24"/>
  <c r="L8" i="24"/>
  <c r="L9" i="25"/>
  <c r="L8" i="25"/>
  <c r="L9" i="51"/>
  <c r="L8" i="51"/>
  <c r="L9" i="29"/>
  <c r="L8" i="29"/>
  <c r="L9" i="72"/>
  <c r="L9" i="33"/>
  <c r="L8" i="33"/>
  <c r="L9" i="37"/>
  <c r="L8" i="37"/>
  <c r="L9" i="19"/>
  <c r="L8" i="19"/>
  <c r="L9" i="18"/>
  <c r="L8" i="18"/>
  <c r="L9" i="13" l="1"/>
  <c r="L8" i="13"/>
  <c r="L39" i="13"/>
  <c r="L38" i="13"/>
  <c r="L37" i="13"/>
  <c r="L36" i="13"/>
  <c r="L115" i="27" l="1"/>
  <c r="H115" i="27"/>
  <c r="D115" i="29"/>
  <c r="L106" i="13"/>
  <c r="L104" i="13"/>
  <c r="L106" i="20"/>
  <c r="L104" i="20"/>
  <c r="L106" i="29"/>
  <c r="L105" i="29"/>
  <c r="L104" i="29"/>
  <c r="L104" i="33"/>
  <c r="L106" i="37"/>
  <c r="L104" i="37"/>
  <c r="H106" i="18"/>
  <c r="H104" i="18"/>
  <c r="H106" i="13"/>
  <c r="H104" i="13"/>
  <c r="H106" i="20"/>
  <c r="H104" i="20"/>
  <c r="H106" i="23"/>
  <c r="H104" i="23"/>
  <c r="H106" i="27"/>
  <c r="H104" i="27"/>
  <c r="H106" i="29"/>
  <c r="H105" i="29"/>
  <c r="H104" i="29"/>
  <c r="H106" i="33"/>
  <c r="H104" i="33"/>
  <c r="H106" i="37"/>
  <c r="H104" i="37"/>
  <c r="D104" i="13"/>
  <c r="D104" i="20"/>
  <c r="D104" i="29"/>
  <c r="D104" i="33"/>
  <c r="D104" i="37"/>
  <c r="L93" i="13"/>
  <c r="L93" i="20"/>
  <c r="L93" i="23"/>
  <c r="L93" i="29"/>
  <c r="L94" i="35"/>
  <c r="L93" i="35"/>
  <c r="L95" i="33"/>
  <c r="L93" i="33"/>
  <c r="L95" i="37"/>
  <c r="L93" i="37"/>
  <c r="H95" i="18"/>
  <c r="H93" i="18"/>
  <c r="H95" i="13"/>
  <c r="H93" i="13"/>
  <c r="H91" i="13"/>
  <c r="H90" i="13"/>
  <c r="H95" i="20"/>
  <c r="H93" i="20"/>
  <c r="H95" i="23"/>
  <c r="H93" i="23"/>
  <c r="H95" i="27"/>
  <c r="H93" i="27"/>
  <c r="H95" i="29"/>
  <c r="H94" i="29"/>
  <c r="H93" i="29"/>
  <c r="H92" i="29"/>
  <c r="H91" i="29"/>
  <c r="H90" i="29"/>
  <c r="H94" i="35"/>
  <c r="H93" i="35"/>
  <c r="H95" i="33"/>
  <c r="H93" i="33"/>
  <c r="H95" i="37"/>
  <c r="H93" i="37"/>
  <c r="D93" i="13"/>
  <c r="D93" i="20"/>
  <c r="D93" i="29"/>
  <c r="D93" i="33"/>
  <c r="D93" i="37"/>
  <c r="L85" i="20"/>
  <c r="L83" i="20"/>
  <c r="L85" i="23"/>
  <c r="L85" i="29"/>
  <c r="L84" i="29"/>
  <c r="L83" i="29"/>
  <c r="L83" i="33"/>
  <c r="H85" i="18"/>
  <c r="H83" i="18"/>
  <c r="H85" i="13"/>
  <c r="H83" i="13"/>
  <c r="H85" i="20"/>
  <c r="H83" i="20"/>
  <c r="H85" i="23"/>
  <c r="H83" i="23"/>
  <c r="H85" i="27"/>
  <c r="H83" i="27"/>
  <c r="H85" i="29"/>
  <c r="H84" i="29"/>
  <c r="H83" i="29"/>
  <c r="H85" i="33"/>
  <c r="H83" i="33"/>
  <c r="H85" i="37"/>
  <c r="H83" i="37"/>
  <c r="D83" i="20"/>
  <c r="D83" i="29"/>
  <c r="D83" i="33"/>
  <c r="L72" i="20"/>
  <c r="L74" i="29"/>
  <c r="L73" i="29"/>
  <c r="L72" i="29"/>
  <c r="L71" i="29"/>
  <c r="L70" i="29"/>
  <c r="L69" i="29"/>
  <c r="L73" i="35"/>
  <c r="L72" i="35"/>
  <c r="L74" i="33"/>
  <c r="L72" i="33"/>
  <c r="L72" i="37"/>
  <c r="H74" i="18"/>
  <c r="H72" i="18"/>
  <c r="H74" i="13"/>
  <c r="H72" i="13"/>
  <c r="H74" i="20"/>
  <c r="H72" i="20"/>
  <c r="H74" i="33"/>
  <c r="H72" i="33"/>
  <c r="H74" i="37"/>
  <c r="H72" i="37"/>
  <c r="D72" i="20"/>
  <c r="D72" i="33"/>
  <c r="D51" i="13"/>
  <c r="D52" i="22"/>
  <c r="D51" i="22"/>
  <c r="D50" i="26"/>
  <c r="D52" i="33"/>
  <c r="D51" i="33"/>
  <c r="D52" i="39"/>
  <c r="D51" i="39"/>
  <c r="D52" i="37"/>
  <c r="D51" i="37"/>
  <c r="D50" i="37"/>
  <c r="L32" i="13"/>
  <c r="L31" i="13"/>
  <c r="L30" i="13"/>
  <c r="L32" i="20"/>
  <c r="L30" i="23"/>
  <c r="L31" i="24"/>
  <c r="L32" i="29"/>
  <c r="L31" i="29"/>
  <c r="L30" i="29"/>
  <c r="L31" i="33"/>
  <c r="L30" i="33"/>
  <c r="L31" i="37"/>
  <c r="L30" i="37"/>
  <c r="H33" i="18"/>
  <c r="H32" i="18"/>
  <c r="H31" i="18"/>
  <c r="H30" i="18"/>
  <c r="H32" i="13"/>
  <c r="H31" i="13"/>
  <c r="H30" i="13"/>
  <c r="H33" i="20"/>
  <c r="H32" i="20"/>
  <c r="H33" i="23"/>
  <c r="H32" i="23"/>
  <c r="H31" i="23"/>
  <c r="H30" i="23"/>
  <c r="H33" i="29"/>
  <c r="H32" i="29"/>
  <c r="H31" i="29"/>
  <c r="H30" i="29"/>
  <c r="H33" i="33"/>
  <c r="H32" i="33"/>
  <c r="H31" i="33"/>
  <c r="H30" i="33"/>
  <c r="H33" i="37"/>
  <c r="H32" i="37"/>
  <c r="H31" i="37"/>
  <c r="H30" i="37"/>
  <c r="D32" i="13"/>
  <c r="D31" i="13"/>
  <c r="D30" i="13"/>
  <c r="D32" i="20"/>
  <c r="D30" i="20"/>
  <c r="D30" i="23"/>
  <c r="D31" i="24"/>
  <c r="D32" i="29"/>
  <c r="D31" i="29"/>
  <c r="D30" i="29"/>
  <c r="D31" i="33"/>
  <c r="D30" i="33"/>
  <c r="D31" i="37"/>
  <c r="D30" i="37"/>
  <c r="L25" i="13"/>
  <c r="L24" i="13"/>
  <c r="L23" i="13"/>
  <c r="L25" i="20"/>
  <c r="L23" i="23"/>
  <c r="L24" i="24"/>
  <c r="L25" i="29"/>
  <c r="L24" i="29"/>
  <c r="L23" i="29"/>
  <c r="L24" i="33"/>
  <c r="L23" i="33"/>
  <c r="L24" i="37"/>
  <c r="L23" i="37"/>
  <c r="H26" i="18"/>
  <c r="H25" i="18"/>
  <c r="H23" i="18"/>
  <c r="H25" i="13"/>
  <c r="H24" i="13"/>
  <c r="H23" i="13"/>
  <c r="H26" i="20"/>
  <c r="H25" i="20"/>
  <c r="H26" i="23"/>
  <c r="H25" i="23"/>
  <c r="H23" i="23"/>
  <c r="H26" i="29"/>
  <c r="H25" i="29"/>
  <c r="H24" i="29"/>
  <c r="H23" i="29"/>
  <c r="H26" i="33"/>
  <c r="H25" i="33"/>
  <c r="H24" i="33"/>
  <c r="H23" i="33"/>
  <c r="H26" i="37"/>
  <c r="H25" i="37"/>
  <c r="H24" i="37"/>
  <c r="H23" i="37"/>
  <c r="D25" i="13"/>
  <c r="D24" i="13"/>
  <c r="D23" i="13"/>
  <c r="D25" i="20"/>
  <c r="D23" i="20"/>
  <c r="D23" i="23"/>
  <c r="D24" i="24"/>
  <c r="D27" i="29"/>
  <c r="D25" i="29"/>
  <c r="D24" i="29"/>
  <c r="D23" i="29"/>
  <c r="D24" i="33"/>
  <c r="D23" i="33"/>
  <c r="D24" i="37"/>
  <c r="D23" i="37"/>
  <c r="K115" i="27"/>
  <c r="J115" i="27"/>
  <c r="K115" i="29"/>
  <c r="J115" i="29"/>
  <c r="L115" i="29" s="1"/>
  <c r="K106" i="13"/>
  <c r="J106" i="13"/>
  <c r="K104" i="13"/>
  <c r="J104" i="13"/>
  <c r="K106" i="20"/>
  <c r="J106" i="20"/>
  <c r="K104" i="20"/>
  <c r="J104" i="20"/>
  <c r="K106" i="23"/>
  <c r="J106" i="23"/>
  <c r="L106" i="23" s="1"/>
  <c r="K104" i="23"/>
  <c r="J104" i="23"/>
  <c r="L104" i="23" s="1"/>
  <c r="K106" i="27"/>
  <c r="J106" i="27"/>
  <c r="L106" i="27" s="1"/>
  <c r="K104" i="27"/>
  <c r="J104" i="27"/>
  <c r="L104" i="27" s="1"/>
  <c r="K106" i="29"/>
  <c r="J106" i="29"/>
  <c r="K105" i="29"/>
  <c r="J105" i="29"/>
  <c r="K104" i="29"/>
  <c r="J104" i="29"/>
  <c r="K106" i="33"/>
  <c r="J106" i="33"/>
  <c r="L106" i="33" s="1"/>
  <c r="K104" i="33"/>
  <c r="J104" i="33"/>
  <c r="K106" i="37"/>
  <c r="J106" i="37"/>
  <c r="K104" i="37"/>
  <c r="J104" i="37"/>
  <c r="K106" i="18"/>
  <c r="J106" i="18"/>
  <c r="L106" i="18" s="1"/>
  <c r="K104" i="18"/>
  <c r="J104" i="18"/>
  <c r="L104" i="18" s="1"/>
  <c r="K95" i="13"/>
  <c r="J95" i="13"/>
  <c r="L95" i="13" s="1"/>
  <c r="K93" i="13"/>
  <c r="J93" i="13"/>
  <c r="K91" i="13"/>
  <c r="J91" i="13"/>
  <c r="L91" i="13" s="1"/>
  <c r="K90" i="13"/>
  <c r="J90" i="13"/>
  <c r="L90" i="13" s="1"/>
  <c r="K95" i="20"/>
  <c r="J95" i="20"/>
  <c r="L95" i="20" s="1"/>
  <c r="K93" i="20"/>
  <c r="J93" i="20"/>
  <c r="K95" i="23"/>
  <c r="L95" i="23" s="1"/>
  <c r="J95" i="23"/>
  <c r="K93" i="23"/>
  <c r="J93" i="23"/>
  <c r="K95" i="27"/>
  <c r="J95" i="27"/>
  <c r="L95" i="27" s="1"/>
  <c r="K93" i="27"/>
  <c r="J93" i="27"/>
  <c r="L93" i="27" s="1"/>
  <c r="K95" i="29"/>
  <c r="J95" i="29"/>
  <c r="L95" i="29" s="1"/>
  <c r="K94" i="29"/>
  <c r="J94" i="29"/>
  <c r="L94" i="29" s="1"/>
  <c r="K93" i="29"/>
  <c r="J93" i="29"/>
  <c r="K92" i="29"/>
  <c r="J92" i="29"/>
  <c r="L92" i="29" s="1"/>
  <c r="K91" i="29"/>
  <c r="J91" i="29"/>
  <c r="L91" i="29" s="1"/>
  <c r="K90" i="29"/>
  <c r="J90" i="29"/>
  <c r="L90" i="29" s="1"/>
  <c r="K94" i="35"/>
  <c r="J94" i="35"/>
  <c r="K93" i="35"/>
  <c r="J93" i="35"/>
  <c r="K95" i="33"/>
  <c r="J95" i="33"/>
  <c r="K93" i="33"/>
  <c r="J93" i="33"/>
  <c r="K95" i="37"/>
  <c r="J95" i="37"/>
  <c r="K93" i="37"/>
  <c r="J93" i="37"/>
  <c r="K95" i="18"/>
  <c r="J95" i="18"/>
  <c r="L95" i="18" s="1"/>
  <c r="K93" i="18"/>
  <c r="J93" i="18"/>
  <c r="L93" i="18" s="1"/>
  <c r="K85" i="13"/>
  <c r="J85" i="13"/>
  <c r="L85" i="13" s="1"/>
  <c r="K83" i="13"/>
  <c r="J83" i="13"/>
  <c r="L83" i="13" s="1"/>
  <c r="K85" i="20"/>
  <c r="J85" i="20"/>
  <c r="K83" i="20"/>
  <c r="J83" i="20"/>
  <c r="K85" i="23"/>
  <c r="J85" i="23"/>
  <c r="K83" i="23"/>
  <c r="J83" i="23"/>
  <c r="L83" i="23" s="1"/>
  <c r="K85" i="27"/>
  <c r="J85" i="27"/>
  <c r="L85" i="27" s="1"/>
  <c r="K83" i="27"/>
  <c r="J83" i="27"/>
  <c r="L83" i="27" s="1"/>
  <c r="K85" i="29"/>
  <c r="J85" i="29"/>
  <c r="K84" i="29"/>
  <c r="J84" i="29"/>
  <c r="K83" i="29"/>
  <c r="J83" i="29"/>
  <c r="K85" i="33"/>
  <c r="J85" i="33"/>
  <c r="L85" i="33" s="1"/>
  <c r="K83" i="33"/>
  <c r="J83" i="33"/>
  <c r="K85" i="37"/>
  <c r="J85" i="37"/>
  <c r="L85" i="37" s="1"/>
  <c r="K83" i="37"/>
  <c r="J83" i="37"/>
  <c r="L83" i="37" s="1"/>
  <c r="K85" i="18"/>
  <c r="J85" i="18"/>
  <c r="L85" i="18" s="1"/>
  <c r="K83" i="18"/>
  <c r="J83" i="18"/>
  <c r="L83" i="18" s="1"/>
  <c r="K74" i="13"/>
  <c r="K72" i="13"/>
  <c r="K74" i="20"/>
  <c r="K72" i="20"/>
  <c r="K74" i="23"/>
  <c r="K72" i="23"/>
  <c r="K74" i="27"/>
  <c r="K72" i="27"/>
  <c r="K74" i="29"/>
  <c r="K73" i="29"/>
  <c r="K72" i="29"/>
  <c r="K71" i="29"/>
  <c r="K70" i="29"/>
  <c r="K69" i="29"/>
  <c r="K73" i="35"/>
  <c r="K72" i="35"/>
  <c r="K74" i="33"/>
  <c r="K72" i="33"/>
  <c r="K74" i="37"/>
  <c r="K72" i="37"/>
  <c r="K74" i="18"/>
  <c r="K72" i="18"/>
  <c r="J74" i="13"/>
  <c r="L74" i="13" s="1"/>
  <c r="J72" i="13"/>
  <c r="L72" i="13" s="1"/>
  <c r="J74" i="20"/>
  <c r="L74" i="20" s="1"/>
  <c r="J72" i="20"/>
  <c r="J74" i="23"/>
  <c r="L74" i="23" s="1"/>
  <c r="J72" i="23"/>
  <c r="L72" i="23" s="1"/>
  <c r="J74" i="27"/>
  <c r="L74" i="27" s="1"/>
  <c r="J72" i="27"/>
  <c r="L72" i="27" s="1"/>
  <c r="J74" i="29"/>
  <c r="J73" i="29"/>
  <c r="J72" i="29"/>
  <c r="J71" i="29"/>
  <c r="J70" i="29"/>
  <c r="J73" i="35"/>
  <c r="J72" i="35"/>
  <c r="J74" i="33"/>
  <c r="J72" i="33"/>
  <c r="J74" i="37"/>
  <c r="L74" i="37" s="1"/>
  <c r="J72" i="37"/>
  <c r="J74" i="18"/>
  <c r="L74" i="18" s="1"/>
  <c r="J72" i="18"/>
  <c r="L72" i="18" s="1"/>
  <c r="J69" i="29"/>
  <c r="AG12" i="71" l="1"/>
  <c r="AG11" i="71"/>
  <c r="AF12" i="71"/>
  <c r="AF11" i="71"/>
  <c r="AG42" i="70"/>
  <c r="AG41" i="70"/>
  <c r="AG38" i="70"/>
  <c r="AG34" i="70"/>
  <c r="AG32" i="70"/>
  <c r="AG30" i="70"/>
  <c r="AG29" i="70"/>
  <c r="AG28" i="70"/>
  <c r="AG27" i="70"/>
  <c r="AG25" i="70"/>
  <c r="AG24" i="70"/>
  <c r="AG23" i="70"/>
  <c r="AG22" i="70"/>
  <c r="AG21" i="70"/>
  <c r="AG20" i="70"/>
  <c r="AG19" i="70"/>
  <c r="AG18" i="70"/>
  <c r="AG17" i="70"/>
  <c r="AG15" i="70"/>
  <c r="AG13" i="70"/>
  <c r="AG12" i="70"/>
  <c r="AF42" i="70"/>
  <c r="AF41" i="70"/>
  <c r="AF38" i="70"/>
  <c r="AF34" i="70"/>
  <c r="AF33" i="70"/>
  <c r="AF32" i="70"/>
  <c r="AF30" i="70"/>
  <c r="AF29" i="70"/>
  <c r="AF28" i="70"/>
  <c r="AF27" i="70"/>
  <c r="AF25" i="70"/>
  <c r="AF24" i="70"/>
  <c r="AF23" i="70"/>
  <c r="AF22" i="70"/>
  <c r="AF21" i="70"/>
  <c r="AF20" i="70"/>
  <c r="AF19" i="70"/>
  <c r="AF18" i="70"/>
  <c r="AF17" i="70"/>
  <c r="AF15" i="70"/>
  <c r="AF14" i="70"/>
  <c r="AF13" i="70"/>
  <c r="AF12" i="70"/>
  <c r="AJ45" i="69"/>
  <c r="AJ44" i="69"/>
  <c r="AJ42" i="69"/>
  <c r="AJ40" i="69"/>
  <c r="AJ39" i="69"/>
  <c r="AJ37" i="69"/>
  <c r="AJ36" i="69"/>
  <c r="AJ33" i="69"/>
  <c r="AJ32" i="69"/>
  <c r="AJ30" i="69"/>
  <c r="AJ28" i="69"/>
  <c r="AJ26" i="69"/>
  <c r="AJ25" i="69"/>
  <c r="AJ24" i="69"/>
  <c r="AJ21" i="69"/>
  <c r="AJ20" i="69"/>
  <c r="AJ19" i="69"/>
  <c r="AJ17" i="69"/>
  <c r="AJ16" i="69"/>
  <c r="AJ15" i="69"/>
  <c r="AJ14" i="69"/>
  <c r="AJ13" i="69"/>
  <c r="AJ12" i="69"/>
  <c r="AI45" i="69"/>
  <c r="AI44" i="69"/>
  <c r="AI43" i="69"/>
  <c r="AI42" i="69"/>
  <c r="AI40" i="69"/>
  <c r="AI39" i="69"/>
  <c r="AI38" i="69"/>
  <c r="AI37" i="69"/>
  <c r="AI36" i="69"/>
  <c r="AI34" i="69"/>
  <c r="AI33" i="69"/>
  <c r="AI32" i="69"/>
  <c r="AI31" i="69"/>
  <c r="AI30" i="69"/>
  <c r="AI29" i="69"/>
  <c r="AI28" i="69"/>
  <c r="AI27" i="69"/>
  <c r="AI26" i="69"/>
  <c r="AI25" i="69"/>
  <c r="AI24" i="69"/>
  <c r="AI22" i="69"/>
  <c r="AI21" i="69"/>
  <c r="AI20" i="69"/>
  <c r="AI19" i="69"/>
  <c r="AI18" i="69"/>
  <c r="AI17" i="69"/>
  <c r="AI16" i="69"/>
  <c r="AI15" i="69"/>
  <c r="AI14" i="69"/>
  <c r="AI13" i="69"/>
  <c r="AI12" i="69"/>
  <c r="AP89" i="62"/>
  <c r="AP88" i="62"/>
  <c r="AP87" i="62"/>
  <c r="AP86" i="62"/>
  <c r="AP84" i="62"/>
  <c r="AP83" i="62"/>
  <c r="AP82" i="62"/>
  <c r="AP81" i="62"/>
  <c r="AP78" i="62"/>
  <c r="AP77" i="62"/>
  <c r="AP76" i="62"/>
  <c r="AP75" i="62"/>
  <c r="AP74" i="62"/>
  <c r="AP73" i="62"/>
  <c r="AP71" i="62"/>
  <c r="AP70" i="62"/>
  <c r="AP69" i="62"/>
  <c r="AP68" i="62"/>
  <c r="AP61" i="62"/>
  <c r="AP59" i="62"/>
  <c r="AP58" i="62"/>
  <c r="AP57" i="62"/>
  <c r="AP56" i="62"/>
  <c r="AP55" i="62"/>
  <c r="AP53" i="62"/>
  <c r="AP52" i="62"/>
  <c r="AP51" i="62"/>
  <c r="AP48" i="62"/>
  <c r="AP46" i="62"/>
  <c r="AP44" i="62"/>
  <c r="AP43" i="62"/>
  <c r="AP42" i="62"/>
  <c r="AP41" i="62"/>
  <c r="AP40" i="62"/>
  <c r="AP37" i="62"/>
  <c r="AP36" i="62"/>
  <c r="AP33" i="62"/>
  <c r="AP26" i="62"/>
  <c r="AP25" i="62"/>
  <c r="AP24" i="62"/>
  <c r="AP23" i="62"/>
  <c r="AP22" i="62"/>
  <c r="AP21" i="62"/>
  <c r="AP18" i="62"/>
  <c r="AP17" i="62"/>
  <c r="AP14" i="62"/>
  <c r="AO89" i="62"/>
  <c r="AO88" i="62"/>
  <c r="AO87" i="62"/>
  <c r="AO86" i="62"/>
  <c r="AO84" i="62"/>
  <c r="AO83" i="62"/>
  <c r="AO82" i="62"/>
  <c r="AO81" i="62"/>
  <c r="AO78" i="62"/>
  <c r="AO77" i="62"/>
  <c r="AO76" i="62"/>
  <c r="AO75" i="62"/>
  <c r="AO74" i="62"/>
  <c r="AO73" i="62"/>
  <c r="AO71" i="62"/>
  <c r="AO70" i="62"/>
  <c r="AO69" i="62"/>
  <c r="AO68" i="62"/>
  <c r="AO61" i="62"/>
  <c r="AO59" i="62"/>
  <c r="AO58" i="62"/>
  <c r="AO57" i="62"/>
  <c r="AO56" i="62"/>
  <c r="AO55" i="62"/>
  <c r="AO53" i="62"/>
  <c r="AO52" i="62"/>
  <c r="AO51" i="62"/>
  <c r="AO49" i="62"/>
  <c r="AO48" i="62"/>
  <c r="AO46" i="62"/>
  <c r="AO44" i="62"/>
  <c r="AO43" i="62"/>
  <c r="AO42" i="62"/>
  <c r="AO41" i="62"/>
  <c r="AO40" i="62"/>
  <c r="AO38" i="62"/>
  <c r="AO37" i="62"/>
  <c r="AO36" i="62"/>
  <c r="AO34" i="62"/>
  <c r="AO33" i="62"/>
  <c r="AO28" i="62"/>
  <c r="AO26" i="62"/>
  <c r="AO25" i="62"/>
  <c r="AO24" i="62"/>
  <c r="AO23" i="62"/>
  <c r="AO22" i="62"/>
  <c r="AO21" i="62"/>
  <c r="AO19" i="62"/>
  <c r="AO18" i="62"/>
  <c r="AO17" i="62"/>
  <c r="AO15" i="62"/>
  <c r="AO14" i="62"/>
  <c r="AM89" i="62"/>
  <c r="AM88" i="62"/>
  <c r="AM87" i="62"/>
  <c r="AM86" i="62"/>
  <c r="AM84" i="62"/>
  <c r="AM83" i="62"/>
  <c r="AM82" i="62"/>
  <c r="AM81" i="62"/>
  <c r="AM78" i="62"/>
  <c r="AM77" i="62"/>
  <c r="AM76" i="62"/>
  <c r="AM75" i="62"/>
  <c r="AM74" i="62"/>
  <c r="AM73" i="62"/>
  <c r="AM71" i="62"/>
  <c r="AM70" i="62"/>
  <c r="AM69" i="62"/>
  <c r="AM68" i="62"/>
  <c r="AM61" i="62"/>
  <c r="AM59" i="62"/>
  <c r="AM58" i="62"/>
  <c r="AM57" i="62"/>
  <c r="AM56" i="62"/>
  <c r="AM55" i="62"/>
  <c r="AM53" i="62"/>
  <c r="AM52" i="62"/>
  <c r="AM51" i="62"/>
  <c r="AM48" i="62"/>
  <c r="AM46" i="62"/>
  <c r="AM44" i="62"/>
  <c r="AM43" i="62"/>
  <c r="AM42" i="62"/>
  <c r="AM41" i="62"/>
  <c r="AM40" i="62"/>
  <c r="AM37" i="62"/>
  <c r="AM36" i="62"/>
  <c r="AM33" i="62"/>
  <c r="AM26" i="62"/>
  <c r="AM25" i="62"/>
  <c r="AM24" i="62"/>
  <c r="AM23" i="62"/>
  <c r="AM22" i="62"/>
  <c r="AM21" i="62"/>
  <c r="AM18" i="62"/>
  <c r="AM17" i="62"/>
  <c r="AM14" i="62"/>
  <c r="AL84" i="62"/>
  <c r="AL89" i="62"/>
  <c r="AL88" i="62"/>
  <c r="AL87" i="62"/>
  <c r="AL86" i="62"/>
  <c r="AL83" i="62"/>
  <c r="AL82" i="62"/>
  <c r="AL81" i="62"/>
  <c r="AL78" i="62"/>
  <c r="AL77" i="62"/>
  <c r="AL76" i="62"/>
  <c r="AL75" i="62"/>
  <c r="AL74" i="62"/>
  <c r="AL73" i="62"/>
  <c r="AL71" i="62"/>
  <c r="AL70" i="62"/>
  <c r="AL69" i="62"/>
  <c r="AL68" i="62"/>
  <c r="AL61" i="62"/>
  <c r="AL59" i="62"/>
  <c r="AL58" i="62"/>
  <c r="AL57" i="62"/>
  <c r="AL56" i="62"/>
  <c r="AL55" i="62"/>
  <c r="AL53" i="62"/>
  <c r="AL52" i="62"/>
  <c r="AL51" i="62"/>
  <c r="AL49" i="62"/>
  <c r="AL48" i="62"/>
  <c r="AL46" i="62"/>
  <c r="AL44" i="62"/>
  <c r="AL43" i="62"/>
  <c r="AL42" i="62"/>
  <c r="AL41" i="62"/>
  <c r="AL40" i="62"/>
  <c r="AL38" i="62"/>
  <c r="AL37" i="62"/>
  <c r="AL36" i="62"/>
  <c r="AL34" i="62"/>
  <c r="AL33" i="62"/>
  <c r="AL28" i="62"/>
  <c r="AL26" i="62"/>
  <c r="AL25" i="62"/>
  <c r="AL24" i="62"/>
  <c r="AL23" i="62"/>
  <c r="AL22" i="62"/>
  <c r="AL21" i="62"/>
  <c r="AL19" i="62"/>
  <c r="AL18" i="62"/>
  <c r="AL17" i="62"/>
  <c r="AL15" i="62"/>
  <c r="AL14" i="62"/>
  <c r="AP34" i="68"/>
  <c r="AP33" i="68"/>
  <c r="AP31" i="68"/>
  <c r="AP30" i="68"/>
  <c r="AP29" i="68"/>
  <c r="AP28" i="68"/>
  <c r="AP27" i="68"/>
  <c r="AP26" i="68"/>
  <c r="AP25" i="68"/>
  <c r="AP24" i="68"/>
  <c r="AP23" i="68"/>
  <c r="AP22" i="68"/>
  <c r="AP21" i="68"/>
  <c r="AP19" i="68"/>
  <c r="AP18" i="68"/>
  <c r="AP17" i="68"/>
  <c r="AP16" i="68"/>
  <c r="AP15" i="68"/>
  <c r="AP14" i="68"/>
  <c r="AP13" i="68"/>
  <c r="AP12" i="68"/>
  <c r="AO34" i="68"/>
  <c r="AO33" i="68"/>
  <c r="AO31" i="68"/>
  <c r="AO30" i="68"/>
  <c r="AO29" i="68"/>
  <c r="AO28" i="68"/>
  <c r="AO27" i="68"/>
  <c r="AO26" i="68"/>
  <c r="AO25" i="68"/>
  <c r="AO24" i="68"/>
  <c r="AO23" i="68"/>
  <c r="AO22" i="68"/>
  <c r="AO21" i="68"/>
  <c r="AO19" i="68"/>
  <c r="AO18" i="68"/>
  <c r="AO17" i="68"/>
  <c r="AO16" i="68"/>
  <c r="AO15" i="68"/>
  <c r="AO14" i="68"/>
  <c r="AO13" i="68"/>
  <c r="AO12" i="68"/>
  <c r="AM34" i="68"/>
  <c r="AM33" i="68"/>
  <c r="AM31" i="68"/>
  <c r="AM30" i="68"/>
  <c r="AM29" i="68"/>
  <c r="AM28" i="68"/>
  <c r="AM27" i="68"/>
  <c r="AM26" i="68"/>
  <c r="AM25" i="68"/>
  <c r="AM24" i="68"/>
  <c r="AM23" i="68"/>
  <c r="AM22" i="68"/>
  <c r="AM21" i="68"/>
  <c r="AM19" i="68"/>
  <c r="AM18" i="68"/>
  <c r="AM17" i="68"/>
  <c r="AM16" i="68"/>
  <c r="AM15" i="68"/>
  <c r="AM14" i="68"/>
  <c r="AM13" i="68"/>
  <c r="AM12" i="68"/>
  <c r="AL34" i="68"/>
  <c r="AL33" i="68"/>
  <c r="AL31" i="68"/>
  <c r="AL30" i="68"/>
  <c r="AL29" i="68"/>
  <c r="AL28" i="68"/>
  <c r="AL27" i="68"/>
  <c r="AL26" i="68"/>
  <c r="AL25" i="68"/>
  <c r="AL24" i="68"/>
  <c r="AL23" i="68"/>
  <c r="AL22" i="68"/>
  <c r="AL21" i="68"/>
  <c r="AL19" i="68"/>
  <c r="AL18" i="68"/>
  <c r="AL17" i="68"/>
  <c r="AL16" i="68"/>
  <c r="AL15" i="68"/>
  <c r="AL14" i="68"/>
  <c r="AL13" i="68"/>
  <c r="AL12" i="68"/>
  <c r="AP144" i="67"/>
  <c r="AP143" i="67"/>
  <c r="AP141" i="67"/>
  <c r="AP140" i="67"/>
  <c r="AP139" i="67"/>
  <c r="AP138" i="67"/>
  <c r="AP137" i="67"/>
  <c r="AP136" i="67"/>
  <c r="AP135" i="67"/>
  <c r="AP134" i="67"/>
  <c r="AP133" i="67"/>
  <c r="AP129" i="67"/>
  <c r="AP127" i="67"/>
  <c r="AP126" i="67"/>
  <c r="AP125" i="67"/>
  <c r="AP124" i="67"/>
  <c r="AP123" i="67"/>
  <c r="AP121" i="67"/>
  <c r="AP120" i="67"/>
  <c r="AP119" i="67"/>
  <c r="AP115" i="67"/>
  <c r="AP114" i="67"/>
  <c r="AP112" i="67"/>
  <c r="AP111" i="67"/>
  <c r="AP109" i="67"/>
  <c r="AP107" i="67"/>
  <c r="AP103" i="67"/>
  <c r="AP102" i="67"/>
  <c r="AP100" i="67"/>
  <c r="AP99" i="67"/>
  <c r="AP97" i="67"/>
  <c r="AP95" i="67"/>
  <c r="AP94" i="67"/>
  <c r="AP91" i="67"/>
  <c r="AP90" i="67"/>
  <c r="AP89" i="67"/>
  <c r="AP88" i="67"/>
  <c r="AP87" i="67"/>
  <c r="AP86" i="67"/>
  <c r="AP85" i="67"/>
  <c r="AP84" i="67"/>
  <c r="AP83" i="67"/>
  <c r="AP82" i="67"/>
  <c r="AP81" i="67"/>
  <c r="AP79" i="67"/>
  <c r="AP78" i="67"/>
  <c r="AP77" i="67"/>
  <c r="AP76" i="67"/>
  <c r="AP75" i="67"/>
  <c r="AP74" i="67"/>
  <c r="AP73" i="67"/>
  <c r="AP72" i="67"/>
  <c r="AP71" i="67"/>
  <c r="AP67" i="67"/>
  <c r="AP66" i="67"/>
  <c r="AP63" i="67"/>
  <c r="AP61" i="67"/>
  <c r="AP59" i="67"/>
  <c r="AP57" i="67"/>
  <c r="AP55" i="67"/>
  <c r="AP54" i="67"/>
  <c r="AP52" i="67"/>
  <c r="AP51" i="67"/>
  <c r="AP49" i="67"/>
  <c r="AP47" i="67"/>
  <c r="AP43" i="67"/>
  <c r="AP42" i="67"/>
  <c r="AP41" i="67"/>
  <c r="AP39" i="67"/>
  <c r="AP37" i="67"/>
  <c r="AP35" i="67"/>
  <c r="AP22" i="67"/>
  <c r="AP19" i="67"/>
  <c r="AP18" i="67"/>
  <c r="AP17" i="67"/>
  <c r="AP16" i="67"/>
  <c r="AP15" i="67"/>
  <c r="AP14" i="67"/>
  <c r="AP13" i="67"/>
  <c r="AP12" i="67"/>
  <c r="AO144" i="67"/>
  <c r="AO143" i="67"/>
  <c r="AO141" i="67"/>
  <c r="AO140" i="67"/>
  <c r="AO139" i="67"/>
  <c r="AO138" i="67"/>
  <c r="AO137" i="67"/>
  <c r="AO136" i="67"/>
  <c r="AO135" i="67"/>
  <c r="AO134" i="67"/>
  <c r="AO133" i="67"/>
  <c r="AO132" i="67"/>
  <c r="AO131" i="67"/>
  <c r="AO129" i="67"/>
  <c r="AO128" i="67"/>
  <c r="AO127" i="67"/>
  <c r="AO126" i="67"/>
  <c r="AO125" i="67"/>
  <c r="AO124" i="67"/>
  <c r="AO123" i="67"/>
  <c r="AO122" i="67"/>
  <c r="AO121" i="67"/>
  <c r="AO120" i="67"/>
  <c r="AO119" i="67"/>
  <c r="AO118" i="67"/>
  <c r="AO117" i="67"/>
  <c r="AO115" i="67"/>
  <c r="AO114" i="67"/>
  <c r="AO113" i="67"/>
  <c r="AO112" i="67"/>
  <c r="AO111" i="67"/>
  <c r="AO110" i="67"/>
  <c r="AO109" i="67"/>
  <c r="AO108" i="67"/>
  <c r="AO107" i="67"/>
  <c r="AO106" i="67"/>
  <c r="AO105" i="67"/>
  <c r="AO103" i="67"/>
  <c r="AO102" i="67"/>
  <c r="AO101" i="67"/>
  <c r="AO100" i="67"/>
  <c r="AO99" i="67"/>
  <c r="AO98" i="67"/>
  <c r="AO97" i="67"/>
  <c r="AO96" i="67"/>
  <c r="AO95" i="67"/>
  <c r="AO94" i="67"/>
  <c r="AO93" i="67"/>
  <c r="AO91" i="67"/>
  <c r="AO90" i="67"/>
  <c r="AO89" i="67"/>
  <c r="AO88" i="67"/>
  <c r="AO87" i="67"/>
  <c r="AO86" i="67"/>
  <c r="AO85" i="67"/>
  <c r="AO84" i="67"/>
  <c r="AO83" i="67"/>
  <c r="AO82" i="67"/>
  <c r="AO81" i="67"/>
  <c r="AO79" i="67"/>
  <c r="AO78" i="67"/>
  <c r="AO77" i="67"/>
  <c r="AO76" i="67"/>
  <c r="AO75" i="67"/>
  <c r="AO74" i="67"/>
  <c r="AO73" i="67"/>
  <c r="AO72" i="67"/>
  <c r="AO71" i="67"/>
  <c r="AO70" i="67"/>
  <c r="AO69" i="67"/>
  <c r="AO67" i="67"/>
  <c r="AO66" i="67"/>
  <c r="AO65" i="67"/>
  <c r="AO64" i="67"/>
  <c r="AO63" i="67"/>
  <c r="AO62" i="67"/>
  <c r="AO61" i="67"/>
  <c r="AO60" i="67"/>
  <c r="AO59" i="67"/>
  <c r="AO58" i="67"/>
  <c r="AO57" i="67"/>
  <c r="AO55" i="67"/>
  <c r="AO54" i="67"/>
  <c r="AO53" i="67"/>
  <c r="AO52" i="67"/>
  <c r="AO51" i="67"/>
  <c r="AO50" i="67"/>
  <c r="AO49" i="67"/>
  <c r="AO48" i="67"/>
  <c r="AO47" i="67"/>
  <c r="AO46" i="67"/>
  <c r="AO45" i="67"/>
  <c r="AO43" i="67"/>
  <c r="AO42" i="67"/>
  <c r="AO41" i="67"/>
  <c r="AO40" i="67"/>
  <c r="AO39" i="67"/>
  <c r="AO37" i="67"/>
  <c r="AO35" i="67"/>
  <c r="AO22" i="67"/>
  <c r="AO21" i="67"/>
  <c r="AO19" i="67"/>
  <c r="AO18" i="67"/>
  <c r="AO17" i="67"/>
  <c r="AO16" i="67"/>
  <c r="AO15" i="67"/>
  <c r="AO14" i="67"/>
  <c r="AO13" i="67"/>
  <c r="AO12" i="67"/>
  <c r="AM144" i="67"/>
  <c r="AM143" i="67"/>
  <c r="AM141" i="67"/>
  <c r="AM140" i="67"/>
  <c r="AM139" i="67"/>
  <c r="AM138" i="67"/>
  <c r="AM137" i="67"/>
  <c r="AM136" i="67"/>
  <c r="AM135" i="67"/>
  <c r="AM134" i="67"/>
  <c r="AM133" i="67"/>
  <c r="AM129" i="67"/>
  <c r="AM127" i="67"/>
  <c r="AM126" i="67"/>
  <c r="AM125" i="67"/>
  <c r="AM124" i="67"/>
  <c r="AM123" i="67"/>
  <c r="AM121" i="67"/>
  <c r="AM120" i="67"/>
  <c r="AM119" i="67"/>
  <c r="AM115" i="67"/>
  <c r="AM114" i="67"/>
  <c r="AM112" i="67"/>
  <c r="AM111" i="67"/>
  <c r="AM109" i="67"/>
  <c r="AM107" i="67"/>
  <c r="AM103" i="67"/>
  <c r="AM102" i="67"/>
  <c r="AM100" i="67"/>
  <c r="AM99" i="67"/>
  <c r="AM97" i="67"/>
  <c r="AM95" i="67"/>
  <c r="AM94" i="67"/>
  <c r="AM91" i="67"/>
  <c r="AM90" i="67"/>
  <c r="AM89" i="67"/>
  <c r="AM88" i="67"/>
  <c r="AM87" i="67"/>
  <c r="AM86" i="67"/>
  <c r="AM85" i="67"/>
  <c r="AM84" i="67"/>
  <c r="AM83" i="67"/>
  <c r="AM82" i="67"/>
  <c r="AM81" i="67"/>
  <c r="AM79" i="67"/>
  <c r="AM78" i="67"/>
  <c r="AM77" i="67"/>
  <c r="AM76" i="67"/>
  <c r="AM75" i="67"/>
  <c r="AM74" i="67"/>
  <c r="AM73" i="67"/>
  <c r="AM72" i="67"/>
  <c r="AM71" i="67"/>
  <c r="AM67" i="67"/>
  <c r="AM66" i="67"/>
  <c r="AM63" i="67"/>
  <c r="AM61" i="67"/>
  <c r="AM59" i="67"/>
  <c r="AM57" i="67"/>
  <c r="AM55" i="67"/>
  <c r="AM54" i="67"/>
  <c r="AM52" i="67"/>
  <c r="AM51" i="67"/>
  <c r="AM49" i="67"/>
  <c r="AM47" i="67"/>
  <c r="AM43" i="67"/>
  <c r="AM42" i="67"/>
  <c r="AM41" i="67"/>
  <c r="AM39" i="67"/>
  <c r="AM37" i="67"/>
  <c r="AM35" i="67"/>
  <c r="AM22" i="67"/>
  <c r="AM19" i="67"/>
  <c r="AM18" i="67"/>
  <c r="AM17" i="67"/>
  <c r="AM16" i="67"/>
  <c r="AM15" i="67"/>
  <c r="AM14" i="67"/>
  <c r="AM13" i="67"/>
  <c r="AM12" i="67"/>
  <c r="AL144" i="67"/>
  <c r="AN144" i="67" s="1"/>
  <c r="AL143" i="67"/>
  <c r="AL141" i="67"/>
  <c r="AN141" i="67" s="1"/>
  <c r="AL140" i="67"/>
  <c r="AL139" i="67"/>
  <c r="AN139" i="67" s="1"/>
  <c r="AL138" i="67"/>
  <c r="AL137" i="67"/>
  <c r="AN137" i="67" s="1"/>
  <c r="AL136" i="67"/>
  <c r="AN136" i="67" s="1"/>
  <c r="AL135" i="67"/>
  <c r="AL134" i="67"/>
  <c r="AN134" i="67" s="1"/>
  <c r="AL133" i="67"/>
  <c r="AL132" i="67"/>
  <c r="AL131" i="67"/>
  <c r="AL129" i="67"/>
  <c r="AN129" i="67" s="1"/>
  <c r="AL128" i="67"/>
  <c r="AL127" i="67"/>
  <c r="AL126" i="67"/>
  <c r="AL125" i="67"/>
  <c r="AN125" i="67" s="1"/>
  <c r="AL124" i="67"/>
  <c r="AN124" i="67" s="1"/>
  <c r="AL123" i="67"/>
  <c r="AN123" i="67" s="1"/>
  <c r="AL122" i="67"/>
  <c r="AL121" i="67"/>
  <c r="AL120" i="67"/>
  <c r="AL119" i="67"/>
  <c r="AL118" i="67"/>
  <c r="AL117" i="67"/>
  <c r="AL115" i="67"/>
  <c r="AN115" i="67" s="1"/>
  <c r="AL114" i="67"/>
  <c r="AN114" i="67" s="1"/>
  <c r="AL113" i="67"/>
  <c r="AN113" i="67" s="1"/>
  <c r="AL112" i="67"/>
  <c r="AN112" i="67" s="1"/>
  <c r="AL111" i="67"/>
  <c r="AN111" i="67" s="1"/>
  <c r="AL110" i="67"/>
  <c r="AL109" i="67"/>
  <c r="AN109" i="67" s="1"/>
  <c r="AL108" i="67"/>
  <c r="AL107" i="67"/>
  <c r="AL106" i="67"/>
  <c r="AL105" i="67"/>
  <c r="AL103" i="67"/>
  <c r="AN103" i="67" s="1"/>
  <c r="AL102" i="67"/>
  <c r="AN102" i="67" s="1"/>
  <c r="AL101" i="67"/>
  <c r="AL100" i="67"/>
  <c r="AL99" i="67"/>
  <c r="AN99" i="67" s="1"/>
  <c r="AL98" i="67"/>
  <c r="AL97" i="67"/>
  <c r="AL96" i="67"/>
  <c r="AL95" i="67"/>
  <c r="AL94" i="67"/>
  <c r="AN94" i="67" s="1"/>
  <c r="AL93" i="67"/>
  <c r="AL91" i="67"/>
  <c r="AL90" i="67"/>
  <c r="AL89" i="67"/>
  <c r="AL88" i="67"/>
  <c r="AN88" i="67" s="1"/>
  <c r="AL87" i="67"/>
  <c r="AN87" i="67" s="1"/>
  <c r="AL86" i="67"/>
  <c r="AL85" i="67"/>
  <c r="AN85" i="67" s="1"/>
  <c r="AL84" i="67"/>
  <c r="AN84" i="67" s="1"/>
  <c r="AL83" i="67"/>
  <c r="AN83" i="67" s="1"/>
  <c r="AL82" i="67"/>
  <c r="AL81" i="67"/>
  <c r="AL79" i="67"/>
  <c r="AN79" i="67" s="1"/>
  <c r="AL78" i="67"/>
  <c r="AN78" i="67" s="1"/>
  <c r="AL77" i="67"/>
  <c r="AL76" i="67"/>
  <c r="AN76" i="67" s="1"/>
  <c r="AL75" i="67"/>
  <c r="AN75" i="67" s="1"/>
  <c r="AL74" i="67"/>
  <c r="AL73" i="67"/>
  <c r="AN73" i="67" s="1"/>
  <c r="AL72" i="67"/>
  <c r="AL71" i="67"/>
  <c r="AN71" i="67" s="1"/>
  <c r="AL70" i="67"/>
  <c r="AL69" i="67"/>
  <c r="AL67" i="67"/>
  <c r="AN67" i="67" s="1"/>
  <c r="AL66" i="67"/>
  <c r="AN66" i="67" s="1"/>
  <c r="AL65" i="67"/>
  <c r="AL64" i="67"/>
  <c r="AL63" i="67"/>
  <c r="AL62" i="67"/>
  <c r="AL61" i="67"/>
  <c r="AN61" i="67" s="1"/>
  <c r="AL60" i="67"/>
  <c r="AL59" i="67"/>
  <c r="AN59" i="67" s="1"/>
  <c r="AL58" i="67"/>
  <c r="AL57" i="67"/>
  <c r="AN57" i="67" s="1"/>
  <c r="AL55" i="67"/>
  <c r="AL54" i="67"/>
  <c r="AN54" i="67" s="1"/>
  <c r="AL53" i="67"/>
  <c r="AL52" i="67"/>
  <c r="AN52" i="67" s="1"/>
  <c r="AL51" i="67"/>
  <c r="AN51" i="67" s="1"/>
  <c r="AL50" i="67"/>
  <c r="AL49" i="67"/>
  <c r="AN49" i="67" s="1"/>
  <c r="AL48" i="67"/>
  <c r="AL47" i="67"/>
  <c r="AL46" i="67"/>
  <c r="AL45" i="67"/>
  <c r="AL43" i="67"/>
  <c r="AN43" i="67" s="1"/>
  <c r="AL42" i="67"/>
  <c r="AN42" i="67" s="1"/>
  <c r="AL41" i="67"/>
  <c r="AN41" i="67" s="1"/>
  <c r="AL40" i="67"/>
  <c r="AL39" i="67"/>
  <c r="AN39" i="67" s="1"/>
  <c r="AL37" i="67"/>
  <c r="AN37" i="67" s="1"/>
  <c r="AL35" i="67"/>
  <c r="AL22" i="67"/>
  <c r="AN22" i="67" s="1"/>
  <c r="AL21" i="67"/>
  <c r="AL19" i="67"/>
  <c r="AL18" i="67"/>
  <c r="AL17" i="67"/>
  <c r="AN17" i="67" s="1"/>
  <c r="AL16" i="67"/>
  <c r="AL15" i="67"/>
  <c r="AL14" i="67"/>
  <c r="AL13" i="67"/>
  <c r="AN13" i="67" s="1"/>
  <c r="AL12" i="67"/>
  <c r="AN12" i="67" s="1"/>
  <c r="AP108" i="66"/>
  <c r="AP107" i="66"/>
  <c r="AP105" i="66"/>
  <c r="AP104" i="66"/>
  <c r="AP103" i="66"/>
  <c r="AP102" i="66"/>
  <c r="AP101" i="66"/>
  <c r="AP100" i="66"/>
  <c r="AP99" i="66"/>
  <c r="AP98" i="66"/>
  <c r="AP97" i="66"/>
  <c r="AP96" i="66"/>
  <c r="AP95" i="66"/>
  <c r="AP93" i="66"/>
  <c r="AP92" i="66"/>
  <c r="AP91" i="66"/>
  <c r="AP90" i="66"/>
  <c r="AP89" i="66"/>
  <c r="AP88" i="66"/>
  <c r="AP87" i="66"/>
  <c r="AP86" i="66"/>
  <c r="AP85" i="66"/>
  <c r="AP84" i="66"/>
  <c r="AP83" i="66"/>
  <c r="AP81" i="66"/>
  <c r="AP80" i="66"/>
  <c r="AP79" i="66"/>
  <c r="AP78" i="66"/>
  <c r="AP77" i="66"/>
  <c r="AP76" i="66"/>
  <c r="AP75" i="66"/>
  <c r="AP74" i="66"/>
  <c r="AP73" i="66"/>
  <c r="AP72" i="66"/>
  <c r="AP71" i="66"/>
  <c r="AP69" i="66"/>
  <c r="AP68" i="66"/>
  <c r="AP67" i="66"/>
  <c r="AP66" i="66"/>
  <c r="AP65" i="66"/>
  <c r="AP64" i="66"/>
  <c r="AP63" i="66"/>
  <c r="AP62" i="66"/>
  <c r="AP61" i="66"/>
  <c r="AP58" i="66"/>
  <c r="AP57" i="66"/>
  <c r="AP55" i="66"/>
  <c r="AP54" i="66"/>
  <c r="AP53" i="66"/>
  <c r="AP52" i="66"/>
  <c r="AP51" i="66"/>
  <c r="AP50" i="66"/>
  <c r="AP49" i="66"/>
  <c r="AP48" i="66"/>
  <c r="AP47" i="66"/>
  <c r="AP46" i="66"/>
  <c r="AP45" i="66"/>
  <c r="AP43" i="66"/>
  <c r="AP42" i="66"/>
  <c r="AP41" i="66"/>
  <c r="AP40" i="66"/>
  <c r="AP39" i="66"/>
  <c r="AP38" i="66"/>
  <c r="AP37" i="66"/>
  <c r="AP36" i="66"/>
  <c r="AP35" i="66"/>
  <c r="AP34" i="66"/>
  <c r="AP33" i="66"/>
  <c r="AP31" i="66"/>
  <c r="AP30" i="66"/>
  <c r="AP29" i="66"/>
  <c r="AP28" i="66"/>
  <c r="AP27" i="66"/>
  <c r="AP26" i="66"/>
  <c r="AP25" i="66"/>
  <c r="AP24" i="66"/>
  <c r="AP23" i="66"/>
  <c r="AP22" i="66"/>
  <c r="AP19" i="66"/>
  <c r="AP18" i="66"/>
  <c r="AP17" i="66"/>
  <c r="AP16" i="66"/>
  <c r="AP15" i="66"/>
  <c r="AP14" i="66"/>
  <c r="AP13" i="66"/>
  <c r="AP12" i="66"/>
  <c r="AO108" i="66"/>
  <c r="AO107" i="66"/>
  <c r="AO105" i="66"/>
  <c r="AO104" i="66"/>
  <c r="AO103" i="66"/>
  <c r="AO102" i="66"/>
  <c r="AO101" i="66"/>
  <c r="AO100" i="66"/>
  <c r="AO99" i="66"/>
  <c r="AO98" i="66"/>
  <c r="AO97" i="66"/>
  <c r="AO96" i="66"/>
  <c r="AO95" i="66"/>
  <c r="AO93" i="66"/>
  <c r="AO92" i="66"/>
  <c r="AO91" i="66"/>
  <c r="AO90" i="66"/>
  <c r="AO89" i="66"/>
  <c r="AO88" i="66"/>
  <c r="AO87" i="66"/>
  <c r="AO86" i="66"/>
  <c r="AO85" i="66"/>
  <c r="AO84" i="66"/>
  <c r="AO83" i="66"/>
  <c r="AO81" i="66"/>
  <c r="AO80" i="66"/>
  <c r="AO79" i="66"/>
  <c r="AO78" i="66"/>
  <c r="AO77" i="66"/>
  <c r="AO76" i="66"/>
  <c r="AO75" i="66"/>
  <c r="AO74" i="66"/>
  <c r="AO73" i="66"/>
  <c r="AO72" i="66"/>
  <c r="AO71" i="66"/>
  <c r="AO69" i="66"/>
  <c r="AO68" i="66"/>
  <c r="AO67" i="66"/>
  <c r="AO66" i="66"/>
  <c r="AO65" i="66"/>
  <c r="AO64" i="66"/>
  <c r="AO63" i="66"/>
  <c r="AO62" i="66"/>
  <c r="AO61" i="66"/>
  <c r="AO58" i="66"/>
  <c r="AO57" i="66"/>
  <c r="AO55" i="66"/>
  <c r="AO54" i="66"/>
  <c r="AO53" i="66"/>
  <c r="AO52" i="66"/>
  <c r="AO51" i="66"/>
  <c r="AO50" i="66"/>
  <c r="AO49" i="66"/>
  <c r="AO48" i="66"/>
  <c r="AO47" i="66"/>
  <c r="AO46" i="66"/>
  <c r="AO45" i="66"/>
  <c r="AO43" i="66"/>
  <c r="AO42" i="66"/>
  <c r="AO41" i="66"/>
  <c r="AO40" i="66"/>
  <c r="AO39" i="66"/>
  <c r="AO38" i="66"/>
  <c r="AO37" i="66"/>
  <c r="AO36" i="66"/>
  <c r="AO35" i="66"/>
  <c r="AO34" i="66"/>
  <c r="AO33" i="66"/>
  <c r="AO31" i="66"/>
  <c r="AO30" i="66"/>
  <c r="AO29" i="66"/>
  <c r="AO28" i="66"/>
  <c r="AO27" i="66"/>
  <c r="AO26" i="66"/>
  <c r="AO25" i="66"/>
  <c r="AO24" i="66"/>
  <c r="AO23" i="66"/>
  <c r="AO22" i="66"/>
  <c r="AO21" i="66"/>
  <c r="AO19" i="66"/>
  <c r="AO18" i="66"/>
  <c r="AO17" i="66"/>
  <c r="AO16" i="66"/>
  <c r="AO15" i="66"/>
  <c r="AO14" i="66"/>
  <c r="AO13" i="66"/>
  <c r="AO12" i="66"/>
  <c r="AM108" i="66"/>
  <c r="AM107" i="66"/>
  <c r="AM105" i="66"/>
  <c r="AM104" i="66"/>
  <c r="AM103" i="66"/>
  <c r="AM102" i="66"/>
  <c r="AM101" i="66"/>
  <c r="AM100" i="66"/>
  <c r="AM99" i="66"/>
  <c r="AM98" i="66"/>
  <c r="AM97" i="66"/>
  <c r="AM96" i="66"/>
  <c r="AM95" i="66"/>
  <c r="AM93" i="66"/>
  <c r="AM92" i="66"/>
  <c r="AM91" i="66"/>
  <c r="AM90" i="66"/>
  <c r="AM89" i="66"/>
  <c r="AM88" i="66"/>
  <c r="AM87" i="66"/>
  <c r="AM86" i="66"/>
  <c r="AM85" i="66"/>
  <c r="AM84" i="66"/>
  <c r="AM83" i="66"/>
  <c r="AM81" i="66"/>
  <c r="AM80" i="66"/>
  <c r="AM79" i="66"/>
  <c r="AM78" i="66"/>
  <c r="AM77" i="66"/>
  <c r="AM76" i="66"/>
  <c r="AM75" i="66"/>
  <c r="AM74" i="66"/>
  <c r="AM73" i="66"/>
  <c r="AM72" i="66"/>
  <c r="AM71" i="66"/>
  <c r="AM69" i="66"/>
  <c r="AM68" i="66"/>
  <c r="AM67" i="66"/>
  <c r="AM66" i="66"/>
  <c r="AM65" i="66"/>
  <c r="AM64" i="66"/>
  <c r="AM63" i="66"/>
  <c r="AM62" i="66"/>
  <c r="AM61" i="66"/>
  <c r="AM58" i="66"/>
  <c r="AM57" i="66"/>
  <c r="AM55" i="66"/>
  <c r="AM54" i="66"/>
  <c r="AM53" i="66"/>
  <c r="AM52" i="66"/>
  <c r="AM51" i="66"/>
  <c r="AM50" i="66"/>
  <c r="AM49" i="66"/>
  <c r="AM48" i="66"/>
  <c r="AM47" i="66"/>
  <c r="AM46" i="66"/>
  <c r="AM45" i="66"/>
  <c r="AM43" i="66"/>
  <c r="AM42" i="66"/>
  <c r="AM41" i="66"/>
  <c r="AM40" i="66"/>
  <c r="AM39" i="66"/>
  <c r="AM38" i="66"/>
  <c r="AM37" i="66"/>
  <c r="AM36" i="66"/>
  <c r="AM35" i="66"/>
  <c r="AM34" i="66"/>
  <c r="AM33" i="66"/>
  <c r="AM31" i="66"/>
  <c r="AM30" i="66"/>
  <c r="AM29" i="66"/>
  <c r="AM28" i="66"/>
  <c r="AM27" i="66"/>
  <c r="AM26" i="66"/>
  <c r="AM25" i="66"/>
  <c r="AM24" i="66"/>
  <c r="AM23" i="66"/>
  <c r="AM22" i="66"/>
  <c r="AM19" i="66"/>
  <c r="AM18" i="66"/>
  <c r="AM17" i="66"/>
  <c r="AM16" i="66"/>
  <c r="AM15" i="66"/>
  <c r="AM14" i="66"/>
  <c r="AM13" i="66"/>
  <c r="AM12" i="66"/>
  <c r="AL108" i="66"/>
  <c r="AL107" i="66"/>
  <c r="AL105" i="66"/>
  <c r="AL104" i="66"/>
  <c r="AL103" i="66"/>
  <c r="AL102" i="66"/>
  <c r="AL101" i="66"/>
  <c r="AL100" i="66"/>
  <c r="AL99" i="66"/>
  <c r="AL98" i="66"/>
  <c r="AL97" i="66"/>
  <c r="AL96" i="66"/>
  <c r="AL95" i="66"/>
  <c r="AL93" i="66"/>
  <c r="AL92" i="66"/>
  <c r="AL91" i="66"/>
  <c r="AL90" i="66"/>
  <c r="AL89" i="66"/>
  <c r="AL88" i="66"/>
  <c r="AL87" i="66"/>
  <c r="AL86" i="66"/>
  <c r="AL85" i="66"/>
  <c r="AL84" i="66"/>
  <c r="AL83" i="66"/>
  <c r="AL81" i="66"/>
  <c r="AL80" i="66"/>
  <c r="AL79" i="66"/>
  <c r="AL78" i="66"/>
  <c r="AL77" i="66"/>
  <c r="AL76" i="66"/>
  <c r="AL75" i="66"/>
  <c r="AL74" i="66"/>
  <c r="AL73" i="66"/>
  <c r="AL72" i="66"/>
  <c r="AL71" i="66"/>
  <c r="AL69" i="66"/>
  <c r="AL68" i="66"/>
  <c r="AL67" i="66"/>
  <c r="AL66" i="66"/>
  <c r="AL65" i="66"/>
  <c r="AL64" i="66"/>
  <c r="AL63" i="66"/>
  <c r="AL62" i="66"/>
  <c r="AL61" i="66"/>
  <c r="AL58" i="66"/>
  <c r="AL57" i="66"/>
  <c r="AL55" i="66"/>
  <c r="AL54" i="66"/>
  <c r="AL53" i="66"/>
  <c r="AL52" i="66"/>
  <c r="AL51" i="66"/>
  <c r="AL50" i="66"/>
  <c r="AL49" i="66"/>
  <c r="AL48" i="66"/>
  <c r="AL47" i="66"/>
  <c r="AL46" i="66"/>
  <c r="AL45" i="66"/>
  <c r="AL43" i="66"/>
  <c r="AL42" i="66"/>
  <c r="AL41" i="66"/>
  <c r="AL40" i="66"/>
  <c r="AL39" i="66"/>
  <c r="AL38" i="66"/>
  <c r="AL37" i="66"/>
  <c r="AL36" i="66"/>
  <c r="AL35" i="66"/>
  <c r="AL34" i="66"/>
  <c r="AL33" i="66"/>
  <c r="AL31" i="66"/>
  <c r="AL30" i="66"/>
  <c r="AL29" i="66"/>
  <c r="AL28" i="66"/>
  <c r="AL27" i="66"/>
  <c r="AL26" i="66"/>
  <c r="AL25" i="66"/>
  <c r="AL24" i="66"/>
  <c r="AL23" i="66"/>
  <c r="AL22" i="66"/>
  <c r="AL21" i="66"/>
  <c r="AL19" i="66"/>
  <c r="AL18" i="66"/>
  <c r="AL17" i="66"/>
  <c r="AL16" i="66"/>
  <c r="AL15" i="66"/>
  <c r="AL14" i="66"/>
  <c r="AL13" i="66"/>
  <c r="AL12" i="66"/>
  <c r="AN100" i="67" l="1"/>
  <c r="AN14" i="67"/>
  <c r="AN16" i="67"/>
  <c r="AN91" i="67"/>
  <c r="AN72" i="67"/>
  <c r="AN81" i="67"/>
  <c r="AN89" i="67"/>
  <c r="AN126" i="67"/>
  <c r="AN77" i="67"/>
  <c r="AN86" i="67"/>
  <c r="AN97" i="67"/>
  <c r="AN140" i="67"/>
  <c r="AN19" i="67"/>
  <c r="AN15" i="67"/>
  <c r="AN55" i="67"/>
  <c r="AN63" i="67"/>
  <c r="AN127" i="67"/>
  <c r="AN135" i="67"/>
  <c r="AN143" i="67"/>
  <c r="AN18" i="67"/>
  <c r="AN74" i="67"/>
  <c r="AN82" i="67"/>
  <c r="AN90" i="67"/>
  <c r="AN138" i="67"/>
  <c r="AM55" i="65"/>
  <c r="AM54" i="65"/>
  <c r="AM53" i="65"/>
  <c r="AM52" i="65"/>
  <c r="AM50" i="65"/>
  <c r="AM49" i="65"/>
  <c r="AM48" i="65"/>
  <c r="AL55" i="65"/>
  <c r="AL54" i="65"/>
  <c r="AL53" i="65"/>
  <c r="AL52" i="65"/>
  <c r="AL51" i="65"/>
  <c r="AL50" i="65"/>
  <c r="AL49" i="65"/>
  <c r="AL48" i="65"/>
  <c r="AM42" i="65"/>
  <c r="AM39" i="65"/>
  <c r="AM38" i="65"/>
  <c r="AM37" i="65"/>
  <c r="AL44" i="65"/>
  <c r="AL42" i="65"/>
  <c r="AL39" i="65"/>
  <c r="AL38" i="65"/>
  <c r="AL37" i="65"/>
  <c r="AP20" i="65"/>
  <c r="AP17" i="65"/>
  <c r="AP16" i="65"/>
  <c r="AP15" i="65"/>
  <c r="AP13" i="65"/>
  <c r="AP12" i="65"/>
  <c r="AO20" i="65"/>
  <c r="AO19" i="65"/>
  <c r="AO17" i="65"/>
  <c r="AO16" i="65"/>
  <c r="AO15" i="65"/>
  <c r="AO13" i="65"/>
  <c r="AO12" i="65"/>
  <c r="AO11" i="65"/>
  <c r="AM33" i="65"/>
  <c r="AM32" i="65"/>
  <c r="AM31" i="65"/>
  <c r="AM30" i="65"/>
  <c r="AM28" i="65"/>
  <c r="AM27" i="65"/>
  <c r="AM26" i="65"/>
  <c r="AM25" i="65"/>
  <c r="AM24" i="65"/>
  <c r="AM20" i="65"/>
  <c r="AL33" i="65"/>
  <c r="AL32" i="65"/>
  <c r="AL31" i="65"/>
  <c r="AL30" i="65"/>
  <c r="AL28" i="65"/>
  <c r="AL27" i="65"/>
  <c r="AL26" i="65"/>
  <c r="AL25" i="65"/>
  <c r="AL24" i="65"/>
  <c r="AL23" i="65"/>
  <c r="AL20" i="65"/>
  <c r="AL19" i="65"/>
  <c r="AM17" i="65"/>
  <c r="AM16" i="65"/>
  <c r="AM15" i="65"/>
  <c r="AM13" i="65"/>
  <c r="AM12" i="65"/>
  <c r="AL17" i="65"/>
  <c r="AL16" i="65"/>
  <c r="AL15" i="65"/>
  <c r="AL13" i="65"/>
  <c r="AL12" i="65"/>
  <c r="AL11" i="65"/>
  <c r="F35" i="71" l="1"/>
  <c r="F16" i="71"/>
  <c r="E39" i="70"/>
  <c r="F37" i="70"/>
  <c r="E37" i="70"/>
  <c r="F36" i="70"/>
  <c r="E36" i="70"/>
  <c r="F31" i="70"/>
  <c r="E31" i="70"/>
  <c r="F14" i="70"/>
  <c r="E11" i="70"/>
  <c r="E35" i="70" s="1"/>
  <c r="F54" i="69"/>
  <c r="E54" i="69"/>
  <c r="E53" i="69"/>
  <c r="F52" i="69"/>
  <c r="E52" i="69"/>
  <c r="E51" i="69"/>
  <c r="F50" i="69"/>
  <c r="E50" i="69"/>
  <c r="F49" i="69"/>
  <c r="E49" i="69"/>
  <c r="F48" i="69"/>
  <c r="E48" i="69"/>
  <c r="F43" i="69"/>
  <c r="E41" i="69"/>
  <c r="F38" i="69"/>
  <c r="AJ38" i="69" s="1"/>
  <c r="F35" i="69"/>
  <c r="E35" i="69"/>
  <c r="F34" i="69"/>
  <c r="G34" i="69" s="1"/>
  <c r="E23" i="69"/>
  <c r="F22" i="69"/>
  <c r="E11" i="69"/>
  <c r="F85" i="62"/>
  <c r="E85" i="62"/>
  <c r="F79" i="62"/>
  <c r="E79" i="62"/>
  <c r="F54" i="62"/>
  <c r="E54" i="62"/>
  <c r="E60" i="62" s="1"/>
  <c r="F39" i="62"/>
  <c r="E39" i="62"/>
  <c r="F35" i="62"/>
  <c r="F45" i="62" s="1"/>
  <c r="E35" i="62"/>
  <c r="F20" i="62"/>
  <c r="E20" i="62"/>
  <c r="F16" i="62"/>
  <c r="F27" i="62" s="1"/>
  <c r="F29" i="62" s="1"/>
  <c r="E16" i="62"/>
  <c r="G16" i="62" s="1"/>
  <c r="F32" i="68"/>
  <c r="E32" i="68"/>
  <c r="F20" i="68"/>
  <c r="E20" i="68"/>
  <c r="F56" i="65"/>
  <c r="E56" i="65"/>
  <c r="E57" i="65" s="1"/>
  <c r="F51" i="65"/>
  <c r="F40" i="65"/>
  <c r="E40" i="65"/>
  <c r="F29" i="65"/>
  <c r="E29" i="65"/>
  <c r="F21" i="65"/>
  <c r="E21" i="65"/>
  <c r="F14" i="65"/>
  <c r="E14" i="65"/>
  <c r="E34" i="65" s="1"/>
  <c r="F11" i="69" l="1"/>
  <c r="G22" i="69"/>
  <c r="E41" i="65"/>
  <c r="E43" i="65" s="1"/>
  <c r="E45" i="65" s="1"/>
  <c r="F23" i="69"/>
  <c r="AJ34" i="69"/>
  <c r="F39" i="70"/>
  <c r="F60" i="62"/>
  <c r="F62" i="62" s="1"/>
  <c r="F64" i="62" s="1"/>
  <c r="F41" i="69"/>
  <c r="F47" i="69" s="1"/>
  <c r="F53" i="69"/>
  <c r="AJ22" i="69"/>
  <c r="F11" i="70"/>
  <c r="F35" i="70" s="1"/>
  <c r="E47" i="69"/>
  <c r="F51" i="69"/>
  <c r="F34" i="65"/>
  <c r="F41" i="65" s="1"/>
  <c r="F43" i="65" s="1"/>
  <c r="F45" i="65" s="1"/>
  <c r="E45" i="62"/>
  <c r="E62" i="62" s="1"/>
  <c r="F91" i="62"/>
  <c r="F57" i="65"/>
  <c r="E27" i="62"/>
  <c r="E29" i="62" s="1"/>
  <c r="I39" i="70" l="1"/>
  <c r="H39" i="70"/>
  <c r="I37" i="70"/>
  <c r="H37" i="70"/>
  <c r="I11" i="70"/>
  <c r="H11" i="70"/>
  <c r="H35" i="70" s="1"/>
  <c r="I54" i="69"/>
  <c r="H54" i="69"/>
  <c r="I53" i="69"/>
  <c r="H53" i="69"/>
  <c r="I51" i="69"/>
  <c r="H51" i="69"/>
  <c r="I50" i="69"/>
  <c r="H50" i="69"/>
  <c r="I49" i="69"/>
  <c r="H49" i="69"/>
  <c r="I48" i="69"/>
  <c r="H48" i="69"/>
  <c r="I35" i="69"/>
  <c r="H35" i="69"/>
  <c r="I23" i="69"/>
  <c r="H23" i="69"/>
  <c r="I11" i="69"/>
  <c r="H11" i="69"/>
  <c r="I85" i="62"/>
  <c r="H85" i="62"/>
  <c r="I79" i="62"/>
  <c r="H79" i="62"/>
  <c r="I54" i="62"/>
  <c r="H54" i="62"/>
  <c r="H60" i="62" s="1"/>
  <c r="I39" i="62"/>
  <c r="H39" i="62"/>
  <c r="I35" i="62"/>
  <c r="H35" i="62"/>
  <c r="I20" i="62"/>
  <c r="H20" i="62"/>
  <c r="I16" i="62"/>
  <c r="H16" i="62"/>
  <c r="J16" i="62" s="1"/>
  <c r="I48" i="68"/>
  <c r="H48" i="68"/>
  <c r="I43" i="68"/>
  <c r="H43" i="68"/>
  <c r="I40" i="68"/>
  <c r="H40" i="68"/>
  <c r="I38" i="68"/>
  <c r="H38" i="68"/>
  <c r="I32" i="68"/>
  <c r="H32" i="68"/>
  <c r="I20" i="68"/>
  <c r="H20" i="68"/>
  <c r="H46" i="68"/>
  <c r="I56" i="65"/>
  <c r="H56" i="65"/>
  <c r="H57" i="65" s="1"/>
  <c r="I51" i="65"/>
  <c r="I57" i="65" s="1"/>
  <c r="I40" i="65"/>
  <c r="H40" i="65"/>
  <c r="I29" i="65"/>
  <c r="H29" i="65"/>
  <c r="I21" i="65"/>
  <c r="H21" i="65"/>
  <c r="I14" i="65"/>
  <c r="H14" i="65"/>
  <c r="I91" i="62" l="1"/>
  <c r="J35" i="62"/>
  <c r="H45" i="62"/>
  <c r="H27" i="62"/>
  <c r="H29" i="62" s="1"/>
  <c r="I47" i="69"/>
  <c r="I46" i="68"/>
  <c r="H34" i="65"/>
  <c r="H41" i="65" s="1"/>
  <c r="H43" i="65" s="1"/>
  <c r="H45" i="65" s="1"/>
  <c r="I45" i="62"/>
  <c r="I34" i="65"/>
  <c r="I41" i="65" s="1"/>
  <c r="I43" i="65" s="1"/>
  <c r="I45" i="65" s="1"/>
  <c r="I27" i="62"/>
  <c r="I29" i="62" s="1"/>
  <c r="I60" i="62"/>
  <c r="H47" i="69"/>
  <c r="I35" i="70"/>
  <c r="H62" i="62"/>
  <c r="X32" i="68"/>
  <c r="W32" i="68"/>
  <c r="I62" i="62" l="1"/>
  <c r="I64" i="62" s="1"/>
  <c r="AA35" i="71"/>
  <c r="AA16" i="71"/>
  <c r="Z39" i="70"/>
  <c r="AA37" i="70"/>
  <c r="Z37" i="70"/>
  <c r="AA36" i="70"/>
  <c r="Z36" i="70"/>
  <c r="AA33" i="70"/>
  <c r="Z31" i="70"/>
  <c r="AA14" i="70"/>
  <c r="AG14" i="70" s="1"/>
  <c r="Z11" i="70"/>
  <c r="AD54" i="69"/>
  <c r="AC54" i="69"/>
  <c r="AD53" i="69"/>
  <c r="AC53" i="69"/>
  <c r="AC51" i="69"/>
  <c r="AD50" i="69"/>
  <c r="AC50" i="69"/>
  <c r="AD49" i="69"/>
  <c r="AC49" i="69"/>
  <c r="AD48" i="69"/>
  <c r="AC48" i="69"/>
  <c r="AD43" i="69"/>
  <c r="AC41" i="69"/>
  <c r="AD35" i="69"/>
  <c r="AC35" i="69"/>
  <c r="AD23" i="69"/>
  <c r="AC23" i="69"/>
  <c r="AD11" i="69"/>
  <c r="AC11" i="69"/>
  <c r="AG85" i="62"/>
  <c r="AF85" i="62"/>
  <c r="AG79" i="62"/>
  <c r="AF79" i="62"/>
  <c r="AG54" i="62"/>
  <c r="AF54" i="62"/>
  <c r="AF60" i="62" s="1"/>
  <c r="AG39" i="62"/>
  <c r="AF39" i="62"/>
  <c r="AG35" i="62"/>
  <c r="AG45" i="62" s="1"/>
  <c r="AF35" i="62"/>
  <c r="AG20" i="62"/>
  <c r="AF20" i="62"/>
  <c r="AG16" i="62"/>
  <c r="AF16" i="62"/>
  <c r="K48" i="68"/>
  <c r="L47" i="68"/>
  <c r="K47" i="68"/>
  <c r="L45" i="68"/>
  <c r="K45" i="68"/>
  <c r="L44" i="68"/>
  <c r="K44" i="68"/>
  <c r="L43" i="68"/>
  <c r="K43" i="68"/>
  <c r="L42" i="68"/>
  <c r="K42" i="68"/>
  <c r="L41" i="68"/>
  <c r="K41" i="68"/>
  <c r="K40" i="68"/>
  <c r="L39" i="68"/>
  <c r="K39" i="68"/>
  <c r="L38" i="68"/>
  <c r="K38" i="68"/>
  <c r="O48" i="68"/>
  <c r="N48" i="68"/>
  <c r="O47" i="68"/>
  <c r="N47" i="68"/>
  <c r="O45" i="68"/>
  <c r="N45" i="68"/>
  <c r="O44" i="68"/>
  <c r="N44" i="68"/>
  <c r="O43" i="68"/>
  <c r="N43" i="68"/>
  <c r="O42" i="68"/>
  <c r="N42" i="68"/>
  <c r="O41" i="68"/>
  <c r="N41" i="68"/>
  <c r="O40" i="68"/>
  <c r="N40" i="68"/>
  <c r="O39" i="68"/>
  <c r="N39" i="68"/>
  <c r="O38" i="68"/>
  <c r="N38" i="68"/>
  <c r="Q48" i="68"/>
  <c r="Q47" i="68"/>
  <c r="R45" i="68"/>
  <c r="Q45" i="68"/>
  <c r="R44" i="68"/>
  <c r="Q44" i="68"/>
  <c r="R43" i="68"/>
  <c r="Q43" i="68"/>
  <c r="R42" i="68"/>
  <c r="Q42" i="68"/>
  <c r="R41" i="68"/>
  <c r="Q41" i="68"/>
  <c r="R40" i="68"/>
  <c r="Q40" i="68"/>
  <c r="R39" i="68"/>
  <c r="Q39" i="68"/>
  <c r="R38" i="68"/>
  <c r="Q38" i="68"/>
  <c r="U48" i="68"/>
  <c r="T48" i="68"/>
  <c r="U47" i="68"/>
  <c r="T47" i="68"/>
  <c r="U45" i="68"/>
  <c r="T45" i="68"/>
  <c r="U44" i="68"/>
  <c r="T44" i="68"/>
  <c r="U43" i="68"/>
  <c r="T43" i="68"/>
  <c r="U42" i="68"/>
  <c r="T42" i="68"/>
  <c r="U41" i="68"/>
  <c r="T41" i="68"/>
  <c r="U40" i="68"/>
  <c r="T40" i="68"/>
  <c r="U39" i="68"/>
  <c r="T39" i="68"/>
  <c r="U38" i="68"/>
  <c r="T38" i="68"/>
  <c r="AA48" i="68"/>
  <c r="Z48" i="68"/>
  <c r="AA47" i="68"/>
  <c r="Z47" i="68"/>
  <c r="AA45" i="68"/>
  <c r="Z45" i="68"/>
  <c r="Z44" i="68"/>
  <c r="AA43" i="68"/>
  <c r="Z43" i="68"/>
  <c r="AA42" i="68"/>
  <c r="Z42" i="68"/>
  <c r="AA41" i="68"/>
  <c r="Z41" i="68"/>
  <c r="AA40" i="68"/>
  <c r="Z40" i="68"/>
  <c r="AA39" i="68"/>
  <c r="Z39" i="68"/>
  <c r="Z38" i="68"/>
  <c r="AD48" i="68"/>
  <c r="AC48" i="68"/>
  <c r="AD47" i="68"/>
  <c r="AC47" i="68"/>
  <c r="AD45" i="68"/>
  <c r="AC45" i="68"/>
  <c r="AD44" i="68"/>
  <c r="AC44" i="68"/>
  <c r="AD43" i="68"/>
  <c r="AC43" i="68"/>
  <c r="AD42" i="68"/>
  <c r="AC42" i="68"/>
  <c r="AD41" i="68"/>
  <c r="AC41" i="68"/>
  <c r="AD40" i="68"/>
  <c r="AC40" i="68"/>
  <c r="AD39" i="68"/>
  <c r="AC39" i="68"/>
  <c r="AD38" i="68"/>
  <c r="AC38" i="68"/>
  <c r="AF48" i="68"/>
  <c r="AF47" i="68"/>
  <c r="AG45" i="68"/>
  <c r="AF45" i="68"/>
  <c r="AG44" i="68"/>
  <c r="AF44" i="68"/>
  <c r="AF43" i="68"/>
  <c r="AF42" i="68"/>
  <c r="AG41" i="68"/>
  <c r="AF41" i="68"/>
  <c r="AF40" i="68"/>
  <c r="AG39" i="68"/>
  <c r="AF39" i="68"/>
  <c r="AF38" i="68"/>
  <c r="AG32" i="68"/>
  <c r="AF32" i="68"/>
  <c r="AL32" i="68" s="1"/>
  <c r="AG20" i="68"/>
  <c r="AF20" i="68"/>
  <c r="AG56" i="65"/>
  <c r="AF56" i="65"/>
  <c r="AF57" i="65" s="1"/>
  <c r="AG51" i="65"/>
  <c r="AG40" i="65"/>
  <c r="AF40" i="65"/>
  <c r="AG29" i="65"/>
  <c r="AF29" i="65"/>
  <c r="AG21" i="65"/>
  <c r="AF21" i="65"/>
  <c r="AG14" i="65"/>
  <c r="AF14" i="65"/>
  <c r="AF45" i="62" l="1"/>
  <c r="AP69" i="67"/>
  <c r="AM69" i="67"/>
  <c r="AN69" i="67" s="1"/>
  <c r="AP101" i="67"/>
  <c r="AM101" i="67"/>
  <c r="AN101" i="67" s="1"/>
  <c r="AL42" i="68"/>
  <c r="AL47" i="68"/>
  <c r="AP38" i="67"/>
  <c r="AM38" i="67"/>
  <c r="AM105" i="67"/>
  <c r="AN105" i="67" s="1"/>
  <c r="AP105" i="67"/>
  <c r="AL38" i="68"/>
  <c r="AP40" i="67"/>
  <c r="AM40" i="67"/>
  <c r="AN40" i="67" s="1"/>
  <c r="AM60" i="67"/>
  <c r="AN60" i="67" s="1"/>
  <c r="AP60" i="67"/>
  <c r="AM106" i="67"/>
  <c r="AN106" i="67" s="1"/>
  <c r="AP106" i="67"/>
  <c r="AL43" i="68"/>
  <c r="AL48" i="68"/>
  <c r="AD51" i="69"/>
  <c r="AP36" i="67"/>
  <c r="AM36" i="67"/>
  <c r="AP62" i="67"/>
  <c r="AM62" i="67"/>
  <c r="AN62" i="67" s="1"/>
  <c r="AL39" i="68"/>
  <c r="AP45" i="67"/>
  <c r="AM45" i="67"/>
  <c r="AN45" i="67" s="1"/>
  <c r="AP64" i="67"/>
  <c r="AM64" i="67"/>
  <c r="AN64" i="67" s="1"/>
  <c r="AL44" i="68"/>
  <c r="AA31" i="70"/>
  <c r="AG33" i="70"/>
  <c r="AP46" i="67"/>
  <c r="AM46" i="67"/>
  <c r="AN46" i="67" s="1"/>
  <c r="AM65" i="67"/>
  <c r="AN65" i="67" s="1"/>
  <c r="AP65" i="67"/>
  <c r="AP96" i="67"/>
  <c r="AM96" i="67"/>
  <c r="AN96" i="67" s="1"/>
  <c r="AL40" i="68"/>
  <c r="AO32" i="68"/>
  <c r="AP70" i="67"/>
  <c r="AM70" i="67"/>
  <c r="AN70" i="67" s="1"/>
  <c r="AM98" i="67"/>
  <c r="AN98" i="67" s="1"/>
  <c r="AP98" i="67"/>
  <c r="AL41" i="68"/>
  <c r="AL45" i="68"/>
  <c r="AF46" i="68"/>
  <c r="AG91" i="62"/>
  <c r="AG38" i="68"/>
  <c r="AF34" i="65"/>
  <c r="AF41" i="65" s="1"/>
  <c r="AF43" i="65" s="1"/>
  <c r="AF45" i="65" s="1"/>
  <c r="AG57" i="65"/>
  <c r="AG47" i="68"/>
  <c r="AG42" i="68"/>
  <c r="AF62" i="62"/>
  <c r="AG48" i="68"/>
  <c r="AG40" i="68"/>
  <c r="AA39" i="70"/>
  <c r="AG43" i="68"/>
  <c r="AD41" i="69"/>
  <c r="AD47" i="69" s="1"/>
  <c r="AF27" i="62"/>
  <c r="AF29" i="62" s="1"/>
  <c r="AG27" i="62"/>
  <c r="AG29" i="62" s="1"/>
  <c r="Z35" i="70"/>
  <c r="AG46" i="68"/>
  <c r="AG60" i="62"/>
  <c r="AG62" i="62" s="1"/>
  <c r="AG34" i="65"/>
  <c r="AG41" i="65" s="1"/>
  <c r="AG43" i="65" s="1"/>
  <c r="AG45" i="65" s="1"/>
  <c r="AC47" i="69"/>
  <c r="AA11" i="70"/>
  <c r="AA35" i="70" l="1"/>
  <c r="AG64" i="62"/>
  <c r="X39" i="70"/>
  <c r="W39" i="70"/>
  <c r="X37" i="70"/>
  <c r="W37" i="70"/>
  <c r="X36" i="70"/>
  <c r="W36" i="70"/>
  <c r="X11" i="70"/>
  <c r="W11" i="70"/>
  <c r="W35" i="70" s="1"/>
  <c r="O51" i="69"/>
  <c r="N51" i="69"/>
  <c r="N50" i="69"/>
  <c r="O49" i="69"/>
  <c r="N49" i="69"/>
  <c r="O48" i="69"/>
  <c r="N48" i="69"/>
  <c r="O18" i="69"/>
  <c r="P18" i="69" s="1"/>
  <c r="N11" i="69"/>
  <c r="AD85" i="62"/>
  <c r="AC85" i="62"/>
  <c r="AD54" i="62"/>
  <c r="AC54" i="62"/>
  <c r="AC60" i="62" s="1"/>
  <c r="AC62" i="62" s="1"/>
  <c r="AC29" i="62"/>
  <c r="O85" i="62"/>
  <c r="N85" i="62"/>
  <c r="O79" i="62"/>
  <c r="N79" i="62"/>
  <c r="N29" i="62"/>
  <c r="O20" i="68"/>
  <c r="N20" i="68"/>
  <c r="N46" i="68"/>
  <c r="AD56" i="65"/>
  <c r="AD51" i="65"/>
  <c r="AD40" i="65"/>
  <c r="AC40" i="65"/>
  <c r="AD29" i="65"/>
  <c r="AD21" i="65"/>
  <c r="AC21" i="65"/>
  <c r="AD14" i="65"/>
  <c r="AC14" i="65"/>
  <c r="O56" i="65"/>
  <c r="O51" i="65"/>
  <c r="O40" i="65"/>
  <c r="N40" i="65"/>
  <c r="O29" i="65"/>
  <c r="N29" i="65"/>
  <c r="O21" i="65"/>
  <c r="N21" i="65"/>
  <c r="O14" i="65"/>
  <c r="N14" i="65"/>
  <c r="N47" i="69" l="1"/>
  <c r="O11" i="69"/>
  <c r="P11" i="69" s="1"/>
  <c r="AJ18" i="69"/>
  <c r="AC34" i="65"/>
  <c r="AC41" i="65" s="1"/>
  <c r="AC43" i="65" s="1"/>
  <c r="AC45" i="65" s="1"/>
  <c r="AD34" i="65"/>
  <c r="AD41" i="65" s="1"/>
  <c r="AD43" i="65" s="1"/>
  <c r="AD45" i="65" s="1"/>
  <c r="AD57" i="65"/>
  <c r="AD46" i="68"/>
  <c r="AD91" i="62"/>
  <c r="O46" i="68"/>
  <c r="AC46" i="68"/>
  <c r="O29" i="62"/>
  <c r="AD29" i="62"/>
  <c r="O57" i="65"/>
  <c r="X35" i="70"/>
  <c r="N34" i="65"/>
  <c r="N41" i="65" s="1"/>
  <c r="N43" i="65" s="1"/>
  <c r="N45" i="65" s="1"/>
  <c r="O34" i="65"/>
  <c r="O41" i="65" s="1"/>
  <c r="O43" i="65" s="1"/>
  <c r="O45" i="65" s="1"/>
  <c r="O91" i="62"/>
  <c r="AD60" i="62"/>
  <c r="AD62" i="62" s="1"/>
  <c r="O50" i="69"/>
  <c r="O35" i="71"/>
  <c r="O16" i="71"/>
  <c r="N40" i="70"/>
  <c r="O31" i="70"/>
  <c r="N31" i="70"/>
  <c r="O26" i="70"/>
  <c r="N26" i="70"/>
  <c r="AF26" i="70" s="1"/>
  <c r="O16" i="70"/>
  <c r="N16" i="70"/>
  <c r="O11" i="70"/>
  <c r="N11" i="70"/>
  <c r="R54" i="69"/>
  <c r="Q54" i="69"/>
  <c r="R52" i="69"/>
  <c r="Q52" i="69"/>
  <c r="R50" i="69"/>
  <c r="Q50" i="69"/>
  <c r="R41" i="69"/>
  <c r="Q41" i="69"/>
  <c r="R35" i="69"/>
  <c r="Q35" i="69"/>
  <c r="R23" i="69"/>
  <c r="Q23" i="69"/>
  <c r="R11" i="69"/>
  <c r="Q11" i="69"/>
  <c r="R85" i="62"/>
  <c r="Q85" i="62"/>
  <c r="R79" i="62"/>
  <c r="Q79" i="62"/>
  <c r="R54" i="62"/>
  <c r="Q54" i="62"/>
  <c r="R50" i="62"/>
  <c r="Q50" i="62"/>
  <c r="R39" i="62"/>
  <c r="Q39" i="62"/>
  <c r="R35" i="62"/>
  <c r="Q35" i="62"/>
  <c r="R20" i="62"/>
  <c r="Q20" i="62"/>
  <c r="R16" i="62"/>
  <c r="Q16" i="62"/>
  <c r="O47" i="69" l="1"/>
  <c r="AD64" i="62"/>
  <c r="O64" i="62"/>
  <c r="Q45" i="62"/>
  <c r="Q27" i="62"/>
  <c r="Q29" i="62" s="1"/>
  <c r="Q60" i="62"/>
  <c r="Q47" i="69"/>
  <c r="R27" i="62"/>
  <c r="R29" i="62" s="1"/>
  <c r="R60" i="62"/>
  <c r="R47" i="69"/>
  <c r="N35" i="70"/>
  <c r="O35" i="70"/>
  <c r="R45" i="62"/>
  <c r="R91" i="62"/>
  <c r="R20" i="68"/>
  <c r="Q20" i="68"/>
  <c r="R56" i="65"/>
  <c r="R51" i="65"/>
  <c r="R40" i="65"/>
  <c r="Q40" i="65"/>
  <c r="R29" i="65"/>
  <c r="Q29" i="65"/>
  <c r="R21" i="65"/>
  <c r="Q21" i="65"/>
  <c r="R14" i="65"/>
  <c r="Q14" i="65"/>
  <c r="R48" i="68" l="1"/>
  <c r="AM132" i="67"/>
  <c r="AN132" i="67" s="1"/>
  <c r="AP132" i="67"/>
  <c r="AL142" i="67"/>
  <c r="AO142" i="67"/>
  <c r="AL20" i="68"/>
  <c r="AO20" i="68"/>
  <c r="R47" i="68"/>
  <c r="Q46" i="68"/>
  <c r="R46" i="68"/>
  <c r="Q62" i="62"/>
  <c r="Q34" i="65"/>
  <c r="Q41" i="65" s="1"/>
  <c r="Q43" i="65" s="1"/>
  <c r="Q45" i="65" s="1"/>
  <c r="R57" i="65"/>
  <c r="R62" i="62"/>
  <c r="R64" i="62" s="1"/>
  <c r="R34" i="65"/>
  <c r="R41" i="65" s="1"/>
  <c r="R43" i="65" s="1"/>
  <c r="R45" i="65" s="1"/>
  <c r="R35" i="71"/>
  <c r="R16" i="71"/>
  <c r="R39" i="70"/>
  <c r="Q39" i="70"/>
  <c r="R31" i="70"/>
  <c r="Q31" i="70"/>
  <c r="R11" i="70"/>
  <c r="Q11" i="70"/>
  <c r="U54" i="69"/>
  <c r="T54" i="69"/>
  <c r="U51" i="69"/>
  <c r="T51" i="69"/>
  <c r="U41" i="69"/>
  <c r="T41" i="69"/>
  <c r="U35" i="69"/>
  <c r="T35" i="69"/>
  <c r="U11" i="69"/>
  <c r="T11" i="69"/>
  <c r="U85" i="62"/>
  <c r="T85" i="62"/>
  <c r="U79" i="62"/>
  <c r="T79" i="62"/>
  <c r="U54" i="62"/>
  <c r="T54" i="62"/>
  <c r="T60" i="62" s="1"/>
  <c r="U39" i="62"/>
  <c r="T39" i="62"/>
  <c r="U35" i="62"/>
  <c r="T35" i="62"/>
  <c r="U20" i="62"/>
  <c r="T20" i="62"/>
  <c r="U16" i="62"/>
  <c r="T16" i="62"/>
  <c r="U56" i="65"/>
  <c r="T56" i="65"/>
  <c r="T57" i="65" s="1"/>
  <c r="U51" i="65"/>
  <c r="U40" i="65"/>
  <c r="T40" i="65"/>
  <c r="U29" i="65"/>
  <c r="T29" i="65"/>
  <c r="U21" i="65"/>
  <c r="T21" i="65"/>
  <c r="U14" i="65"/>
  <c r="T14" i="65"/>
  <c r="V16" i="62" l="1"/>
  <c r="T34" i="65"/>
  <c r="U57" i="65"/>
  <c r="U46" i="68"/>
  <c r="T46" i="68"/>
  <c r="T27" i="62"/>
  <c r="T29" i="62" s="1"/>
  <c r="U60" i="62"/>
  <c r="U47" i="69"/>
  <c r="R35" i="70"/>
  <c r="U27" i="62"/>
  <c r="U29" i="62" s="1"/>
  <c r="T41" i="65"/>
  <c r="T43" i="65" s="1"/>
  <c r="T45" i="65" s="1"/>
  <c r="U34" i="65"/>
  <c r="U41" i="65" s="1"/>
  <c r="U43" i="65" s="1"/>
  <c r="U45" i="65" s="1"/>
  <c r="T47" i="69"/>
  <c r="T45" i="62"/>
  <c r="T62" i="62" s="1"/>
  <c r="U45" i="62"/>
  <c r="Q35" i="70"/>
  <c r="U91" i="62"/>
  <c r="X35" i="71"/>
  <c r="X16" i="71"/>
  <c r="X10" i="71"/>
  <c r="AA54" i="69"/>
  <c r="Z54" i="69"/>
  <c r="AA52" i="69"/>
  <c r="Z52" i="69"/>
  <c r="AA41" i="69"/>
  <c r="Z41" i="69"/>
  <c r="AA35" i="69"/>
  <c r="Z35" i="69"/>
  <c r="AA11" i="69"/>
  <c r="Z11" i="69"/>
  <c r="AA79" i="62"/>
  <c r="Z79" i="62"/>
  <c r="AA39" i="62"/>
  <c r="Z39" i="62"/>
  <c r="AA35" i="62"/>
  <c r="Z35" i="62"/>
  <c r="AA34" i="62"/>
  <c r="AA28" i="62"/>
  <c r="AA20" i="62"/>
  <c r="Z20" i="62"/>
  <c r="AA16" i="62"/>
  <c r="Z16" i="62"/>
  <c r="AA15" i="62"/>
  <c r="AA56" i="65"/>
  <c r="Z56" i="65"/>
  <c r="Z57" i="65" s="1"/>
  <c r="AA51" i="65"/>
  <c r="AA40" i="65"/>
  <c r="Z40" i="65"/>
  <c r="AA29" i="65"/>
  <c r="Z29" i="65"/>
  <c r="AA21" i="65"/>
  <c r="Z21" i="65"/>
  <c r="AA14" i="65"/>
  <c r="Z14" i="65"/>
  <c r="U62" i="62" l="1"/>
  <c r="AM122" i="67"/>
  <c r="AN122" i="67" s="1"/>
  <c r="AP122" i="67"/>
  <c r="AA44" i="68"/>
  <c r="AP128" i="67"/>
  <c r="AM128" i="67"/>
  <c r="AN128" i="67" s="1"/>
  <c r="Z46" i="68"/>
  <c r="AM15" i="62"/>
  <c r="AP15" i="62"/>
  <c r="AA46" i="68"/>
  <c r="AA38" i="68"/>
  <c r="U64" i="62"/>
  <c r="Z45" i="62"/>
  <c r="Z62" i="62" s="1"/>
  <c r="Z34" i="65"/>
  <c r="Z41" i="65" s="1"/>
  <c r="Z43" i="65" s="1"/>
  <c r="Z45" i="65" s="1"/>
  <c r="AA45" i="62"/>
  <c r="Z27" i="62"/>
  <c r="Z29" i="62" s="1"/>
  <c r="Z47" i="69"/>
  <c r="AA47" i="69"/>
  <c r="AA27" i="62"/>
  <c r="AA29" i="62" s="1"/>
  <c r="AA57" i="65"/>
  <c r="AA91" i="62"/>
  <c r="AA34" i="65"/>
  <c r="AA41" i="65" s="1"/>
  <c r="AA43" i="65" s="1"/>
  <c r="AA45" i="65" s="1"/>
  <c r="C35" i="71"/>
  <c r="C16" i="71"/>
  <c r="AD35" i="71"/>
  <c r="AD16" i="71"/>
  <c r="AA62" i="62" l="1"/>
  <c r="AA64" i="62" s="1"/>
  <c r="B39" i="70"/>
  <c r="C37" i="70"/>
  <c r="B37" i="70"/>
  <c r="C36" i="70"/>
  <c r="B36" i="70"/>
  <c r="C31" i="70"/>
  <c r="B31" i="70"/>
  <c r="C39" i="70"/>
  <c r="B11" i="70"/>
  <c r="C54" i="69"/>
  <c r="B54" i="69"/>
  <c r="C53" i="69"/>
  <c r="B53" i="69"/>
  <c r="D53" i="69" s="1"/>
  <c r="B51" i="69"/>
  <c r="C50" i="69"/>
  <c r="B50" i="69"/>
  <c r="B49" i="69"/>
  <c r="C48" i="69"/>
  <c r="B48" i="69"/>
  <c r="B41" i="69"/>
  <c r="B35" i="69"/>
  <c r="B23" i="69"/>
  <c r="C51" i="69"/>
  <c r="C49" i="69"/>
  <c r="C47" i="69"/>
  <c r="B11" i="69"/>
  <c r="C85" i="62"/>
  <c r="B85" i="62"/>
  <c r="C79" i="62"/>
  <c r="B79" i="62"/>
  <c r="C54" i="62"/>
  <c r="B54" i="62"/>
  <c r="C39" i="62"/>
  <c r="B39" i="62"/>
  <c r="C28" i="62"/>
  <c r="C20" i="62"/>
  <c r="B20" i="62"/>
  <c r="AM47" i="68"/>
  <c r="AM45" i="68"/>
  <c r="AM44" i="68"/>
  <c r="AM43" i="68"/>
  <c r="AM42" i="68"/>
  <c r="AM41" i="68"/>
  <c r="AM39" i="68"/>
  <c r="AM38" i="68"/>
  <c r="C56" i="65"/>
  <c r="B56" i="65"/>
  <c r="C51" i="65"/>
  <c r="C40" i="65"/>
  <c r="B40" i="65"/>
  <c r="B29" i="65"/>
  <c r="C23" i="65"/>
  <c r="B21" i="65"/>
  <c r="C19" i="65"/>
  <c r="B14" i="65"/>
  <c r="C11" i="65"/>
  <c r="B57" i="65" l="1"/>
  <c r="C21" i="65"/>
  <c r="B45" i="62"/>
  <c r="C14" i="65"/>
  <c r="C34" i="65" s="1"/>
  <c r="AM11" i="65"/>
  <c r="AP11" i="65"/>
  <c r="C60" i="62"/>
  <c r="C29" i="65"/>
  <c r="B60" i="62"/>
  <c r="B27" i="62"/>
  <c r="B62" i="62"/>
  <c r="C57" i="65"/>
  <c r="C91" i="62"/>
  <c r="B47" i="69"/>
  <c r="C45" i="62"/>
  <c r="C27" i="62"/>
  <c r="B34" i="65"/>
  <c r="B35" i="70"/>
  <c r="C11" i="70"/>
  <c r="AD39" i="70"/>
  <c r="AC39" i="70"/>
  <c r="AD37" i="70"/>
  <c r="AC37" i="70"/>
  <c r="AD36" i="70"/>
  <c r="AC36" i="70"/>
  <c r="AD16" i="70"/>
  <c r="AC16" i="70"/>
  <c r="AD11" i="70"/>
  <c r="AC11" i="70"/>
  <c r="AC35" i="70" s="1"/>
  <c r="AG54" i="69"/>
  <c r="AF54" i="69"/>
  <c r="AG52" i="69"/>
  <c r="AF52" i="69"/>
  <c r="AI52" i="69" s="1"/>
  <c r="AF51" i="69"/>
  <c r="AG50" i="69"/>
  <c r="AF50" i="69"/>
  <c r="AI50" i="69" s="1"/>
  <c r="AG49" i="69"/>
  <c r="AF49" i="69"/>
  <c r="AG48" i="69"/>
  <c r="AF48" i="69"/>
  <c r="AG43" i="69"/>
  <c r="AF41" i="69"/>
  <c r="AG35" i="69"/>
  <c r="AF35" i="69"/>
  <c r="AG23" i="69"/>
  <c r="AF23" i="69"/>
  <c r="AG11" i="69"/>
  <c r="AF11" i="69"/>
  <c r="AJ85" i="62"/>
  <c r="AI85" i="62"/>
  <c r="AJ79" i="62"/>
  <c r="AI79" i="62"/>
  <c r="AJ54" i="62"/>
  <c r="AI54" i="62"/>
  <c r="AJ50" i="62"/>
  <c r="AI50" i="62"/>
  <c r="AK50" i="62" s="1"/>
  <c r="AJ49" i="62"/>
  <c r="AJ39" i="62"/>
  <c r="AI39" i="62"/>
  <c r="AJ38" i="62"/>
  <c r="AI35" i="62"/>
  <c r="AJ34" i="62"/>
  <c r="AJ28" i="62"/>
  <c r="AJ20" i="62"/>
  <c r="AI20" i="62"/>
  <c r="AJ19" i="62"/>
  <c r="AI16" i="62"/>
  <c r="AJ56" i="65"/>
  <c r="AI56" i="65"/>
  <c r="AI57" i="65" s="1"/>
  <c r="AJ51" i="65"/>
  <c r="AJ44" i="65"/>
  <c r="AM44" i="65" s="1"/>
  <c r="AJ40" i="65"/>
  <c r="AI40" i="65"/>
  <c r="AJ29" i="65"/>
  <c r="AI29" i="65"/>
  <c r="AI21" i="65"/>
  <c r="AJ19" i="65"/>
  <c r="AJ21" i="65" s="1"/>
  <c r="AJ14" i="65"/>
  <c r="AI14" i="65"/>
  <c r="C62" i="62" l="1"/>
  <c r="AM49" i="62"/>
  <c r="AP49" i="62"/>
  <c r="AG41" i="69"/>
  <c r="AG47" i="69" s="1"/>
  <c r="AJ43" i="69"/>
  <c r="AL116" i="67"/>
  <c r="AO116" i="67"/>
  <c r="C29" i="62"/>
  <c r="C64" i="62" s="1"/>
  <c r="AP53" i="67"/>
  <c r="AM53" i="67"/>
  <c r="AN53" i="67" s="1"/>
  <c r="AP21" i="67"/>
  <c r="AM21" i="67"/>
  <c r="AN21" i="67" s="1"/>
  <c r="AP93" i="67"/>
  <c r="AM93" i="67"/>
  <c r="AN93" i="67" s="1"/>
  <c r="AP118" i="67"/>
  <c r="AM118" i="67"/>
  <c r="AN118" i="67" s="1"/>
  <c r="AL50" i="62"/>
  <c r="AO50" i="62"/>
  <c r="AJ16" i="62"/>
  <c r="AJ27" i="62" s="1"/>
  <c r="AJ29" i="62" s="1"/>
  <c r="AM19" i="62"/>
  <c r="AP19" i="62"/>
  <c r="AP117" i="67"/>
  <c r="AM117" i="67"/>
  <c r="AN117" i="67" s="1"/>
  <c r="AO130" i="67"/>
  <c r="AL130" i="67"/>
  <c r="C35" i="70"/>
  <c r="AM21" i="66"/>
  <c r="AP21" i="66"/>
  <c r="AO36" i="67"/>
  <c r="AL36" i="67"/>
  <c r="AN36" i="67" s="1"/>
  <c r="AO68" i="67"/>
  <c r="AL68" i="67"/>
  <c r="AM34" i="62"/>
  <c r="AP34" i="62"/>
  <c r="AM108" i="67"/>
  <c r="AN108" i="67" s="1"/>
  <c r="AP108" i="67"/>
  <c r="AP131" i="67"/>
  <c r="AM131" i="67"/>
  <c r="AN131" i="67" s="1"/>
  <c r="AL38" i="67"/>
  <c r="AN38" i="67" s="1"/>
  <c r="AO38" i="67"/>
  <c r="AL80" i="67"/>
  <c r="AO80" i="67"/>
  <c r="AP110" i="67"/>
  <c r="AM110" i="67"/>
  <c r="AN110" i="67" s="1"/>
  <c r="AJ35" i="62"/>
  <c r="AJ45" i="62" s="1"/>
  <c r="AM38" i="62"/>
  <c r="AP38" i="62"/>
  <c r="B41" i="65"/>
  <c r="B29" i="62"/>
  <c r="AP48" i="67"/>
  <c r="AM48" i="67"/>
  <c r="AN48" i="67" s="1"/>
  <c r="AM113" i="67"/>
  <c r="AP113" i="67"/>
  <c r="AL16" i="62"/>
  <c r="AO16" i="62"/>
  <c r="C41" i="65"/>
  <c r="AI27" i="62"/>
  <c r="AI29" i="62" s="1"/>
  <c r="AJ60" i="62"/>
  <c r="AI45" i="62"/>
  <c r="AF47" i="69"/>
  <c r="AD35" i="70"/>
  <c r="AI34" i="65"/>
  <c r="AI41" i="65" s="1"/>
  <c r="AI43" i="65" s="1"/>
  <c r="AI45" i="65" s="1"/>
  <c r="AI60" i="62"/>
  <c r="AJ91" i="62"/>
  <c r="AJ57" i="65"/>
  <c r="AG51" i="69"/>
  <c r="AJ34" i="65"/>
  <c r="AJ41" i="65" s="1"/>
  <c r="AJ43" i="65" s="1"/>
  <c r="AJ45" i="65" s="1"/>
  <c r="B43" i="65" l="1"/>
  <c r="AO44" i="67"/>
  <c r="AL44" i="67"/>
  <c r="C43" i="65"/>
  <c r="AJ62" i="62"/>
  <c r="AJ64" i="62" s="1"/>
  <c r="AI62" i="62"/>
  <c r="U35" i="71"/>
  <c r="U16" i="71"/>
  <c r="C45" i="65" l="1"/>
  <c r="B45" i="65"/>
  <c r="U39" i="70"/>
  <c r="T39" i="70"/>
  <c r="U37" i="70"/>
  <c r="T37" i="70"/>
  <c r="U36" i="70"/>
  <c r="T36" i="70"/>
  <c r="U16" i="70"/>
  <c r="T16" i="70"/>
  <c r="U11" i="70"/>
  <c r="T11" i="70"/>
  <c r="T35" i="70" s="1"/>
  <c r="AG40" i="70"/>
  <c r="L39" i="70"/>
  <c r="AG39" i="70" s="1"/>
  <c r="L37" i="70"/>
  <c r="AG37" i="70" s="1"/>
  <c r="L36" i="70"/>
  <c r="AG36" i="70" s="1"/>
  <c r="AF40" i="70"/>
  <c r="K39" i="70"/>
  <c r="K37" i="70"/>
  <c r="K36" i="70"/>
  <c r="AF39" i="70" l="1"/>
  <c r="AF36" i="70"/>
  <c r="AF37" i="70"/>
  <c r="U35" i="70"/>
  <c r="X54" i="69"/>
  <c r="W54" i="69"/>
  <c r="X53" i="69"/>
  <c r="W53" i="69"/>
  <c r="AI53" i="69" s="1"/>
  <c r="X51" i="69"/>
  <c r="W51" i="69"/>
  <c r="X49" i="69"/>
  <c r="W49" i="69"/>
  <c r="X48" i="69"/>
  <c r="W48" i="69"/>
  <c r="AI48" i="69" s="1"/>
  <c r="X41" i="69"/>
  <c r="W41" i="69"/>
  <c r="X35" i="69"/>
  <c r="W35" i="69"/>
  <c r="X23" i="69"/>
  <c r="W23" i="69"/>
  <c r="X11" i="69"/>
  <c r="W11" i="69"/>
  <c r="X85" i="62"/>
  <c r="W85" i="62"/>
  <c r="X79" i="62"/>
  <c r="W79" i="62"/>
  <c r="X54" i="62"/>
  <c r="W54" i="62"/>
  <c r="W60" i="62" s="1"/>
  <c r="X39" i="62"/>
  <c r="W39" i="62"/>
  <c r="X35" i="62"/>
  <c r="W35" i="62"/>
  <c r="X20" i="62"/>
  <c r="W20" i="62"/>
  <c r="W27" i="62" s="1"/>
  <c r="W29" i="62" s="1"/>
  <c r="X56" i="65"/>
  <c r="X51" i="65"/>
  <c r="X40" i="65"/>
  <c r="W40" i="65"/>
  <c r="X29" i="65"/>
  <c r="W29" i="65"/>
  <c r="X21" i="65"/>
  <c r="W21" i="65"/>
  <c r="X14" i="65"/>
  <c r="W14" i="65"/>
  <c r="AO44" i="66" l="1"/>
  <c r="AL44" i="66"/>
  <c r="AO56" i="66"/>
  <c r="AL56" i="66"/>
  <c r="AO20" i="67"/>
  <c r="AL20" i="67"/>
  <c r="AO70" i="66"/>
  <c r="AL70" i="66"/>
  <c r="AO82" i="66"/>
  <c r="AL82" i="66"/>
  <c r="AL104" i="67"/>
  <c r="AO104" i="67"/>
  <c r="W45" i="62"/>
  <c r="W62" i="62" s="1"/>
  <c r="X91" i="62"/>
  <c r="AO20" i="66"/>
  <c r="AL20" i="66"/>
  <c r="AO32" i="66"/>
  <c r="AL32" i="66"/>
  <c r="X34" i="65"/>
  <c r="X41" i="65" s="1"/>
  <c r="X43" i="65" s="1"/>
  <c r="X45" i="65" s="1"/>
  <c r="X27" i="62"/>
  <c r="X29" i="62" s="1"/>
  <c r="X45" i="62"/>
  <c r="W47" i="69"/>
  <c r="X60" i="62"/>
  <c r="X62" i="62" s="1"/>
  <c r="X47" i="69"/>
  <c r="W34" i="65"/>
  <c r="W41" i="65" s="1"/>
  <c r="W43" i="65" s="1"/>
  <c r="W45" i="65" s="1"/>
  <c r="X57" i="65"/>
  <c r="X64" i="62" l="1"/>
  <c r="L35" i="71"/>
  <c r="L16" i="71"/>
  <c r="L31" i="70"/>
  <c r="K31" i="70"/>
  <c r="AG26" i="70"/>
  <c r="L16" i="70"/>
  <c r="AG16" i="70" s="1"/>
  <c r="K16" i="70"/>
  <c r="AF16" i="70" s="1"/>
  <c r="L11" i="70"/>
  <c r="AG11" i="70" s="1"/>
  <c r="K11" i="70"/>
  <c r="AF11" i="70" s="1"/>
  <c r="L54" i="69"/>
  <c r="AJ54" i="69" s="1"/>
  <c r="K54" i="69"/>
  <c r="AI54" i="69" s="1"/>
  <c r="AJ53" i="69"/>
  <c r="AJ52" i="69"/>
  <c r="L51" i="69"/>
  <c r="AJ51" i="69" s="1"/>
  <c r="K51" i="69"/>
  <c r="AI51" i="69" s="1"/>
  <c r="AJ50" i="69"/>
  <c r="L49" i="69"/>
  <c r="AJ49" i="69" s="1"/>
  <c r="K49" i="69"/>
  <c r="AI49" i="69" s="1"/>
  <c r="AJ48" i="69"/>
  <c r="L41" i="69"/>
  <c r="AJ41" i="69" s="1"/>
  <c r="K41" i="69"/>
  <c r="L35" i="69"/>
  <c r="AJ35" i="69" s="1"/>
  <c r="K35" i="69"/>
  <c r="AI35" i="69" s="1"/>
  <c r="L31" i="69"/>
  <c r="AJ31" i="69" s="1"/>
  <c r="L29" i="69"/>
  <c r="AJ29" i="69" s="1"/>
  <c r="L27" i="69"/>
  <c r="AJ27" i="69" s="1"/>
  <c r="K23" i="69"/>
  <c r="AI23" i="69" s="1"/>
  <c r="L11" i="69"/>
  <c r="AJ11" i="69" s="1"/>
  <c r="K11" i="69"/>
  <c r="AI11" i="69" s="1"/>
  <c r="L85" i="62"/>
  <c r="K85" i="62"/>
  <c r="L79" i="62"/>
  <c r="K79" i="62"/>
  <c r="L54" i="62"/>
  <c r="K54" i="62"/>
  <c r="L39" i="62"/>
  <c r="K39" i="62"/>
  <c r="L35" i="62"/>
  <c r="K35" i="62"/>
  <c r="L28" i="62"/>
  <c r="L20" i="62"/>
  <c r="K20" i="62"/>
  <c r="L56" i="65"/>
  <c r="AM56" i="65" s="1"/>
  <c r="K56" i="65"/>
  <c r="L51" i="65"/>
  <c r="AM51" i="65" s="1"/>
  <c r="L40" i="65"/>
  <c r="AM40" i="65" s="1"/>
  <c r="K40" i="65"/>
  <c r="AL40" i="65" s="1"/>
  <c r="K29" i="65"/>
  <c r="AL29" i="65" s="1"/>
  <c r="L23" i="65"/>
  <c r="K21" i="65"/>
  <c r="L19" i="65"/>
  <c r="L14" i="65"/>
  <c r="K14" i="65"/>
  <c r="AI41" i="69" l="1"/>
  <c r="M41" i="69"/>
  <c r="L29" i="65"/>
  <c r="AM29" i="65" s="1"/>
  <c r="AM23" i="65"/>
  <c r="AM32" i="68"/>
  <c r="AP32" i="68"/>
  <c r="AO92" i="67"/>
  <c r="AL92" i="67"/>
  <c r="AP16" i="62"/>
  <c r="AM16" i="62"/>
  <c r="AM50" i="62"/>
  <c r="AP50" i="62"/>
  <c r="AF31" i="70"/>
  <c r="AP56" i="66"/>
  <c r="AM56" i="66"/>
  <c r="AP92" i="67"/>
  <c r="AM92" i="67"/>
  <c r="K27" i="62"/>
  <c r="AO20" i="62"/>
  <c r="AL20" i="62"/>
  <c r="K60" i="62"/>
  <c r="AL54" i="62"/>
  <c r="AO54" i="62"/>
  <c r="AG31" i="70"/>
  <c r="AM20" i="67"/>
  <c r="AN20" i="67" s="1"/>
  <c r="AP20" i="67"/>
  <c r="AP70" i="66"/>
  <c r="AM70" i="66"/>
  <c r="AM44" i="67"/>
  <c r="AN44" i="67" s="1"/>
  <c r="AP44" i="67"/>
  <c r="AM104" i="67"/>
  <c r="AN104" i="67" s="1"/>
  <c r="AP104" i="67"/>
  <c r="AM20" i="62"/>
  <c r="AP20" i="62"/>
  <c r="AP54" i="62"/>
  <c r="AM54" i="62"/>
  <c r="AL14" i="65"/>
  <c r="AO14" i="65"/>
  <c r="AM50" i="67"/>
  <c r="AN50" i="67" s="1"/>
  <c r="AP50" i="67"/>
  <c r="AP116" i="67"/>
  <c r="AM116" i="67"/>
  <c r="AN116" i="67" s="1"/>
  <c r="AM28" i="62"/>
  <c r="AP28" i="62"/>
  <c r="AL79" i="62"/>
  <c r="AO79" i="62"/>
  <c r="AP106" i="66"/>
  <c r="AM106" i="66"/>
  <c r="AP39" i="62"/>
  <c r="AM39" i="62"/>
  <c r="AM14" i="65"/>
  <c r="AP14" i="65"/>
  <c r="K57" i="65"/>
  <c r="AL57" i="65" s="1"/>
  <c r="AL56" i="65"/>
  <c r="AO94" i="66"/>
  <c r="AL94" i="66"/>
  <c r="AL56" i="67"/>
  <c r="AO56" i="67"/>
  <c r="AM130" i="67"/>
  <c r="AN130" i="67" s="1"/>
  <c r="AP130" i="67"/>
  <c r="AL35" i="62"/>
  <c r="AO35" i="62"/>
  <c r="AM79" i="62"/>
  <c r="AP79" i="62"/>
  <c r="AP44" i="66"/>
  <c r="AM44" i="66"/>
  <c r="AP82" i="66"/>
  <c r="AM82" i="66"/>
  <c r="L21" i="65"/>
  <c r="AM19" i="65"/>
  <c r="AP19" i="65"/>
  <c r="AP94" i="66"/>
  <c r="AM94" i="66"/>
  <c r="L48" i="68"/>
  <c r="AM48" i="68" s="1"/>
  <c r="AM58" i="67"/>
  <c r="AN58" i="67" s="1"/>
  <c r="AP58" i="67"/>
  <c r="AP142" i="67"/>
  <c r="AM142" i="67"/>
  <c r="AN142" i="67" s="1"/>
  <c r="AM35" i="62"/>
  <c r="AP35" i="62"/>
  <c r="AO85" i="62"/>
  <c r="AL85" i="62"/>
  <c r="AM32" i="66"/>
  <c r="AP32" i="66"/>
  <c r="AM80" i="67"/>
  <c r="AN80" i="67" s="1"/>
  <c r="AP80" i="67"/>
  <c r="AL21" i="65"/>
  <c r="AO21" i="65"/>
  <c r="AP20" i="66"/>
  <c r="AM20" i="66"/>
  <c r="AL106" i="66"/>
  <c r="AO106" i="66"/>
  <c r="AP68" i="67"/>
  <c r="AM68" i="67"/>
  <c r="AN68" i="67" s="1"/>
  <c r="AM20" i="68"/>
  <c r="AP20" i="68"/>
  <c r="AL39" i="62"/>
  <c r="AO39" i="62"/>
  <c r="AM85" i="62"/>
  <c r="AP85" i="62"/>
  <c r="K46" i="68"/>
  <c r="AL46" i="68" s="1"/>
  <c r="L40" i="68"/>
  <c r="AM40" i="68" s="1"/>
  <c r="L35" i="70"/>
  <c r="AG35" i="70" s="1"/>
  <c r="K34" i="65"/>
  <c r="K35" i="70"/>
  <c r="AF35" i="70" s="1"/>
  <c r="L23" i="69"/>
  <c r="AJ23" i="69" s="1"/>
  <c r="L47" i="69"/>
  <c r="AJ47" i="69" s="1"/>
  <c r="K47" i="69"/>
  <c r="AI47" i="69" s="1"/>
  <c r="L34" i="65"/>
  <c r="L57" i="65"/>
  <c r="AM57" i="65" s="1"/>
  <c r="L27" i="62"/>
  <c r="K45" i="62"/>
  <c r="L60" i="62"/>
  <c r="L45" i="62"/>
  <c r="L91" i="62"/>
  <c r="G76" i="62"/>
  <c r="AN92" i="67" l="1"/>
  <c r="AP21" i="65"/>
  <c r="AM21" i="65"/>
  <c r="AP45" i="62"/>
  <c r="AM45" i="62"/>
  <c r="AO60" i="62"/>
  <c r="AL60" i="62"/>
  <c r="AL91" i="62"/>
  <c r="AO91" i="62"/>
  <c r="L41" i="65"/>
  <c r="AM34" i="65"/>
  <c r="AP60" i="62"/>
  <c r="AM60" i="62"/>
  <c r="L46" i="68"/>
  <c r="AM46" i="68" s="1"/>
  <c r="AP56" i="67"/>
  <c r="AM56" i="67"/>
  <c r="AN56" i="67" s="1"/>
  <c r="K62" i="62"/>
  <c r="AO45" i="62"/>
  <c r="AL45" i="62"/>
  <c r="K29" i="62"/>
  <c r="AL27" i="62"/>
  <c r="AO27" i="62"/>
  <c r="AM91" i="62"/>
  <c r="AP91" i="62"/>
  <c r="K41" i="65"/>
  <c r="AL34" i="65"/>
  <c r="L29" i="62"/>
  <c r="AM27" i="62"/>
  <c r="AP27" i="62"/>
  <c r="L62" i="62"/>
  <c r="AO29" i="62" l="1"/>
  <c r="AL29" i="62"/>
  <c r="AL62" i="62"/>
  <c r="AO62" i="62"/>
  <c r="L64" i="62"/>
  <c r="AP62" i="62"/>
  <c r="AM62" i="62"/>
  <c r="AP29" i="62"/>
  <c r="AM29" i="62"/>
  <c r="K43" i="65"/>
  <c r="AL41" i="65"/>
  <c r="L43" i="65"/>
  <c r="AM41" i="65"/>
  <c r="K32" i="13"/>
  <c r="K31" i="13"/>
  <c r="K33" i="20"/>
  <c r="J33" i="20"/>
  <c r="L33" i="20" s="1"/>
  <c r="K32" i="20"/>
  <c r="K33" i="23"/>
  <c r="J33" i="23"/>
  <c r="L33" i="23" s="1"/>
  <c r="K32" i="23"/>
  <c r="J32" i="23"/>
  <c r="L32" i="23" s="1"/>
  <c r="K31" i="23"/>
  <c r="K33" i="29"/>
  <c r="J33" i="29"/>
  <c r="K32" i="29"/>
  <c r="J32" i="29"/>
  <c r="K31" i="29"/>
  <c r="J33" i="35"/>
  <c r="K33" i="33"/>
  <c r="J33" i="33"/>
  <c r="L33" i="33" s="1"/>
  <c r="K32" i="33"/>
  <c r="J32" i="33"/>
  <c r="L32" i="33" s="1"/>
  <c r="K31" i="33"/>
  <c r="J33" i="37"/>
  <c r="K33" i="18"/>
  <c r="J33" i="18"/>
  <c r="L33" i="18" s="1"/>
  <c r="K32" i="18"/>
  <c r="J32" i="18"/>
  <c r="L32" i="18" s="1"/>
  <c r="K31" i="18"/>
  <c r="J30" i="23"/>
  <c r="J30" i="29"/>
  <c r="K23" i="13"/>
  <c r="K23" i="20"/>
  <c r="K23" i="35"/>
  <c r="K23" i="33"/>
  <c r="K23" i="37"/>
  <c r="K25" i="13"/>
  <c r="J25" i="13"/>
  <c r="K24" i="13"/>
  <c r="K26" i="20"/>
  <c r="J26" i="20"/>
  <c r="L26" i="20" s="1"/>
  <c r="K25" i="20"/>
  <c r="J25" i="20"/>
  <c r="K26" i="23"/>
  <c r="J26" i="23"/>
  <c r="L26" i="23" s="1"/>
  <c r="K25" i="23"/>
  <c r="J25" i="23"/>
  <c r="L25" i="23" s="1"/>
  <c r="K24" i="24"/>
  <c r="K26" i="29"/>
  <c r="J26" i="29"/>
  <c r="L26" i="29" s="1"/>
  <c r="K25" i="29"/>
  <c r="J25" i="29"/>
  <c r="K26" i="35"/>
  <c r="J26" i="35"/>
  <c r="K26" i="33"/>
  <c r="J26" i="33"/>
  <c r="L26" i="33" s="1"/>
  <c r="K25" i="33"/>
  <c r="J25" i="33"/>
  <c r="L25" i="33" s="1"/>
  <c r="K26" i="37"/>
  <c r="J26" i="37"/>
  <c r="L26" i="37" s="1"/>
  <c r="K25" i="37"/>
  <c r="J25" i="37"/>
  <c r="L25" i="37" s="1"/>
  <c r="K26" i="18"/>
  <c r="J26" i="18"/>
  <c r="L26" i="18" s="1"/>
  <c r="K25" i="18"/>
  <c r="J25" i="18"/>
  <c r="L25" i="18" s="1"/>
  <c r="J23" i="20"/>
  <c r="L23" i="20" s="1"/>
  <c r="J23" i="23"/>
  <c r="J23" i="29"/>
  <c r="J23" i="37"/>
  <c r="J23" i="18"/>
  <c r="L33" i="29" l="1"/>
  <c r="AM64" i="62"/>
  <c r="AP64" i="62"/>
  <c r="L45" i="65"/>
  <c r="AM45" i="65" s="1"/>
  <c r="AM43" i="65"/>
  <c r="K45" i="65"/>
  <c r="AL45" i="65" s="1"/>
  <c r="AL43" i="65"/>
  <c r="AL64" i="62"/>
  <c r="AO64" i="62"/>
  <c r="J30" i="18"/>
  <c r="J23" i="35"/>
  <c r="J23" i="13"/>
  <c r="K27" i="29"/>
  <c r="K30" i="20"/>
  <c r="K30" i="13"/>
  <c r="K24" i="33"/>
  <c r="K24" i="29"/>
  <c r="J31" i="37"/>
  <c r="J31" i="24"/>
  <c r="J31" i="35"/>
  <c r="J31" i="13"/>
  <c r="J24" i="37"/>
  <c r="J24" i="33"/>
  <c r="J24" i="29"/>
  <c r="J24" i="24"/>
  <c r="J24" i="13"/>
  <c r="K23" i="18"/>
  <c r="L23" i="18" s="1"/>
  <c r="K23" i="29"/>
  <c r="K23" i="23"/>
  <c r="J31" i="18"/>
  <c r="L31" i="18" s="1"/>
  <c r="J31" i="33"/>
  <c r="J31" i="29"/>
  <c r="J31" i="23"/>
  <c r="L31" i="23" s="1"/>
  <c r="K24" i="37"/>
  <c r="K30" i="37"/>
  <c r="J30" i="13"/>
  <c r="J23" i="33"/>
  <c r="J27" i="29"/>
  <c r="L27" i="29" s="1"/>
  <c r="J30" i="33"/>
  <c r="J30" i="35"/>
  <c r="J32" i="20"/>
  <c r="J32" i="13"/>
  <c r="J30" i="37"/>
  <c r="J30" i="20"/>
  <c r="L30" i="20" s="1"/>
  <c r="J32" i="37"/>
  <c r="L32" i="37" s="1"/>
  <c r="K30" i="18"/>
  <c r="K30" i="33"/>
  <c r="K30" i="29"/>
  <c r="K30" i="23"/>
  <c r="K32" i="37"/>
  <c r="K30" i="35"/>
  <c r="K31" i="37"/>
  <c r="K33" i="37"/>
  <c r="L33" i="37" s="1"/>
  <c r="K31" i="35"/>
  <c r="K33" i="35"/>
  <c r="K31" i="24"/>
  <c r="L30" i="18" l="1"/>
  <c r="B23" i="4"/>
  <c r="C106" i="4"/>
  <c r="B106" i="4"/>
  <c r="C105" i="4"/>
  <c r="B105" i="4"/>
  <c r="C103" i="4"/>
  <c r="B103" i="4"/>
  <c r="C102" i="4"/>
  <c r="B102" i="4"/>
  <c r="C95" i="4"/>
  <c r="B95" i="4"/>
  <c r="C94" i="4"/>
  <c r="B94" i="4"/>
  <c r="C92" i="4"/>
  <c r="B92" i="4"/>
  <c r="C91" i="4"/>
  <c r="B91" i="4"/>
  <c r="C85" i="4"/>
  <c r="B85" i="4"/>
  <c r="C84" i="4"/>
  <c r="B84" i="4"/>
  <c r="C82" i="4"/>
  <c r="B82" i="4"/>
  <c r="C81" i="4"/>
  <c r="B81" i="4"/>
  <c r="C74" i="4"/>
  <c r="B74" i="4"/>
  <c r="C73" i="4"/>
  <c r="B73" i="4"/>
  <c r="C71" i="4"/>
  <c r="B71" i="4"/>
  <c r="C70" i="4"/>
  <c r="B70" i="4"/>
  <c r="F39" i="4"/>
  <c r="E39" i="4"/>
  <c r="F38" i="4"/>
  <c r="E38" i="4"/>
  <c r="F37" i="4"/>
  <c r="E37" i="4"/>
  <c r="F36" i="4"/>
  <c r="E36" i="4"/>
  <c r="F33" i="4"/>
  <c r="E33" i="4"/>
  <c r="F32" i="4"/>
  <c r="E32" i="4"/>
  <c r="F31" i="4"/>
  <c r="E31" i="4"/>
  <c r="F30" i="4"/>
  <c r="E30" i="4"/>
  <c r="F27" i="4"/>
  <c r="E27" i="4"/>
  <c r="F26" i="4"/>
  <c r="E26" i="4"/>
  <c r="F25" i="4"/>
  <c r="E25" i="4"/>
  <c r="F24" i="4"/>
  <c r="E24" i="4"/>
  <c r="F23" i="4"/>
  <c r="E23" i="4"/>
  <c r="C33" i="4"/>
  <c r="B33" i="4"/>
  <c r="C32" i="4"/>
  <c r="B32" i="4"/>
  <c r="C31" i="4"/>
  <c r="B31" i="4"/>
  <c r="C30" i="4"/>
  <c r="B30" i="4"/>
  <c r="C27" i="4"/>
  <c r="B27" i="4"/>
  <c r="C26" i="4"/>
  <c r="B26" i="4"/>
  <c r="C25" i="4"/>
  <c r="B25" i="4"/>
  <c r="C24" i="4"/>
  <c r="B24" i="4"/>
  <c r="C23" i="4"/>
  <c r="F9" i="4"/>
  <c r="E9" i="4"/>
  <c r="F8" i="4"/>
  <c r="E8" i="4"/>
  <c r="E85" i="20" l="1"/>
  <c r="E31" i="13"/>
  <c r="E31" i="37"/>
  <c r="E31" i="33"/>
  <c r="E31" i="24"/>
  <c r="E31" i="29"/>
  <c r="E23" i="23"/>
  <c r="E23" i="13"/>
  <c r="E23" i="20"/>
  <c r="E23" i="37"/>
  <c r="E23" i="33"/>
  <c r="E23" i="29"/>
  <c r="E25" i="29"/>
  <c r="E25" i="20"/>
  <c r="E25" i="13"/>
  <c r="E27" i="29"/>
  <c r="E30" i="13"/>
  <c r="E30" i="20"/>
  <c r="E30" i="37"/>
  <c r="E30" i="23"/>
  <c r="E30" i="29"/>
  <c r="E30" i="33"/>
  <c r="E32" i="20"/>
  <c r="E32" i="13"/>
  <c r="E32" i="29"/>
  <c r="E24" i="24"/>
  <c r="E24" i="13"/>
  <c r="E24" i="29"/>
  <c r="E24" i="33"/>
  <c r="E24" i="37"/>
  <c r="K7" i="72"/>
  <c r="K9" i="72"/>
  <c r="L7" i="72"/>
  <c r="D47" i="72"/>
  <c r="D48" i="72"/>
  <c r="D7" i="72"/>
  <c r="D9" i="72"/>
  <c r="AE12" i="71"/>
  <c r="AB12" i="71"/>
  <c r="Y12" i="71"/>
  <c r="V12" i="71"/>
  <c r="S12" i="71"/>
  <c r="P12" i="71"/>
  <c r="G12" i="71"/>
  <c r="AE11" i="71"/>
  <c r="AB11" i="71"/>
  <c r="Y11" i="71"/>
  <c r="V11" i="71"/>
  <c r="P11" i="71"/>
  <c r="M11" i="71"/>
  <c r="G11" i="71"/>
  <c r="D11" i="71"/>
  <c r="S10" i="71"/>
  <c r="AH42" i="70"/>
  <c r="AH41" i="70"/>
  <c r="P40" i="70"/>
  <c r="AE39" i="70"/>
  <c r="AB39" i="70"/>
  <c r="Y39" i="70"/>
  <c r="V39" i="70"/>
  <c r="S39" i="70"/>
  <c r="M39" i="70"/>
  <c r="J39" i="70"/>
  <c r="G39" i="70"/>
  <c r="D39" i="70"/>
  <c r="AH38" i="70"/>
  <c r="AE37" i="70"/>
  <c r="AB37" i="70"/>
  <c r="Y37" i="70"/>
  <c r="V37" i="70"/>
  <c r="M37" i="70"/>
  <c r="J37" i="70"/>
  <c r="G37" i="70"/>
  <c r="D37" i="70"/>
  <c r="AE36" i="70"/>
  <c r="AB36" i="70"/>
  <c r="Y36" i="70"/>
  <c r="V36" i="70"/>
  <c r="M36" i="70"/>
  <c r="G36" i="70"/>
  <c r="P34" i="70"/>
  <c r="AB33" i="70"/>
  <c r="S33" i="70"/>
  <c r="M33" i="70"/>
  <c r="G33" i="70"/>
  <c r="D33" i="70"/>
  <c r="AH32" i="70"/>
  <c r="M31" i="70"/>
  <c r="P30" i="70"/>
  <c r="AH29" i="70"/>
  <c r="AH28" i="70"/>
  <c r="AH27" i="70"/>
  <c r="AH25" i="70"/>
  <c r="AH24" i="70"/>
  <c r="AH23" i="70"/>
  <c r="AH22" i="70"/>
  <c r="AH21" i="70"/>
  <c r="P20" i="70"/>
  <c r="AE19" i="70"/>
  <c r="V19" i="70"/>
  <c r="M19" i="70"/>
  <c r="AE18" i="70"/>
  <c r="V18" i="70"/>
  <c r="M18" i="70"/>
  <c r="AE17" i="70"/>
  <c r="V17" i="70"/>
  <c r="M17" i="70"/>
  <c r="AE16" i="70"/>
  <c r="P15" i="70"/>
  <c r="AE14" i="70"/>
  <c r="AB14" i="70"/>
  <c r="Y14" i="70"/>
  <c r="V14" i="70"/>
  <c r="S14" i="70"/>
  <c r="M14" i="70"/>
  <c r="J14" i="70"/>
  <c r="G14" i="70"/>
  <c r="D14" i="70"/>
  <c r="AE13" i="70"/>
  <c r="AB13" i="70"/>
  <c r="Y13" i="70"/>
  <c r="V13" i="70"/>
  <c r="M13" i="70"/>
  <c r="J13" i="70"/>
  <c r="G13" i="70"/>
  <c r="D13" i="70"/>
  <c r="AE12" i="70"/>
  <c r="AB12" i="70"/>
  <c r="Y12" i="70"/>
  <c r="V12" i="70"/>
  <c r="M12" i="70"/>
  <c r="G12" i="70"/>
  <c r="D12" i="70"/>
  <c r="M11" i="70"/>
  <c r="P51" i="69"/>
  <c r="AH45" i="69"/>
  <c r="J45" i="69"/>
  <c r="G45" i="69"/>
  <c r="AH44" i="69"/>
  <c r="AB44" i="69"/>
  <c r="S44" i="69"/>
  <c r="AH43" i="69"/>
  <c r="AE43" i="69"/>
  <c r="Y43" i="69"/>
  <c r="V43" i="69"/>
  <c r="G43" i="69"/>
  <c r="D43" i="69"/>
  <c r="Y42" i="69"/>
  <c r="G42" i="69"/>
  <c r="AB41" i="69"/>
  <c r="D41" i="69"/>
  <c r="AH40" i="69"/>
  <c r="AE40" i="69"/>
  <c r="AB40" i="69"/>
  <c r="Y40" i="69"/>
  <c r="V40" i="69"/>
  <c r="S40" i="69"/>
  <c r="M40" i="69"/>
  <c r="G40" i="69"/>
  <c r="D40" i="69"/>
  <c r="AH39" i="69"/>
  <c r="AB39" i="69"/>
  <c r="S39" i="69"/>
  <c r="AH38" i="69"/>
  <c r="AE38" i="69"/>
  <c r="Y38" i="69"/>
  <c r="V38" i="69"/>
  <c r="M38" i="69"/>
  <c r="J38" i="69"/>
  <c r="G38" i="69"/>
  <c r="D38" i="69"/>
  <c r="AH37" i="69"/>
  <c r="AE37" i="69"/>
  <c r="Y37" i="69"/>
  <c r="J37" i="69"/>
  <c r="G37" i="69"/>
  <c r="AH36" i="69"/>
  <c r="AE36" i="69"/>
  <c r="Y36" i="69"/>
  <c r="G36" i="69"/>
  <c r="Y34" i="69"/>
  <c r="AH33" i="69"/>
  <c r="S33" i="69"/>
  <c r="G33" i="69"/>
  <c r="AH32" i="69"/>
  <c r="AE32" i="69"/>
  <c r="Y32" i="69"/>
  <c r="M32" i="69"/>
  <c r="G32" i="69"/>
  <c r="AH31" i="69"/>
  <c r="AE31" i="69"/>
  <c r="Y31" i="69"/>
  <c r="M31" i="69"/>
  <c r="J31" i="69"/>
  <c r="G31" i="69"/>
  <c r="AH30" i="69"/>
  <c r="AE30" i="69"/>
  <c r="S30" i="69"/>
  <c r="G30" i="69"/>
  <c r="AE29" i="69"/>
  <c r="Y29" i="69"/>
  <c r="M29" i="69"/>
  <c r="J29" i="69"/>
  <c r="G29" i="69"/>
  <c r="AH28" i="69"/>
  <c r="AE28" i="69"/>
  <c r="Y28" i="69"/>
  <c r="G28" i="69"/>
  <c r="AH27" i="69"/>
  <c r="AE27" i="69"/>
  <c r="Y27" i="69"/>
  <c r="M27" i="69"/>
  <c r="J27" i="69"/>
  <c r="G27" i="69"/>
  <c r="AE26" i="69"/>
  <c r="Y26" i="69"/>
  <c r="G26" i="69"/>
  <c r="AH25" i="69"/>
  <c r="AE25" i="69"/>
  <c r="Y25" i="69"/>
  <c r="G25" i="69"/>
  <c r="AH24" i="69"/>
  <c r="AE24" i="69"/>
  <c r="Y24" i="69"/>
  <c r="G24" i="69"/>
  <c r="D24" i="69"/>
  <c r="J23" i="69"/>
  <c r="Y22" i="69"/>
  <c r="AH21" i="69"/>
  <c r="AB21" i="69"/>
  <c r="S21" i="69"/>
  <c r="G21" i="69"/>
  <c r="AH20" i="69"/>
  <c r="AE20" i="69"/>
  <c r="Y20" i="69"/>
  <c r="V20" i="69"/>
  <c r="M20" i="69"/>
  <c r="G20" i="69"/>
  <c r="AH19" i="69"/>
  <c r="AE19" i="69"/>
  <c r="Y19" i="69"/>
  <c r="V19" i="69"/>
  <c r="M19" i="69"/>
  <c r="J19" i="69"/>
  <c r="G19" i="69"/>
  <c r="AH18" i="69"/>
  <c r="AH50" i="69" s="1"/>
  <c r="AE18" i="69"/>
  <c r="S18" i="69"/>
  <c r="G18" i="69"/>
  <c r="AE17" i="69"/>
  <c r="Y17" i="69"/>
  <c r="M17" i="69"/>
  <c r="J17" i="69"/>
  <c r="G17" i="69"/>
  <c r="AH16" i="69"/>
  <c r="AE16" i="69"/>
  <c r="Y16" i="69"/>
  <c r="G16" i="69"/>
  <c r="AH15" i="69"/>
  <c r="AE15" i="69"/>
  <c r="Y15" i="69"/>
  <c r="M15" i="69"/>
  <c r="J15" i="69"/>
  <c r="G15" i="69"/>
  <c r="AE14" i="69"/>
  <c r="Y14" i="69"/>
  <c r="G14" i="69"/>
  <c r="AH13" i="69"/>
  <c r="AE13" i="69"/>
  <c r="Y13" i="69"/>
  <c r="G13" i="69"/>
  <c r="AH12" i="69"/>
  <c r="AE12" i="69"/>
  <c r="Y12" i="69"/>
  <c r="G12" i="69"/>
  <c r="D12" i="69"/>
  <c r="P47" i="68"/>
  <c r="J47" i="68"/>
  <c r="D47" i="68"/>
  <c r="AE45" i="68"/>
  <c r="AB45" i="68"/>
  <c r="S45" i="68"/>
  <c r="P45" i="68"/>
  <c r="M45" i="68"/>
  <c r="G45" i="68"/>
  <c r="D45" i="68"/>
  <c r="AK44" i="68"/>
  <c r="AH44" i="68"/>
  <c r="AE44" i="68"/>
  <c r="V44" i="68"/>
  <c r="P44" i="68"/>
  <c r="M44" i="68"/>
  <c r="J44" i="68"/>
  <c r="G44" i="68"/>
  <c r="D44" i="68"/>
  <c r="AE43" i="68"/>
  <c r="AE42" i="68"/>
  <c r="P42" i="68"/>
  <c r="M42" i="68"/>
  <c r="J42" i="68"/>
  <c r="AH41" i="68"/>
  <c r="AE41" i="68"/>
  <c r="AB41" i="68"/>
  <c r="S41" i="68"/>
  <c r="P41" i="68"/>
  <c r="M41" i="68"/>
  <c r="J41" i="68"/>
  <c r="D41" i="68"/>
  <c r="AK39" i="68"/>
  <c r="AE39" i="68"/>
  <c r="P39" i="68"/>
  <c r="M39" i="68"/>
  <c r="D39" i="68"/>
  <c r="AE38" i="68"/>
  <c r="AK34" i="68"/>
  <c r="AH34" i="68"/>
  <c r="Y34" i="68"/>
  <c r="J34" i="68"/>
  <c r="G34" i="68"/>
  <c r="D34" i="68"/>
  <c r="AQ33" i="68"/>
  <c r="AN33" i="68"/>
  <c r="AH32" i="68"/>
  <c r="AQ30" i="68"/>
  <c r="AN30" i="68"/>
  <c r="AK29" i="68"/>
  <c r="AH29" i="68"/>
  <c r="Y29" i="68"/>
  <c r="J29" i="68"/>
  <c r="G29" i="68"/>
  <c r="D29" i="68"/>
  <c r="AQ28" i="68"/>
  <c r="AN28" i="68"/>
  <c r="AQ27" i="68"/>
  <c r="AN27" i="68"/>
  <c r="AK26" i="68"/>
  <c r="AH26" i="68"/>
  <c r="Y26" i="68"/>
  <c r="J26" i="68"/>
  <c r="G26" i="68"/>
  <c r="D26" i="68"/>
  <c r="AQ25" i="68"/>
  <c r="AN25" i="68"/>
  <c r="AK24" i="68"/>
  <c r="AH24" i="68"/>
  <c r="Y24" i="68"/>
  <c r="J24" i="68"/>
  <c r="G24" i="68"/>
  <c r="AK22" i="68"/>
  <c r="AH22" i="68"/>
  <c r="S22" i="68"/>
  <c r="P22" i="68"/>
  <c r="J22" i="68"/>
  <c r="G22" i="68"/>
  <c r="D22" i="68"/>
  <c r="AH21" i="68"/>
  <c r="G21" i="68"/>
  <c r="AQ18" i="68"/>
  <c r="AN18" i="68"/>
  <c r="AK17" i="68"/>
  <c r="AH17" i="68"/>
  <c r="S17" i="68"/>
  <c r="P17" i="68"/>
  <c r="J17" i="68"/>
  <c r="G17" i="68"/>
  <c r="D17" i="68"/>
  <c r="AQ16" i="68"/>
  <c r="AN16" i="68"/>
  <c r="AQ15" i="68"/>
  <c r="AN15" i="68"/>
  <c r="AK14" i="68"/>
  <c r="AH14" i="68"/>
  <c r="S14" i="68"/>
  <c r="P14" i="68"/>
  <c r="J14" i="68"/>
  <c r="G14" i="68"/>
  <c r="D14" i="68"/>
  <c r="AQ13" i="68"/>
  <c r="AN13" i="68"/>
  <c r="AK12" i="68"/>
  <c r="AH12" i="68"/>
  <c r="J12" i="68"/>
  <c r="G12" i="68"/>
  <c r="S144" i="67"/>
  <c r="S143" i="67"/>
  <c r="AR142" i="67"/>
  <c r="AQ141" i="67"/>
  <c r="S139" i="67"/>
  <c r="S138" i="67"/>
  <c r="AQ137" i="67"/>
  <c r="S136" i="67"/>
  <c r="S134" i="67"/>
  <c r="AK132" i="67"/>
  <c r="AB132" i="67"/>
  <c r="S132" i="67"/>
  <c r="AK131" i="67"/>
  <c r="AB131" i="67"/>
  <c r="S131" i="67"/>
  <c r="AR130" i="67"/>
  <c r="AK128" i="67"/>
  <c r="AB128" i="67"/>
  <c r="S128" i="67"/>
  <c r="AK127" i="67"/>
  <c r="AB127" i="67"/>
  <c r="S127" i="67"/>
  <c r="AK126" i="67"/>
  <c r="S126" i="67"/>
  <c r="AK125" i="67"/>
  <c r="AK124" i="67"/>
  <c r="AB124" i="67"/>
  <c r="S124" i="67"/>
  <c r="AK123" i="67"/>
  <c r="AB123" i="67"/>
  <c r="S123" i="67"/>
  <c r="AK122" i="67"/>
  <c r="S122" i="67"/>
  <c r="AK118" i="67"/>
  <c r="AK117" i="67"/>
  <c r="AR116" i="67"/>
  <c r="AQ115" i="67"/>
  <c r="AQ114" i="67"/>
  <c r="AQ113" i="67"/>
  <c r="AQ112" i="67"/>
  <c r="AQ111" i="67"/>
  <c r="AK110" i="67"/>
  <c r="AQ109" i="67"/>
  <c r="AK108" i="67"/>
  <c r="AK106" i="67"/>
  <c r="AH106" i="67"/>
  <c r="Y106" i="67"/>
  <c r="G106" i="67"/>
  <c r="D106" i="67"/>
  <c r="AH105" i="67"/>
  <c r="G105" i="67"/>
  <c r="AR104" i="67"/>
  <c r="AK104" i="67"/>
  <c r="AH104" i="67"/>
  <c r="Y104" i="67"/>
  <c r="G104" i="67"/>
  <c r="AQ103" i="67"/>
  <c r="AQ102" i="67"/>
  <c r="AK101" i="67"/>
  <c r="AH101" i="67"/>
  <c r="Y101" i="67"/>
  <c r="G101" i="67"/>
  <c r="D101" i="67"/>
  <c r="G100" i="67"/>
  <c r="AK99" i="67"/>
  <c r="G99" i="67"/>
  <c r="AK98" i="67"/>
  <c r="AH98" i="67"/>
  <c r="Y98" i="67"/>
  <c r="G98" i="67"/>
  <c r="D98" i="67"/>
  <c r="G97" i="67"/>
  <c r="AK96" i="67"/>
  <c r="AH96" i="67"/>
  <c r="Y96" i="67"/>
  <c r="G96" i="67"/>
  <c r="AK94" i="67"/>
  <c r="AH94" i="67"/>
  <c r="Y94" i="67"/>
  <c r="M94" i="67"/>
  <c r="G94" i="67"/>
  <c r="AK93" i="67"/>
  <c r="AH93" i="67"/>
  <c r="Y93" i="67"/>
  <c r="M93" i="67"/>
  <c r="G93" i="67"/>
  <c r="AR92" i="67"/>
  <c r="AK92" i="67"/>
  <c r="Y92" i="67"/>
  <c r="M92" i="67"/>
  <c r="AK91" i="67"/>
  <c r="Y91" i="67"/>
  <c r="AK90" i="67"/>
  <c r="Y90" i="67"/>
  <c r="AK89" i="67"/>
  <c r="AH89" i="67"/>
  <c r="Y89" i="67"/>
  <c r="M89" i="67"/>
  <c r="G89" i="67"/>
  <c r="AQ88" i="67"/>
  <c r="AQ87" i="67"/>
  <c r="AK86" i="67"/>
  <c r="AH86" i="67"/>
  <c r="Y86" i="67"/>
  <c r="M86" i="67"/>
  <c r="G86" i="67"/>
  <c r="AK85" i="67"/>
  <c r="AH85" i="67"/>
  <c r="Y85" i="67"/>
  <c r="AK84" i="67"/>
  <c r="AH84" i="67"/>
  <c r="Y84" i="67"/>
  <c r="M84" i="67"/>
  <c r="G84" i="67"/>
  <c r="AH82" i="67"/>
  <c r="AR80" i="67"/>
  <c r="AQ79" i="67"/>
  <c r="AQ78" i="67"/>
  <c r="AH77" i="67"/>
  <c r="AQ76" i="67"/>
  <c r="AQ75" i="67"/>
  <c r="AH74" i="67"/>
  <c r="AQ73" i="67"/>
  <c r="AH72" i="67"/>
  <c r="AH70" i="67"/>
  <c r="AH69" i="67"/>
  <c r="AR68" i="67"/>
  <c r="AQ67" i="67"/>
  <c r="AQ66" i="67"/>
  <c r="AH65" i="67"/>
  <c r="AH64" i="67"/>
  <c r="AH62" i="67"/>
  <c r="AH60" i="67"/>
  <c r="AQ59" i="67"/>
  <c r="AK58" i="67"/>
  <c r="AH58" i="67"/>
  <c r="Y58" i="67"/>
  <c r="V58" i="67"/>
  <c r="M58" i="67"/>
  <c r="J58" i="67"/>
  <c r="G58" i="67"/>
  <c r="D58" i="67"/>
  <c r="M57" i="67"/>
  <c r="G57" i="67"/>
  <c r="M56" i="67"/>
  <c r="J56" i="67"/>
  <c r="D56" i="67"/>
  <c r="Y55" i="67"/>
  <c r="AQ54" i="67"/>
  <c r="AK53" i="67"/>
  <c r="AH53" i="67"/>
  <c r="Y53" i="67"/>
  <c r="M53" i="67"/>
  <c r="J53" i="67"/>
  <c r="G53" i="67"/>
  <c r="AQ52" i="67"/>
  <c r="AQ51" i="67"/>
  <c r="AK50" i="67"/>
  <c r="AH50" i="67"/>
  <c r="Y50" i="67"/>
  <c r="V50" i="67"/>
  <c r="M50" i="67"/>
  <c r="J50" i="67"/>
  <c r="G50" i="67"/>
  <c r="D50" i="67"/>
  <c r="AQ49" i="67"/>
  <c r="AK48" i="67"/>
  <c r="AH48" i="67"/>
  <c r="M48" i="67"/>
  <c r="J48" i="67"/>
  <c r="G48" i="67"/>
  <c r="AH46" i="67"/>
  <c r="AH45" i="67"/>
  <c r="AH44" i="67"/>
  <c r="AQ43" i="67"/>
  <c r="AH41" i="67"/>
  <c r="AH40" i="67"/>
  <c r="AH38" i="67"/>
  <c r="AQ37" i="67"/>
  <c r="AH36" i="67"/>
  <c r="AK22" i="67"/>
  <c r="AH22" i="67"/>
  <c r="Y22" i="67"/>
  <c r="V22" i="67"/>
  <c r="G22" i="67"/>
  <c r="D22" i="67"/>
  <c r="AK21" i="67"/>
  <c r="AH21" i="67"/>
  <c r="Y21" i="67"/>
  <c r="V21" i="67"/>
  <c r="G21" i="67"/>
  <c r="D21" i="67"/>
  <c r="G20" i="67"/>
  <c r="Y19" i="67"/>
  <c r="V19" i="67"/>
  <c r="AK18" i="67"/>
  <c r="Y18" i="67"/>
  <c r="AK17" i="67"/>
  <c r="AH17" i="67"/>
  <c r="Y17" i="67"/>
  <c r="V17" i="67"/>
  <c r="G17" i="67"/>
  <c r="D17" i="67"/>
  <c r="AK16" i="67"/>
  <c r="AH16" i="67"/>
  <c r="Y16" i="67"/>
  <c r="V16" i="67"/>
  <c r="G16" i="67"/>
  <c r="D16" i="67"/>
  <c r="AK15" i="67"/>
  <c r="Y15" i="67"/>
  <c r="V15" i="67"/>
  <c r="G15" i="67"/>
  <c r="AK14" i="67"/>
  <c r="AH14" i="67"/>
  <c r="Y14" i="67"/>
  <c r="V14" i="67"/>
  <c r="G14" i="67"/>
  <c r="D14" i="67"/>
  <c r="AK13" i="67"/>
  <c r="AH13" i="67"/>
  <c r="Y13" i="67"/>
  <c r="V13" i="67"/>
  <c r="G13" i="67"/>
  <c r="AK12" i="67"/>
  <c r="AH12" i="67"/>
  <c r="Y12" i="67"/>
  <c r="V12" i="67"/>
  <c r="G12" i="67"/>
  <c r="D12" i="67"/>
  <c r="AK108" i="66"/>
  <c r="AH108" i="66"/>
  <c r="Y108" i="66"/>
  <c r="M108" i="66"/>
  <c r="G108" i="66"/>
  <c r="D108" i="66"/>
  <c r="G107" i="66"/>
  <c r="AQ104" i="66"/>
  <c r="AN104" i="66"/>
  <c r="AH103" i="66"/>
  <c r="Y103" i="66"/>
  <c r="M103" i="66"/>
  <c r="G103" i="66"/>
  <c r="D103" i="66"/>
  <c r="AQ102" i="66"/>
  <c r="AN102" i="66"/>
  <c r="AQ101" i="66"/>
  <c r="AN101" i="66"/>
  <c r="AK100" i="66"/>
  <c r="AH100" i="66"/>
  <c r="AE100" i="66"/>
  <c r="Y100" i="66"/>
  <c r="M100" i="66"/>
  <c r="G100" i="66"/>
  <c r="D100" i="66"/>
  <c r="AQ99" i="66"/>
  <c r="AN99" i="66"/>
  <c r="AH98" i="66"/>
  <c r="G98" i="66"/>
  <c r="AH96" i="66"/>
  <c r="Y96" i="66"/>
  <c r="M96" i="66"/>
  <c r="J96" i="66"/>
  <c r="D96" i="66"/>
  <c r="M95" i="66"/>
  <c r="AH94" i="66"/>
  <c r="AQ92" i="66"/>
  <c r="AN92" i="66"/>
  <c r="AH91" i="66"/>
  <c r="Y91" i="66"/>
  <c r="M91" i="66"/>
  <c r="J91" i="66"/>
  <c r="D91" i="66"/>
  <c r="AQ90" i="66"/>
  <c r="AN90" i="66"/>
  <c r="AQ89" i="66"/>
  <c r="AN89" i="66"/>
  <c r="AH88" i="66"/>
  <c r="Y88" i="66"/>
  <c r="M88" i="66"/>
  <c r="J88" i="66"/>
  <c r="D88" i="66"/>
  <c r="AQ87" i="66"/>
  <c r="AN87" i="66"/>
  <c r="AH86" i="66"/>
  <c r="Y86" i="66"/>
  <c r="M86" i="66"/>
  <c r="J86" i="66"/>
  <c r="AH84" i="66"/>
  <c r="Y84" i="66"/>
  <c r="G84" i="66"/>
  <c r="D84" i="66"/>
  <c r="Y83" i="66"/>
  <c r="G83" i="66"/>
  <c r="AH82" i="66"/>
  <c r="Y82" i="66"/>
  <c r="AQ81" i="66"/>
  <c r="AN81" i="66"/>
  <c r="Y80" i="66"/>
  <c r="AH79" i="66"/>
  <c r="Y79" i="66"/>
  <c r="G79" i="66"/>
  <c r="D79" i="66"/>
  <c r="AH78" i="66"/>
  <c r="Y78" i="66"/>
  <c r="G78" i="66"/>
  <c r="G77" i="66"/>
  <c r="AH76" i="66"/>
  <c r="Y76" i="66"/>
  <c r="G76" i="66"/>
  <c r="D76" i="66"/>
  <c r="Y75" i="66"/>
  <c r="G75" i="66"/>
  <c r="AH74" i="66"/>
  <c r="Y74" i="66"/>
  <c r="G74" i="66"/>
  <c r="D74" i="66"/>
  <c r="AK72" i="66"/>
  <c r="AH72" i="66"/>
  <c r="Y72" i="66"/>
  <c r="G72" i="66"/>
  <c r="AK71" i="66"/>
  <c r="AH71" i="66"/>
  <c r="Y71" i="66"/>
  <c r="G71" i="66"/>
  <c r="AH70" i="66"/>
  <c r="AQ68" i="66"/>
  <c r="AN68" i="66"/>
  <c r="AK67" i="66"/>
  <c r="AH67" i="66"/>
  <c r="Y67" i="66"/>
  <c r="G67" i="66"/>
  <c r="AQ66" i="66"/>
  <c r="AN66" i="66"/>
  <c r="AQ65" i="66"/>
  <c r="AN65" i="66"/>
  <c r="AK64" i="66"/>
  <c r="AH64" i="66"/>
  <c r="Y64" i="66"/>
  <c r="G64" i="66"/>
  <c r="AK63" i="66"/>
  <c r="Y63" i="66"/>
  <c r="G63" i="66"/>
  <c r="AK62" i="66"/>
  <c r="AH62" i="66"/>
  <c r="Y62" i="66"/>
  <c r="G62" i="66"/>
  <c r="AK58" i="66"/>
  <c r="AH58" i="66"/>
  <c r="AE58" i="66"/>
  <c r="Y58" i="66"/>
  <c r="G58" i="66"/>
  <c r="D58" i="66"/>
  <c r="G57" i="66"/>
  <c r="AK56" i="66"/>
  <c r="D56" i="66"/>
  <c r="AQ55" i="66"/>
  <c r="AN55" i="66"/>
  <c r="AQ54" i="66"/>
  <c r="AN54" i="66"/>
  <c r="AH53" i="66"/>
  <c r="Y53" i="66"/>
  <c r="AQ52" i="66"/>
  <c r="AN52" i="66"/>
  <c r="AQ51" i="66"/>
  <c r="AN51" i="66"/>
  <c r="AK50" i="66"/>
  <c r="AH50" i="66"/>
  <c r="AE50" i="66"/>
  <c r="Y50" i="66"/>
  <c r="G50" i="66"/>
  <c r="D50" i="66"/>
  <c r="AQ49" i="66"/>
  <c r="AN49" i="66"/>
  <c r="AH48" i="66"/>
  <c r="G48" i="66"/>
  <c r="AK46" i="66"/>
  <c r="AH46" i="66"/>
  <c r="Y46" i="66"/>
  <c r="P46" i="66"/>
  <c r="J46" i="66"/>
  <c r="D46" i="66"/>
  <c r="AQ45" i="66"/>
  <c r="AN45" i="66"/>
  <c r="AQ42" i="66"/>
  <c r="AN42" i="66"/>
  <c r="AK41" i="66"/>
  <c r="AH41" i="66"/>
  <c r="Y41" i="66"/>
  <c r="P41" i="66"/>
  <c r="J41" i="66"/>
  <c r="D41" i="66"/>
  <c r="AQ40" i="66"/>
  <c r="AN40" i="66"/>
  <c r="AQ39" i="66"/>
  <c r="AN39" i="66"/>
  <c r="AK38" i="66"/>
  <c r="AH38" i="66"/>
  <c r="Y38" i="66"/>
  <c r="P38" i="66"/>
  <c r="J38" i="66"/>
  <c r="D38" i="66"/>
  <c r="AQ37" i="66"/>
  <c r="AN37" i="66"/>
  <c r="AK36" i="66"/>
  <c r="AH36" i="66"/>
  <c r="Y36" i="66"/>
  <c r="J36" i="66"/>
  <c r="AH34" i="66"/>
  <c r="Y34" i="66"/>
  <c r="G34" i="66"/>
  <c r="Y33" i="66"/>
  <c r="G33" i="66"/>
  <c r="Y32" i="66"/>
  <c r="AQ31" i="66"/>
  <c r="AN31" i="66"/>
  <c r="AH29" i="66"/>
  <c r="Y29" i="66"/>
  <c r="G29" i="66"/>
  <c r="Y28" i="66"/>
  <c r="G28" i="66"/>
  <c r="G27" i="66"/>
  <c r="AH26" i="66"/>
  <c r="Y26" i="66"/>
  <c r="G26" i="66"/>
  <c r="Y25" i="66"/>
  <c r="G25" i="66"/>
  <c r="AH24" i="66"/>
  <c r="Y24" i="66"/>
  <c r="G24" i="66"/>
  <c r="AK22" i="66"/>
  <c r="AH22" i="66"/>
  <c r="Y22" i="66"/>
  <c r="G22" i="66"/>
  <c r="AK21" i="66"/>
  <c r="AH21" i="66"/>
  <c r="Y21" i="66"/>
  <c r="G21" i="66"/>
  <c r="AH20" i="66"/>
  <c r="AK17" i="66"/>
  <c r="AH17" i="66"/>
  <c r="Y17" i="66"/>
  <c r="G17" i="66"/>
  <c r="AQ15" i="66"/>
  <c r="AN15" i="66"/>
  <c r="AK14" i="66"/>
  <c r="AH14" i="66"/>
  <c r="Y14" i="66"/>
  <c r="G14" i="66"/>
  <c r="AK13" i="66"/>
  <c r="Y13" i="66"/>
  <c r="AK12" i="66"/>
  <c r="AH12" i="66"/>
  <c r="Y12" i="66"/>
  <c r="G12" i="66"/>
  <c r="AK44" i="65"/>
  <c r="AH44" i="65"/>
  <c r="Y44" i="65"/>
  <c r="V44" i="65"/>
  <c r="S44" i="65"/>
  <c r="M44" i="65"/>
  <c r="G44" i="65"/>
  <c r="AK42" i="65"/>
  <c r="AH42" i="65"/>
  <c r="AB42" i="65"/>
  <c r="Y42" i="65"/>
  <c r="P42" i="65"/>
  <c r="M42" i="65"/>
  <c r="J42" i="65"/>
  <c r="G42" i="65"/>
  <c r="D42" i="65"/>
  <c r="AK40" i="65"/>
  <c r="AH40" i="65"/>
  <c r="AB40" i="65"/>
  <c r="Y40" i="65"/>
  <c r="V40" i="65"/>
  <c r="S40" i="65"/>
  <c r="P40" i="65"/>
  <c r="M40" i="65"/>
  <c r="J40" i="65"/>
  <c r="G40" i="65"/>
  <c r="D40" i="65"/>
  <c r="AK39" i="65"/>
  <c r="AH39" i="65"/>
  <c r="AB39" i="65"/>
  <c r="Y39" i="65"/>
  <c r="V39" i="65"/>
  <c r="S39" i="65"/>
  <c r="M39" i="65"/>
  <c r="J39" i="65"/>
  <c r="G39" i="65"/>
  <c r="AK38" i="65"/>
  <c r="AH38" i="65"/>
  <c r="AB38" i="65"/>
  <c r="Y38" i="65"/>
  <c r="V38" i="65"/>
  <c r="S38" i="65"/>
  <c r="M38" i="65"/>
  <c r="J38" i="65"/>
  <c r="G38" i="65"/>
  <c r="AK37" i="65"/>
  <c r="AH37" i="65"/>
  <c r="AB37" i="65"/>
  <c r="Y37" i="65"/>
  <c r="V37" i="65"/>
  <c r="S37" i="65"/>
  <c r="P37" i="65"/>
  <c r="M37" i="65"/>
  <c r="J37" i="65"/>
  <c r="G37" i="65"/>
  <c r="D37" i="65"/>
  <c r="AK33" i="65"/>
  <c r="AH33" i="65"/>
  <c r="Y33" i="65"/>
  <c r="V33" i="65"/>
  <c r="S33" i="65"/>
  <c r="G33" i="65"/>
  <c r="AK32" i="65"/>
  <c r="AH32" i="65"/>
  <c r="AE32" i="65"/>
  <c r="AB32" i="65"/>
  <c r="Y32" i="65"/>
  <c r="V32" i="65"/>
  <c r="S32" i="65"/>
  <c r="P32" i="65"/>
  <c r="M32" i="65"/>
  <c r="J32" i="65"/>
  <c r="G32" i="65"/>
  <c r="D32" i="65"/>
  <c r="AK31" i="65"/>
  <c r="AH31" i="65"/>
  <c r="AB31" i="65"/>
  <c r="Y31" i="65"/>
  <c r="S31" i="65"/>
  <c r="M31" i="65"/>
  <c r="G31" i="65"/>
  <c r="D31" i="65"/>
  <c r="AK30" i="65"/>
  <c r="AH30" i="65"/>
  <c r="AE30" i="65"/>
  <c r="Y30" i="65"/>
  <c r="V30" i="65"/>
  <c r="S30" i="65"/>
  <c r="M30" i="65"/>
  <c r="G30" i="65"/>
  <c r="D30" i="65"/>
  <c r="Y29" i="65"/>
  <c r="AK28" i="65"/>
  <c r="AH28" i="65"/>
  <c r="Y28" i="65"/>
  <c r="V28" i="65"/>
  <c r="S28" i="65"/>
  <c r="M28" i="65"/>
  <c r="G28" i="65"/>
  <c r="AK27" i="65"/>
  <c r="AH27" i="65"/>
  <c r="Y27" i="65"/>
  <c r="J27" i="65"/>
  <c r="G27" i="65"/>
  <c r="D27" i="65"/>
  <c r="AK26" i="65"/>
  <c r="AH26" i="65"/>
  <c r="AB26" i="65"/>
  <c r="Y26" i="65"/>
  <c r="V26" i="65"/>
  <c r="S26" i="65"/>
  <c r="G26" i="65"/>
  <c r="AK25" i="65"/>
  <c r="AH25" i="65"/>
  <c r="AB25" i="65"/>
  <c r="Y25" i="65"/>
  <c r="V25" i="65"/>
  <c r="S25" i="65"/>
  <c r="M25" i="65"/>
  <c r="G25" i="65"/>
  <c r="D25" i="65"/>
  <c r="AK24" i="65"/>
  <c r="AH24" i="65"/>
  <c r="AB24" i="65"/>
  <c r="Y24" i="65"/>
  <c r="V24" i="65"/>
  <c r="S24" i="65"/>
  <c r="M24" i="65"/>
  <c r="J24" i="65"/>
  <c r="G24" i="65"/>
  <c r="AK23" i="65"/>
  <c r="AH23" i="65"/>
  <c r="AB23" i="65"/>
  <c r="Y23" i="65"/>
  <c r="V23" i="65"/>
  <c r="S23" i="65"/>
  <c r="M23" i="65"/>
  <c r="J23" i="65"/>
  <c r="G23" i="65"/>
  <c r="D23" i="65"/>
  <c r="AB21" i="65"/>
  <c r="AK20" i="65"/>
  <c r="AH20" i="65"/>
  <c r="AE20" i="65"/>
  <c r="Y20" i="65"/>
  <c r="V20" i="65"/>
  <c r="S20" i="65"/>
  <c r="M20" i="65"/>
  <c r="J20" i="65"/>
  <c r="G20" i="65"/>
  <c r="D20" i="65"/>
  <c r="AK19" i="65"/>
  <c r="AH19" i="65"/>
  <c r="AE19" i="65"/>
  <c r="AB19" i="65"/>
  <c r="Y19" i="65"/>
  <c r="V19" i="65"/>
  <c r="S19" i="65"/>
  <c r="P19" i="65"/>
  <c r="M19" i="65"/>
  <c r="J19" i="65"/>
  <c r="G19" i="65"/>
  <c r="D19" i="65"/>
  <c r="AK17" i="65"/>
  <c r="AH17" i="65"/>
  <c r="AB17" i="65"/>
  <c r="Y17" i="65"/>
  <c r="V17" i="65"/>
  <c r="S17" i="65"/>
  <c r="J17" i="65"/>
  <c r="G17" i="65"/>
  <c r="AK16" i="65"/>
  <c r="AH16" i="65"/>
  <c r="AE16" i="65"/>
  <c r="Y16" i="65"/>
  <c r="V16" i="65"/>
  <c r="S16" i="65"/>
  <c r="M16" i="65"/>
  <c r="J16" i="65"/>
  <c r="G16" i="65"/>
  <c r="D16" i="65"/>
  <c r="AK15" i="65"/>
  <c r="AH15" i="65"/>
  <c r="AB15" i="65"/>
  <c r="Y15" i="65"/>
  <c r="V15" i="65"/>
  <c r="S15" i="65"/>
  <c r="M15" i="65"/>
  <c r="J15" i="65"/>
  <c r="G15" i="65"/>
  <c r="D15" i="65"/>
  <c r="AK14" i="65"/>
  <c r="Y14" i="65"/>
  <c r="AK13" i="65"/>
  <c r="AH13" i="65"/>
  <c r="AE13" i="65"/>
  <c r="Y13" i="65"/>
  <c r="V13" i="65"/>
  <c r="S13" i="65"/>
  <c r="M13" i="65"/>
  <c r="J13" i="65"/>
  <c r="G13" i="65"/>
  <c r="D13" i="65"/>
  <c r="AK12" i="65"/>
  <c r="AH12" i="65"/>
  <c r="Y12" i="65"/>
  <c r="V12" i="65"/>
  <c r="S12" i="65"/>
  <c r="M12" i="65"/>
  <c r="J12" i="65"/>
  <c r="G12" i="65"/>
  <c r="D12" i="65"/>
  <c r="AK11" i="65"/>
  <c r="AH11" i="65"/>
  <c r="AE11" i="65"/>
  <c r="AB11" i="65"/>
  <c r="Y11" i="65"/>
  <c r="V11" i="65"/>
  <c r="S11" i="65"/>
  <c r="P11" i="65"/>
  <c r="M11" i="65"/>
  <c r="J11" i="65"/>
  <c r="G11" i="65"/>
  <c r="D11" i="65"/>
  <c r="AK89" i="62"/>
  <c r="AH89" i="62"/>
  <c r="AB89" i="62"/>
  <c r="Y89" i="62"/>
  <c r="V89" i="62"/>
  <c r="S89" i="62"/>
  <c r="P89" i="62"/>
  <c r="M89" i="62"/>
  <c r="J89" i="62"/>
  <c r="G89" i="62"/>
  <c r="D89" i="62"/>
  <c r="AK88" i="62"/>
  <c r="AH88" i="62"/>
  <c r="AE88" i="62"/>
  <c r="AB88" i="62"/>
  <c r="Y88" i="62"/>
  <c r="V88" i="62"/>
  <c r="S88" i="62"/>
  <c r="P88" i="62"/>
  <c r="M88" i="62"/>
  <c r="G88" i="62"/>
  <c r="D88" i="62"/>
  <c r="AH87" i="62"/>
  <c r="AK86" i="62"/>
  <c r="AH86" i="62"/>
  <c r="AB86" i="62"/>
  <c r="Y86" i="62"/>
  <c r="V86" i="62"/>
  <c r="S86" i="62"/>
  <c r="P86" i="62"/>
  <c r="M86" i="62"/>
  <c r="J86" i="62"/>
  <c r="G86" i="62"/>
  <c r="D86" i="62"/>
  <c r="AH83" i="62"/>
  <c r="V83" i="62"/>
  <c r="S83" i="62"/>
  <c r="M83" i="62"/>
  <c r="G83" i="62"/>
  <c r="D83" i="62"/>
  <c r="Y82" i="62"/>
  <c r="AK81" i="62"/>
  <c r="AH81" i="62"/>
  <c r="AE81" i="62"/>
  <c r="Y81" i="62"/>
  <c r="V81" i="62"/>
  <c r="S81" i="62"/>
  <c r="M81" i="62"/>
  <c r="J81" i="62"/>
  <c r="G81" i="62"/>
  <c r="D81" i="62"/>
  <c r="AK77" i="62"/>
  <c r="Y77" i="62"/>
  <c r="J77" i="62"/>
  <c r="G77" i="62"/>
  <c r="D77" i="62"/>
  <c r="AK76" i="62"/>
  <c r="AH76" i="62"/>
  <c r="Y76" i="62"/>
  <c r="V76" i="62"/>
  <c r="S76" i="62"/>
  <c r="D76" i="62"/>
  <c r="AK75" i="62"/>
  <c r="AH75" i="62"/>
  <c r="AB75" i="62"/>
  <c r="Y75" i="62"/>
  <c r="V75" i="62"/>
  <c r="S75" i="62"/>
  <c r="M75" i="62"/>
  <c r="G75" i="62"/>
  <c r="D75" i="62"/>
  <c r="AK74" i="62"/>
  <c r="AH74" i="62"/>
  <c r="AB74" i="62"/>
  <c r="Y74" i="62"/>
  <c r="V74" i="62"/>
  <c r="S74" i="62"/>
  <c r="M74" i="62"/>
  <c r="J74" i="62"/>
  <c r="G74" i="62"/>
  <c r="D74" i="62"/>
  <c r="AK73" i="62"/>
  <c r="AH73" i="62"/>
  <c r="AB73" i="62"/>
  <c r="Y73" i="62"/>
  <c r="V73" i="62"/>
  <c r="S73" i="62"/>
  <c r="M73" i="62"/>
  <c r="J73" i="62"/>
  <c r="G73" i="62"/>
  <c r="D73" i="62"/>
  <c r="AK71" i="62"/>
  <c r="AH71" i="62"/>
  <c r="AB71" i="62"/>
  <c r="Y71" i="62"/>
  <c r="S71" i="62"/>
  <c r="G71" i="62"/>
  <c r="AK70" i="62"/>
  <c r="AH70" i="62"/>
  <c r="AB70" i="62"/>
  <c r="Y70" i="62"/>
  <c r="V70" i="62"/>
  <c r="S70" i="62"/>
  <c r="M70" i="62"/>
  <c r="G70" i="62"/>
  <c r="AK69" i="62"/>
  <c r="AH69" i="62"/>
  <c r="AE69" i="62"/>
  <c r="AB69" i="62"/>
  <c r="Y69" i="62"/>
  <c r="V69" i="62"/>
  <c r="S69" i="62"/>
  <c r="P69" i="62"/>
  <c r="M69" i="62"/>
  <c r="J69" i="62"/>
  <c r="G69" i="62"/>
  <c r="D69" i="62"/>
  <c r="AK68" i="62"/>
  <c r="AH68" i="62"/>
  <c r="AE68" i="62"/>
  <c r="AB68" i="62"/>
  <c r="Y68" i="62"/>
  <c r="V68" i="62"/>
  <c r="S68" i="62"/>
  <c r="P68" i="62"/>
  <c r="M68" i="62"/>
  <c r="J68" i="62"/>
  <c r="G68" i="62"/>
  <c r="D68" i="62"/>
  <c r="AQ61" i="62"/>
  <c r="AN61" i="62"/>
  <c r="AH59" i="62"/>
  <c r="Y59" i="62"/>
  <c r="S59" i="62"/>
  <c r="M59" i="62"/>
  <c r="J59" i="62"/>
  <c r="D59" i="62"/>
  <c r="AK58" i="62"/>
  <c r="S58" i="62"/>
  <c r="AK57" i="62"/>
  <c r="V57" i="62"/>
  <c r="S57" i="62"/>
  <c r="M57" i="62"/>
  <c r="G57" i="62"/>
  <c r="AK56" i="62"/>
  <c r="AH56" i="62"/>
  <c r="V56" i="62"/>
  <c r="S56" i="62"/>
  <c r="M56" i="62"/>
  <c r="J56" i="62"/>
  <c r="G56" i="62"/>
  <c r="D56" i="62"/>
  <c r="AK55" i="62"/>
  <c r="AH55" i="62"/>
  <c r="AE55" i="62"/>
  <c r="Y55" i="62"/>
  <c r="V55" i="62"/>
  <c r="S55" i="62"/>
  <c r="M55" i="62"/>
  <c r="J55" i="62"/>
  <c r="G55" i="62"/>
  <c r="D55" i="62"/>
  <c r="S53" i="62"/>
  <c r="S51" i="62"/>
  <c r="AK49" i="62"/>
  <c r="S49" i="62"/>
  <c r="AQ48" i="62"/>
  <c r="AN48" i="62"/>
  <c r="AH46" i="62"/>
  <c r="Y46" i="62"/>
  <c r="J46" i="62"/>
  <c r="D46" i="62"/>
  <c r="AH44" i="62"/>
  <c r="AB44" i="62"/>
  <c r="Y44" i="62"/>
  <c r="S44" i="62"/>
  <c r="M44" i="62"/>
  <c r="J44" i="62"/>
  <c r="G44" i="62"/>
  <c r="D44" i="62"/>
  <c r="AK43" i="62"/>
  <c r="AH43" i="62"/>
  <c r="Y43" i="62"/>
  <c r="S43" i="62"/>
  <c r="G43" i="62"/>
  <c r="D43" i="62"/>
  <c r="AB42" i="62"/>
  <c r="V42" i="62"/>
  <c r="S42" i="62"/>
  <c r="G42" i="62"/>
  <c r="AK41" i="62"/>
  <c r="AH41" i="62"/>
  <c r="AB41" i="62"/>
  <c r="Y41" i="62"/>
  <c r="V41" i="62"/>
  <c r="S41" i="62"/>
  <c r="M41" i="62"/>
  <c r="J41" i="62"/>
  <c r="G41" i="62"/>
  <c r="D41" i="62"/>
  <c r="AK40" i="62"/>
  <c r="AH40" i="62"/>
  <c r="AB40" i="62"/>
  <c r="Y40" i="62"/>
  <c r="V40" i="62"/>
  <c r="S40" i="62"/>
  <c r="J40" i="62"/>
  <c r="G40" i="62"/>
  <c r="D40" i="62"/>
  <c r="AK38" i="62"/>
  <c r="AH38" i="62"/>
  <c r="AB38" i="62"/>
  <c r="Y38" i="62"/>
  <c r="V38" i="62"/>
  <c r="S38" i="62"/>
  <c r="M38" i="62"/>
  <c r="AK37" i="62"/>
  <c r="AH37" i="62"/>
  <c r="Y37" i="62"/>
  <c r="S37" i="62"/>
  <c r="M37" i="62"/>
  <c r="G37" i="62"/>
  <c r="AK36" i="62"/>
  <c r="AH36" i="62"/>
  <c r="AB36" i="62"/>
  <c r="Y36" i="62"/>
  <c r="V36" i="62"/>
  <c r="S36" i="62"/>
  <c r="M36" i="62"/>
  <c r="G36" i="62"/>
  <c r="G35" i="62"/>
  <c r="AK34" i="62"/>
  <c r="AH34" i="62"/>
  <c r="AB34" i="62"/>
  <c r="Y34" i="62"/>
  <c r="V34" i="62"/>
  <c r="S34" i="62"/>
  <c r="G34" i="62"/>
  <c r="AH33" i="62"/>
  <c r="G33" i="62"/>
  <c r="AK28" i="62"/>
  <c r="AH28" i="62"/>
  <c r="AE28" i="62"/>
  <c r="AB28" i="62"/>
  <c r="Y28" i="62"/>
  <c r="V28" i="62"/>
  <c r="S28" i="62"/>
  <c r="P28" i="62"/>
  <c r="M28" i="62"/>
  <c r="J28" i="62"/>
  <c r="G28" i="62"/>
  <c r="D28" i="62"/>
  <c r="AQ26" i="62"/>
  <c r="AN26" i="62"/>
  <c r="AH25" i="62"/>
  <c r="S25" i="62"/>
  <c r="J25" i="62"/>
  <c r="G25" i="62"/>
  <c r="AK24" i="62"/>
  <c r="S24" i="62"/>
  <c r="G24" i="62"/>
  <c r="AH23" i="62"/>
  <c r="Y23" i="62"/>
  <c r="V23" i="62"/>
  <c r="S23" i="62"/>
  <c r="G23" i="62"/>
  <c r="AK22" i="62"/>
  <c r="AH22" i="62"/>
  <c r="AB22" i="62"/>
  <c r="Y22" i="62"/>
  <c r="V22" i="62"/>
  <c r="S22" i="62"/>
  <c r="M22" i="62"/>
  <c r="J22" i="62"/>
  <c r="G22" i="62"/>
  <c r="D22" i="62"/>
  <c r="AK21" i="62"/>
  <c r="AH21" i="62"/>
  <c r="Y21" i="62"/>
  <c r="V21" i="62"/>
  <c r="S21" i="62"/>
  <c r="M21" i="62"/>
  <c r="J21" i="62"/>
  <c r="G21" i="62"/>
  <c r="D21" i="62"/>
  <c r="AK20" i="62"/>
  <c r="AH20" i="62"/>
  <c r="AB20" i="62"/>
  <c r="Y20" i="62"/>
  <c r="V20" i="62"/>
  <c r="S20" i="62"/>
  <c r="M20" i="62"/>
  <c r="J20" i="62"/>
  <c r="G20" i="62"/>
  <c r="AK19" i="62"/>
  <c r="AH19" i="62"/>
  <c r="AB19" i="62"/>
  <c r="S19" i="62"/>
  <c r="AH18" i="62"/>
  <c r="S18" i="62"/>
  <c r="AH17" i="62"/>
  <c r="AB17" i="62"/>
  <c r="S17" i="62"/>
  <c r="AK27" i="62"/>
  <c r="AK15" i="62"/>
  <c r="AH15" i="62"/>
  <c r="AB15" i="62"/>
  <c r="S15" i="62"/>
  <c r="G15" i="62"/>
  <c r="AH14" i="62"/>
  <c r="S14" i="62"/>
  <c r="P38" i="68" l="1"/>
  <c r="AQ69" i="67"/>
  <c r="AQ81" i="67"/>
  <c r="AQ63" i="67"/>
  <c r="D11" i="70"/>
  <c r="G11" i="70"/>
  <c r="AB35" i="70"/>
  <c r="J35" i="70"/>
  <c r="AQ30" i="66"/>
  <c r="AQ105" i="66"/>
  <c r="AN30" i="66"/>
  <c r="AN105" i="66"/>
  <c r="D43" i="68"/>
  <c r="AK43" i="68"/>
  <c r="AK43" i="69"/>
  <c r="AQ26" i="68"/>
  <c r="AH42" i="68"/>
  <c r="S44" i="68"/>
  <c r="AN84" i="62"/>
  <c r="S23" i="69"/>
  <c r="P16" i="70"/>
  <c r="AQ84" i="62"/>
  <c r="AN18" i="62"/>
  <c r="AN19" i="62"/>
  <c r="AN21" i="62"/>
  <c r="AQ22" i="62"/>
  <c r="AQ125" i="67"/>
  <c r="AN22" i="68"/>
  <c r="AE40" i="68"/>
  <c r="AH40" i="68"/>
  <c r="AK41" i="68"/>
  <c r="G42" i="68"/>
  <c r="AQ14" i="62"/>
  <c r="AQ37" i="62"/>
  <c r="AQ41" i="62"/>
  <c r="AQ52" i="62"/>
  <c r="AE54" i="62"/>
  <c r="AH54" i="62"/>
  <c r="AN59" i="62"/>
  <c r="AN69" i="62"/>
  <c r="AN70" i="62"/>
  <c r="AQ67" i="66"/>
  <c r="Y94" i="66"/>
  <c r="M43" i="68"/>
  <c r="J53" i="69"/>
  <c r="Y11" i="70"/>
  <c r="AB11" i="70"/>
  <c r="AK45" i="68"/>
  <c r="AK45" i="69"/>
  <c r="AH13" i="70"/>
  <c r="AQ34" i="66"/>
  <c r="AQ77" i="66"/>
  <c r="AQ45" i="67"/>
  <c r="AK19" i="69"/>
  <c r="AN86" i="66"/>
  <c r="AQ22" i="67"/>
  <c r="AQ53" i="67"/>
  <c r="AQ64" i="67"/>
  <c r="G48" i="68"/>
  <c r="M48" i="68"/>
  <c r="Y48" i="68"/>
  <c r="J48" i="69"/>
  <c r="AH15" i="70"/>
  <c r="AH12" i="71"/>
  <c r="V27" i="62"/>
  <c r="AQ40" i="62"/>
  <c r="AQ46" i="62"/>
  <c r="J14" i="65"/>
  <c r="AN15" i="65"/>
  <c r="AQ16" i="65"/>
  <c r="AN19" i="65"/>
  <c r="AN28" i="65"/>
  <c r="AQ108" i="66"/>
  <c r="AQ14" i="67"/>
  <c r="AQ50" i="67"/>
  <c r="AQ86" i="67"/>
  <c r="AQ93" i="67"/>
  <c r="AQ106" i="67"/>
  <c r="D42" i="68"/>
  <c r="AB42" i="68"/>
  <c r="V45" i="68"/>
  <c r="P48" i="69"/>
  <c r="AB52" i="69"/>
  <c r="M54" i="69"/>
  <c r="Y54" i="69"/>
  <c r="AH18" i="70"/>
  <c r="AH19" i="70"/>
  <c r="AH20" i="70"/>
  <c r="AQ33" i="66"/>
  <c r="AQ64" i="66"/>
  <c r="AQ71" i="66"/>
  <c r="AQ72" i="66"/>
  <c r="AQ74" i="66"/>
  <c r="AN78" i="66"/>
  <c r="AQ86" i="66"/>
  <c r="AN91" i="66"/>
  <c r="AQ55" i="67"/>
  <c r="AQ124" i="67"/>
  <c r="AQ22" i="68"/>
  <c r="AH39" i="68"/>
  <c r="P40" i="68"/>
  <c r="AB40" i="68"/>
  <c r="Y47" i="68"/>
  <c r="D48" i="68"/>
  <c r="P48" i="68"/>
  <c r="V48" i="68"/>
  <c r="AK22" i="69"/>
  <c r="AK26" i="69"/>
  <c r="Y48" i="69"/>
  <c r="G52" i="69"/>
  <c r="AQ71" i="62"/>
  <c r="AN74" i="62"/>
  <c r="AQ75" i="62"/>
  <c r="AQ81" i="62"/>
  <c r="AN83" i="62"/>
  <c r="AN86" i="62"/>
  <c r="AQ87" i="62"/>
  <c r="AQ89" i="62"/>
  <c r="AN28" i="66"/>
  <c r="AQ18" i="67"/>
  <c r="AQ42" i="67"/>
  <c r="AQ46" i="67"/>
  <c r="AQ89" i="67"/>
  <c r="AQ105" i="67"/>
  <c r="AQ21" i="68"/>
  <c r="AN34" i="68"/>
  <c r="D38" i="68"/>
  <c r="AK48" i="68"/>
  <c r="AK14" i="69"/>
  <c r="AK15" i="69"/>
  <c r="AH51" i="69"/>
  <c r="AK21" i="69"/>
  <c r="AK24" i="69"/>
  <c r="AK37" i="69"/>
  <c r="AK44" i="69"/>
  <c r="AE54" i="69"/>
  <c r="AH17" i="70"/>
  <c r="AH33" i="70"/>
  <c r="AH34" i="70"/>
  <c r="H26" i="9"/>
  <c r="G26" i="9"/>
  <c r="B26" i="9"/>
  <c r="AN14" i="62"/>
  <c r="AN15" i="62"/>
  <c r="Y27" i="62"/>
  <c r="AN37" i="62"/>
  <c r="AN38" i="62"/>
  <c r="AN51" i="62"/>
  <c r="AN52" i="62"/>
  <c r="AQ55" i="62"/>
  <c r="AQ57" i="62"/>
  <c r="AQ68" i="62"/>
  <c r="AN17" i="65"/>
  <c r="AN20" i="65"/>
  <c r="AQ17" i="66"/>
  <c r="AQ28" i="66"/>
  <c r="AN33" i="66"/>
  <c r="AQ41" i="66"/>
  <c r="AN67" i="66"/>
  <c r="AQ91" i="66"/>
  <c r="AN96" i="66"/>
  <c r="AQ98" i="66"/>
  <c r="AQ107" i="66"/>
  <c r="AQ15" i="67"/>
  <c r="AQ74" i="67"/>
  <c r="AQ108" i="67"/>
  <c r="P43" i="68"/>
  <c r="AB44" i="68"/>
  <c r="V47" i="68"/>
  <c r="AB48" i="68"/>
  <c r="AK20" i="69"/>
  <c r="AE50" i="69"/>
  <c r="AH14" i="70"/>
  <c r="D40" i="68"/>
  <c r="AK34" i="69"/>
  <c r="AK39" i="69"/>
  <c r="AK40" i="69"/>
  <c r="G50" i="69"/>
  <c r="S50" i="69"/>
  <c r="AI40" i="70"/>
  <c r="S52" i="69"/>
  <c r="G31" i="70"/>
  <c r="S16" i="62"/>
  <c r="AQ28" i="62"/>
  <c r="AN33" i="62"/>
  <c r="AN40" i="62"/>
  <c r="AQ42" i="62"/>
  <c r="AN46" i="62"/>
  <c r="AQ69" i="62"/>
  <c r="AQ76" i="62"/>
  <c r="AN77" i="62"/>
  <c r="AN78" i="62"/>
  <c r="AQ82" i="62"/>
  <c r="AQ12" i="65"/>
  <c r="AN13" i="65"/>
  <c r="AN27" i="65"/>
  <c r="AN33" i="65"/>
  <c r="AN44" i="65"/>
  <c r="AN13" i="66"/>
  <c r="AN22" i="66"/>
  <c r="AN26" i="66"/>
  <c r="AN53" i="66"/>
  <c r="AK70" i="66"/>
  <c r="AN71" i="66"/>
  <c r="AN74" i="66"/>
  <c r="AQ78" i="66"/>
  <c r="AQ80" i="66"/>
  <c r="AQ16" i="67"/>
  <c r="AQ19" i="67"/>
  <c r="AK20" i="67"/>
  <c r="AQ60" i="67"/>
  <c r="AQ72" i="67"/>
  <c r="AQ77" i="67"/>
  <c r="AQ82" i="67"/>
  <c r="AQ84" i="67"/>
  <c r="AQ118" i="67"/>
  <c r="AQ140" i="67"/>
  <c r="AN12" i="68"/>
  <c r="AN19" i="68"/>
  <c r="V41" i="68"/>
  <c r="S43" i="68"/>
  <c r="Y43" i="68"/>
  <c r="AH45" i="68"/>
  <c r="M47" i="68"/>
  <c r="AK30" i="69"/>
  <c r="G49" i="69"/>
  <c r="M49" i="69"/>
  <c r="Y49" i="69"/>
  <c r="V51" i="69"/>
  <c r="AE51" i="69"/>
  <c r="AQ15" i="62"/>
  <c r="AQ17" i="62"/>
  <c r="AQ19" i="62"/>
  <c r="AQ21" i="62"/>
  <c r="AQ23" i="62"/>
  <c r="AN25" i="62"/>
  <c r="AQ33" i="62"/>
  <c r="AN41" i="62"/>
  <c r="AN42" i="62"/>
  <c r="AN43" i="62"/>
  <c r="AQ53" i="62"/>
  <c r="AN56" i="62"/>
  <c r="AN68" i="62"/>
  <c r="AQ86" i="62"/>
  <c r="AN87" i="62"/>
  <c r="AN88" i="62"/>
  <c r="AN89" i="62"/>
  <c r="AQ19" i="65"/>
  <c r="AQ14" i="66"/>
  <c r="AQ22" i="66"/>
  <c r="AQ36" i="66"/>
  <c r="AQ38" i="66"/>
  <c r="AN41" i="66"/>
  <c r="AN48" i="66"/>
  <c r="AQ57" i="66"/>
  <c r="AN58" i="66"/>
  <c r="AN107" i="66"/>
  <c r="AN108" i="66"/>
  <c r="M11" i="69"/>
  <c r="AE23" i="69"/>
  <c r="S41" i="69"/>
  <c r="S11" i="70"/>
  <c r="AH35" i="62"/>
  <c r="Y39" i="62"/>
  <c r="AN58" i="62"/>
  <c r="AQ50" i="66"/>
  <c r="AQ63" i="66"/>
  <c r="AN84" i="66"/>
  <c r="Y11" i="69"/>
  <c r="V35" i="69"/>
  <c r="V16" i="70"/>
  <c r="S31" i="70"/>
  <c r="AB31" i="70"/>
  <c r="S142" i="67"/>
  <c r="AN23" i="62"/>
  <c r="AN24" i="62"/>
  <c r="AQ38" i="62"/>
  <c r="S39" i="62"/>
  <c r="AQ43" i="62"/>
  <c r="AN44" i="62"/>
  <c r="AQ49" i="62"/>
  <c r="AQ51" i="62"/>
  <c r="AN55" i="62"/>
  <c r="AQ56" i="62"/>
  <c r="AQ58" i="62"/>
  <c r="AQ59" i="62"/>
  <c r="AQ70" i="62"/>
  <c r="AQ74" i="62"/>
  <c r="AN75" i="62"/>
  <c r="AN76" i="62"/>
  <c r="AQ77" i="62"/>
  <c r="AQ78" i="62"/>
  <c r="AN82" i="62"/>
  <c r="AQ15" i="65"/>
  <c r="AQ20" i="65"/>
  <c r="G21" i="65"/>
  <c r="AH21" i="65"/>
  <c r="AN38" i="65"/>
  <c r="AN39" i="65"/>
  <c r="G20" i="66"/>
  <c r="AQ24" i="66"/>
  <c r="AN36" i="66"/>
  <c r="AQ48" i="66"/>
  <c r="AQ53" i="66"/>
  <c r="AQ62" i="66"/>
  <c r="AN63" i="66"/>
  <c r="AN69" i="66"/>
  <c r="AQ75" i="66"/>
  <c r="AN79" i="66"/>
  <c r="AQ84" i="66"/>
  <c r="AN93" i="66"/>
  <c r="AN98" i="66"/>
  <c r="M40" i="68"/>
  <c r="AQ65" i="67"/>
  <c r="AQ85" i="67"/>
  <c r="AQ90" i="67"/>
  <c r="AQ94" i="67"/>
  <c r="AQ96" i="67"/>
  <c r="AQ99" i="67"/>
  <c r="AQ117" i="67"/>
  <c r="AQ122" i="67"/>
  <c r="AQ123" i="67"/>
  <c r="AQ131" i="67"/>
  <c r="AQ139" i="67"/>
  <c r="AQ14" i="68"/>
  <c r="AN29" i="68"/>
  <c r="AQ34" i="68"/>
  <c r="G38" i="68"/>
  <c r="G40" i="68"/>
  <c r="S42" i="68"/>
  <c r="AB43" i="68"/>
  <c r="AB47" i="68"/>
  <c r="J48" i="68"/>
  <c r="AE48" i="68"/>
  <c r="AK25" i="69"/>
  <c r="S47" i="69"/>
  <c r="AK38" i="69"/>
  <c r="J49" i="69"/>
  <c r="Y53" i="69"/>
  <c r="G54" i="69"/>
  <c r="AH30" i="70"/>
  <c r="AH11" i="71"/>
  <c r="AQ48" i="67"/>
  <c r="AQ57" i="67"/>
  <c r="AQ61" i="67"/>
  <c r="AQ128" i="67"/>
  <c r="AQ134" i="67"/>
  <c r="AQ136" i="67"/>
  <c r="AN17" i="68"/>
  <c r="AN31" i="68"/>
  <c r="J40" i="68"/>
  <c r="AH43" i="68"/>
  <c r="J45" i="68"/>
  <c r="AK47" i="68"/>
  <c r="AK13" i="69"/>
  <c r="AE53" i="69"/>
  <c r="S54" i="69"/>
  <c r="AQ129" i="67"/>
  <c r="AQ24" i="68"/>
  <c r="AQ29" i="68"/>
  <c r="J38" i="68"/>
  <c r="Y44" i="68"/>
  <c r="AH47" i="68"/>
  <c r="S48" i="68"/>
  <c r="S11" i="69"/>
  <c r="AK31" i="69"/>
  <c r="J51" i="69"/>
  <c r="V54" i="69"/>
  <c r="AB54" i="69"/>
  <c r="AH36" i="70"/>
  <c r="J29" i="65"/>
  <c r="D104" i="67"/>
  <c r="S20" i="68"/>
  <c r="M16" i="70"/>
  <c r="M54" i="62"/>
  <c r="AK79" i="62"/>
  <c r="AB16" i="62"/>
  <c r="G54" i="62"/>
  <c r="AB14" i="65"/>
  <c r="S29" i="65"/>
  <c r="AN40" i="65"/>
  <c r="J94" i="66"/>
  <c r="AK106" i="66"/>
  <c r="AK20" i="68"/>
  <c r="P31" i="70"/>
  <c r="J11" i="70"/>
  <c r="J44" i="66"/>
  <c r="V85" i="62"/>
  <c r="D94" i="66"/>
  <c r="AH16" i="62"/>
  <c r="D14" i="65"/>
  <c r="AH29" i="65"/>
  <c r="D44" i="66"/>
  <c r="Y56" i="66"/>
  <c r="AQ18" i="62"/>
  <c r="AN49" i="62"/>
  <c r="AN71" i="62"/>
  <c r="AQ88" i="62"/>
  <c r="AN12" i="65"/>
  <c r="AN26" i="65"/>
  <c r="AP45" i="68"/>
  <c r="AQ27" i="66"/>
  <c r="AH56" i="66"/>
  <c r="AN77" i="66"/>
  <c r="G82" i="66"/>
  <c r="G56" i="67"/>
  <c r="M35" i="62"/>
  <c r="AK35" i="62"/>
  <c r="AN36" i="62"/>
  <c r="V39" i="62"/>
  <c r="AB39" i="62"/>
  <c r="AK54" i="62"/>
  <c r="AQ73" i="62"/>
  <c r="AK16" i="62"/>
  <c r="AN17" i="62"/>
  <c r="AN20" i="62"/>
  <c r="AQ24" i="62"/>
  <c r="AN28" i="62"/>
  <c r="AQ34" i="62"/>
  <c r="AQ36" i="62"/>
  <c r="AQ44" i="62"/>
  <c r="AN53" i="62"/>
  <c r="D54" i="62"/>
  <c r="J54" i="62"/>
  <c r="AN73" i="62"/>
  <c r="AH79" i="62"/>
  <c r="AN81" i="62"/>
  <c r="AQ83" i="62"/>
  <c r="S85" i="62"/>
  <c r="Y85" i="62"/>
  <c r="AN11" i="65"/>
  <c r="AQ13" i="65"/>
  <c r="P14" i="65"/>
  <c r="AN16" i="65"/>
  <c r="AQ17" i="65"/>
  <c r="M21" i="65"/>
  <c r="AN23" i="65"/>
  <c r="AN24" i="65"/>
  <c r="AN25" i="65"/>
  <c r="G29" i="65"/>
  <c r="AN32" i="65"/>
  <c r="AQ26" i="66"/>
  <c r="AN29" i="66"/>
  <c r="AN38" i="66"/>
  <c r="AN46" i="66"/>
  <c r="AN57" i="66"/>
  <c r="AN62" i="66"/>
  <c r="G70" i="66"/>
  <c r="AQ79" i="66"/>
  <c r="AQ83" i="66"/>
  <c r="AN95" i="66"/>
  <c r="AQ96" i="66"/>
  <c r="AQ13" i="67"/>
  <c r="AQ40" i="67"/>
  <c r="G92" i="67"/>
  <c r="AQ97" i="67"/>
  <c r="AK130" i="67"/>
  <c r="AQ12" i="68"/>
  <c r="AN26" i="68"/>
  <c r="Y39" i="68"/>
  <c r="G41" i="68"/>
  <c r="V42" i="68"/>
  <c r="M35" i="69"/>
  <c r="P11" i="70"/>
  <c r="P35" i="70"/>
  <c r="D36" i="70"/>
  <c r="V38" i="68"/>
  <c r="AQ25" i="62"/>
  <c r="AN57" i="62"/>
  <c r="AP47" i="68"/>
  <c r="AQ25" i="66"/>
  <c r="AN22" i="62"/>
  <c r="AQ11" i="65"/>
  <c r="V14" i="65"/>
  <c r="AE34" i="65"/>
  <c r="S21" i="65"/>
  <c r="AK21" i="65"/>
  <c r="D29" i="65"/>
  <c r="M29" i="65"/>
  <c r="AH44" i="66"/>
  <c r="Y70" i="66"/>
  <c r="AQ76" i="66"/>
  <c r="AQ100" i="66"/>
  <c r="D106" i="66"/>
  <c r="M106" i="66"/>
  <c r="AH20" i="67"/>
  <c r="AH56" i="67"/>
  <c r="AQ101" i="67"/>
  <c r="AQ135" i="67"/>
  <c r="Y40" i="68"/>
  <c r="AN37" i="65"/>
  <c r="AP43" i="68"/>
  <c r="AO44" i="68"/>
  <c r="AN27" i="66"/>
  <c r="AQ29" i="66"/>
  <c r="AN34" i="66"/>
  <c r="AQ46" i="66"/>
  <c r="AN50" i="66"/>
  <c r="AQ58" i="66"/>
  <c r="AN64" i="66"/>
  <c r="AN75" i="66"/>
  <c r="AN76" i="66"/>
  <c r="AN80" i="66"/>
  <c r="AN88" i="66"/>
  <c r="AQ93" i="66"/>
  <c r="AN103" i="66"/>
  <c r="AQ17" i="67"/>
  <c r="D20" i="67"/>
  <c r="V20" i="67"/>
  <c r="AQ21" i="67"/>
  <c r="AK40" i="68"/>
  <c r="AQ38" i="67"/>
  <c r="AQ39" i="67"/>
  <c r="V56" i="67"/>
  <c r="AQ58" i="67"/>
  <c r="AH68" i="67"/>
  <c r="AQ98" i="67"/>
  <c r="AQ100" i="67"/>
  <c r="AQ132" i="67"/>
  <c r="AQ143" i="67"/>
  <c r="AQ144" i="67"/>
  <c r="AQ19" i="68"/>
  <c r="G20" i="68"/>
  <c r="AN21" i="68"/>
  <c r="AQ31" i="68"/>
  <c r="S38" i="68"/>
  <c r="Y38" i="68"/>
  <c r="V39" i="68"/>
  <c r="AB39" i="68"/>
  <c r="Y42" i="68"/>
  <c r="G43" i="68"/>
  <c r="Y45" i="68"/>
  <c r="AE11" i="69"/>
  <c r="AK18" i="69"/>
  <c r="AH52" i="69"/>
  <c r="M23" i="69"/>
  <c r="AH48" i="69"/>
  <c r="AH54" i="69"/>
  <c r="D49" i="69"/>
  <c r="AI37" i="70"/>
  <c r="AJ42" i="70"/>
  <c r="J54" i="69"/>
  <c r="V11" i="70"/>
  <c r="V35" i="70"/>
  <c r="D31" i="70"/>
  <c r="AQ41" i="67"/>
  <c r="AQ91" i="67"/>
  <c r="AQ126" i="67"/>
  <c r="J43" i="68"/>
  <c r="AK29" i="69"/>
  <c r="G35" i="69"/>
  <c r="AE11" i="70"/>
  <c r="AH40" i="70"/>
  <c r="V43" i="68"/>
  <c r="AK16" i="69"/>
  <c r="AH23" i="69"/>
  <c r="AK32" i="69"/>
  <c r="AK33" i="69"/>
  <c r="AB35" i="69"/>
  <c r="AE35" i="69"/>
  <c r="G41" i="69"/>
  <c r="AH41" i="69"/>
  <c r="AK42" i="69"/>
  <c r="D48" i="69"/>
  <c r="AE49" i="69"/>
  <c r="D50" i="69"/>
  <c r="J50" i="69"/>
  <c r="P50" i="69"/>
  <c r="Y51" i="69"/>
  <c r="P26" i="70"/>
  <c r="AH48" i="68"/>
  <c r="AK12" i="69"/>
  <c r="AK28" i="69"/>
  <c r="G48" i="69"/>
  <c r="G51" i="69"/>
  <c r="AH37" i="70"/>
  <c r="AH39" i="70"/>
  <c r="AJ38" i="70"/>
  <c r="AK36" i="69"/>
  <c r="D11" i="69"/>
  <c r="AH11" i="69"/>
  <c r="AH49" i="69"/>
  <c r="G23" i="69"/>
  <c r="D35" i="69"/>
  <c r="J35" i="69"/>
  <c r="S35" i="69"/>
  <c r="Y35" i="69"/>
  <c r="AH35" i="69"/>
  <c r="G53" i="69"/>
  <c r="G11" i="69"/>
  <c r="J11" i="69"/>
  <c r="V11" i="69"/>
  <c r="AK17" i="69"/>
  <c r="AK27" i="69"/>
  <c r="V41" i="69"/>
  <c r="Y41" i="69"/>
  <c r="AE41" i="69"/>
  <c r="AE48" i="69"/>
  <c r="AI36" i="70"/>
  <c r="M51" i="69"/>
  <c r="AB11" i="69"/>
  <c r="D23" i="69"/>
  <c r="Y23" i="69"/>
  <c r="P49" i="69"/>
  <c r="D51" i="69"/>
  <c r="AJ41" i="70"/>
  <c r="D54" i="69"/>
  <c r="AH12" i="70"/>
  <c r="G34" i="65"/>
  <c r="AO47" i="68"/>
  <c r="AQ21" i="66"/>
  <c r="AK116" i="67"/>
  <c r="S14" i="65"/>
  <c r="J21" i="65"/>
  <c r="V21" i="65"/>
  <c r="AE21" i="65"/>
  <c r="AK29" i="65"/>
  <c r="AB34" i="65"/>
  <c r="AN14" i="66"/>
  <c r="AP44" i="68"/>
  <c r="G32" i="66"/>
  <c r="D82" i="66"/>
  <c r="AK38" i="68"/>
  <c r="AP38" i="68"/>
  <c r="S130" i="67"/>
  <c r="AB29" i="65"/>
  <c r="AN30" i="65"/>
  <c r="AO38" i="68"/>
  <c r="AQ12" i="66"/>
  <c r="AO39" i="68"/>
  <c r="AQ13" i="66"/>
  <c r="AO40" i="68"/>
  <c r="AP42" i="68"/>
  <c r="AN24" i="66"/>
  <c r="AQ43" i="66"/>
  <c r="Y44" i="66"/>
  <c r="G56" i="66"/>
  <c r="AQ69" i="66"/>
  <c r="AN70" i="66"/>
  <c r="G106" i="66"/>
  <c r="Y56" i="67"/>
  <c r="AQ62" i="67"/>
  <c r="AQ70" i="67"/>
  <c r="AH80" i="67"/>
  <c r="AQ110" i="67"/>
  <c r="AN24" i="68"/>
  <c r="AP39" i="68"/>
  <c r="V29" i="65"/>
  <c r="AH32" i="66"/>
  <c r="AE56" i="66"/>
  <c r="AE106" i="66"/>
  <c r="G14" i="65"/>
  <c r="M14" i="65"/>
  <c r="AE14" i="65"/>
  <c r="D21" i="65"/>
  <c r="P21" i="65"/>
  <c r="AO41" i="68"/>
  <c r="AQ19" i="66"/>
  <c r="AK20" i="66"/>
  <c r="M94" i="66"/>
  <c r="D46" i="68"/>
  <c r="AH14" i="65"/>
  <c r="Y21" i="65"/>
  <c r="AN31" i="65"/>
  <c r="AN42" i="65"/>
  <c r="AN12" i="66"/>
  <c r="AO42" i="68"/>
  <c r="AQ16" i="66"/>
  <c r="AN17" i="66"/>
  <c r="AN18" i="66"/>
  <c r="AQ18" i="66"/>
  <c r="AN19" i="66"/>
  <c r="Y20" i="66"/>
  <c r="AP48" i="68"/>
  <c r="AN25" i="66"/>
  <c r="AK44" i="66"/>
  <c r="AN83" i="66"/>
  <c r="Y106" i="66"/>
  <c r="Y20" i="67"/>
  <c r="AK56" i="67"/>
  <c r="S47" i="68"/>
  <c r="AN16" i="66"/>
  <c r="AO43" i="68"/>
  <c r="AB46" i="68"/>
  <c r="AN21" i="66"/>
  <c r="AO48" i="68"/>
  <c r="AN43" i="66"/>
  <c r="P44" i="66"/>
  <c r="AQ56" i="66"/>
  <c r="AQ70" i="66"/>
  <c r="AN72" i="66"/>
  <c r="AQ88" i="66"/>
  <c r="AQ95" i="66"/>
  <c r="AN100" i="66"/>
  <c r="AQ103" i="66"/>
  <c r="AH106" i="66"/>
  <c r="AQ12" i="67"/>
  <c r="AH92" i="67"/>
  <c r="AB130" i="67"/>
  <c r="J32" i="68"/>
  <c r="G39" i="68"/>
  <c r="AP41" i="68"/>
  <c r="AO45" i="68"/>
  <c r="AQ20" i="67"/>
  <c r="AQ68" i="67"/>
  <c r="AQ127" i="67"/>
  <c r="AQ138" i="67"/>
  <c r="M38" i="68"/>
  <c r="S40" i="68"/>
  <c r="AN14" i="68"/>
  <c r="AQ17" i="68"/>
  <c r="AK32" i="68"/>
  <c r="AB38" i="68"/>
  <c r="AH38" i="68"/>
  <c r="Y41" i="68"/>
  <c r="AE47" i="68"/>
  <c r="D20" i="68"/>
  <c r="J20" i="68"/>
  <c r="P20" i="68"/>
  <c r="AH20" i="68"/>
  <c r="D32" i="68"/>
  <c r="S39" i="68"/>
  <c r="AK42" i="68"/>
  <c r="AN20" i="68"/>
  <c r="V40" i="68"/>
  <c r="G47" i="68"/>
  <c r="G32" i="68"/>
  <c r="Y32" i="68"/>
  <c r="S27" i="62"/>
  <c r="P29" i="62"/>
  <c r="G27" i="62"/>
  <c r="J27" i="62"/>
  <c r="D27" i="62"/>
  <c r="M27" i="62"/>
  <c r="AE29" i="62"/>
  <c r="V35" i="62"/>
  <c r="AN16" i="62"/>
  <c r="AN34" i="62"/>
  <c r="S35" i="62"/>
  <c r="M39" i="62"/>
  <c r="AH39" i="62"/>
  <c r="AQ16" i="62"/>
  <c r="D20" i="62"/>
  <c r="AQ20" i="62"/>
  <c r="Y35" i="62"/>
  <c r="G39" i="62"/>
  <c r="AK39" i="62"/>
  <c r="D39" i="62"/>
  <c r="AB35" i="62"/>
  <c r="J39" i="62"/>
  <c r="V54" i="62"/>
  <c r="G79" i="62"/>
  <c r="M79" i="62"/>
  <c r="S79" i="62"/>
  <c r="Y79" i="62"/>
  <c r="G85" i="62"/>
  <c r="M85" i="62"/>
  <c r="AK85" i="62"/>
  <c r="S91" i="62"/>
  <c r="S50" i="62"/>
  <c r="S54" i="62"/>
  <c r="Y54" i="62"/>
  <c r="D79" i="62"/>
  <c r="J79" i="62"/>
  <c r="P79" i="62"/>
  <c r="V79" i="62"/>
  <c r="AB79" i="62"/>
  <c r="D85" i="62"/>
  <c r="J85" i="62"/>
  <c r="AE85" i="62"/>
  <c r="AH85" i="62"/>
  <c r="AQ92" i="67" l="1"/>
  <c r="AH31" i="70"/>
  <c r="AQ116" i="67"/>
  <c r="AN32" i="68"/>
  <c r="AN40" i="68"/>
  <c r="AQ44" i="68"/>
  <c r="AQ36" i="67"/>
  <c r="AQ45" i="68"/>
  <c r="AN43" i="68"/>
  <c r="AK49" i="69"/>
  <c r="AQ94" i="66"/>
  <c r="C26" i="9"/>
  <c r="C65" i="9" s="1"/>
  <c r="AQ39" i="62"/>
  <c r="B65" i="9"/>
  <c r="D65" i="9" s="1"/>
  <c r="M26" i="8"/>
  <c r="AE35" i="70"/>
  <c r="AQ20" i="68"/>
  <c r="AE47" i="69"/>
  <c r="AH27" i="62"/>
  <c r="AN41" i="68"/>
  <c r="AJ36" i="70"/>
  <c r="AK36" i="70" s="1"/>
  <c r="P46" i="68"/>
  <c r="AN27" i="62"/>
  <c r="AQ27" i="62"/>
  <c r="AB27" i="62"/>
  <c r="AN42" i="68"/>
  <c r="AQ106" i="66"/>
  <c r="AH26" i="70"/>
  <c r="AK52" i="69"/>
  <c r="AH16" i="70"/>
  <c r="AQ43" i="68"/>
  <c r="AQ14" i="65"/>
  <c r="AK41" i="69"/>
  <c r="Y47" i="69"/>
  <c r="AQ21" i="65"/>
  <c r="AN45" i="68"/>
  <c r="AN44" i="68"/>
  <c r="AH47" i="69"/>
  <c r="AN35" i="62"/>
  <c r="P91" i="62"/>
  <c r="AQ79" i="62"/>
  <c r="AN47" i="68"/>
  <c r="AP40" i="68"/>
  <c r="AQ40" i="68" s="1"/>
  <c r="AJ37" i="70"/>
  <c r="AK37" i="70" s="1"/>
  <c r="AK50" i="69"/>
  <c r="M35" i="70"/>
  <c r="AJ39" i="70"/>
  <c r="AQ47" i="68"/>
  <c r="AJ40" i="70"/>
  <c r="AK40" i="70" s="1"/>
  <c r="AN79" i="62"/>
  <c r="S35" i="70"/>
  <c r="Y35" i="70"/>
  <c r="AK23" i="69"/>
  <c r="AH11" i="70"/>
  <c r="AK48" i="69"/>
  <c r="G47" i="69"/>
  <c r="M47" i="69"/>
  <c r="D47" i="69"/>
  <c r="AK35" i="69"/>
  <c r="D35" i="70"/>
  <c r="AB47" i="69"/>
  <c r="V47" i="69"/>
  <c r="AK53" i="69"/>
  <c r="AI41" i="70"/>
  <c r="AK41" i="70" s="1"/>
  <c r="J47" i="69"/>
  <c r="G35" i="70"/>
  <c r="AI42" i="70"/>
  <c r="AK42" i="70" s="1"/>
  <c r="AK54" i="69"/>
  <c r="AI38" i="70"/>
  <c r="AK38" i="70" s="1"/>
  <c r="AK51" i="69"/>
  <c r="AI39" i="70"/>
  <c r="P47" i="69"/>
  <c r="AK11" i="69"/>
  <c r="G46" i="68"/>
  <c r="AN44" i="66"/>
  <c r="AQ80" i="67"/>
  <c r="AQ32" i="66"/>
  <c r="AQ38" i="68"/>
  <c r="P34" i="65"/>
  <c r="J34" i="65"/>
  <c r="G41" i="65"/>
  <c r="AN48" i="68"/>
  <c r="AN39" i="68"/>
  <c r="J46" i="68"/>
  <c r="AQ42" i="68"/>
  <c r="AN29" i="65"/>
  <c r="AQ20" i="66"/>
  <c r="AN56" i="66"/>
  <c r="AN14" i="65"/>
  <c r="S46" i="68"/>
  <c r="AN38" i="68"/>
  <c r="AQ32" i="68"/>
  <c r="AN94" i="66"/>
  <c r="AN82" i="66"/>
  <c r="M46" i="68"/>
  <c r="AH34" i="65"/>
  <c r="AN21" i="65"/>
  <c r="V46" i="68"/>
  <c r="M34" i="65"/>
  <c r="AE46" i="68"/>
  <c r="AN32" i="66"/>
  <c r="AQ39" i="68"/>
  <c r="AB41" i="65"/>
  <c r="AK34" i="65"/>
  <c r="AQ142" i="67"/>
  <c r="AQ82" i="66"/>
  <c r="AK46" i="68"/>
  <c r="AH46" i="68"/>
  <c r="AQ130" i="67"/>
  <c r="AQ48" i="68"/>
  <c r="Y46" i="68"/>
  <c r="AN20" i="66"/>
  <c r="V34" i="65"/>
  <c r="AQ44" i="66"/>
  <c r="AQ41" i="68"/>
  <c r="D34" i="65"/>
  <c r="AQ104" i="67"/>
  <c r="AQ56" i="67"/>
  <c r="AN106" i="66"/>
  <c r="Y34" i="65"/>
  <c r="AO46" i="68"/>
  <c r="S34" i="65"/>
  <c r="V60" i="62"/>
  <c r="AH29" i="62"/>
  <c r="AB29" i="62"/>
  <c r="AN85" i="62"/>
  <c r="AK60" i="62"/>
  <c r="V91" i="62"/>
  <c r="AQ85" i="62"/>
  <c r="AQ54" i="62"/>
  <c r="Y91" i="62"/>
  <c r="AQ50" i="62"/>
  <c r="AB45" i="62"/>
  <c r="V45" i="62"/>
  <c r="J29" i="62"/>
  <c r="Y29" i="62"/>
  <c r="J91" i="62"/>
  <c r="D91" i="62"/>
  <c r="D45" i="62"/>
  <c r="AE60" i="62"/>
  <c r="AE91" i="62"/>
  <c r="AK45" i="62"/>
  <c r="AK91" i="62"/>
  <c r="J60" i="62"/>
  <c r="AN50" i="62"/>
  <c r="M45" i="62"/>
  <c r="Y45" i="62"/>
  <c r="AN54" i="62"/>
  <c r="S45" i="62"/>
  <c r="AK29" i="62"/>
  <c r="M29" i="62"/>
  <c r="AN29" i="62"/>
  <c r="D29" i="62"/>
  <c r="AQ29" i="62"/>
  <c r="G29" i="62"/>
  <c r="S29" i="62"/>
  <c r="G60" i="62"/>
  <c r="AB91" i="62"/>
  <c r="S60" i="62"/>
  <c r="M60" i="62"/>
  <c r="M91" i="62"/>
  <c r="Y60" i="62"/>
  <c r="AH45" i="62"/>
  <c r="AH60" i="62"/>
  <c r="D60" i="62"/>
  <c r="AH91" i="62"/>
  <c r="G91" i="62"/>
  <c r="AQ35" i="62"/>
  <c r="G45" i="62"/>
  <c r="AN39" i="62"/>
  <c r="J45" i="62"/>
  <c r="V29" i="62"/>
  <c r="AK39" i="70" l="1"/>
  <c r="AP46" i="68"/>
  <c r="AQ46" i="68" s="1"/>
  <c r="N26" i="8"/>
  <c r="AE41" i="65"/>
  <c r="AQ44" i="67"/>
  <c r="AN91" i="62"/>
  <c r="AN34" i="65"/>
  <c r="AK47" i="69"/>
  <c r="AI35" i="70"/>
  <c r="AJ35" i="70"/>
  <c r="AH35" i="70"/>
  <c r="V41" i="65"/>
  <c r="AB43" i="65"/>
  <c r="M41" i="65"/>
  <c r="G43" i="65"/>
  <c r="J41" i="65"/>
  <c r="S41" i="65"/>
  <c r="Y41" i="65"/>
  <c r="D41" i="65"/>
  <c r="AN41" i="65"/>
  <c r="AH41" i="65"/>
  <c r="AN46" i="68"/>
  <c r="P41" i="65"/>
  <c r="AK41" i="65"/>
  <c r="AE43" i="65"/>
  <c r="AH64" i="62"/>
  <c r="J64" i="62"/>
  <c r="D62" i="62"/>
  <c r="G62" i="62"/>
  <c r="AN60" i="62"/>
  <c r="AK64" i="62"/>
  <c r="M62" i="62"/>
  <c r="AK62" i="62"/>
  <c r="AB62" i="62"/>
  <c r="V64" i="62"/>
  <c r="AE62" i="62"/>
  <c r="AH62" i="62"/>
  <c r="AQ91" i="62"/>
  <c r="AN45" i="62"/>
  <c r="V62" i="62"/>
  <c r="J62" i="62"/>
  <c r="AQ60" i="62"/>
  <c r="S64" i="62"/>
  <c r="M64" i="62"/>
  <c r="S62" i="62"/>
  <c r="Y62" i="62"/>
  <c r="AQ45" i="62"/>
  <c r="G33" i="4"/>
  <c r="I33" i="4" l="1"/>
  <c r="H33" i="4"/>
  <c r="AK35" i="70"/>
  <c r="AK43" i="65"/>
  <c r="P43" i="65"/>
  <c r="AN43" i="65"/>
  <c r="D43" i="65"/>
  <c r="S43" i="65"/>
  <c r="G45" i="65"/>
  <c r="M43" i="65"/>
  <c r="J43" i="65"/>
  <c r="AB45" i="65"/>
  <c r="V43" i="65"/>
  <c r="AE45" i="65"/>
  <c r="AH43" i="65"/>
  <c r="Y43" i="65"/>
  <c r="D64" i="62"/>
  <c r="Y64" i="62"/>
  <c r="AE64" i="62"/>
  <c r="G64" i="62"/>
  <c r="AN62" i="62"/>
  <c r="AB64" i="62"/>
  <c r="P64" i="62"/>
  <c r="AQ62" i="62"/>
  <c r="J33" i="4" l="1"/>
  <c r="Y45" i="65"/>
  <c r="M45" i="65"/>
  <c r="S45" i="65"/>
  <c r="P45" i="65"/>
  <c r="V45" i="65"/>
  <c r="AH45" i="65"/>
  <c r="J45" i="65"/>
  <c r="D45" i="65"/>
  <c r="AK45" i="65"/>
  <c r="AQ64" i="62"/>
  <c r="AN64" i="62"/>
  <c r="K9" i="18"/>
  <c r="K8" i="18"/>
  <c r="AN45" i="65" l="1"/>
  <c r="D22" i="18"/>
  <c r="D29" i="18"/>
  <c r="H124" i="18"/>
  <c r="H10" i="18"/>
  <c r="D7" i="18"/>
  <c r="D10" i="18"/>
  <c r="H116" i="18"/>
  <c r="H117" i="18"/>
  <c r="H121" i="18"/>
  <c r="K7" i="18"/>
  <c r="J88" i="18"/>
  <c r="H109" i="18"/>
  <c r="H113" i="18"/>
  <c r="H125" i="18"/>
  <c r="K113" i="18"/>
  <c r="K99" i="18"/>
  <c r="H7" i="18"/>
  <c r="K11" i="18"/>
  <c r="J67" i="18"/>
  <c r="D99" i="18"/>
  <c r="J109" i="18"/>
  <c r="J112" i="18"/>
  <c r="J116"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K116" i="18"/>
  <c r="D116" i="18"/>
  <c r="H22" i="18"/>
  <c r="D78" i="18"/>
  <c r="D108" i="18"/>
  <c r="J125" i="18"/>
  <c r="J9" i="18"/>
  <c r="D9" i="18"/>
  <c r="J28" i="18"/>
  <c r="J12" i="18"/>
  <c r="J7" i="18"/>
  <c r="J10" i="18"/>
  <c r="J8" i="18"/>
  <c r="D8" i="18"/>
  <c r="J78" i="18"/>
  <c r="K125" i="18"/>
  <c r="K88" i="18"/>
  <c r="E97" i="4" l="1"/>
  <c r="C97" i="4"/>
  <c r="B76" i="4"/>
  <c r="D87" i="18"/>
  <c r="B97" i="4"/>
  <c r="E76" i="4"/>
  <c r="F76" i="4"/>
  <c r="C76" i="4"/>
  <c r="F97" i="4"/>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6"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E97" i="33" l="1"/>
  <c r="E97" i="29"/>
  <c r="E97" i="37"/>
  <c r="E97" i="13"/>
  <c r="L97" i="29"/>
  <c r="L119" i="18"/>
  <c r="L97" i="33"/>
  <c r="L76" i="33"/>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120" i="37"/>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D121"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L122" i="37" s="1"/>
  <c r="J116" i="37"/>
  <c r="K109" i="37"/>
  <c r="D35" i="37"/>
  <c r="J12" i="37"/>
  <c r="J7" i="37"/>
  <c r="H75" i="37"/>
  <c r="D48" i="37"/>
  <c r="J137" i="37"/>
  <c r="K121" i="37"/>
  <c r="J67" i="37"/>
  <c r="H125" i="37"/>
  <c r="D124" i="37"/>
  <c r="D113"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L114" i="37" s="1"/>
  <c r="H109" i="37"/>
  <c r="D86" i="37"/>
  <c r="K117" i="37"/>
  <c r="K112" i="37"/>
  <c r="D88" i="37"/>
  <c r="H11" i="37"/>
  <c r="D10" i="37"/>
  <c r="K35" i="37"/>
  <c r="D57" i="37"/>
  <c r="D54" i="37"/>
  <c r="K34" i="37"/>
  <c r="H12" i="37"/>
  <c r="K37" i="37"/>
  <c r="D37" i="37"/>
  <c r="H10" i="37"/>
  <c r="K36" i="37"/>
  <c r="D36" i="37"/>
  <c r="J11" i="37"/>
  <c r="M97" i="33" l="1"/>
  <c r="M97" i="37"/>
  <c r="M97" i="29"/>
  <c r="M97" i="13"/>
  <c r="L79" i="18"/>
  <c r="J76" i="4"/>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89" i="37" s="1"/>
  <c r="H87" i="37"/>
  <c r="L111" i="37"/>
  <c r="L119" i="37"/>
  <c r="J98" i="37" l="1"/>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E123" i="4" l="1"/>
  <c r="E115" i="4"/>
  <c r="F106" i="4"/>
  <c r="E106" i="4"/>
  <c r="E105" i="4"/>
  <c r="F95" i="4"/>
  <c r="E95" i="4"/>
  <c r="E94" i="4"/>
  <c r="F92" i="4"/>
  <c r="E92" i="4"/>
  <c r="F91" i="4"/>
  <c r="E91" i="4"/>
  <c r="F85" i="4"/>
  <c r="E85" i="4"/>
  <c r="E84" i="4"/>
  <c r="F74" i="4"/>
  <c r="E74" i="4"/>
  <c r="E73" i="4"/>
  <c r="F71" i="4"/>
  <c r="E71" i="4"/>
  <c r="F70" i="4"/>
  <c r="E70" i="4"/>
  <c r="C123" i="4"/>
  <c r="B123" i="4"/>
  <c r="C115" i="4"/>
  <c r="B115" i="4"/>
  <c r="C104" i="4"/>
  <c r="C101" i="4"/>
  <c r="C93" i="4"/>
  <c r="C90" i="4"/>
  <c r="C83" i="4"/>
  <c r="C80" i="4"/>
  <c r="C72" i="4"/>
  <c r="C69" i="4"/>
  <c r="G31" i="4"/>
  <c r="I74" i="33" l="1"/>
  <c r="I74" i="18"/>
  <c r="I74" i="37"/>
  <c r="I74" i="13"/>
  <c r="I74" i="20"/>
  <c r="I74" i="23"/>
  <c r="I74" i="27"/>
  <c r="I74" i="29"/>
  <c r="E115" i="29"/>
  <c r="E104" i="37"/>
  <c r="E104" i="20"/>
  <c r="E104" i="33"/>
  <c r="E104" i="13"/>
  <c r="E104" i="29"/>
  <c r="E93" i="37"/>
  <c r="E93" i="20"/>
  <c r="E93" i="33"/>
  <c r="E93" i="13"/>
  <c r="E93" i="29"/>
  <c r="E83" i="20"/>
  <c r="E83" i="33"/>
  <c r="E83" i="29"/>
  <c r="I71" i="29"/>
  <c r="I70" i="29"/>
  <c r="E72" i="20"/>
  <c r="E72" i="33"/>
  <c r="G91" i="4"/>
  <c r="G95" i="4"/>
  <c r="G74" i="4"/>
  <c r="G85" i="4"/>
  <c r="G70" i="4"/>
  <c r="G92" i="4"/>
  <c r="G71" i="4"/>
  <c r="G106" i="4"/>
  <c r="F73" i="4"/>
  <c r="F94" i="4"/>
  <c r="G94" i="4" s="1"/>
  <c r="F105" i="4"/>
  <c r="G105" i="4" s="1"/>
  <c r="F115" i="4"/>
  <c r="F84" i="4"/>
  <c r="B72" i="4"/>
  <c r="E72" i="29" s="1"/>
  <c r="B83" i="4"/>
  <c r="B93" i="4"/>
  <c r="B104" i="4"/>
  <c r="F123" i="4"/>
  <c r="B69" i="4"/>
  <c r="B80" i="4"/>
  <c r="B90" i="4"/>
  <c r="B101" i="4"/>
  <c r="B29" i="4"/>
  <c r="F29" i="4"/>
  <c r="E29" i="4"/>
  <c r="C29" i="4"/>
  <c r="G23" i="4"/>
  <c r="E22" i="4"/>
  <c r="F22" i="4"/>
  <c r="B22" i="4"/>
  <c r="C22" i="4"/>
  <c r="G24" i="4"/>
  <c r="G30" i="4"/>
  <c r="G25" i="4"/>
  <c r="G32" i="4"/>
  <c r="D32" i="4"/>
  <c r="D24" i="4"/>
  <c r="I23" i="37"/>
  <c r="I25" i="37"/>
  <c r="I25" i="18"/>
  <c r="I30" i="37"/>
  <c r="I30" i="18"/>
  <c r="I31" i="37"/>
  <c r="I31" i="18"/>
  <c r="G26" i="4"/>
  <c r="D25" i="4"/>
  <c r="I24" i="37"/>
  <c r="I32" i="37"/>
  <c r="I32" i="18"/>
  <c r="D30" i="4"/>
  <c r="D31" i="4"/>
  <c r="E69" i="4"/>
  <c r="E90" i="4"/>
  <c r="E83" i="4"/>
  <c r="E104" i="4"/>
  <c r="F69" i="4"/>
  <c r="F90" i="4"/>
  <c r="E72" i="4"/>
  <c r="E93" i="4"/>
  <c r="E80" i="4"/>
  <c r="F80" i="4"/>
  <c r="G115" i="4" l="1"/>
  <c r="G84" i="4"/>
  <c r="G73" i="4"/>
  <c r="I73" i="29"/>
  <c r="I73" i="35"/>
  <c r="I69" i="29"/>
  <c r="G90" i="4"/>
  <c r="G69" i="4"/>
  <c r="D69" i="4"/>
  <c r="D72" i="4"/>
  <c r="D104" i="4"/>
  <c r="D93" i="4"/>
  <c r="D83" i="4"/>
  <c r="F93" i="4"/>
  <c r="G93" i="4" s="1"/>
  <c r="F83" i="4"/>
  <c r="F72" i="4"/>
  <c r="F104" i="4"/>
  <c r="G104" i="4" s="1"/>
  <c r="E29" i="18"/>
  <c r="E29" i="23"/>
  <c r="E29" i="29"/>
  <c r="E29" i="33"/>
  <c r="E29" i="20"/>
  <c r="E29" i="24"/>
  <c r="E29" i="37"/>
  <c r="E29" i="13"/>
  <c r="I23" i="18"/>
  <c r="D23" i="4"/>
  <c r="I26" i="4"/>
  <c r="M26" i="29" s="1"/>
  <c r="D115" i="4"/>
  <c r="H26" i="4"/>
  <c r="I106" i="37"/>
  <c r="I106" i="18"/>
  <c r="I95" i="37"/>
  <c r="I95" i="18"/>
  <c r="I85" i="37"/>
  <c r="I85" i="18"/>
  <c r="F26" i="10"/>
  <c r="D27" i="4"/>
  <c r="F16" i="10"/>
  <c r="F34" i="10"/>
  <c r="I26" i="29"/>
  <c r="I26" i="20"/>
  <c r="I26" i="23"/>
  <c r="I26" i="33"/>
  <c r="I26" i="37"/>
  <c r="I26" i="35"/>
  <c r="I26" i="18"/>
  <c r="G16" i="10"/>
  <c r="G26" i="10"/>
  <c r="G34" i="10"/>
  <c r="G83" i="4" l="1"/>
  <c r="G72" i="4"/>
  <c r="I72" i="18"/>
  <c r="I72" i="37"/>
  <c r="I72" i="13"/>
  <c r="I72" i="20"/>
  <c r="I72" i="23"/>
  <c r="I72" i="27"/>
  <c r="I72" i="29"/>
  <c r="I72" i="35"/>
  <c r="I72" i="33"/>
  <c r="J26" i="4"/>
  <c r="I83" i="18"/>
  <c r="I93" i="37"/>
  <c r="I104" i="18"/>
  <c r="M26" i="20"/>
  <c r="I104" i="37"/>
  <c r="I83" i="37"/>
  <c r="I93" i="18"/>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C52" i="4"/>
  <c r="B52" i="4"/>
  <c r="C51" i="4"/>
  <c r="B51" i="4"/>
  <c r="C50" i="4"/>
  <c r="B50" i="4"/>
  <c r="E50" i="26" l="1"/>
  <c r="E50" i="37"/>
  <c r="E51" i="13"/>
  <c r="E51" i="22"/>
  <c r="E51" i="33"/>
  <c r="E51" i="37"/>
  <c r="E51" i="39"/>
  <c r="E52" i="22"/>
  <c r="E52" i="33"/>
  <c r="E52" i="37"/>
  <c r="E52" i="39"/>
  <c r="D51" i="4"/>
  <c r="D50" i="4"/>
  <c r="D52" i="4"/>
  <c r="G56" i="10" l="1"/>
  <c r="G60" i="10"/>
  <c r="F60" i="10" l="1"/>
  <c r="F56" i="10"/>
  <c r="K28" i="10" l="1"/>
  <c r="J28" i="10"/>
  <c r="K9" i="33" l="1"/>
  <c r="K9" i="29"/>
  <c r="K8" i="51"/>
  <c r="K8" i="29"/>
  <c r="K8" i="33"/>
  <c r="K9" i="51"/>
  <c r="K8" i="25"/>
  <c r="K8" i="24"/>
  <c r="K9" i="25"/>
  <c r="K9" i="24"/>
  <c r="K8" i="22"/>
  <c r="K9" i="22"/>
  <c r="K9" i="20"/>
  <c r="K8" i="20"/>
  <c r="K8" i="19"/>
  <c r="J36" i="13"/>
  <c r="K9" i="19"/>
  <c r="K39" i="13"/>
  <c r="K38" i="13"/>
  <c r="K37" i="13"/>
  <c r="J39" i="13"/>
  <c r="J38" i="13"/>
  <c r="J37" i="13"/>
  <c r="K36" i="13"/>
  <c r="K8" i="13"/>
  <c r="K9" i="13"/>
  <c r="B37" i="4" l="1"/>
  <c r="E99" i="4"/>
  <c r="F75" i="4"/>
  <c r="B36" i="4"/>
  <c r="B16" i="10" s="1"/>
  <c r="E136" i="4"/>
  <c r="B38" i="4"/>
  <c r="D38" i="4" s="1"/>
  <c r="C136" i="4"/>
  <c r="F96" i="4"/>
  <c r="B34" i="4"/>
  <c r="C114" i="4"/>
  <c r="E96" i="4"/>
  <c r="F117" i="4"/>
  <c r="C55" i="4"/>
  <c r="B75" i="4"/>
  <c r="F113" i="4"/>
  <c r="C120" i="4"/>
  <c r="B35" i="4"/>
  <c r="F100" i="4"/>
  <c r="C126" i="4"/>
  <c r="B134" i="4"/>
  <c r="B15" i="10" s="1"/>
  <c r="C122" i="4"/>
  <c r="C137" i="4"/>
  <c r="C78" i="4"/>
  <c r="B136" i="4"/>
  <c r="B33" i="10" s="1"/>
  <c r="C39" i="4"/>
  <c r="F78" i="4"/>
  <c r="B7" i="4"/>
  <c r="B9" i="10" s="1"/>
  <c r="E120" i="4"/>
  <c r="E48" i="72"/>
  <c r="E108" i="4"/>
  <c r="B12" i="4"/>
  <c r="B41" i="10" s="1"/>
  <c r="B10" i="4"/>
  <c r="B20" i="10" s="1"/>
  <c r="F34" i="4"/>
  <c r="C99" i="4"/>
  <c r="C34" i="4"/>
  <c r="C107" i="4"/>
  <c r="C134" i="4"/>
  <c r="B86" i="4"/>
  <c r="C37" i="4"/>
  <c r="E121" i="4"/>
  <c r="E35" i="4"/>
  <c r="B54" i="4"/>
  <c r="B120" i="4"/>
  <c r="C49" i="4"/>
  <c r="C100" i="4"/>
  <c r="E110" i="4"/>
  <c r="F109" i="4"/>
  <c r="E75" i="4"/>
  <c r="B9" i="4"/>
  <c r="C57" i="4"/>
  <c r="E137" i="4"/>
  <c r="B88" i="4"/>
  <c r="E135" i="4"/>
  <c r="F25" i="10" s="1"/>
  <c r="E100" i="4"/>
  <c r="F110" i="4"/>
  <c r="E125" i="4"/>
  <c r="E124" i="4"/>
  <c r="B137" i="4"/>
  <c r="B44" i="10" s="1"/>
  <c r="E86" i="4"/>
  <c r="C124" i="4"/>
  <c r="C12" i="4"/>
  <c r="C28" i="4"/>
  <c r="E28" i="18" s="1"/>
  <c r="C75" i="4"/>
  <c r="F134" i="4"/>
  <c r="E68" i="4"/>
  <c r="C109" i="4"/>
  <c r="F12" i="4"/>
  <c r="G20" i="9"/>
  <c r="B107" i="4"/>
  <c r="B96" i="4"/>
  <c r="C54" i="4"/>
  <c r="C9" i="4"/>
  <c r="C38" i="4"/>
  <c r="B58" i="4"/>
  <c r="B8" i="4"/>
  <c r="F107" i="4"/>
  <c r="C11" i="4"/>
  <c r="C79" i="4"/>
  <c r="B49" i="4"/>
  <c r="B108" i="4"/>
  <c r="C113" i="4"/>
  <c r="F114" i="4"/>
  <c r="B79" i="4"/>
  <c r="B118" i="4"/>
  <c r="B124" i="4"/>
  <c r="B28" i="4"/>
  <c r="D28" i="4" s="1"/>
  <c r="F122" i="4"/>
  <c r="F11" i="4"/>
  <c r="B112" i="4"/>
  <c r="C7" i="4"/>
  <c r="E7" i="72" s="1"/>
  <c r="C36" i="4"/>
  <c r="B100" i="4"/>
  <c r="E113" i="4"/>
  <c r="B121" i="4"/>
  <c r="B57" i="4"/>
  <c r="F137" i="4"/>
  <c r="B110" i="4"/>
  <c r="B126" i="4"/>
  <c r="F116" i="4"/>
  <c r="E10" i="4"/>
  <c r="F20" i="10" s="1"/>
  <c r="E34" i="4"/>
  <c r="F120" i="4"/>
  <c r="E11" i="4"/>
  <c r="F30" i="10" s="1"/>
  <c r="C116" i="4"/>
  <c r="B55" i="4"/>
  <c r="B135" i="4"/>
  <c r="B25" i="10" s="1"/>
  <c r="C58" i="4"/>
  <c r="F112" i="4"/>
  <c r="E78" i="4"/>
  <c r="B68" i="4"/>
  <c r="B13" i="10" s="1"/>
  <c r="E116" i="4"/>
  <c r="C10" i="4"/>
  <c r="B114" i="4"/>
  <c r="F88" i="4"/>
  <c r="B39" i="4"/>
  <c r="E7" i="4"/>
  <c r="F9" i="10" s="1"/>
  <c r="F99" i="4"/>
  <c r="C121" i="4"/>
  <c r="F10" i="4"/>
  <c r="E114" i="4"/>
  <c r="B11" i="4"/>
  <c r="B30" i="10" s="1"/>
  <c r="C86" i="4"/>
  <c r="F135" i="4"/>
  <c r="C35" i="4"/>
  <c r="B48" i="4"/>
  <c r="B113" i="4"/>
  <c r="F89" i="4"/>
  <c r="E79" i="4"/>
  <c r="C67" i="4"/>
  <c r="F126" i="4"/>
  <c r="E109" i="4"/>
  <c r="C108" i="4"/>
  <c r="F125" i="4"/>
  <c r="C125" i="4"/>
  <c r="H18" i="9"/>
  <c r="G16" i="9"/>
  <c r="M65" i="8" s="1"/>
  <c r="E122" i="4"/>
  <c r="F136" i="4"/>
  <c r="E67" i="4"/>
  <c r="F86" i="4"/>
  <c r="B99" i="4"/>
  <c r="E12" i="4"/>
  <c r="F41" i="10" s="1"/>
  <c r="C112" i="4"/>
  <c r="C135" i="4"/>
  <c r="E107" i="4"/>
  <c r="B78" i="4"/>
  <c r="E134" i="4"/>
  <c r="F15" i="10" s="1"/>
  <c r="C96" i="4"/>
  <c r="F121" i="4"/>
  <c r="F7" i="4"/>
  <c r="E112" i="4"/>
  <c r="G112" i="4" s="1"/>
  <c r="C8" i="4"/>
  <c r="F35" i="4"/>
  <c r="E88" i="4"/>
  <c r="B122" i="4"/>
  <c r="C68" i="4"/>
  <c r="B67" i="4"/>
  <c r="C89" i="4"/>
  <c r="E89" i="4"/>
  <c r="F23" i="10" s="1"/>
  <c r="F79" i="4"/>
  <c r="E126" i="4"/>
  <c r="E117" i="4"/>
  <c r="C118" i="4"/>
  <c r="B125" i="4"/>
  <c r="C110" i="4"/>
  <c r="B116" i="4"/>
  <c r="C117" i="4"/>
  <c r="F124" i="4"/>
  <c r="F67" i="4"/>
  <c r="H9" i="9"/>
  <c r="C88" i="4"/>
  <c r="B89" i="4"/>
  <c r="B23" i="10" s="1"/>
  <c r="F68" i="4"/>
  <c r="B109" i="4"/>
  <c r="B117" i="4"/>
  <c r="F108" i="4"/>
  <c r="G13" i="9"/>
  <c r="G14" i="9"/>
  <c r="H23" i="9"/>
  <c r="B41" i="9"/>
  <c r="B42" i="9"/>
  <c r="C42" i="9"/>
  <c r="C39" i="9"/>
  <c r="C40" i="9"/>
  <c r="H41" i="9"/>
  <c r="H30" i="9"/>
  <c r="H13" i="9"/>
  <c r="H36" i="9"/>
  <c r="G12" i="9"/>
  <c r="G19" i="9"/>
  <c r="H35" i="9"/>
  <c r="H11" i="9"/>
  <c r="H37" i="9"/>
  <c r="G11" i="9"/>
  <c r="H12" i="9"/>
  <c r="C38" i="9"/>
  <c r="G25" i="9"/>
  <c r="G27" i="9"/>
  <c r="G29" i="9"/>
  <c r="H22" i="9"/>
  <c r="G23" i="9"/>
  <c r="B35" i="9"/>
  <c r="B40" i="9"/>
  <c r="C30" i="9"/>
  <c r="K135" i="26"/>
  <c r="K7" i="35"/>
  <c r="H29" i="29"/>
  <c r="K121" i="13"/>
  <c r="H121" i="33"/>
  <c r="H29" i="20"/>
  <c r="H125" i="33"/>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H34" i="33"/>
  <c r="H12" i="33"/>
  <c r="H79" i="27"/>
  <c r="H125" i="29"/>
  <c r="K109" i="20"/>
  <c r="K108" i="23"/>
  <c r="D55" i="22"/>
  <c r="K22" i="23"/>
  <c r="K100" i="27"/>
  <c r="H40" i="9"/>
  <c r="K107" i="33"/>
  <c r="K100" i="33"/>
  <c r="K75" i="33"/>
  <c r="K122" i="33"/>
  <c r="H86" i="35"/>
  <c r="K114" i="33"/>
  <c r="H29" i="33"/>
  <c r="D58" i="22"/>
  <c r="H75" i="33"/>
  <c r="D37" i="13"/>
  <c r="K89" i="20"/>
  <c r="H100" i="20"/>
  <c r="K89" i="23"/>
  <c r="K68" i="23"/>
  <c r="K28" i="24"/>
  <c r="H135" i="26"/>
  <c r="H22" i="29"/>
  <c r="K113" i="35"/>
  <c r="K12" i="35"/>
  <c r="K109" i="35"/>
  <c r="H12" i="35"/>
  <c r="H96" i="33"/>
  <c r="H117" i="33"/>
  <c r="K100" i="20"/>
  <c r="K28" i="25"/>
  <c r="K136" i="34"/>
  <c r="K96" i="33"/>
  <c r="H35" i="33"/>
  <c r="D49" i="33"/>
  <c r="K117" i="33"/>
  <c r="H100" i="27"/>
  <c r="H109" i="35"/>
  <c r="K28" i="23"/>
  <c r="H114" i="33"/>
  <c r="K113" i="20"/>
  <c r="K109" i="27"/>
  <c r="K89" i="33"/>
  <c r="K11" i="35"/>
  <c r="D58" i="33"/>
  <c r="H113" i="35"/>
  <c r="H100" i="23"/>
  <c r="C37" i="9"/>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9"/>
  <c r="K10" i="13"/>
  <c r="H121" i="13"/>
  <c r="K7" i="20"/>
  <c r="K10" i="20"/>
  <c r="K22" i="24"/>
  <c r="D49" i="26"/>
  <c r="K11" i="29"/>
  <c r="H22" i="35"/>
  <c r="H113" i="29"/>
  <c r="H7" i="35"/>
  <c r="H11" i="35"/>
  <c r="K7" i="33"/>
  <c r="H89" i="33"/>
  <c r="H107" i="33"/>
  <c r="K121" i="33"/>
  <c r="H89" i="13"/>
  <c r="K109" i="13"/>
  <c r="K67" i="13"/>
  <c r="K11" i="13"/>
  <c r="H22" i="20"/>
  <c r="H113" i="33"/>
  <c r="H107" i="35"/>
  <c r="D38" i="13"/>
  <c r="H12" i="23"/>
  <c r="H136" i="26"/>
  <c r="H89" i="27"/>
  <c r="K28" i="29"/>
  <c r="K34" i="29"/>
  <c r="H134" i="26"/>
  <c r="H137" i="26"/>
  <c r="K117" i="29"/>
  <c r="H109" i="20"/>
  <c r="H35" i="35"/>
  <c r="H79" i="23"/>
  <c r="H89" i="23"/>
  <c r="H117" i="23"/>
  <c r="K35" i="29"/>
  <c r="H117" i="29"/>
  <c r="D49" i="13"/>
  <c r="H38" i="9"/>
  <c r="H43" i="9"/>
  <c r="D39" i="13"/>
  <c r="H22" i="13"/>
  <c r="H113" i="20"/>
  <c r="H7" i="13"/>
  <c r="K35" i="13"/>
  <c r="K108" i="13"/>
  <c r="K12" i="13"/>
  <c r="H107" i="13"/>
  <c r="C43" i="9"/>
  <c r="H39" i="9"/>
  <c r="C41" i="9"/>
  <c r="D48" i="13"/>
  <c r="J10" i="13"/>
  <c r="D10" i="13"/>
  <c r="K28" i="13"/>
  <c r="K68" i="13"/>
  <c r="K112" i="13"/>
  <c r="K117" i="13"/>
  <c r="H35" i="13"/>
  <c r="H109" i="13"/>
  <c r="J89" i="13"/>
  <c r="D89" i="13"/>
  <c r="D11" i="13"/>
  <c r="J11" i="13"/>
  <c r="J9" i="19"/>
  <c r="D9" i="19"/>
  <c r="B34" i="9"/>
  <c r="K113" i="13"/>
  <c r="J9" i="13"/>
  <c r="D9" i="13"/>
  <c r="H68" i="13"/>
  <c r="J88" i="13"/>
  <c r="D88" i="13"/>
  <c r="H100" i="13"/>
  <c r="H12" i="13"/>
  <c r="C34" i="9"/>
  <c r="H34" i="9"/>
  <c r="G34" i="9"/>
  <c r="D78" i="13"/>
  <c r="J78" i="13"/>
  <c r="J12" i="13"/>
  <c r="D12" i="13"/>
  <c r="K120" i="13"/>
  <c r="J109" i="20"/>
  <c r="L109" i="20" s="1"/>
  <c r="C35" i="9"/>
  <c r="K88" i="13"/>
  <c r="H117" i="13"/>
  <c r="D35" i="13"/>
  <c r="J35" i="13"/>
  <c r="J68" i="13"/>
  <c r="K86" i="13"/>
  <c r="K89" i="13"/>
  <c r="J107" i="13"/>
  <c r="D107" i="13"/>
  <c r="D112" i="13"/>
  <c r="J112" i="13"/>
  <c r="J117" i="13"/>
  <c r="D86" i="13"/>
  <c r="J86" i="13"/>
  <c r="J125" i="13"/>
  <c r="G10" i="9"/>
  <c r="D8" i="20"/>
  <c r="J8" i="20"/>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D10" i="19"/>
  <c r="J10" i="19"/>
  <c r="J28" i="20"/>
  <c r="D28" i="20"/>
  <c r="B36" i="9"/>
  <c r="K79" i="20"/>
  <c r="K121" i="20"/>
  <c r="H77" i="20"/>
  <c r="D54" i="22"/>
  <c r="D22" i="23"/>
  <c r="J22" i="23"/>
  <c r="D28" i="24"/>
  <c r="J28" i="24"/>
  <c r="D28" i="25"/>
  <c r="J28" i="25"/>
  <c r="J100" i="27"/>
  <c r="J112" i="23"/>
  <c r="D112" i="23"/>
  <c r="J22" i="24"/>
  <c r="D22" i="24"/>
  <c r="J88" i="27"/>
  <c r="D88" i="27"/>
  <c r="D8" i="22"/>
  <c r="J8" i="22"/>
  <c r="D29" i="23"/>
  <c r="J29" i="23"/>
  <c r="G37" i="9"/>
  <c r="K112" i="23"/>
  <c r="D7" i="24"/>
  <c r="J7" i="24"/>
  <c r="J22" i="51"/>
  <c r="L22" i="51" s="1"/>
  <c r="D22" i="51"/>
  <c r="G21" i="9"/>
  <c r="K11" i="23"/>
  <c r="K35" i="23"/>
  <c r="J117" i="23"/>
  <c r="K29" i="24"/>
  <c r="D48" i="25"/>
  <c r="D9" i="22"/>
  <c r="J9" i="22"/>
  <c r="K12" i="23"/>
  <c r="K67" i="23"/>
  <c r="D78" i="23"/>
  <c r="K78" i="23"/>
  <c r="J108" i="23"/>
  <c r="D108" i="23"/>
  <c r="H113" i="23"/>
  <c r="J68" i="27"/>
  <c r="K88" i="27"/>
  <c r="H20" i="9"/>
  <c r="D67" i="29"/>
  <c r="K67" i="29"/>
  <c r="J75" i="33"/>
  <c r="D75" i="33"/>
  <c r="D48" i="26"/>
  <c r="H19" i="9"/>
  <c r="K67" i="27"/>
  <c r="J79" i="27"/>
  <c r="J121" i="27"/>
  <c r="D48" i="51"/>
  <c r="D53" i="40"/>
  <c r="D54" i="40"/>
  <c r="J28" i="29"/>
  <c r="D28" i="29"/>
  <c r="D136" i="26"/>
  <c r="J136" i="26"/>
  <c r="H68" i="27"/>
  <c r="H117" i="27"/>
  <c r="D7" i="29"/>
  <c r="J7" i="29"/>
  <c r="J10" i="35"/>
  <c r="J12" i="29"/>
  <c r="H12" i="29"/>
  <c r="J109" i="29"/>
  <c r="D109" i="29"/>
  <c r="K120" i="29"/>
  <c r="D68" i="29"/>
  <c r="J68" i="29"/>
  <c r="D86" i="29"/>
  <c r="K86" i="29"/>
  <c r="K89" i="29"/>
  <c r="K107" i="29"/>
  <c r="J112" i="29"/>
  <c r="D112" i="29"/>
  <c r="D116" i="29"/>
  <c r="J116" i="29"/>
  <c r="H121" i="29"/>
  <c r="J7" i="35"/>
  <c r="L7" i="35" s="1"/>
  <c r="K22" i="35"/>
  <c r="K29" i="35"/>
  <c r="J10" i="33"/>
  <c r="D10" i="33"/>
  <c r="J68" i="33"/>
  <c r="D68" i="33"/>
  <c r="D54" i="33"/>
  <c r="J86" i="35"/>
  <c r="J89" i="35"/>
  <c r="J107" i="35"/>
  <c r="D57" i="33"/>
  <c r="K78" i="33"/>
  <c r="K77" i="33"/>
  <c r="K112" i="33"/>
  <c r="K121" i="35"/>
  <c r="J8" i="33"/>
  <c r="D8" i="33"/>
  <c r="H11" i="33"/>
  <c r="K35" i="33"/>
  <c r="D96" i="33"/>
  <c r="J96" i="33"/>
  <c r="J108" i="33"/>
  <c r="D108" i="33"/>
  <c r="K110" i="33"/>
  <c r="D116" i="33"/>
  <c r="J116" i="33"/>
  <c r="D54" i="39"/>
  <c r="J8" i="13"/>
  <c r="D8" i="13"/>
  <c r="J28" i="13"/>
  <c r="D28" i="13"/>
  <c r="J34" i="13"/>
  <c r="D34" i="13"/>
  <c r="D67" i="13"/>
  <c r="J67" i="13"/>
  <c r="K79" i="13"/>
  <c r="G35" i="9"/>
  <c r="D100" i="13"/>
  <c r="J100" i="13"/>
  <c r="J116" i="13"/>
  <c r="D116" i="13"/>
  <c r="J121" i="13"/>
  <c r="D113" i="20"/>
  <c r="J113" i="20"/>
  <c r="K125" i="13"/>
  <c r="J8" i="19"/>
  <c r="D8" i="19"/>
  <c r="D79" i="20"/>
  <c r="J79" i="20"/>
  <c r="J121" i="20"/>
  <c r="D121" i="20"/>
  <c r="D57" i="22"/>
  <c r="J9" i="20"/>
  <c r="D9" i="20"/>
  <c r="H68" i="20"/>
  <c r="K22" i="20"/>
  <c r="K29" i="20"/>
  <c r="C36" i="9"/>
  <c r="H79" i="20"/>
  <c r="H121" i="20"/>
  <c r="J113" i="23"/>
  <c r="J125" i="27"/>
  <c r="K7" i="22"/>
  <c r="J12" i="35"/>
  <c r="D49" i="22"/>
  <c r="J10" i="23"/>
  <c r="J34" i="23"/>
  <c r="K113" i="23"/>
  <c r="J125" i="23"/>
  <c r="J8" i="24"/>
  <c r="D8" i="24"/>
  <c r="G17" i="9"/>
  <c r="M66" i="8" s="1"/>
  <c r="J7" i="25"/>
  <c r="D7" i="25"/>
  <c r="J10" i="25"/>
  <c r="D10" i="25"/>
  <c r="J12" i="23"/>
  <c r="J78" i="23"/>
  <c r="K7" i="24"/>
  <c r="D10" i="24"/>
  <c r="J10" i="24"/>
  <c r="H29" i="23"/>
  <c r="J68" i="23"/>
  <c r="K79" i="23"/>
  <c r="J88" i="23"/>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G24" i="9"/>
  <c r="D88" i="29"/>
  <c r="J11" i="33"/>
  <c r="J121" i="29"/>
  <c r="J134" i="34"/>
  <c r="D134" i="34"/>
  <c r="H29" i="35"/>
  <c r="K108" i="29"/>
  <c r="D48" i="34"/>
  <c r="J22" i="35"/>
  <c r="J29" i="35"/>
  <c r="H77" i="29"/>
  <c r="H107" i="29"/>
  <c r="K112" i="29"/>
  <c r="J117" i="29"/>
  <c r="J135" i="34"/>
  <c r="D135" i="34"/>
  <c r="K34" i="35"/>
  <c r="J117" i="35"/>
  <c r="J9" i="33"/>
  <c r="D9" i="33"/>
  <c r="J78" i="33"/>
  <c r="D78" i="33"/>
  <c r="J22" i="33"/>
  <c r="D22" i="33"/>
  <c r="J29" i="33"/>
  <c r="D29" i="33"/>
  <c r="J67" i="33"/>
  <c r="K79" i="33"/>
  <c r="H42" i="9"/>
  <c r="K86" i="35"/>
  <c r="K89" i="35"/>
  <c r="K107" i="35"/>
  <c r="H117" i="35"/>
  <c r="H77" i="33"/>
  <c r="J99" i="33"/>
  <c r="D99" i="33"/>
  <c r="D109" i="33"/>
  <c r="J109" i="33"/>
  <c r="D48" i="38"/>
  <c r="G43" i="9"/>
  <c r="J112" i="33"/>
  <c r="D112" i="33"/>
  <c r="D117" i="33"/>
  <c r="J117" i="33"/>
  <c r="D48" i="39"/>
  <c r="D47" i="39"/>
  <c r="D56" i="21"/>
  <c r="D57" i="21"/>
  <c r="K28" i="20"/>
  <c r="J89" i="20"/>
  <c r="D89" i="20"/>
  <c r="J28" i="23"/>
  <c r="D28" i="23"/>
  <c r="D48" i="21"/>
  <c r="D57" i="25"/>
  <c r="J11" i="23"/>
  <c r="J35" i="23"/>
  <c r="J8" i="25"/>
  <c r="D8" i="25"/>
  <c r="J9" i="51"/>
  <c r="D9" i="51"/>
  <c r="K29" i="23"/>
  <c r="J67" i="23"/>
  <c r="D67" i="23"/>
  <c r="J79" i="23"/>
  <c r="J99" i="23"/>
  <c r="D99" i="23"/>
  <c r="J120" i="23"/>
  <c r="D120" i="23"/>
  <c r="K125" i="23"/>
  <c r="K7" i="25"/>
  <c r="K10" i="25"/>
  <c r="D48" i="22"/>
  <c r="H10" i="23"/>
  <c r="H34" i="23"/>
  <c r="J89" i="23"/>
  <c r="K100" i="23"/>
  <c r="K116" i="23"/>
  <c r="J121" i="23"/>
  <c r="H125" i="23"/>
  <c r="J9" i="24"/>
  <c r="D9" i="24"/>
  <c r="D54" i="25"/>
  <c r="D99" i="27"/>
  <c r="J99" i="27"/>
  <c r="J113" i="27"/>
  <c r="D57" i="41"/>
  <c r="K113" i="27"/>
  <c r="J7" i="51"/>
  <c r="D7" i="51"/>
  <c r="D10" i="51"/>
  <c r="J10" i="51"/>
  <c r="J34" i="29"/>
  <c r="D34" i="29"/>
  <c r="K78" i="27"/>
  <c r="K120" i="27"/>
  <c r="H125" i="27"/>
  <c r="D10" i="29"/>
  <c r="J10" i="29"/>
  <c r="J89" i="29"/>
  <c r="D89" i="29"/>
  <c r="J11" i="35"/>
  <c r="H10" i="29"/>
  <c r="K22" i="29"/>
  <c r="K29" i="29"/>
  <c r="J120" i="29"/>
  <c r="D120" i="29"/>
  <c r="J107" i="29"/>
  <c r="D107" i="29"/>
  <c r="H34" i="35"/>
  <c r="K78" i="29"/>
  <c r="K99" i="29"/>
  <c r="K109" i="29"/>
  <c r="J125" i="29"/>
  <c r="K134" i="34"/>
  <c r="J34" i="35"/>
  <c r="J68" i="35"/>
  <c r="H28" i="9"/>
  <c r="H79" i="29"/>
  <c r="J113" i="29"/>
  <c r="K125" i="29"/>
  <c r="K35" i="35"/>
  <c r="K68" i="35"/>
  <c r="D48" i="33"/>
  <c r="K117" i="35"/>
  <c r="G65" i="9"/>
  <c r="D67" i="33"/>
  <c r="K67" i="33"/>
  <c r="J79" i="33"/>
  <c r="D79" i="33"/>
  <c r="J28" i="33"/>
  <c r="D28" i="33"/>
  <c r="J34" i="33"/>
  <c r="K86" i="33"/>
  <c r="D122" i="33"/>
  <c r="J122" i="33"/>
  <c r="J113" i="35"/>
  <c r="K22" i="33"/>
  <c r="K29" i="33"/>
  <c r="H79" i="33"/>
  <c r="J88" i="33"/>
  <c r="D88" i="33"/>
  <c r="J100" i="33"/>
  <c r="D100" i="33"/>
  <c r="K120" i="33"/>
  <c r="D113" i="33"/>
  <c r="J113" i="33"/>
  <c r="D57" i="39"/>
  <c r="D54" i="21"/>
  <c r="D53" i="21"/>
  <c r="J22" i="20"/>
  <c r="D22" i="20"/>
  <c r="J29" i="20"/>
  <c r="D29" i="20"/>
  <c r="D48" i="20"/>
  <c r="K77" i="20"/>
  <c r="J7" i="23"/>
  <c r="G15" i="9"/>
  <c r="K10" i="22"/>
  <c r="K88" i="23"/>
  <c r="J35" i="29"/>
  <c r="D7" i="22"/>
  <c r="J7" i="22"/>
  <c r="D10" i="22"/>
  <c r="J10" i="22"/>
  <c r="H121" i="23"/>
  <c r="J29" i="24"/>
  <c r="D29" i="24"/>
  <c r="J89" i="27"/>
  <c r="K10" i="23"/>
  <c r="K34" i="23"/>
  <c r="H68" i="23"/>
  <c r="J100" i="23"/>
  <c r="D116" i="23"/>
  <c r="J116" i="23"/>
  <c r="J108" i="27"/>
  <c r="D108" i="27"/>
  <c r="J28" i="51"/>
  <c r="L28" i="51" s="1"/>
  <c r="D28" i="51"/>
  <c r="H11" i="23"/>
  <c r="H35" i="23"/>
  <c r="K117" i="23"/>
  <c r="J9" i="25"/>
  <c r="D9" i="25"/>
  <c r="J109" i="27"/>
  <c r="D67" i="27"/>
  <c r="J67" i="27"/>
  <c r="K99" i="27"/>
  <c r="K125" i="27"/>
  <c r="G22" i="9"/>
  <c r="K136" i="26"/>
  <c r="J78" i="27"/>
  <c r="D78" i="27"/>
  <c r="D120" i="27"/>
  <c r="J120" i="27"/>
  <c r="J8" i="51"/>
  <c r="D8" i="51"/>
  <c r="G18" i="9"/>
  <c r="D135" i="26"/>
  <c r="J135" i="26"/>
  <c r="K79" i="27"/>
  <c r="K121" i="27"/>
  <c r="D57" i="40"/>
  <c r="D54" i="41"/>
  <c r="J8" i="29"/>
  <c r="D8" i="29"/>
  <c r="J11" i="29"/>
  <c r="J99" i="29"/>
  <c r="D99" i="29"/>
  <c r="D120" i="33"/>
  <c r="J120" i="33"/>
  <c r="D9" i="29"/>
  <c r="J9" i="29"/>
  <c r="H11" i="29"/>
  <c r="H34" i="29"/>
  <c r="J100" i="29"/>
  <c r="D100" i="29"/>
  <c r="J136" i="34"/>
  <c r="D136" i="34"/>
  <c r="J108" i="29"/>
  <c r="D108" i="29"/>
  <c r="J12" i="33"/>
  <c r="D125" i="33"/>
  <c r="J125" i="33"/>
  <c r="J67" i="29"/>
  <c r="D79" i="29"/>
  <c r="K79" i="29"/>
  <c r="K88" i="29"/>
  <c r="K100" i="29"/>
  <c r="K121" i="29"/>
  <c r="J35" i="35"/>
  <c r="K99" i="33"/>
  <c r="K98" i="33"/>
  <c r="H86" i="29"/>
  <c r="H99" i="29"/>
  <c r="H109" i="29"/>
  <c r="K88" i="33"/>
  <c r="J86" i="33"/>
  <c r="D121" i="33"/>
  <c r="J121" i="33"/>
  <c r="J121" i="35"/>
  <c r="J35" i="33"/>
  <c r="D35" i="33"/>
  <c r="J109" i="35"/>
  <c r="J7" i="33"/>
  <c r="D7" i="33"/>
  <c r="H10" i="33"/>
  <c r="K28" i="33"/>
  <c r="K34" i="33"/>
  <c r="H86" i="33"/>
  <c r="J89" i="33"/>
  <c r="D89" i="33"/>
  <c r="J107" i="33"/>
  <c r="J110" i="33"/>
  <c r="D110" i="33"/>
  <c r="K109" i="33"/>
  <c r="H109" i="33"/>
  <c r="J114" i="33"/>
  <c r="D114" i="33"/>
  <c r="G28" i="9"/>
  <c r="G30" i="9"/>
  <c r="B10" i="10"/>
  <c r="F42" i="10"/>
  <c r="F21" i="10"/>
  <c r="F10" i="10"/>
  <c r="F31" i="10"/>
  <c r="B26" i="10"/>
  <c r="G114" i="4" l="1"/>
  <c r="G113" i="4"/>
  <c r="E34" i="37"/>
  <c r="E34" i="13"/>
  <c r="D34" i="4"/>
  <c r="E34" i="29"/>
  <c r="G109" i="4"/>
  <c r="B34" i="10"/>
  <c r="E28" i="13"/>
  <c r="D35" i="4"/>
  <c r="E35" i="13"/>
  <c r="G107" i="4"/>
  <c r="G96" i="4"/>
  <c r="G100" i="4"/>
  <c r="G117" i="4"/>
  <c r="G89" i="4"/>
  <c r="G75" i="4"/>
  <c r="E28" i="33"/>
  <c r="E35" i="33"/>
  <c r="G79" i="4"/>
  <c r="G108" i="4"/>
  <c r="G116" i="4"/>
  <c r="G86" i="4"/>
  <c r="L10" i="22"/>
  <c r="G124" i="4"/>
  <c r="G125" i="4"/>
  <c r="G121" i="4"/>
  <c r="F13" i="10"/>
  <c r="G68" i="4"/>
  <c r="E28" i="23"/>
  <c r="E28" i="25"/>
  <c r="E28" i="37"/>
  <c r="E28" i="20"/>
  <c r="E28" i="29"/>
  <c r="E28" i="51"/>
  <c r="E28" i="24"/>
  <c r="E35" i="37"/>
  <c r="D53" i="41"/>
  <c r="L110" i="33"/>
  <c r="L10" i="51"/>
  <c r="K77" i="27"/>
  <c r="H77" i="27"/>
  <c r="L7" i="51"/>
  <c r="H77" i="13"/>
  <c r="B56" i="4"/>
  <c r="B49" i="10" s="1"/>
  <c r="B119" i="4"/>
  <c r="B43" i="10" s="1"/>
  <c r="C119" i="4"/>
  <c r="F119" i="4"/>
  <c r="B47" i="4"/>
  <c r="B11" i="10" s="1"/>
  <c r="B77" i="4"/>
  <c r="C53" i="4"/>
  <c r="B111" i="4"/>
  <c r="E111" i="4"/>
  <c r="C47" i="4"/>
  <c r="E47" i="72" s="1"/>
  <c r="F111" i="4"/>
  <c r="B98" i="4"/>
  <c r="E98" i="4"/>
  <c r="B53" i="4"/>
  <c r="B38" i="10" s="1"/>
  <c r="C56" i="4"/>
  <c r="C111" i="4"/>
  <c r="C98" i="4"/>
  <c r="E77" i="4"/>
  <c r="E119" i="4"/>
  <c r="F43" i="10" s="1"/>
  <c r="F98" i="4"/>
  <c r="F77" i="4"/>
  <c r="E66" i="4"/>
  <c r="B66" i="4"/>
  <c r="E87" i="4"/>
  <c r="C66" i="4"/>
  <c r="F87" i="4"/>
  <c r="C87" i="4"/>
  <c r="C77" i="4"/>
  <c r="B87" i="4"/>
  <c r="B22" i="10" s="1"/>
  <c r="F66" i="4"/>
  <c r="B42" i="10"/>
  <c r="E99" i="18"/>
  <c r="E116" i="18"/>
  <c r="D29" i="4"/>
  <c r="E88" i="18"/>
  <c r="E9" i="18"/>
  <c r="E9" i="72"/>
  <c r="E67" i="18"/>
  <c r="E8" i="18"/>
  <c r="E112" i="18"/>
  <c r="E108" i="18"/>
  <c r="E120" i="18"/>
  <c r="E78" i="18"/>
  <c r="E124" i="18"/>
  <c r="D37" i="4"/>
  <c r="L10" i="19"/>
  <c r="D36" i="4"/>
  <c r="D39" i="4"/>
  <c r="I33" i="18"/>
  <c r="I33" i="37"/>
  <c r="I33" i="33"/>
  <c r="I33" i="35"/>
  <c r="I33" i="29"/>
  <c r="I33" i="23"/>
  <c r="I33" i="20"/>
  <c r="B31" i="10"/>
  <c r="H119" i="20"/>
  <c r="D110" i="4"/>
  <c r="L117" i="35"/>
  <c r="L10" i="25"/>
  <c r="L122" i="33"/>
  <c r="L135" i="26"/>
  <c r="E38" i="13"/>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E137" i="37"/>
  <c r="I114" i="37"/>
  <c r="I96" i="37"/>
  <c r="E75" i="37"/>
  <c r="E36" i="37"/>
  <c r="I120" i="37"/>
  <c r="E49" i="37"/>
  <c r="I100" i="37"/>
  <c r="I100" i="18"/>
  <c r="E89" i="37"/>
  <c r="D114" i="4"/>
  <c r="I12" i="37"/>
  <c r="I12" i="18"/>
  <c r="E37" i="37"/>
  <c r="I22" i="37"/>
  <c r="I22" i="18"/>
  <c r="I121" i="37"/>
  <c r="I121" i="18"/>
  <c r="I29" i="37"/>
  <c r="I29" i="18"/>
  <c r="I79" i="37"/>
  <c r="I79" i="18"/>
  <c r="I116" i="37"/>
  <c r="I116" i="18"/>
  <c r="I35" i="37"/>
  <c r="I35" i="18"/>
  <c r="I75" i="37"/>
  <c r="E135" i="37"/>
  <c r="I112" i="37"/>
  <c r="I108" i="37"/>
  <c r="I108" i="18"/>
  <c r="E10" i="37"/>
  <c r="E10" i="18"/>
  <c r="E57" i="37"/>
  <c r="I7" i="37"/>
  <c r="I7" i="18"/>
  <c r="E9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113" i="37"/>
  <c r="E88" i="37"/>
  <c r="E86" i="37"/>
  <c r="E108" i="37"/>
  <c r="E121" i="37"/>
  <c r="E120" i="37"/>
  <c r="H66" i="27"/>
  <c r="D47" i="38"/>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9" i="8"/>
  <c r="C12" i="9"/>
  <c r="N114" i="8"/>
  <c r="C24" i="9"/>
  <c r="C13" i="9"/>
  <c r="C22" i="9"/>
  <c r="C27" i="9"/>
  <c r="K119" i="20"/>
  <c r="K111" i="13"/>
  <c r="L107" i="33"/>
  <c r="L100" i="33"/>
  <c r="L100" i="20"/>
  <c r="N142" i="8"/>
  <c r="M114" i="8"/>
  <c r="L108" i="13"/>
  <c r="D56" i="40"/>
  <c r="N143" i="8"/>
  <c r="L109" i="35"/>
  <c r="H119" i="23"/>
  <c r="L116" i="33"/>
  <c r="L100" i="27"/>
  <c r="C19" i="9"/>
  <c r="D53" i="22"/>
  <c r="L35" i="33"/>
  <c r="L67" i="29"/>
  <c r="L29" i="20"/>
  <c r="L116" i="23"/>
  <c r="L12" i="35"/>
  <c r="H87" i="27"/>
  <c r="L108" i="23"/>
  <c r="L28" i="25"/>
  <c r="H98" i="13"/>
  <c r="K111" i="29"/>
  <c r="D47" i="33"/>
  <c r="D56" i="25"/>
  <c r="L117" i="33"/>
  <c r="L10" i="35"/>
  <c r="L12" i="13"/>
  <c r="K66" i="35"/>
  <c r="N137" i="8"/>
  <c r="L99" i="23"/>
  <c r="L7" i="20"/>
  <c r="K119" i="13"/>
  <c r="M116" i="8"/>
  <c r="K66" i="23"/>
  <c r="K87" i="35"/>
  <c r="M111" i="8"/>
  <c r="L11" i="33"/>
  <c r="H119" i="13"/>
  <c r="C14" i="9"/>
  <c r="G9" i="9"/>
  <c r="N141" i="8"/>
  <c r="L7" i="13"/>
  <c r="M140" i="8"/>
  <c r="N136" i="8"/>
  <c r="B28" i="9"/>
  <c r="M117" i="8"/>
  <c r="M141" i="8"/>
  <c r="N113" i="8"/>
  <c r="N138" i="8"/>
  <c r="N144" i="8"/>
  <c r="C9" i="9"/>
  <c r="C28" i="9"/>
  <c r="C21" i="9"/>
  <c r="C17" i="9"/>
  <c r="M113" i="8"/>
  <c r="B11" i="9"/>
  <c r="B15" i="9"/>
  <c r="B9" i="9"/>
  <c r="M118" i="8"/>
  <c r="H119" i="33"/>
  <c r="L125" i="33"/>
  <c r="L121" i="23"/>
  <c r="M115" i="8"/>
  <c r="M139" i="8"/>
  <c r="L116" i="13"/>
  <c r="N117" i="8"/>
  <c r="L10" i="33"/>
  <c r="C18" i="9"/>
  <c r="B18" i="9"/>
  <c r="L22" i="13"/>
  <c r="L107" i="13"/>
  <c r="B10" i="9"/>
  <c r="L10" i="13"/>
  <c r="L121" i="33"/>
  <c r="C25" i="9"/>
  <c r="K98" i="27"/>
  <c r="H87" i="23"/>
  <c r="L29" i="24"/>
  <c r="L7" i="23"/>
  <c r="H87" i="33"/>
  <c r="L120" i="29"/>
  <c r="D47" i="22"/>
  <c r="L11" i="23"/>
  <c r="L117" i="29"/>
  <c r="B23" i="9"/>
  <c r="N115" i="8"/>
  <c r="K119" i="23"/>
  <c r="L34" i="13"/>
  <c r="M143" i="8"/>
  <c r="B21" i="9"/>
  <c r="B19" i="9"/>
  <c r="N140" i="8"/>
  <c r="L22" i="24"/>
  <c r="L7" i="19"/>
  <c r="N111" i="8"/>
  <c r="M112" i="8"/>
  <c r="C10" i="9"/>
  <c r="L11" i="13"/>
  <c r="C11" i="9"/>
  <c r="C29" i="9"/>
  <c r="F14" i="10"/>
  <c r="E48" i="39"/>
  <c r="I89" i="20"/>
  <c r="I89" i="13"/>
  <c r="I89" i="29"/>
  <c r="I89" i="35"/>
  <c r="I89" i="33"/>
  <c r="I89" i="27"/>
  <c r="I89" i="23"/>
  <c r="G23" i="10"/>
  <c r="I35" i="23"/>
  <c r="I35" i="29"/>
  <c r="I35" i="35"/>
  <c r="I35" i="33"/>
  <c r="I35" i="13"/>
  <c r="G42" i="10"/>
  <c r="I134" i="26"/>
  <c r="G15" i="10"/>
  <c r="I10" i="23"/>
  <c r="I10" i="35"/>
  <c r="I10" i="29"/>
  <c r="I10" i="33"/>
  <c r="I10" i="13"/>
  <c r="G20" i="10"/>
  <c r="E49" i="39"/>
  <c r="I23" i="33"/>
  <c r="I23" i="13"/>
  <c r="I23" i="23"/>
  <c r="I23" i="29"/>
  <c r="I23" i="35"/>
  <c r="E54" i="39"/>
  <c r="I114" i="33"/>
  <c r="C25" i="10"/>
  <c r="C31" i="10"/>
  <c r="C9" i="10"/>
  <c r="C23" i="10"/>
  <c r="I137" i="26"/>
  <c r="G44" i="10"/>
  <c r="C41" i="10"/>
  <c r="I86" i="29"/>
  <c r="I86" i="33"/>
  <c r="I86" i="35"/>
  <c r="C21" i="10"/>
  <c r="C33" i="10"/>
  <c r="C16" i="10"/>
  <c r="H16" i="9"/>
  <c r="N65" i="8" s="1"/>
  <c r="B14" i="9"/>
  <c r="M144" i="8"/>
  <c r="B12" i="9"/>
  <c r="H65" i="9"/>
  <c r="H17" i="9"/>
  <c r="N66" i="8" s="1"/>
  <c r="M138" i="8"/>
  <c r="N112" i="8"/>
  <c r="G39"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2" i="8"/>
  <c r="N116" i="8"/>
  <c r="B38" i="9"/>
  <c r="B13" i="9"/>
  <c r="B30" i="9"/>
  <c r="G42" i="9"/>
  <c r="B39" i="9"/>
  <c r="H21" i="9"/>
  <c r="C15" i="9"/>
  <c r="B29" i="9"/>
  <c r="H27" i="9"/>
  <c r="B37" i="9"/>
  <c r="B17" i="9"/>
  <c r="I106" i="20"/>
  <c r="I106" i="23"/>
  <c r="I106" i="13"/>
  <c r="I106" i="29"/>
  <c r="I106" i="33"/>
  <c r="I106" i="27"/>
  <c r="I136" i="26"/>
  <c r="G33" i="10"/>
  <c r="I7" i="29"/>
  <c r="I7" i="33"/>
  <c r="I7" i="23"/>
  <c r="I7" i="35"/>
  <c r="I7" i="13"/>
  <c r="G9" i="10"/>
  <c r="I92" i="29"/>
  <c r="B45" i="10"/>
  <c r="I91" i="13"/>
  <c r="I91" i="29"/>
  <c r="I31" i="35"/>
  <c r="I31" i="13"/>
  <c r="I31" i="33"/>
  <c r="I31" i="23"/>
  <c r="I31" i="29"/>
  <c r="C45" i="10"/>
  <c r="I105" i="29"/>
  <c r="C42" i="10"/>
  <c r="I24" i="13"/>
  <c r="I24" i="33"/>
  <c r="I24" i="29"/>
  <c r="I94" i="29"/>
  <c r="I94" i="35"/>
  <c r="C15" i="10"/>
  <c r="B27" i="9"/>
  <c r="B20" i="9"/>
  <c r="H15" i="9"/>
  <c r="M137" i="8"/>
  <c r="B43" i="9"/>
  <c r="G41" i="9"/>
  <c r="C23" i="9"/>
  <c r="H10" i="9"/>
  <c r="N118" i="8"/>
  <c r="C16" i="9"/>
  <c r="H29" i="9"/>
  <c r="C13" i="10"/>
  <c r="I85" i="20"/>
  <c r="I85" i="13"/>
  <c r="I85" i="27"/>
  <c r="I85" i="29"/>
  <c r="I85" i="23"/>
  <c r="I85" i="33"/>
  <c r="F44" i="10"/>
  <c r="I135" i="26"/>
  <c r="G25" i="10"/>
  <c r="I96" i="33"/>
  <c r="G24" i="10"/>
  <c r="E55" i="39"/>
  <c r="C14" i="10"/>
  <c r="I68" i="20"/>
  <c r="I68" i="23"/>
  <c r="I68" i="27"/>
  <c r="I68" i="29"/>
  <c r="I68" i="35"/>
  <c r="I68" i="33"/>
  <c r="I68" i="13"/>
  <c r="G13" i="10"/>
  <c r="I95" i="13"/>
  <c r="I95" i="20"/>
  <c r="I95" i="23"/>
  <c r="I95" i="27"/>
  <c r="I95" i="29"/>
  <c r="I95" i="33"/>
  <c r="G136" i="4"/>
  <c r="F33" i="10"/>
  <c r="I79" i="13"/>
  <c r="I79" i="20"/>
  <c r="I79" i="23"/>
  <c r="I79" i="33"/>
  <c r="I79" i="27"/>
  <c r="I79" i="29"/>
  <c r="I115" i="27"/>
  <c r="I109" i="20"/>
  <c r="I109" i="13"/>
  <c r="I109" i="27"/>
  <c r="I109" i="35"/>
  <c r="I109" i="29"/>
  <c r="I109" i="23"/>
  <c r="I109" i="33"/>
  <c r="I12" i="29"/>
  <c r="I12" i="33"/>
  <c r="I12" i="35"/>
  <c r="I12" i="23"/>
  <c r="I12" i="13"/>
  <c r="G41" i="10"/>
  <c r="I99" i="29"/>
  <c r="I11" i="13"/>
  <c r="I11" i="23"/>
  <c r="I11" i="35"/>
  <c r="I11" i="33"/>
  <c r="G30" i="10"/>
  <c r="I11" i="29"/>
  <c r="I84" i="29"/>
  <c r="F24" i="10"/>
  <c r="I125" i="13"/>
  <c r="I125" i="27"/>
  <c r="I125" i="23"/>
  <c r="I125" i="29"/>
  <c r="I125" i="33"/>
  <c r="C26" i="10"/>
  <c r="I34" i="13"/>
  <c r="I34" i="35"/>
  <c r="I34" i="23"/>
  <c r="I34" i="29"/>
  <c r="I34" i="33"/>
  <c r="G31" i="10"/>
  <c r="D96" i="4"/>
  <c r="B24" i="10"/>
  <c r="C24" i="10"/>
  <c r="I117" i="13"/>
  <c r="I117" i="23"/>
  <c r="I117" i="35"/>
  <c r="I117" i="29"/>
  <c r="I117" i="33"/>
  <c r="I117" i="27"/>
  <c r="C10" i="10"/>
  <c r="C20" i="10"/>
  <c r="D75" i="4"/>
  <c r="B14" i="10"/>
  <c r="E57" i="39"/>
  <c r="L120" i="27"/>
  <c r="K119" i="27"/>
  <c r="L120" i="23"/>
  <c r="L67" i="23"/>
  <c r="H98" i="33"/>
  <c r="L22" i="35"/>
  <c r="H87" i="20"/>
  <c r="L100" i="13"/>
  <c r="D53" i="39"/>
  <c r="D56" i="33"/>
  <c r="L109" i="29"/>
  <c r="L7" i="29"/>
  <c r="L28" i="29"/>
  <c r="L117" i="23"/>
  <c r="H98" i="23"/>
  <c r="L10" i="20"/>
  <c r="K98" i="13"/>
  <c r="L29" i="13"/>
  <c r="G38" i="9"/>
  <c r="B16" i="9"/>
  <c r="G40" i="9"/>
  <c r="B22" i="9"/>
  <c r="H14" i="9"/>
  <c r="B25" i="9"/>
  <c r="C20" i="9"/>
  <c r="G36" i="9"/>
  <c r="H25" i="9"/>
  <c r="B24" i="9"/>
  <c r="H24"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9" i="33"/>
  <c r="E48" i="33"/>
  <c r="E117" i="33"/>
  <c r="E110" i="33"/>
  <c r="E122" i="33"/>
  <c r="E75" i="33"/>
  <c r="E116" i="33"/>
  <c r="E10" i="33"/>
  <c r="E79" i="33"/>
  <c r="E58" i="33"/>
  <c r="E49" i="33"/>
  <c r="E54" i="33"/>
  <c r="E7" i="33"/>
  <c r="E89" i="33"/>
  <c r="E100" i="33"/>
  <c r="E125" i="33"/>
  <c r="E68" i="33"/>
  <c r="E96" i="33"/>
  <c r="E8" i="33"/>
  <c r="E78" i="33"/>
  <c r="E67" i="33"/>
  <c r="E112" i="33"/>
  <c r="E109" i="33"/>
  <c r="E114" i="33"/>
  <c r="E121" i="33"/>
  <c r="E120" i="33"/>
  <c r="E113" i="33"/>
  <c r="E99" i="29"/>
  <c r="E9" i="29"/>
  <c r="E48" i="34"/>
  <c r="E86" i="29"/>
  <c r="E134" i="34"/>
  <c r="E68" i="29"/>
  <c r="E88" i="29"/>
  <c r="E108" i="29"/>
  <c r="E116" i="29"/>
  <c r="E22" i="29"/>
  <c r="E10" i="29"/>
  <c r="E79" i="29"/>
  <c r="E135" i="34"/>
  <c r="E7" i="29"/>
  <c r="E89" i="29"/>
  <c r="E100" i="29"/>
  <c r="E107" i="29"/>
  <c r="E136" i="34"/>
  <c r="E8" i="29"/>
  <c r="E78" i="29"/>
  <c r="E67" i="29"/>
  <c r="E112" i="29"/>
  <c r="E109" i="29"/>
  <c r="E120" i="29"/>
  <c r="E48" i="40"/>
  <c r="E48" i="41"/>
  <c r="E57" i="40"/>
  <c r="E57" i="41"/>
  <c r="E54" i="40"/>
  <c r="E54" i="41"/>
  <c r="E99" i="27"/>
  <c r="E9" i="51"/>
  <c r="E48" i="51"/>
  <c r="E88" i="27"/>
  <c r="E108" i="27"/>
  <c r="E22" i="51"/>
  <c r="E10" i="51"/>
  <c r="E7" i="51"/>
  <c r="E8" i="51"/>
  <c r="E78" i="27"/>
  <c r="E67" i="27"/>
  <c r="E112" i="27"/>
  <c r="E120" i="27"/>
  <c r="E9" i="25"/>
  <c r="E10"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5" i="22"/>
  <c r="E10" i="22"/>
  <c r="E57" i="21"/>
  <c r="E57" i="22"/>
  <c r="E58" i="22"/>
  <c r="E49" i="22"/>
  <c r="E54" i="21"/>
  <c r="E54" i="22"/>
  <c r="E7" i="22"/>
  <c r="E8" i="22"/>
  <c r="E68" i="20"/>
  <c r="E22" i="20"/>
  <c r="E10" i="19"/>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17"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B32" i="10"/>
  <c r="G119" i="4" l="1"/>
  <c r="G98" i="4"/>
  <c r="G87" i="4"/>
  <c r="G77" i="4"/>
  <c r="F32" i="10"/>
  <c r="G111" i="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I90" i="13"/>
  <c r="I90" i="29"/>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83" i="13"/>
  <c r="I83" i="20"/>
  <c r="I83" i="23"/>
  <c r="I83" i="27"/>
  <c r="I83" i="29"/>
  <c r="I83" i="33"/>
  <c r="I93" i="20"/>
  <c r="I93" i="13"/>
  <c r="I93" i="23"/>
  <c r="I93" i="35"/>
  <c r="I93" i="27"/>
  <c r="I93" i="33"/>
  <c r="I93" i="29"/>
  <c r="I104" i="13"/>
  <c r="I104" i="20"/>
  <c r="I104" i="27"/>
  <c r="I104" i="23"/>
  <c r="I104" i="29"/>
  <c r="I104" i="33"/>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0"/>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I73" i="4"/>
  <c r="I84" i="4"/>
  <c r="M73" i="35" l="1"/>
  <c r="M73" i="29"/>
  <c r="M84" i="29"/>
  <c r="C60" i="10"/>
  <c r="H84" i="4"/>
  <c r="J84" i="4" s="1"/>
  <c r="H71" i="4"/>
  <c r="H92" i="4"/>
  <c r="H107" i="4"/>
  <c r="H106" i="4"/>
  <c r="H85" i="4"/>
  <c r="H73" i="4"/>
  <c r="J73" i="4" s="1"/>
  <c r="H114" i="4"/>
  <c r="H116" i="4"/>
  <c r="H95" i="4"/>
  <c r="H74" i="4"/>
  <c r="H94" i="4"/>
  <c r="H91" i="4"/>
  <c r="H104" i="4"/>
  <c r="H105" i="4"/>
  <c r="H93" i="4"/>
  <c r="H123" i="4"/>
  <c r="H28" i="4"/>
  <c r="H70" i="4"/>
  <c r="H115" i="4"/>
  <c r="H98" i="4" l="1"/>
  <c r="H117" i="4"/>
  <c r="H99" i="4"/>
  <c r="H24" i="4"/>
  <c r="H90" i="4"/>
  <c r="H72" i="4"/>
  <c r="H27" i="4"/>
  <c r="H78" i="4"/>
  <c r="D9" i="10"/>
  <c r="H124" i="4"/>
  <c r="H112" i="4"/>
  <c r="H88" i="4"/>
  <c r="H9" i="4"/>
  <c r="H8" i="4"/>
  <c r="H79" i="4"/>
  <c r="H83" i="4"/>
  <c r="H122" i="4"/>
  <c r="H80" i="4"/>
  <c r="H14" i="10"/>
  <c r="H37" i="4"/>
  <c r="H121" i="4"/>
  <c r="I121" i="4"/>
  <c r="I112" i="4"/>
  <c r="I9" i="4"/>
  <c r="M9" i="72" s="1"/>
  <c r="I109" i="4"/>
  <c r="K49" i="10"/>
  <c r="H113" i="4"/>
  <c r="I105" i="4"/>
  <c r="I93" i="4"/>
  <c r="I108" i="4"/>
  <c r="H11" i="4"/>
  <c r="I85" i="4"/>
  <c r="I122" i="4"/>
  <c r="I79" i="4"/>
  <c r="I100" i="4"/>
  <c r="I104" i="4"/>
  <c r="H110" i="4"/>
  <c r="H25" i="4"/>
  <c r="H125" i="4"/>
  <c r="H86" i="4"/>
  <c r="H42" i="10"/>
  <c r="H21" i="10"/>
  <c r="I120" i="4"/>
  <c r="I28" i="4"/>
  <c r="H109" i="4"/>
  <c r="I32" i="4"/>
  <c r="I67" i="4"/>
  <c r="K11" i="10"/>
  <c r="I23" i="4"/>
  <c r="H22" i="10"/>
  <c r="H108" i="4"/>
  <c r="I95" i="4"/>
  <c r="H10" i="4"/>
  <c r="I126" i="4"/>
  <c r="H38" i="4"/>
  <c r="I77" i="4"/>
  <c r="I88" i="4"/>
  <c r="I91" i="4"/>
  <c r="I117" i="4"/>
  <c r="H67" i="4"/>
  <c r="H12" i="10"/>
  <c r="I116" i="4"/>
  <c r="H120" i="4"/>
  <c r="I110" i="4"/>
  <c r="I113" i="4"/>
  <c r="I69" i="4"/>
  <c r="I90" i="4"/>
  <c r="I78" i="4"/>
  <c r="I115" i="4"/>
  <c r="K26" i="10"/>
  <c r="I80" i="4"/>
  <c r="I98" i="4"/>
  <c r="I99" i="4"/>
  <c r="K9" i="10"/>
  <c r="H77" i="4"/>
  <c r="I92" i="4"/>
  <c r="H24" i="10"/>
  <c r="I31" i="4"/>
  <c r="I24" i="4"/>
  <c r="H69" i="4"/>
  <c r="H126" i="4"/>
  <c r="K16" i="10"/>
  <c r="I72" i="4"/>
  <c r="I30" i="4"/>
  <c r="H36" i="4"/>
  <c r="I123" i="4"/>
  <c r="K45" i="10"/>
  <c r="H39" i="4"/>
  <c r="I94" i="4"/>
  <c r="I107" i="4"/>
  <c r="I74" i="4"/>
  <c r="I8" i="4"/>
  <c r="I114" i="4"/>
  <c r="I83" i="4"/>
  <c r="I86" i="4"/>
  <c r="I106" i="4"/>
  <c r="H10" i="10"/>
  <c r="I124" i="4"/>
  <c r="I70" i="4"/>
  <c r="H100" i="4"/>
  <c r="H7" i="4"/>
  <c r="H23" i="4"/>
  <c r="H15" i="10"/>
  <c r="I71" i="4"/>
  <c r="I125" i="4"/>
  <c r="J91" i="4" l="1"/>
  <c r="J106" i="4"/>
  <c r="J95" i="4"/>
  <c r="J71" i="4"/>
  <c r="J70" i="4"/>
  <c r="J74" i="4"/>
  <c r="J94" i="4"/>
  <c r="J115" i="4"/>
  <c r="J92" i="4"/>
  <c r="J93" i="4"/>
  <c r="J104" i="4"/>
  <c r="J85" i="4"/>
  <c r="J105" i="4"/>
  <c r="J69" i="4"/>
  <c r="J83" i="4"/>
  <c r="J23" i="4"/>
  <c r="J72" i="4"/>
  <c r="J90" i="4"/>
  <c r="J24" i="4"/>
  <c r="J110" i="4"/>
  <c r="M67" i="37"/>
  <c r="M67" i="18"/>
  <c r="M106" i="37"/>
  <c r="M106" i="18"/>
  <c r="M107" i="37"/>
  <c r="M32" i="37"/>
  <c r="M32" i="18"/>
  <c r="M79" i="37"/>
  <c r="M79" i="18"/>
  <c r="M124" i="37"/>
  <c r="M124" i="18"/>
  <c r="M88" i="37"/>
  <c r="M88" i="18"/>
  <c r="M78" i="37"/>
  <c r="M78" i="18"/>
  <c r="M100" i="37"/>
  <c r="M100" i="18"/>
  <c r="M86" i="37"/>
  <c r="M122" i="37"/>
  <c r="M109" i="37"/>
  <c r="M109" i="18"/>
  <c r="M74" i="37"/>
  <c r="M74" i="18"/>
  <c r="M83" i="37"/>
  <c r="M83" i="18"/>
  <c r="M99" i="37"/>
  <c r="M99" i="18"/>
  <c r="M113" i="37"/>
  <c r="M113" i="18"/>
  <c r="M117" i="37"/>
  <c r="M117" i="18"/>
  <c r="M95" i="37"/>
  <c r="M95" i="18"/>
  <c r="M28" i="37"/>
  <c r="M28" i="18"/>
  <c r="M85" i="37"/>
  <c r="M85" i="18"/>
  <c r="M72" i="37"/>
  <c r="M72" i="18"/>
  <c r="M114" i="37"/>
  <c r="M98" i="18"/>
  <c r="M110" i="37"/>
  <c r="M9" i="37"/>
  <c r="M9" i="18"/>
  <c r="M31" i="37"/>
  <c r="M31" i="18"/>
  <c r="M8" i="37"/>
  <c r="M8" i="18"/>
  <c r="M24" i="37"/>
  <c r="M108" i="37"/>
  <c r="M108" i="18"/>
  <c r="M112" i="37"/>
  <c r="M112" i="18"/>
  <c r="J122" i="4"/>
  <c r="M23" i="37"/>
  <c r="M23" i="18"/>
  <c r="M93" i="37"/>
  <c r="M93" i="18"/>
  <c r="M121" i="37"/>
  <c r="M121" i="18"/>
  <c r="M125" i="37"/>
  <c r="M125" i="18"/>
  <c r="M30" i="37"/>
  <c r="M30" i="18"/>
  <c r="M116" i="37"/>
  <c r="M116" i="18"/>
  <c r="M77" i="18"/>
  <c r="M120" i="37"/>
  <c r="M120" i="18"/>
  <c r="M104" i="37"/>
  <c r="M104" i="18"/>
  <c r="J114" i="4"/>
  <c r="M98" i="37"/>
  <c r="M77" i="37"/>
  <c r="M76" i="37"/>
  <c r="M76" i="33"/>
  <c r="M76" i="29"/>
  <c r="M76" i="13"/>
  <c r="M70" i="29"/>
  <c r="M106" i="20"/>
  <c r="M106" i="13"/>
  <c r="M106" i="23"/>
  <c r="M106" i="27"/>
  <c r="M106" i="29"/>
  <c r="M106" i="33"/>
  <c r="M83" i="13"/>
  <c r="M83" i="20"/>
  <c r="M83" i="27"/>
  <c r="M83" i="33"/>
  <c r="M83" i="23"/>
  <c r="M83" i="29"/>
  <c r="M74" i="13"/>
  <c r="M74" i="20"/>
  <c r="M74" i="27"/>
  <c r="M74" i="33"/>
  <c r="M74" i="23"/>
  <c r="M74" i="29"/>
  <c r="M94" i="35"/>
  <c r="M94" i="29"/>
  <c r="M24" i="13"/>
  <c r="M24" i="24"/>
  <c r="M24" i="33"/>
  <c r="M24" i="29"/>
  <c r="M69" i="29"/>
  <c r="M88" i="13"/>
  <c r="M88" i="27"/>
  <c r="M88" i="29"/>
  <c r="M88" i="23"/>
  <c r="M88" i="33"/>
  <c r="J28" i="4"/>
  <c r="M28" i="20"/>
  <c r="M28" i="25"/>
  <c r="M28" i="23"/>
  <c r="M28" i="24"/>
  <c r="M28" i="51"/>
  <c r="M28" i="29"/>
  <c r="M28" i="13"/>
  <c r="M28" i="33"/>
  <c r="M85" i="20"/>
  <c r="M85" i="13"/>
  <c r="M85" i="27"/>
  <c r="M85" i="23"/>
  <c r="M85" i="29"/>
  <c r="M85" i="33"/>
  <c r="M105" i="29"/>
  <c r="M121" i="23"/>
  <c r="M121" i="13"/>
  <c r="M121" i="27"/>
  <c r="M121" i="29"/>
  <c r="M121" i="33"/>
  <c r="M121" i="20"/>
  <c r="M121" i="35"/>
  <c r="M71" i="29"/>
  <c r="M125" i="23"/>
  <c r="M125" i="27"/>
  <c r="M125" i="13"/>
  <c r="M125" i="29"/>
  <c r="M125" i="33"/>
  <c r="M124" i="13"/>
  <c r="M114" i="33"/>
  <c r="M72" i="20"/>
  <c r="M72" i="13"/>
  <c r="M72" i="23"/>
  <c r="M72" i="27"/>
  <c r="M72" i="33"/>
  <c r="M72" i="29"/>
  <c r="M72" i="35"/>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104" i="13"/>
  <c r="M104" i="20"/>
  <c r="M104" i="23"/>
  <c r="M104" i="27"/>
  <c r="M104" i="33"/>
  <c r="M104" i="29"/>
  <c r="M79" i="13"/>
  <c r="M79" i="20"/>
  <c r="M79" i="23"/>
  <c r="M79" i="33"/>
  <c r="M79" i="29"/>
  <c r="M79" i="27"/>
  <c r="M8" i="20"/>
  <c r="M8" i="13"/>
  <c r="M8" i="22"/>
  <c r="M8" i="24"/>
  <c r="M8" i="51"/>
  <c r="M8" i="25"/>
  <c r="M8" i="29"/>
  <c r="M8" i="33"/>
  <c r="M8" i="19"/>
  <c r="M30" i="20"/>
  <c r="M30" i="13"/>
  <c r="M30" i="23"/>
  <c r="M30" i="33"/>
  <c r="M30" i="29"/>
  <c r="M30" i="35"/>
  <c r="M99" i="23"/>
  <c r="M99" i="27"/>
  <c r="M99" i="29"/>
  <c r="M99" i="13"/>
  <c r="M99" i="33"/>
  <c r="M110" i="33"/>
  <c r="M95" i="13"/>
  <c r="M95" i="20"/>
  <c r="M95" i="23"/>
  <c r="M95" i="27"/>
  <c r="M95" i="33"/>
  <c r="M95" i="29"/>
  <c r="M120" i="13"/>
  <c r="M120" i="23"/>
  <c r="M120" i="27"/>
  <c r="M120" i="29"/>
  <c r="M120" i="33"/>
  <c r="M100" i="13"/>
  <c r="M100" i="20"/>
  <c r="M100" i="29"/>
  <c r="M100" i="33"/>
  <c r="M100" i="27"/>
  <c r="M100" i="23"/>
  <c r="M122" i="33"/>
  <c r="M108" i="13"/>
  <c r="M108" i="23"/>
  <c r="M108" i="33"/>
  <c r="M108" i="29"/>
  <c r="M108" i="27"/>
  <c r="M9" i="19"/>
  <c r="M9" i="25"/>
  <c r="M9" i="20"/>
  <c r="M9" i="22"/>
  <c r="M9" i="51"/>
  <c r="M9" i="13"/>
  <c r="M9" i="29"/>
  <c r="M9" i="24"/>
  <c r="M9" i="33"/>
  <c r="M86" i="35"/>
  <c r="M86" i="29"/>
  <c r="M86" i="13"/>
  <c r="M86" i="33"/>
  <c r="J107" i="4"/>
  <c r="M107" i="13"/>
  <c r="M107" i="35"/>
  <c r="M107" i="29"/>
  <c r="M107" i="33"/>
  <c r="M92" i="29"/>
  <c r="M98" i="20"/>
  <c r="M98" i="13"/>
  <c r="M98" i="23"/>
  <c r="M98" i="27"/>
  <c r="M98" i="29"/>
  <c r="M98" i="33"/>
  <c r="M115" i="27"/>
  <c r="M115" i="29"/>
  <c r="M90" i="13"/>
  <c r="M90" i="29"/>
  <c r="M91" i="13"/>
  <c r="M91" i="29"/>
  <c r="M77" i="20"/>
  <c r="M77" i="13"/>
  <c r="M77" i="27"/>
  <c r="M77" i="23"/>
  <c r="M77" i="29"/>
  <c r="M77" i="33"/>
  <c r="M67" i="13"/>
  <c r="M67" i="23"/>
  <c r="M67" i="27"/>
  <c r="M67" i="29"/>
  <c r="M67" i="33"/>
  <c r="M93" i="20"/>
  <c r="M93" i="13"/>
  <c r="M93" i="23"/>
  <c r="M93" i="29"/>
  <c r="M93" i="35"/>
  <c r="M93" i="27"/>
  <c r="M93" i="33"/>
  <c r="M109" i="27"/>
  <c r="M109" i="13"/>
  <c r="M109" i="23"/>
  <c r="M109" i="20"/>
  <c r="M109" i="29"/>
  <c r="M109" i="35"/>
  <c r="M109" i="33"/>
  <c r="M112" i="13"/>
  <c r="M112" i="23"/>
  <c r="M112" i="27"/>
  <c r="M112" i="33"/>
  <c r="M112" i="29"/>
  <c r="J108" i="4"/>
  <c r="M43" i="8"/>
  <c r="D40" i="9"/>
  <c r="N72" i="8"/>
  <c r="H64" i="9"/>
  <c r="B66" i="9"/>
  <c r="M44" i="8"/>
  <c r="D41" i="9"/>
  <c r="M39" i="8"/>
  <c r="D36" i="9"/>
  <c r="C52" i="9"/>
  <c r="N13" i="8"/>
  <c r="H51" i="9"/>
  <c r="N62" i="8"/>
  <c r="N46" i="8"/>
  <c r="G54" i="9"/>
  <c r="I15" i="9"/>
  <c r="G48" i="9"/>
  <c r="G31" i="9"/>
  <c r="M30" i="8"/>
  <c r="B70" i="9"/>
  <c r="D30" i="9"/>
  <c r="D14" i="9"/>
  <c r="B53" i="9"/>
  <c r="M14" i="8"/>
  <c r="M22" i="8"/>
  <c r="D22" i="9"/>
  <c r="B61" i="9"/>
  <c r="M37" i="8"/>
  <c r="B44" i="9"/>
  <c r="D34" i="9"/>
  <c r="G51" i="9"/>
  <c r="I12" i="9"/>
  <c r="M62" i="8"/>
  <c r="G49" i="9"/>
  <c r="M60" i="8"/>
  <c r="I10" i="9"/>
  <c r="M71" i="8"/>
  <c r="G63" i="9"/>
  <c r="I24" i="9"/>
  <c r="H53" i="9"/>
  <c r="G62" i="9"/>
  <c r="N10" i="8"/>
  <c r="C49" i="9"/>
  <c r="B69" i="9"/>
  <c r="D29" i="9"/>
  <c r="M29" i="8"/>
  <c r="M87" i="8"/>
  <c r="I36" i="9"/>
  <c r="M69" i="8"/>
  <c r="G59" i="9"/>
  <c r="I20" i="9"/>
  <c r="N43" i="8"/>
  <c r="N12" i="8"/>
  <c r="C51" i="9"/>
  <c r="N22" i="8"/>
  <c r="C61" i="9"/>
  <c r="M19" i="8"/>
  <c r="B58" i="9"/>
  <c r="D19" i="9"/>
  <c r="H54" i="9"/>
  <c r="N41" i="8"/>
  <c r="D39" i="9"/>
  <c r="M42" i="8"/>
  <c r="N40" i="8"/>
  <c r="N28" i="8"/>
  <c r="C68" i="9"/>
  <c r="N63" i="8"/>
  <c r="H52" i="9"/>
  <c r="N45" i="8"/>
  <c r="M46" i="8"/>
  <c r="D43" i="9"/>
  <c r="B68" i="9"/>
  <c r="H31" i="9"/>
  <c r="J24" i="9" s="1"/>
  <c r="H48" i="9"/>
  <c r="I19" i="9"/>
  <c r="M68" i="8"/>
  <c r="G58" i="9"/>
  <c r="N11" i="8"/>
  <c r="C50" i="9"/>
  <c r="M86" i="8"/>
  <c r="I35" i="9"/>
  <c r="G53" i="9"/>
  <c r="H57" i="9"/>
  <c r="N67" i="8"/>
  <c r="D42" i="9"/>
  <c r="M45" i="8"/>
  <c r="H61" i="9"/>
  <c r="I21" i="9"/>
  <c r="G60" i="9"/>
  <c r="D13" i="9"/>
  <c r="M13" i="8"/>
  <c r="B52" i="9"/>
  <c r="N87" i="8"/>
  <c r="B64" i="9"/>
  <c r="M25" i="8"/>
  <c r="D25" i="9"/>
  <c r="N19" i="8"/>
  <c r="C58" i="9"/>
  <c r="H58" i="9"/>
  <c r="N68" i="8"/>
  <c r="M20" i="8"/>
  <c r="D20" i="9"/>
  <c r="B59" i="9"/>
  <c r="N20" i="8"/>
  <c r="C59" i="9"/>
  <c r="D11" i="9"/>
  <c r="M11" i="8"/>
  <c r="B50" i="9"/>
  <c r="M88" i="8"/>
  <c r="I37" i="9"/>
  <c r="H56" i="9"/>
  <c r="G61" i="9"/>
  <c r="I27" i="9"/>
  <c r="M73" i="8"/>
  <c r="G67" i="9"/>
  <c r="G70" i="9"/>
  <c r="N73" i="8"/>
  <c r="H67" i="9"/>
  <c r="N74" i="8"/>
  <c r="H68" i="9"/>
  <c r="N94" i="8"/>
  <c r="B49" i="9"/>
  <c r="D10" i="9"/>
  <c r="M10" i="8"/>
  <c r="N44" i="8"/>
  <c r="C66" i="9"/>
  <c r="H63" i="9"/>
  <c r="N71" i="8"/>
  <c r="N88" i="8"/>
  <c r="H50" i="9"/>
  <c r="N61" i="8"/>
  <c r="C54" i="9"/>
  <c r="N15" i="8"/>
  <c r="I40" i="9"/>
  <c r="M91" i="8"/>
  <c r="B56" i="9"/>
  <c r="M17" i="8"/>
  <c r="D17" i="9"/>
  <c r="C48" i="9"/>
  <c r="C31" i="9"/>
  <c r="E16" i="9" s="1"/>
  <c r="N9" i="8"/>
  <c r="N91" i="8"/>
  <c r="C70" i="9"/>
  <c r="N30" i="8"/>
  <c r="G66" i="9"/>
  <c r="I41" i="9"/>
  <c r="M92" i="8"/>
  <c r="C67" i="9"/>
  <c r="N27" i="8"/>
  <c r="N90" i="8"/>
  <c r="D21" i="9"/>
  <c r="B60" i="9"/>
  <c r="M21" i="8"/>
  <c r="N16" i="8"/>
  <c r="C55" i="9"/>
  <c r="N93" i="8"/>
  <c r="C44" i="9"/>
  <c r="E34" i="9" s="1"/>
  <c r="N37" i="8"/>
  <c r="M41" i="8"/>
  <c r="D38" i="9"/>
  <c r="M72" i="8"/>
  <c r="I25" i="9"/>
  <c r="G64" i="9"/>
  <c r="N39" i="8"/>
  <c r="B63" i="9"/>
  <c r="D24" i="9"/>
  <c r="M24" i="8"/>
  <c r="H59" i="9"/>
  <c r="N69" i="8"/>
  <c r="D35" i="9"/>
  <c r="M38" i="8"/>
  <c r="N89" i="8"/>
  <c r="D28" i="9"/>
  <c r="M28" i="8"/>
  <c r="M61" i="8"/>
  <c r="I11" i="9"/>
  <c r="G50" i="9"/>
  <c r="H44" i="9"/>
  <c r="J38" i="9" s="1"/>
  <c r="N85" i="8"/>
  <c r="C64" i="9"/>
  <c r="N25" i="8"/>
  <c r="N38" i="8"/>
  <c r="B55" i="9"/>
  <c r="D16" i="9"/>
  <c r="M16" i="8"/>
  <c r="N21" i="8"/>
  <c r="C60" i="9"/>
  <c r="H70" i="9"/>
  <c r="N86" i="8"/>
  <c r="N23" i="8"/>
  <c r="C62" i="9"/>
  <c r="N29" i="8"/>
  <c r="C69" i="9"/>
  <c r="H49" i="9"/>
  <c r="N60" i="8"/>
  <c r="I38" i="9"/>
  <c r="M89" i="8"/>
  <c r="D12" i="9"/>
  <c r="M12" i="8"/>
  <c r="B51" i="9"/>
  <c r="C53" i="9"/>
  <c r="N14" i="8"/>
  <c r="I34" i="9"/>
  <c r="G44" i="9"/>
  <c r="F27" i="10" s="1"/>
  <c r="M85" i="8"/>
  <c r="N17" i="8"/>
  <c r="C56" i="9"/>
  <c r="H66" i="9"/>
  <c r="N92" i="8"/>
  <c r="M27" i="8"/>
  <c r="D27" i="9"/>
  <c r="B67" i="9"/>
  <c r="H55" i="9"/>
  <c r="M93" i="8"/>
  <c r="I42" i="9"/>
  <c r="H60" i="9"/>
  <c r="D18" i="9"/>
  <c r="M18" i="8"/>
  <c r="B57" i="9"/>
  <c r="H69" i="9"/>
  <c r="N18" i="8"/>
  <c r="C57" i="9"/>
  <c r="M94" i="8"/>
  <c r="I43" i="9"/>
  <c r="B31" i="9"/>
  <c r="B17" i="10" s="1"/>
  <c r="B48" i="9"/>
  <c r="M9" i="8"/>
  <c r="N42" i="8"/>
  <c r="M67" i="8"/>
  <c r="G57" i="9"/>
  <c r="I18" i="9"/>
  <c r="M40" i="8"/>
  <c r="D37" i="9"/>
  <c r="D26" i="9"/>
  <c r="B54" i="9"/>
  <c r="M15" i="8"/>
  <c r="D15" i="9"/>
  <c r="D23" i="9"/>
  <c r="M23" i="8"/>
  <c r="B62" i="9"/>
  <c r="H62" i="9"/>
  <c r="I13" i="9"/>
  <c r="G52" i="9"/>
  <c r="M63" i="8"/>
  <c r="I28" i="9"/>
  <c r="M74" i="8"/>
  <c r="G68" i="9"/>
  <c r="G55" i="9"/>
  <c r="I16" i="9"/>
  <c r="N24" i="8"/>
  <c r="C63" i="9"/>
  <c r="G56" i="9"/>
  <c r="I17" i="9"/>
  <c r="M90" i="8"/>
  <c r="I3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I27" i="4"/>
  <c r="I36" i="4"/>
  <c r="B35" i="10"/>
  <c r="J30" i="10"/>
  <c r="B52" i="10"/>
  <c r="D30" i="10"/>
  <c r="I7" i="4"/>
  <c r="M7" i="72" s="1"/>
  <c r="K60" i="10"/>
  <c r="K38" i="10"/>
  <c r="H13" i="10"/>
  <c r="G35" i="10"/>
  <c r="G52" i="10"/>
  <c r="I35" i="4"/>
  <c r="D12" i="10"/>
  <c r="J12" i="10"/>
  <c r="I12" i="4"/>
  <c r="D43" i="10"/>
  <c r="J43" i="10"/>
  <c r="I134" i="4"/>
  <c r="I11" i="4"/>
  <c r="K20" i="10"/>
  <c r="D25" i="10"/>
  <c r="J25" i="10"/>
  <c r="D41" i="10"/>
  <c r="J41" i="10"/>
  <c r="B46" i="10"/>
  <c r="K31" i="10"/>
  <c r="C53" i="10"/>
  <c r="M42" i="9"/>
  <c r="O24" i="9"/>
  <c r="L19" i="9"/>
  <c r="L16" i="9"/>
  <c r="O37" i="9"/>
  <c r="O26" i="9"/>
  <c r="M17" i="9"/>
  <c r="O13" i="9"/>
  <c r="N24" i="9"/>
  <c r="O18" i="9"/>
  <c r="N11" i="9"/>
  <c r="M24" i="9"/>
  <c r="O20" i="9"/>
  <c r="M29" i="9"/>
  <c r="M28" i="9"/>
  <c r="M16" i="9"/>
  <c r="N37" i="9"/>
  <c r="N12" i="9"/>
  <c r="M25" i="9"/>
  <c r="N10" i="9"/>
  <c r="N18" i="9"/>
  <c r="L10" i="9"/>
  <c r="M12" i="9"/>
  <c r="O38" i="9"/>
  <c r="O22" i="9"/>
  <c r="N35" i="9"/>
  <c r="M9" i="9"/>
  <c r="O14" i="9"/>
  <c r="M30" i="9"/>
  <c r="L40" i="9"/>
  <c r="N9" i="9"/>
  <c r="N28" i="9"/>
  <c r="L41" i="9"/>
  <c r="N40" i="9"/>
  <c r="L11" i="9"/>
  <c r="O15" i="9"/>
  <c r="N15" i="9"/>
  <c r="N13" i="9"/>
  <c r="L39" i="9"/>
  <c r="L17" i="9"/>
  <c r="N27" i="9"/>
  <c r="M20" i="9"/>
  <c r="M22" i="9"/>
  <c r="O35" i="9"/>
  <c r="M23" i="9"/>
  <c r="M13" i="9"/>
  <c r="L35" i="9"/>
  <c r="L29" i="9"/>
  <c r="L13" i="9"/>
  <c r="M38" i="9"/>
  <c r="O36" i="9"/>
  <c r="O9" i="9"/>
  <c r="N41" i="9"/>
  <c r="L12" i="9"/>
  <c r="O19" i="9"/>
  <c r="N25" i="9"/>
  <c r="M14" i="9"/>
  <c r="M39" i="9"/>
  <c r="L43" i="9"/>
  <c r="L24" i="9"/>
  <c r="L20" i="9"/>
  <c r="N42" i="9"/>
  <c r="N14" i="9"/>
  <c r="M21" i="9"/>
  <c r="M15" i="9"/>
  <c r="L36" i="9"/>
  <c r="M11" i="9"/>
  <c r="L38" i="9"/>
  <c r="L15" i="9"/>
  <c r="N39" i="9"/>
  <c r="M18" i="9"/>
  <c r="O39" i="9"/>
  <c r="N17" i="9"/>
  <c r="N19" i="9"/>
  <c r="L22" i="9"/>
  <c r="M26" i="9"/>
  <c r="N22" i="9"/>
  <c r="L34" i="9"/>
  <c r="N34" i="9"/>
  <c r="L42" i="9"/>
  <c r="O30" i="9"/>
  <c r="L14" i="9"/>
  <c r="L30" i="9"/>
  <c r="M40" i="9"/>
  <c r="L26" i="9"/>
  <c r="M19" i="9"/>
  <c r="O34" i="9"/>
  <c r="N21" i="9"/>
  <c r="O29" i="9"/>
  <c r="O17" i="9"/>
  <c r="M34" i="9"/>
  <c r="L28" i="9"/>
  <c r="O42" i="9"/>
  <c r="N38" i="9"/>
  <c r="N23" i="9"/>
  <c r="M27" i="9"/>
  <c r="O41" i="9"/>
  <c r="O10" i="9"/>
  <c r="O28" i="9"/>
  <c r="L18" i="9"/>
  <c r="M43" i="9"/>
  <c r="M36" i="9"/>
  <c r="O27" i="9"/>
  <c r="N29" i="9"/>
  <c r="L23" i="9"/>
  <c r="N43" i="9"/>
  <c r="L21" i="9"/>
  <c r="N36" i="9"/>
  <c r="M10" i="9"/>
  <c r="O23" i="9"/>
  <c r="M35" i="9"/>
  <c r="L9" i="9"/>
  <c r="M41" i="9"/>
  <c r="O12" i="9"/>
  <c r="O16" i="9"/>
  <c r="L27" i="9"/>
  <c r="N26" i="9"/>
  <c r="O43" i="9"/>
  <c r="L37" i="9"/>
  <c r="O40" i="9"/>
  <c r="N16" i="9"/>
  <c r="O21" i="9"/>
  <c r="L25" i="9"/>
  <c r="M37" i="9"/>
  <c r="N30" i="9"/>
  <c r="N20" i="9"/>
  <c r="O11" i="9"/>
  <c r="O25" i="9"/>
  <c r="J25" i="4" l="1"/>
  <c r="J27" i="4"/>
  <c r="M33" i="18"/>
  <c r="M33" i="35"/>
  <c r="M33" i="23"/>
  <c r="M33" i="33"/>
  <c r="M33" i="20"/>
  <c r="M33" i="37"/>
  <c r="M33" i="29"/>
  <c r="M35" i="37"/>
  <c r="M35" i="18"/>
  <c r="M22" i="37"/>
  <c r="M22" i="18"/>
  <c r="M29" i="37"/>
  <c r="M29" i="18"/>
  <c r="M135" i="37"/>
  <c r="M37" i="37"/>
  <c r="M1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0" i="9"/>
  <c r="L70" i="9"/>
  <c r="N57" i="9"/>
  <c r="M44" i="9"/>
  <c r="M68" i="9"/>
  <c r="O67" i="9"/>
  <c r="L53" i="9"/>
  <c r="M50" i="9"/>
  <c r="M55" i="9"/>
  <c r="O55" i="9"/>
  <c r="N60" i="9"/>
  <c r="O70" i="9"/>
  <c r="O54" i="9"/>
  <c r="M60" i="9"/>
  <c r="N55" i="9"/>
  <c r="N52" i="9"/>
  <c r="O69" i="9"/>
  <c r="M67" i="9"/>
  <c r="L55" i="9"/>
  <c r="L64" i="9"/>
  <c r="L57" i="9"/>
  <c r="L63" i="9"/>
  <c r="M59" i="9"/>
  <c r="L69" i="9"/>
  <c r="M48" i="9"/>
  <c r="M31" i="9"/>
  <c r="O53" i="9"/>
  <c r="L44" i="9"/>
  <c r="L52" i="9"/>
  <c r="O66" i="9"/>
  <c r="L49" i="9"/>
  <c r="N62" i="9"/>
  <c r="M70" i="9"/>
  <c r="N48" i="9"/>
  <c r="N31" i="9"/>
  <c r="M61" i="9"/>
  <c r="O44" i="9"/>
  <c r="N54" i="9"/>
  <c r="O50" i="9"/>
  <c r="O49" i="9"/>
  <c r="L60" i="9"/>
  <c r="M62" i="9"/>
  <c r="N66" i="9"/>
  <c r="N70" i="9"/>
  <c r="M63" i="9"/>
  <c r="O63" i="9"/>
  <c r="N68" i="9"/>
  <c r="O58" i="9"/>
  <c r="L61" i="9"/>
  <c r="L68" i="9"/>
  <c r="L56" i="9"/>
  <c r="N64" i="9"/>
  <c r="N53" i="9"/>
  <c r="L66" i="9"/>
  <c r="O60" i="9"/>
  <c r="O59" i="9"/>
  <c r="O68" i="9"/>
  <c r="L58" i="9"/>
  <c r="O64" i="9"/>
  <c r="N50" i="9"/>
  <c r="L59" i="9"/>
  <c r="N49" i="9"/>
  <c r="M69" i="9"/>
  <c r="N63" i="9"/>
  <c r="M53" i="9"/>
  <c r="M66" i="9"/>
  <c r="O48" i="9"/>
  <c r="O31" i="9"/>
  <c r="M57" i="9"/>
  <c r="M58" i="9"/>
  <c r="L62" i="9"/>
  <c r="M49" i="9"/>
  <c r="N69" i="9"/>
  <c r="O62" i="9"/>
  <c r="N51" i="9"/>
  <c r="O56" i="9"/>
  <c r="M56" i="9"/>
  <c r="L67" i="9"/>
  <c r="M52" i="9"/>
  <c r="M54" i="9"/>
  <c r="N44" i="9"/>
  <c r="N61" i="9"/>
  <c r="N56" i="9"/>
  <c r="M51" i="9"/>
  <c r="N59" i="9"/>
  <c r="N58" i="9"/>
  <c r="L31" i="9"/>
  <c r="L48" i="9"/>
  <c r="M64" i="9"/>
  <c r="L54" i="9"/>
  <c r="O57" i="9"/>
  <c r="O52" i="9"/>
  <c r="O51" i="9"/>
  <c r="N67" i="9"/>
  <c r="O61" i="9"/>
  <c r="L51" i="9"/>
  <c r="L42" i="10"/>
  <c r="J11" i="4"/>
  <c r="M11" i="13"/>
  <c r="M11" i="33"/>
  <c r="M11" i="23"/>
  <c r="M11" i="29"/>
  <c r="M11" i="35"/>
  <c r="M27" i="29"/>
  <c r="J10" i="4"/>
  <c r="M10" i="19"/>
  <c r="M10" i="20"/>
  <c r="M10" i="25"/>
  <c r="M10" i="23"/>
  <c r="M10" i="22"/>
  <c r="M10" i="13"/>
  <c r="M10" i="24"/>
  <c r="M10" i="35"/>
  <c r="M10" i="51"/>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51"/>
  <c r="M7" i="35"/>
  <c r="M7" i="33"/>
  <c r="J22" i="4"/>
  <c r="M22" i="20"/>
  <c r="M22" i="13"/>
  <c r="M22" i="24"/>
  <c r="M22" i="51"/>
  <c r="M22" i="23"/>
  <c r="M22" i="29"/>
  <c r="M22" i="35"/>
  <c r="M22" i="33"/>
  <c r="M29" i="23"/>
  <c r="M29" i="13"/>
  <c r="M29" i="29"/>
  <c r="M29" i="35"/>
  <c r="M29" i="24"/>
  <c r="M29" i="20"/>
  <c r="M29" i="33"/>
  <c r="M137" i="26"/>
  <c r="M87" i="13"/>
  <c r="M87" i="20"/>
  <c r="M87" i="23"/>
  <c r="M87" i="27"/>
  <c r="M87" i="33"/>
  <c r="M87" i="29"/>
  <c r="M87" i="35"/>
  <c r="J9" i="9"/>
  <c r="M35" i="13"/>
  <c r="M35" i="23"/>
  <c r="M35" i="29"/>
  <c r="M35" i="35"/>
  <c r="M35" i="33"/>
  <c r="M39" i="13"/>
  <c r="M34" i="13"/>
  <c r="M34" i="23"/>
  <c r="M34" i="29"/>
  <c r="M34" i="35"/>
  <c r="M34" i="33"/>
  <c r="J38" i="4"/>
  <c r="M38" i="13"/>
  <c r="M66" i="13"/>
  <c r="M66" i="20"/>
  <c r="M66" i="27"/>
  <c r="M66" i="35"/>
  <c r="M66" i="33"/>
  <c r="M66" i="23"/>
  <c r="M66" i="29"/>
  <c r="M89" i="20"/>
  <c r="M89" i="13"/>
  <c r="M89" i="23"/>
  <c r="M89" i="27"/>
  <c r="M89" i="29"/>
  <c r="M89" i="35"/>
  <c r="M89" i="33"/>
  <c r="M96" i="33"/>
  <c r="M75" i="33"/>
  <c r="J37" i="4"/>
  <c r="M37" i="13"/>
  <c r="I68" i="9"/>
  <c r="M134" i="26"/>
  <c r="M134" i="34"/>
  <c r="M12" i="13"/>
  <c r="M12" i="23"/>
  <c r="M12" i="29"/>
  <c r="M12" i="35"/>
  <c r="M12" i="33"/>
  <c r="J36" i="4"/>
  <c r="M36" i="13"/>
  <c r="L21" i="10"/>
  <c r="H53" i="10"/>
  <c r="M135" i="26"/>
  <c r="M135" i="34"/>
  <c r="M25" i="23"/>
  <c r="M25" i="13"/>
  <c r="M25" i="20"/>
  <c r="M25" i="29"/>
  <c r="M25" i="33"/>
  <c r="L31" i="10"/>
  <c r="L22" i="10"/>
  <c r="L12" i="10"/>
  <c r="L10" i="10"/>
  <c r="I66" i="9"/>
  <c r="I63" i="9"/>
  <c r="I59" i="9"/>
  <c r="I55" i="9"/>
  <c r="I52" i="9"/>
  <c r="I31" i="9"/>
  <c r="I49" i="9"/>
  <c r="D66" i="9"/>
  <c r="D44" i="9"/>
  <c r="D49" i="9"/>
  <c r="G17" i="10"/>
  <c r="E37" i="9"/>
  <c r="E41" i="9"/>
  <c r="E35" i="9"/>
  <c r="E36" i="9"/>
  <c r="E43" i="9"/>
  <c r="D31" i="9"/>
  <c r="E42" i="9"/>
  <c r="E40" i="9"/>
  <c r="F17" i="10"/>
  <c r="J17" i="10" s="1"/>
  <c r="E39" i="9"/>
  <c r="E38" i="9"/>
  <c r="B27" i="10"/>
  <c r="J27" i="10" s="1"/>
  <c r="J34" i="9"/>
  <c r="E20" i="9"/>
  <c r="C71" i="9"/>
  <c r="E11" i="9"/>
  <c r="J40" i="9"/>
  <c r="E23" i="9"/>
  <c r="J12" i="9"/>
  <c r="E15" i="9"/>
  <c r="G27" i="10"/>
  <c r="H27" i="10" s="1"/>
  <c r="J26" i="9"/>
  <c r="E19" i="9"/>
  <c r="E13" i="9"/>
  <c r="J20" i="9"/>
  <c r="J14" i="9"/>
  <c r="H71" i="9"/>
  <c r="E29" i="9"/>
  <c r="E22" i="9"/>
  <c r="E17" i="9"/>
  <c r="E18" i="9"/>
  <c r="J10" i="9"/>
  <c r="J18" i="9"/>
  <c r="J30" i="9"/>
  <c r="J13" i="9"/>
  <c r="J11" i="9"/>
  <c r="J15" i="9"/>
  <c r="B71" i="9"/>
  <c r="E25" i="9"/>
  <c r="E9" i="9"/>
  <c r="E14" i="9"/>
  <c r="E10" i="9"/>
  <c r="C17" i="10"/>
  <c r="D17" i="10" s="1"/>
  <c r="J27" i="9"/>
  <c r="C27" i="10"/>
  <c r="J22" i="9"/>
  <c r="J16" i="9"/>
  <c r="J19" i="9"/>
  <c r="J17" i="9"/>
  <c r="J25" i="9"/>
  <c r="E30" i="9"/>
  <c r="E12" i="9"/>
  <c r="E21" i="9"/>
  <c r="E24" i="9"/>
  <c r="E26" i="9"/>
  <c r="E27" i="9"/>
  <c r="E28" i="9"/>
  <c r="J23" i="9"/>
  <c r="J28" i="9"/>
  <c r="J29" i="9"/>
  <c r="J21" i="9"/>
  <c r="J41" i="9"/>
  <c r="J42" i="9"/>
  <c r="G71" i="9"/>
  <c r="J35" i="9"/>
  <c r="J36" i="9"/>
  <c r="J39" i="9"/>
  <c r="I44" i="9"/>
  <c r="J37" i="9"/>
  <c r="J43"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70" i="9" l="1"/>
  <c r="J65" i="9"/>
  <c r="E69" i="9"/>
  <c r="D69" i="9" s="1"/>
  <c r="E65" i="9"/>
  <c r="L55" i="10"/>
  <c r="M71" i="9"/>
  <c r="O71" i="9"/>
  <c r="L71" i="9"/>
  <c r="N71" i="9"/>
  <c r="L53" i="10"/>
  <c r="J44" i="9"/>
  <c r="J31" i="9"/>
  <c r="I71" i="9"/>
  <c r="E44" i="9"/>
  <c r="D71" i="9"/>
  <c r="H17" i="10"/>
  <c r="E54" i="9"/>
  <c r="D54" i="9" s="1"/>
  <c r="E60" i="9"/>
  <c r="D60" i="9" s="1"/>
  <c r="E53" i="9"/>
  <c r="D53" i="9" s="1"/>
  <c r="E52" i="9"/>
  <c r="D52" i="9" s="1"/>
  <c r="J55" i="9"/>
  <c r="J54" i="9"/>
  <c r="I54" i="9" s="1"/>
  <c r="D27" i="10"/>
  <c r="E56" i="9"/>
  <c r="D56" i="9" s="1"/>
  <c r="E62" i="9"/>
  <c r="D62" i="9" s="1"/>
  <c r="E57" i="9"/>
  <c r="D57" i="9" s="1"/>
  <c r="E63" i="9"/>
  <c r="D63" i="9" s="1"/>
  <c r="K27" i="10"/>
  <c r="L27" i="10" s="1"/>
  <c r="J66" i="9"/>
  <c r="J62" i="9"/>
  <c r="J51" i="9"/>
  <c r="I51" i="9" s="1"/>
  <c r="J58" i="9"/>
  <c r="I58" i="9" s="1"/>
  <c r="E58" i="9"/>
  <c r="D58" i="9" s="1"/>
  <c r="E50" i="9"/>
  <c r="D50" i="9" s="1"/>
  <c r="E49" i="9"/>
  <c r="E48" i="9"/>
  <c r="E66" i="9"/>
  <c r="E70" i="9"/>
  <c r="D70" i="9" s="1"/>
  <c r="E67" i="9"/>
  <c r="D67" i="9" s="1"/>
  <c r="E61" i="9"/>
  <c r="D61" i="9" s="1"/>
  <c r="K17" i="10"/>
  <c r="L17" i="10" s="1"/>
  <c r="J61" i="9"/>
  <c r="J50" i="9"/>
  <c r="I50" i="9" s="1"/>
  <c r="J56" i="9"/>
  <c r="I56" i="9" s="1"/>
  <c r="J63" i="9"/>
  <c r="J57" i="9"/>
  <c r="I57" i="9" s="1"/>
  <c r="J64" i="9"/>
  <c r="I64" i="9" s="1"/>
  <c r="J52" i="9"/>
  <c r="J59" i="9"/>
  <c r="J69" i="9"/>
  <c r="J49" i="9"/>
  <c r="J60" i="9"/>
  <c r="I60" i="9" s="1"/>
  <c r="J53" i="9"/>
  <c r="J67" i="9"/>
  <c r="I67" i="9" s="1"/>
  <c r="J68" i="9"/>
  <c r="J48" i="9"/>
  <c r="E59" i="9"/>
  <c r="D59" i="9" s="1"/>
  <c r="E64" i="9"/>
  <c r="D64" i="9" s="1"/>
  <c r="E51" i="9"/>
  <c r="D51" i="9" s="1"/>
  <c r="E55" i="9"/>
  <c r="D55" i="9" s="1"/>
  <c r="E68" i="9"/>
  <c r="D68" i="9" s="1"/>
  <c r="E31" i="9"/>
  <c r="K57" i="10"/>
  <c r="H57" i="10"/>
  <c r="L46" i="10"/>
  <c r="L35" i="10"/>
  <c r="L54" i="10"/>
  <c r="J57" i="10"/>
  <c r="D57" i="10"/>
  <c r="L52" i="10"/>
  <c r="J71" i="9" l="1"/>
  <c r="E71"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<sst xmlns="http://schemas.openxmlformats.org/spreadsheetml/2006/main" count="6113" uniqueCount="506">
  <si>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</si>
  <si>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</si>
  <si>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</si>
  <si>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</si>
  <si>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</si>
  <si>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</si>
  <si>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</si>
  <si>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</si>
  <si>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</si>
  <si>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</si>
  <si>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</si>
  <si>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</si>
  <si>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</si>
  <si>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</si>
  <si>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</si>
  <si>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</si>
  <si>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</si>
  <si>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</si>
  <si>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</si>
  <si>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</si>
  <si>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</si>
  <si>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</si>
  <si>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</si>
  <si>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</si>
  <si>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</si>
  <si>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</si>
  <si>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</si>
  <si>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</si>
  <si>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</si>
  <si>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</si>
  <si>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</si>
  <si>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</si>
  <si>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</si>
  <si>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</si>
  <si>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</si>
  <si>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</si>
  <si>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</si>
  <si>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</si>
  <si>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</si>
  <si>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</si>
  <si>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</si>
  <si>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</si>
  <si>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</si>
  <si>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</si>
  <si>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</si>
  <si>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</si>
  <si>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</si>
  <si>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</si>
  <si>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</si>
  <si>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</si>
  <si>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</si>
  <si>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</si>
  <si>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</si>
  <si>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</si>
  <si>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</si>
  <si>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</si>
  <si>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</si>
  <si>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</si>
  <si>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</si>
  <si>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</si>
  <si>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</si>
  <si>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</si>
  <si>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</si>
  <si>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</si>
  <si>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</si>
  <si>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</si>
  <si>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</si>
  <si>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</si>
  <si>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</si>
  <si>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</si>
  <si>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</si>
  <si>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</si>
  <si>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</si>
  <si>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</si>
  <si>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</si>
  <si>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</si>
  <si>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</si>
  <si>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</si>
  <si>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</si>
  <si>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</si>
  <si>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</si>
  <si>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</si>
  <si>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</si>
  <si>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</si>
  <si>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</si>
  <si>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</si>
  <si>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</si>
  <si>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</si>
  <si>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</si>
  <si>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</si>
  <si>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</si>
  <si>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</si>
  <si>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</si>
  <si>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</si>
  <si>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</si>
  <si>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</si>
  <si>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</si>
  <si>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</si>
  <si>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NEMI Forsikring</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</si>
  <si>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</si>
  <si>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</si>
  <si>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</si>
  <si>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</si>
  <si>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</si>
  <si>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</si>
  <si>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</si>
  <si>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</si>
  <si>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</si>
  <si>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</si>
  <si>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</si>
  <si>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</si>
  <si>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</si>
  <si>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</si>
  <si>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</si>
  <si>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</si>
  <si>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</si>
  <si>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</si>
  <si>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</si>
  <si>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</si>
  <si>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</si>
  <si>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</si>
  <si>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</si>
  <si>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</si>
  <si>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</si>
  <si>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</si>
  <si>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</si>
  <si>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</si>
  <si>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</si>
  <si>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</si>
  <si>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ACE European Group Ltd</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</si>
  <si>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</si>
  <si>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</si>
  <si>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</si>
  <si>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</si>
  <si>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</si>
  <si>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</si>
  <si>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</si>
  <si>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</si>
  <si>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</si>
  <si>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</si>
  <si>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</si>
  <si>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</si>
  <si>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</si>
  <si>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</si>
  <si>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</si>
  <si>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</si>
  <si>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</si>
  <si>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</si>
  <si>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</si>
  <si>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</si>
  <si>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</si>
  <si>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</si>
  <si>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</si>
  <si>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</si>
  <si>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</si>
  <si>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</si>
  <si>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</si>
  <si>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</si>
  <si>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</si>
  <si>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</si>
  <si>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</si>
  <si>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</si>
  <si>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</si>
  <si>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</si>
  <si>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</si>
  <si>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</si>
  <si>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</si>
  <si>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</si>
  <si>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</si>
  <si>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</si>
  <si>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</si>
  <si>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</si>
  <si>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</si>
  <si>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</si>
  <si>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</si>
  <si>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</si>
  <si>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</si>
  <si>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</si>
  <si>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</si>
  <si>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</si>
  <si>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</si>
  <si>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</si>
  <si>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</si>
  <si>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</si>
  <si>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</si>
  <si>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</si>
  <si>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</si>
  <si>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</si>
  <si>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</si>
  <si>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</si>
  <si>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</si>
  <si>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</si>
  <si>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</si>
  <si>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</si>
  <si>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</si>
  <si>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</si>
  <si>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</si>
  <si>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</si>
  <si>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</si>
  <si>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</si>
  <si>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</si>
  <si>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</si>
  <si>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</si>
  <si>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</si>
  <si>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</si>
  <si>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</si>
  <si>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</si>
  <si>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</si>
  <si>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</si>
  <si>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</si>
  <si>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</si>
  <si>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</si>
  <si>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</si>
  <si>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</si>
  <si>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</si>
  <si>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</si>
  <si>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</si>
  <si>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</si>
  <si>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</si>
  <si>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</si>
  <si>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</si>
  <si>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</si>
  <si>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</si>
  <si>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</si>
  <si>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</si>
  <si>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</si>
  <si>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</si>
  <si>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</si>
  <si>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</si>
  <si>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</si>
  <si>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</si>
  <si>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</si>
  <si>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</si>
  <si>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</si>
  <si>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</si>
  <si>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</si>
  <si>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</si>
  <si>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</si>
  <si>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</si>
  <si>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</si>
  <si>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</si>
  <si>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</si>
  <si>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</si>
  <si>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</si>
  <si>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</si>
  <si>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</si>
  <si>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</si>
  <si>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</si>
  <si>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</si>
  <si>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</si>
  <si>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</si>
  <si>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</si>
  <si>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</si>
  <si>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</si>
  <si>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</si>
  <si>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</si>
  <si>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</si>
  <si>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</si>
  <si>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</si>
  <si>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</si>
  <si>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</si>
  <si>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</si>
  <si>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</si>
  <si>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</si>
  <si>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</si>
  <si>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</si>
  <si>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</si>
  <si>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</si>
  <si>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</si>
  <si>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</si>
  <si>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</si>
  <si>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</si>
  <si>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</si>
  <si>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</si>
  <si>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</si>
  <si>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Tabell 7b</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</si>
  <si>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</si>
  <si>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</si>
  <si>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</si>
  <si>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</si>
  <si>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</si>
  <si>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</si>
  <si>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</si>
  <si>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</si>
  <si>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</si>
  <si>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</si>
  <si>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</si>
  <si>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</si>
  <si>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</si>
  <si>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</si>
  <si>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</si>
  <si>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</si>
  <si>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</si>
  <si>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</si>
  <si>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</si>
  <si>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</si>
  <si>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</si>
  <si>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</si>
  <si>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</si>
  <si>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</si>
  <si>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</si>
  <si>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</si>
  <si>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</si>
  <si>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</si>
  <si>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</si>
  <si>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</si>
  <si>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</si>
  <si>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</si>
  <si>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</si>
  <si>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</si>
  <si>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</si>
  <si>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</si>
  <si>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</si>
  <si>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</si>
  <si>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</si>
  <si>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</si>
  <si>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</si>
  <si>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</si>
  <si>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</si>
  <si>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</si>
  <si>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</si>
  <si>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</si>
  <si>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</si>
  <si>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</si>
  <si>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</si>
  <si>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</si>
  <si>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</si>
  <si>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</si>
  <si>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</si>
  <si>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</si>
  <si>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</si>
  <si>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</si>
  <si>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</si>
  <si>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</si>
  <si>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</si>
  <si>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</si>
  <si>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</si>
  <si>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</si>
  <si>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</si>
  <si>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</si>
  <si>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</si>
  <si>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</si>
  <si>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</si>
  <si>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</si>
  <si>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</si>
  <si>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</si>
  <si>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</si>
  <si>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</si>
  <si>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</si>
  <si>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</si>
  <si>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</si>
  <si>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</si>
  <si>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</si>
  <si>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</si>
  <si>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</si>
  <si>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</si>
  <si>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</si>
  <si>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</si>
  <si>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</si>
  <si>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</si>
  <si>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</si>
  <si>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</si>
  <si>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</si>
  <si>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</si>
  <si>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</si>
  <si>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</si>
  <si>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</si>
  <si>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</si>
  <si>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</si>
  <si>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Figur 1  Brutto forfalt premie livprodukter  -  produkter uten investeringsvalg pr. 31.12.</t>
  </si>
  <si>
    <t>Figur 2  Brutto forfalt premie livprodukter  -  produkter med investeringsvalg pr. 31.12.</t>
  </si>
  <si>
    <t>31.12.</t>
  </si>
  <si>
    <t xml:space="preserve">    13.5 Andre tekniske avsetninger for skadeforsikringsvirksomheten</t>
  </si>
  <si>
    <t xml:space="preserve">    5.2 Overføring av premieres., tilleggsavsetn. til andre selskap/kasser</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</si>
  <si>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</si>
  <si>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</si>
  <si>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</si>
  <si>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</si>
  <si>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</si>
  <si>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</si>
  <si>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</si>
  <si>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</si>
  <si>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</si>
  <si>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</si>
  <si>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</si>
  <si>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</si>
  <si>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</si>
  <si>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</si>
  <si>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</si>
  <si>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</si>
  <si>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</si>
  <si>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</si>
  <si>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</si>
  <si>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</si>
  <si>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</si>
  <si>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</si>
  <si>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</si>
  <si>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</si>
  <si>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</si>
  <si>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</si>
  <si>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</si>
  <si>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</si>
  <si>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</si>
  <si>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</si>
  <si>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</si>
  <si>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</si>
  <si>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</si>
  <si>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</si>
  <si>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</si>
  <si>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</si>
  <si>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</si>
  <si>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</si>
  <si>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</si>
  <si>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</si>
  <si>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</si>
  <si>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</si>
  <si>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</si>
  <si>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</si>
  <si>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</si>
  <si>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</si>
  <si>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</si>
  <si>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</si>
  <si>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</si>
  <si>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</si>
  <si>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</si>
  <si>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</si>
  <si>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</si>
  <si>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</si>
  <si>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</si>
  <si>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</si>
  <si>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</si>
  <si>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</si>
  <si>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</si>
  <si>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13.4 Premie-, innskudds- og pensjonistenes overskuddsfond</t>
  </si>
  <si>
    <t>13.5 Andre tekniske avsetninger for skadeforsikringsvirksomheten</t>
  </si>
  <si>
    <t>Sum avsetning til forsikringsforpliktelser - KF</t>
  </si>
  <si>
    <t xml:space="preserve">         Annet (post 13.3 og 13.5)</t>
  </si>
  <si>
    <t>Tabell 7.b</t>
  </si>
  <si>
    <t>Spesifikasjon av post 13. Forsikringsforpliktelser -SI</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</si>
  <si>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</si>
  <si>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</si>
  <si>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</si>
  <si>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</si>
  <si>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</si>
  <si>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</si>
  <si>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</si>
  <si>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</si>
  <si>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</si>
  <si>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r>
      <t>Soliditetskapital</t>
    </r>
    <r>
      <rPr>
        <sz val="14"/>
        <rFont val="Times New Roman"/>
        <family val="1"/>
      </rPr>
      <t xml:space="preserve"> (%)</t>
    </r>
  </si>
  <si>
    <r>
      <t xml:space="preserve">Mer/mindre-verdier </t>
    </r>
    <r>
      <rPr>
        <vertAlign val="superscript"/>
        <sz val="14"/>
        <rFont val="Times New Roman"/>
        <family val="1"/>
      </rPr>
      <t>20)</t>
    </r>
  </si>
  <si>
    <t>Avkastningstall</t>
  </si>
  <si>
    <r>
      <t xml:space="preserve">Kapitalavkastning I </t>
    </r>
    <r>
      <rPr>
        <b/>
        <sz val="14"/>
        <rFont val="Times New Roman"/>
        <family val="1"/>
      </rPr>
      <t>(%)</t>
    </r>
  </si>
  <si>
    <t>Gammel overskuddsmodell</t>
  </si>
  <si>
    <t>Modifisert/ny overskuddsmodell</t>
  </si>
  <si>
    <r>
      <t xml:space="preserve">Kapitalavkastning II </t>
    </r>
    <r>
      <rPr>
        <b/>
        <sz val="14"/>
        <rFont val="Times New Roman"/>
        <family val="1"/>
      </rPr>
      <t xml:space="preserve"> (%)</t>
    </r>
  </si>
  <si>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</si>
  <si>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</si>
  <si>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</si>
  <si>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</si>
  <si>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</si>
  <si>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</si>
  <si>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</si>
  <si>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</si>
  <si>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</si>
  <si>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</si>
  <si>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</si>
  <si>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</si>
  <si>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</si>
  <si>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</si>
  <si>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</si>
  <si>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</si>
  <si>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</si>
  <si>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</si>
  <si>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</si>
  <si>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</si>
  <si>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</si>
  <si>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</si>
  <si>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</si>
  <si>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</si>
  <si>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</si>
  <si>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</si>
  <si>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</si>
  <si>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</si>
  <si>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</si>
  <si>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</si>
  <si>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</si>
  <si>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</si>
  <si>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</si>
  <si>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Figur 3  Forsikringsforpliktelser i livsforsikring  -  produkter uten investeringsvalg pr. 31.12.</t>
  </si>
  <si>
    <t>Figur 4  Forsikringsforpliktelser i livsforsikring -  produkter med investeringsvalg pr. 31.12.</t>
  </si>
  <si>
    <t>Figur 5  Netto tilflytting livprodukter  -  produkter uten investeringsvalg pr. 31.12.</t>
  </si>
  <si>
    <t>Figur 6  Netto tilflytting livprodukter  -  produkter med investeringsvalg pr. 31.12.</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</si>
  <si>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</si>
  <si>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</si>
  <si>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</si>
  <si>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</si>
  <si>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</si>
  <si>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Gjennomsnitt 2014 - 2018</t>
  </si>
  <si>
    <t>25,147</t>
  </si>
  <si>
    <t>|</t>
  </si>
  <si>
    <t>31.12.2017</t>
  </si>
  <si>
    <t>31.12.2018</t>
  </si>
  <si>
    <t>Landkreditt Forsikring</t>
  </si>
  <si>
    <t>Landkreditt Fors.</t>
  </si>
  <si>
    <t>Spesifikasjon av post 13 - forsikringsforpliktelser - produkter uten investeringsvalg</t>
  </si>
  <si>
    <t>Spesifikasjon post 14 forsikringsforpliktelser - produkter med investeringsvalg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</si>
</sst>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0.0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b/>
      <sz val="10"/>
      <color rgb="FFFF0000"/>
      <name val="Arial"/>
      <family val="2"/>
    </font>
    <font>
      <u/>
      <sz val="16"/>
      <color indexed="12"/>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9">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0" fontId="14" fillId="0" borderId="0"/>
  </cellStyleXfs>
  <cellXfs count="1024">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6" fillId="0" borderId="4" xfId="1" applyNumberFormat="1" applyFont="1" applyFill="1" applyBorder="1" applyAlignment="1">
      <alignment horizontal="right"/>
    </xf>
    <xf numFmtId="3" fontId="66" fillId="0" borderId="3" xfId="1" applyNumberFormat="1" applyFont="1" applyFill="1" applyBorder="1" applyAlignment="1">
      <alignment horizontal="right"/>
    </xf>
    <xf numFmtId="3" fontId="66" fillId="0" borderId="11" xfId="1" applyNumberFormat="1" applyFont="1" applyFill="1" applyBorder="1" applyAlignment="1">
      <alignment horizontal="right"/>
    </xf>
    <xf numFmtId="3" fontId="66"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7" fillId="0" borderId="0" xfId="0" applyFont="1" applyAlignment="1">
      <alignment horizontal="left" vertical="center" readingOrder="1"/>
    </xf>
    <xf numFmtId="0" fontId="17" fillId="0" borderId="0" xfId="1" applyFont="1" applyFill="1" applyBorder="1" applyAlignment="1">
      <alignment horizontal="left"/>
    </xf>
    <xf numFmtId="0" fontId="70" fillId="0" borderId="0" xfId="1" applyFont="1" applyFill="1" applyAlignment="1">
      <alignment horizontal="left"/>
    </xf>
    <xf numFmtId="0" fontId="18" fillId="0" borderId="0" xfId="1" applyFont="1" applyFill="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2" fillId="0" borderId="0" xfId="1" applyFont="1" applyBorder="1" applyAlignment="1">
      <alignment horizontal="left"/>
    </xf>
    <xf numFmtId="3" fontId="66"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1"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1" fontId="15" fillId="0" borderId="7" xfId="846" applyFont="1" applyFill="1" applyBorder="1" applyAlignment="1">
      <alignment horizontal="right"/>
    </xf>
    <xf numFmtId="171" fontId="15" fillId="0" borderId="1" xfId="846" applyFont="1" applyFill="1" applyBorder="1" applyAlignment="1">
      <alignment horizontal="right"/>
    </xf>
    <xf numFmtId="171" fontId="17" fillId="0" borderId="3" xfId="846" applyFont="1" applyBorder="1" applyAlignment="1">
      <alignment horizontal="right"/>
    </xf>
    <xf numFmtId="171" fontId="17" fillId="0" borderId="3" xfId="846" applyFont="1" applyFill="1" applyBorder="1" applyAlignment="1">
      <alignment horizontal="right"/>
    </xf>
    <xf numFmtId="171" fontId="17" fillId="0" borderId="4" xfId="846" applyFont="1" applyFill="1" applyBorder="1" applyAlignment="1">
      <alignment horizontal="right"/>
    </xf>
    <xf numFmtId="171" fontId="15" fillId="0" borderId="3" xfId="846" applyFont="1" applyFill="1" applyBorder="1" applyAlignment="1">
      <alignment horizontal="right"/>
    </xf>
    <xf numFmtId="171" fontId="15" fillId="0" borderId="4" xfId="846" applyFont="1" applyFill="1" applyBorder="1" applyAlignment="1">
      <alignment horizontal="right"/>
    </xf>
    <xf numFmtId="171" fontId="15" fillId="0" borderId="6" xfId="846" applyFont="1" applyFill="1" applyBorder="1" applyAlignment="1">
      <alignment horizontal="right"/>
    </xf>
    <xf numFmtId="171" fontId="15" fillId="0" borderId="11" xfId="846" applyFont="1" applyFill="1" applyBorder="1" applyAlignment="1">
      <alignment horizontal="right"/>
    </xf>
    <xf numFmtId="171" fontId="17" fillId="3" borderId="7" xfId="846" applyFont="1" applyFill="1" applyBorder="1" applyAlignment="1">
      <alignment horizontal="right"/>
    </xf>
    <xf numFmtId="171" fontId="17" fillId="3" borderId="2" xfId="846" applyFont="1" applyFill="1" applyBorder="1" applyAlignment="1">
      <alignment horizontal="right"/>
    </xf>
    <xf numFmtId="171" fontId="15" fillId="0" borderId="2" xfId="846" applyFont="1" applyFill="1" applyBorder="1" applyAlignment="1">
      <alignment horizontal="right"/>
    </xf>
    <xf numFmtId="171" fontId="17" fillId="3" borderId="3" xfId="846" applyFont="1" applyFill="1" applyBorder="1" applyAlignment="1">
      <alignment horizontal="right"/>
    </xf>
    <xf numFmtId="171" fontId="17" fillId="2" borderId="3" xfId="846" applyFont="1" applyFill="1" applyBorder="1" applyAlignment="1">
      <alignment horizontal="right"/>
    </xf>
    <xf numFmtId="171" fontId="17" fillId="2" borderId="4" xfId="846" applyFont="1" applyFill="1" applyBorder="1" applyAlignment="1">
      <alignment horizontal="right"/>
    </xf>
    <xf numFmtId="171" fontId="17" fillId="0" borderId="2" xfId="846" applyFont="1" applyFill="1" applyBorder="1" applyAlignment="1">
      <alignment horizontal="right"/>
    </xf>
    <xf numFmtId="171" fontId="17" fillId="3" borderId="6" xfId="846" applyFont="1" applyFill="1" applyBorder="1" applyAlignment="1">
      <alignment horizontal="right"/>
    </xf>
    <xf numFmtId="171" fontId="15" fillId="0" borderId="5" xfId="846" applyFont="1" applyFill="1" applyBorder="1" applyAlignment="1">
      <alignment horizontal="right"/>
    </xf>
    <xf numFmtId="171" fontId="15" fillId="0" borderId="15" xfId="846" applyFont="1" applyFill="1" applyBorder="1" applyAlignment="1">
      <alignment horizontal="right"/>
    </xf>
    <xf numFmtId="171" fontId="15" fillId="2" borderId="2" xfId="846" applyFont="1" applyFill="1" applyBorder="1" applyAlignment="1">
      <alignment horizontal="right"/>
    </xf>
    <xf numFmtId="171" fontId="15" fillId="2" borderId="0" xfId="846" applyFont="1" applyFill="1" applyBorder="1" applyAlignment="1">
      <alignment horizontal="right"/>
    </xf>
    <xf numFmtId="171" fontId="15" fillId="2" borderId="4" xfId="846" applyFont="1" applyFill="1" applyBorder="1" applyAlignment="1">
      <alignment horizontal="right"/>
    </xf>
    <xf numFmtId="171" fontId="15" fillId="2" borderId="5" xfId="846" applyFont="1" applyFill="1" applyBorder="1" applyAlignment="1">
      <alignment horizontal="right"/>
    </xf>
    <xf numFmtId="171" fontId="15" fillId="2" borderId="11" xfId="846" applyFont="1" applyFill="1" applyBorder="1" applyAlignment="1">
      <alignment horizontal="right"/>
    </xf>
    <xf numFmtId="171" fontId="17" fillId="0" borderId="4" xfId="846" applyFont="1" applyBorder="1" applyAlignment="1">
      <alignment horizontal="right"/>
    </xf>
    <xf numFmtId="171" fontId="17" fillId="0" borderId="6" xfId="846" applyFont="1" applyFill="1" applyBorder="1" applyAlignment="1">
      <alignment horizontal="right"/>
    </xf>
    <xf numFmtId="171" fontId="17" fillId="0" borderId="11" xfId="846" applyFont="1" applyFill="1" applyBorder="1" applyAlignment="1">
      <alignment horizontal="right"/>
    </xf>
    <xf numFmtId="171" fontId="66" fillId="0" borderId="2" xfId="846" applyFont="1" applyFill="1" applyBorder="1" applyAlignment="1">
      <alignment horizontal="right"/>
    </xf>
    <xf numFmtId="171" fontId="17" fillId="0" borderId="0" xfId="846" applyFont="1" applyFill="1" applyBorder="1" applyAlignment="1">
      <alignment horizontal="right"/>
    </xf>
    <xf numFmtId="171" fontId="22" fillId="0" borderId="2" xfId="846" applyFont="1" applyFill="1" applyBorder="1" applyAlignment="1">
      <alignment horizontal="right"/>
    </xf>
    <xf numFmtId="171" fontId="22"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7" fillId="2" borderId="2" xfId="846" applyFont="1" applyFill="1" applyBorder="1" applyAlignment="1">
      <alignment horizontal="right"/>
    </xf>
    <xf numFmtId="171" fontId="17" fillId="2" borderId="0" xfId="846" applyFont="1" applyFill="1" applyBorder="1" applyAlignment="1">
      <alignment horizontal="right"/>
    </xf>
    <xf numFmtId="171" fontId="15" fillId="0" borderId="0" xfId="846" applyFont="1" applyFill="1" applyBorder="1" applyAlignment="1">
      <alignment horizontal="right"/>
    </xf>
    <xf numFmtId="171" fontId="17" fillId="3" borderId="5" xfId="846" applyFont="1" applyFill="1" applyBorder="1" applyAlignment="1">
      <alignment horizontal="right"/>
    </xf>
    <xf numFmtId="171" fontId="17" fillId="3" borderId="1" xfId="846" applyFont="1" applyFill="1" applyBorder="1" applyAlignment="1">
      <alignment horizontal="right"/>
    </xf>
    <xf numFmtId="171" fontId="17" fillId="3" borderId="4" xfId="846" applyFont="1" applyFill="1" applyBorder="1" applyAlignment="1">
      <alignment horizontal="right"/>
    </xf>
    <xf numFmtId="171" fontId="17" fillId="3" borderId="11"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72" fontId="17" fillId="3" borderId="2" xfId="846" applyNumberFormat="1" applyFont="1" applyFill="1" applyBorder="1" applyAlignment="1">
      <alignment horizontal="right"/>
    </xf>
    <xf numFmtId="172" fontId="17" fillId="3" borderId="6" xfId="846" applyNumberFormat="1" applyFont="1" applyFill="1" applyBorder="1" applyAlignment="1">
      <alignment horizontal="right"/>
    </xf>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1" fontId="15" fillId="3" borderId="7" xfId="846" applyFont="1" applyFill="1" applyBorder="1" applyAlignment="1">
      <alignment horizontal="right"/>
    </xf>
    <xf numFmtId="172" fontId="15" fillId="3" borderId="2" xfId="846" applyNumberFormat="1" applyFont="1" applyFill="1" applyBorder="1" applyAlignment="1">
      <alignment horizontal="right"/>
    </xf>
    <xf numFmtId="3" fontId="15" fillId="0" borderId="0" xfId="1" applyNumberFormat="1" applyFont="1" applyFill="1"/>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7"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14" fontId="13" fillId="0" borderId="7" xfId="1" applyNumberFormat="1" applyFont="1" applyFill="1" applyBorder="1" applyAlignment="1" applyProtection="1">
      <alignment horizontal="left"/>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xf>
    <xf numFmtId="166" fontId="30" fillId="0" borderId="3" xfId="847" applyNumberFormat="1" applyFont="1" applyBorder="1" applyAlignment="1" applyProtection="1">
      <alignment horizontal="right"/>
      <protection locked="0"/>
    </xf>
    <xf numFmtId="3" fontId="30" fillId="9"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xf>
    <xf numFmtId="166" fontId="30" fillId="4" borderId="3" xfId="847" applyNumberFormat="1" applyFont="1" applyFill="1" applyBorder="1" applyAlignment="1" applyProtection="1">
      <alignment horizontal="right"/>
      <protection locked="0"/>
    </xf>
    <xf numFmtId="3" fontId="30" fillId="0" borderId="3" xfId="1" applyNumberFormat="1" applyFont="1" applyFill="1" applyBorder="1" applyAlignment="1" applyProtection="1">
      <alignment horizontal="right"/>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30" fillId="0" borderId="3" xfId="1" applyFont="1" applyFill="1" applyBorder="1" applyProtection="1">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0" fontId="69" fillId="0" borderId="0" xfId="1" applyFont="1" applyProtection="1">
      <protection locked="0"/>
    </xf>
    <xf numFmtId="0" fontId="69" fillId="0" borderId="0" xfId="1" applyFont="1" applyBorder="1" applyProtection="1">
      <protection locked="0"/>
    </xf>
    <xf numFmtId="0" fontId="19" fillId="0" borderId="0" xfId="1" applyBorder="1" applyProtection="1">
      <protection locked="0"/>
    </xf>
    <xf numFmtId="4" fontId="69" fillId="0" borderId="0" xfId="1" applyNumberFormat="1" applyFont="1" applyProtection="1">
      <protection locked="0"/>
    </xf>
    <xf numFmtId="3" fontId="69" fillId="0" borderId="0" xfId="1" applyNumberFormat="1" applyFont="1" applyProtection="1">
      <protection locked="0"/>
    </xf>
    <xf numFmtId="0" fontId="41" fillId="0" borderId="0" xfId="7" applyFont="1" applyFill="1" applyProtection="1">
      <protection locked="0"/>
    </xf>
    <xf numFmtId="0" fontId="30" fillId="0" borderId="0" xfId="7" applyFont="1" applyFill="1" applyProtection="1">
      <protection locked="0"/>
    </xf>
    <xf numFmtId="0" fontId="19" fillId="0" borderId="0" xfId="7" applyFont="1" applyFill="1" applyProtection="1">
      <protection locked="0"/>
    </xf>
    <xf numFmtId="0" fontId="41" fillId="0" borderId="0" xfId="7" applyFont="1" applyFill="1" applyBorder="1" applyProtection="1">
      <protection locked="0"/>
    </xf>
    <xf numFmtId="0" fontId="45" fillId="0" borderId="0" xfId="7" applyFont="1" applyFill="1" applyBorder="1" applyProtection="1">
      <protection locked="0"/>
    </xf>
    <xf numFmtId="0" fontId="45" fillId="0" borderId="12" xfId="7" applyFont="1" applyFill="1" applyBorder="1" applyProtection="1">
      <protection locked="0"/>
    </xf>
    <xf numFmtId="14" fontId="13" fillId="0" borderId="3" xfId="7" applyNumberFormat="1" applyFont="1" applyFill="1" applyBorder="1" applyAlignment="1" applyProtection="1">
      <alignment horizontal="left"/>
      <protection locked="0"/>
    </xf>
    <xf numFmtId="0" fontId="17" fillId="0" borderId="8" xfId="7" applyFont="1" applyFill="1" applyBorder="1" applyProtection="1">
      <protection locked="0"/>
    </xf>
    <xf numFmtId="0" fontId="17" fillId="0" borderId="9" xfId="7" applyFont="1" applyFill="1" applyBorder="1" applyProtection="1">
      <protection locked="0"/>
    </xf>
    <xf numFmtId="0" fontId="17" fillId="0" borderId="10" xfId="7" applyFont="1" applyFill="1" applyBorder="1" applyProtection="1">
      <protection locked="0"/>
    </xf>
    <xf numFmtId="3" fontId="45" fillId="0" borderId="1" xfId="7" applyNumberFormat="1" applyFont="1" applyFill="1" applyBorder="1" applyProtection="1">
      <protection locked="0"/>
    </xf>
    <xf numFmtId="3" fontId="45" fillId="0" borderId="4" xfId="7" applyNumberFormat="1" applyFont="1" applyFill="1" applyBorder="1" applyProtection="1">
      <protection locked="0"/>
    </xf>
    <xf numFmtId="0" fontId="15" fillId="0" borderId="1" xfId="7" applyNumberFormat="1" applyFont="1" applyFill="1" applyBorder="1" applyAlignment="1" applyProtection="1">
      <alignment horizontal="center"/>
      <protection locked="0"/>
    </xf>
    <xf numFmtId="0" fontId="15" fillId="0" borderId="7" xfId="7" applyNumberFormat="1" applyFont="1" applyFill="1" applyBorder="1" applyAlignment="1" applyProtection="1">
      <alignment horizontal="center"/>
      <protection locked="0"/>
    </xf>
    <xf numFmtId="3" fontId="50" fillId="0" borderId="11" xfId="7" applyNumberFormat="1" applyFont="1" applyFill="1" applyBorder="1" applyProtection="1">
      <protection locked="0"/>
    </xf>
    <xf numFmtId="0" fontId="13" fillId="0" borderId="6" xfId="7" applyFont="1" applyFill="1" applyBorder="1" applyAlignment="1" applyProtection="1">
      <alignment horizontal="center"/>
      <protection locked="0"/>
    </xf>
    <xf numFmtId="169" fontId="15" fillId="0" borderId="6" xfId="7" applyNumberFormat="1" applyFont="1" applyFill="1" applyBorder="1" applyAlignment="1" applyProtection="1">
      <alignment horizontal="center"/>
      <protection locked="0"/>
    </xf>
    <xf numFmtId="3" fontId="50" fillId="0" borderId="7" xfId="7" applyNumberFormat="1" applyFont="1" applyFill="1" applyBorder="1" applyProtection="1">
      <protection locked="0"/>
    </xf>
    <xf numFmtId="0" fontId="13" fillId="0" borderId="4" xfId="7" applyFont="1" applyFill="1" applyBorder="1" applyAlignment="1" applyProtection="1">
      <alignment horizontal="center"/>
    </xf>
    <xf numFmtId="169" fontId="15" fillId="0" borderId="4" xfId="7" applyNumberFormat="1" applyFont="1" applyFill="1" applyBorder="1" applyAlignment="1" applyProtection="1">
      <alignment horizontal="center"/>
      <protection locked="0"/>
    </xf>
    <xf numFmtId="169" fontId="15" fillId="0" borderId="3" xfId="7" applyNumberFormat="1" applyFont="1" applyFill="1" applyBorder="1" applyAlignment="1" applyProtection="1">
      <alignment horizontal="center"/>
      <protection locked="0"/>
    </xf>
    <xf numFmtId="0" fontId="13" fillId="0" borderId="4" xfId="7" applyFont="1" applyFill="1" applyBorder="1" applyAlignment="1" applyProtection="1">
      <alignment horizontal="center"/>
      <protection locked="0"/>
    </xf>
    <xf numFmtId="0" fontId="45" fillId="0" borderId="3" xfId="7" applyFont="1" applyFill="1" applyBorder="1" applyProtection="1">
      <protection locked="0"/>
    </xf>
    <xf numFmtId="3" fontId="45" fillId="0" borderId="4" xfId="7" applyNumberFormat="1" applyFont="1" applyFill="1" applyBorder="1" applyAlignment="1" applyProtection="1">
      <alignment horizontal="right"/>
    </xf>
    <xf numFmtId="169" fontId="45" fillId="0" borderId="4" xfId="7" applyNumberFormat="1" applyFont="1" applyFill="1" applyBorder="1" applyAlignment="1" applyProtection="1">
      <alignment horizontal="right"/>
      <protection locked="0"/>
    </xf>
    <xf numFmtId="169" fontId="45" fillId="0" borderId="3" xfId="7" applyNumberFormat="1" applyFont="1" applyFill="1" applyBorder="1" applyAlignment="1" applyProtection="1">
      <alignment horizontal="right"/>
      <protection locked="0"/>
    </xf>
    <xf numFmtId="1" fontId="45" fillId="0" borderId="3" xfId="7" applyNumberFormat="1" applyFont="1" applyFill="1" applyBorder="1" applyAlignment="1" applyProtection="1">
      <alignment horizontal="right"/>
      <protection locked="0"/>
    </xf>
    <xf numFmtId="0" fontId="45" fillId="0" borderId="4" xfId="7" applyNumberFormat="1" applyFont="1" applyFill="1" applyBorder="1" applyAlignment="1" applyProtection="1">
      <alignment horizontal="right"/>
      <protection locked="0"/>
    </xf>
    <xf numFmtId="0" fontId="30" fillId="0" borderId="3" xfId="7" applyFont="1" applyFill="1" applyBorder="1" applyProtection="1">
      <protection locked="0"/>
    </xf>
    <xf numFmtId="3" fontId="30" fillId="0" borderId="4" xfId="1" applyNumberFormat="1" applyFont="1" applyFill="1" applyBorder="1" applyAlignment="1" applyProtection="1">
      <alignment horizontal="right"/>
      <protection locked="0"/>
    </xf>
    <xf numFmtId="169" fontId="30" fillId="0" borderId="4" xfId="7" applyNumberFormat="1" applyFont="1" applyFill="1" applyBorder="1" applyAlignment="1" applyProtection="1">
      <alignment horizontal="right"/>
      <protection locked="0"/>
    </xf>
    <xf numFmtId="1" fontId="30" fillId="0" borderId="3" xfId="7" applyNumberFormat="1" applyFont="1" applyFill="1" applyBorder="1" applyAlignment="1" applyProtection="1">
      <alignment horizontal="right"/>
      <protection locked="0"/>
    </xf>
    <xf numFmtId="169" fontId="30" fillId="0" borderId="3" xfId="7" applyNumberFormat="1" applyFont="1" applyFill="1" applyBorder="1" applyAlignment="1" applyProtection="1">
      <alignment horizontal="right"/>
      <protection locked="0"/>
    </xf>
    <xf numFmtId="1" fontId="30" fillId="0" borderId="4" xfId="7" applyNumberFormat="1" applyFont="1" applyFill="1" applyBorder="1" applyAlignment="1" applyProtection="1">
      <alignment horizontal="right"/>
      <protection locked="0"/>
    </xf>
    <xf numFmtId="1" fontId="45" fillId="0" borderId="4" xfId="7" applyNumberFormat="1" applyFont="1" applyFill="1" applyBorder="1" applyAlignment="1" applyProtection="1">
      <alignment horizontal="right"/>
      <protection locked="0"/>
    </xf>
    <xf numFmtId="0" fontId="45" fillId="0" borderId="0" xfId="7" applyFont="1" applyFill="1" applyProtection="1">
      <protection locked="0"/>
    </xf>
    <xf numFmtId="3" fontId="30" fillId="0" borderId="4" xfId="7" applyNumberFormat="1" applyFont="1" applyFill="1" applyBorder="1" applyAlignment="1" applyProtection="1">
      <alignment horizontal="right"/>
      <protection locked="0"/>
    </xf>
    <xf numFmtId="3" fontId="30" fillId="0" borderId="3" xfId="7" applyNumberFormat="1" applyFont="1" applyFill="1" applyBorder="1" applyAlignment="1" applyProtection="1">
      <alignment horizontal="right"/>
      <protection locked="0"/>
    </xf>
    <xf numFmtId="3" fontId="45" fillId="0" borderId="4" xfId="7" applyNumberFormat="1" applyFont="1" applyFill="1" applyBorder="1" applyAlignment="1" applyProtection="1">
      <alignment horizontal="right"/>
      <protection locked="0"/>
    </xf>
    <xf numFmtId="3" fontId="45" fillId="0" borderId="3" xfId="7" applyNumberFormat="1" applyFont="1" applyFill="1" applyBorder="1" applyAlignment="1" applyProtection="1">
      <alignment horizontal="right"/>
      <protection locked="0"/>
    </xf>
    <xf numFmtId="0" fontId="30" fillId="0" borderId="6" xfId="7" applyFont="1" applyFill="1" applyBorder="1" applyProtection="1">
      <protection locked="0"/>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protection locked="0"/>
    </xf>
    <xf numFmtId="1" fontId="30" fillId="0" borderId="6" xfId="7" applyNumberFormat="1" applyFont="1" applyFill="1" applyBorder="1" applyAlignment="1" applyProtection="1">
      <alignment horizontal="right"/>
      <protection locked="0"/>
    </xf>
    <xf numFmtId="3" fontId="30" fillId="0" borderId="6" xfId="7" applyNumberFormat="1" applyFont="1" applyFill="1" applyBorder="1" applyAlignment="1" applyProtection="1">
      <alignment horizontal="right"/>
      <protection locked="0"/>
    </xf>
    <xf numFmtId="0" fontId="30" fillId="0" borderId="7" xfId="7" applyFont="1" applyFill="1" applyBorder="1" applyProtection="1">
      <protection locked="0"/>
    </xf>
    <xf numFmtId="3" fontId="30" fillId="0" borderId="1" xfId="7" applyNumberFormat="1" applyFont="1" applyFill="1" applyBorder="1" applyAlignment="1" applyProtection="1">
      <alignment horizontal="right"/>
    </xf>
    <xf numFmtId="3" fontId="30" fillId="0" borderId="1" xfId="7" applyNumberFormat="1" applyFont="1" applyFill="1" applyBorder="1" applyAlignment="1" applyProtection="1">
      <alignment horizontal="right"/>
      <protection locked="0"/>
    </xf>
    <xf numFmtId="1" fontId="30" fillId="0" borderId="7" xfId="7" applyNumberFormat="1" applyFont="1" applyFill="1" applyBorder="1" applyAlignment="1" applyProtection="1">
      <alignment horizontal="right"/>
      <protection locked="0"/>
    </xf>
    <xf numFmtId="3" fontId="30" fillId="0" borderId="7" xfId="7" applyNumberFormat="1" applyFont="1" applyFill="1" applyBorder="1" applyAlignment="1" applyProtection="1">
      <alignment horizontal="right"/>
      <protection locked="0"/>
    </xf>
    <xf numFmtId="0" fontId="30" fillId="0" borderId="4" xfId="7" applyFont="1" applyFill="1" applyBorder="1" applyAlignment="1" applyProtection="1">
      <alignment horizontal="right"/>
      <protection locked="0"/>
    </xf>
    <xf numFmtId="0" fontId="30" fillId="0" borderId="3" xfId="7" applyFont="1" applyFill="1" applyBorder="1" applyAlignment="1" applyProtection="1">
      <alignment horizontal="right"/>
      <protection locked="0"/>
    </xf>
    <xf numFmtId="3" fontId="45" fillId="0" borderId="4" xfId="1" applyNumberFormat="1" applyFont="1" applyFill="1" applyBorder="1" applyAlignment="1" applyProtection="1">
      <alignment horizontal="right"/>
    </xf>
    <xf numFmtId="0" fontId="46" fillId="0" borderId="0" xfId="7" applyFont="1" applyFill="1" applyProtection="1">
      <protection locked="0"/>
    </xf>
    <xf numFmtId="0" fontId="46" fillId="0" borderId="0" xfId="7" applyFont="1" applyFill="1" applyProtection="1"/>
    <xf numFmtId="0" fontId="30" fillId="0" borderId="0" xfId="848" applyFont="1" applyFill="1" applyProtection="1">
      <protection locked="0"/>
    </xf>
    <xf numFmtId="0" fontId="14" fillId="0" borderId="0" xfId="848" applyFill="1" applyProtection="1">
      <protection locked="0"/>
    </xf>
    <xf numFmtId="0" fontId="41" fillId="0" borderId="0" xfId="848" applyFont="1" applyFill="1" applyBorder="1" applyProtection="1">
      <protection locked="0"/>
    </xf>
    <xf numFmtId="0" fontId="45" fillId="0" borderId="0" xfId="848" applyFont="1" applyFill="1" applyBorder="1" applyProtection="1">
      <protection locked="0"/>
    </xf>
    <xf numFmtId="0" fontId="45" fillId="0" borderId="12" xfId="848" applyFont="1" applyFill="1" applyBorder="1" applyProtection="1">
      <protection locked="0"/>
    </xf>
    <xf numFmtId="0" fontId="30" fillId="0" borderId="0" xfId="848" applyFont="1" applyFill="1" applyBorder="1" applyProtection="1">
      <protection locked="0"/>
    </xf>
    <xf numFmtId="14" fontId="13" fillId="0" borderId="3" xfId="848" applyNumberFormat="1" applyFont="1" applyFill="1" applyBorder="1" applyAlignment="1" applyProtection="1">
      <alignment horizontal="left"/>
      <protection locked="0"/>
    </xf>
    <xf numFmtId="0" fontId="17" fillId="0" borderId="8" xfId="848" applyFont="1" applyFill="1" applyBorder="1" applyProtection="1">
      <protection locked="0"/>
    </xf>
    <xf numFmtId="0" fontId="17" fillId="0" borderId="9" xfId="848" applyFont="1" applyFill="1" applyBorder="1" applyProtection="1">
      <protection locked="0"/>
    </xf>
    <xf numFmtId="0" fontId="17" fillId="0" borderId="10" xfId="848" applyFont="1" applyFill="1" applyBorder="1" applyProtection="1">
      <protection locked="0"/>
    </xf>
    <xf numFmtId="3" fontId="45" fillId="0" borderId="1" xfId="848" applyNumberFormat="1" applyFont="1" applyFill="1" applyBorder="1" applyProtection="1">
      <protection locked="0"/>
    </xf>
    <xf numFmtId="3" fontId="45" fillId="0" borderId="4" xfId="848" applyNumberFormat="1" applyFont="1" applyFill="1" applyBorder="1" applyProtection="1">
      <protection locked="0"/>
    </xf>
    <xf numFmtId="3" fontId="50" fillId="0" borderId="11" xfId="848" applyNumberFormat="1" applyFont="1" applyFill="1" applyBorder="1" applyProtection="1">
      <protection locked="0"/>
    </xf>
    <xf numFmtId="3" fontId="73" fillId="0" borderId="7" xfId="848" applyNumberFormat="1" applyFont="1" applyFill="1" applyBorder="1" applyProtection="1">
      <protection locked="0"/>
    </xf>
    <xf numFmtId="169" fontId="15" fillId="0" borderId="4" xfId="848" applyNumberFormat="1" applyFont="1" applyFill="1" applyBorder="1" applyAlignment="1" applyProtection="1">
      <alignment horizontal="right"/>
      <protection locked="0"/>
    </xf>
    <xf numFmtId="169" fontId="15" fillId="0" borderId="4" xfId="848" applyNumberFormat="1" applyFont="1" applyFill="1" applyBorder="1" applyAlignment="1" applyProtection="1">
      <alignment horizontal="right"/>
    </xf>
    <xf numFmtId="169" fontId="15" fillId="0" borderId="3" xfId="848" applyNumberFormat="1" applyFont="1" applyFill="1" applyBorder="1" applyAlignment="1" applyProtection="1">
      <alignment horizontal="right"/>
      <protection locked="0"/>
    </xf>
    <xf numFmtId="0" fontId="15" fillId="0" borderId="4" xfId="7" applyNumberFormat="1" applyFont="1" applyFill="1" applyBorder="1" applyAlignment="1" applyProtection="1">
      <alignment horizontal="right"/>
    </xf>
    <xf numFmtId="169" fontId="15" fillId="0" borderId="7" xfId="848" applyNumberFormat="1" applyFont="1" applyFill="1" applyBorder="1" applyAlignment="1" applyProtection="1">
      <alignment horizontal="right"/>
      <protection locked="0"/>
    </xf>
    <xf numFmtId="1" fontId="15" fillId="0" borderId="3" xfId="848" applyNumberFormat="1" applyFont="1" applyFill="1" applyBorder="1" applyAlignment="1" applyProtection="1">
      <alignment horizontal="right"/>
      <protection locked="0"/>
    </xf>
    <xf numFmtId="0" fontId="15" fillId="0" borderId="4" xfId="7" applyNumberFormat="1" applyFont="1" applyFill="1" applyBorder="1" applyAlignment="1" applyProtection="1">
      <alignment horizontal="right"/>
      <protection locked="0"/>
    </xf>
    <xf numFmtId="3" fontId="45" fillId="0" borderId="4" xfId="848" applyNumberFormat="1" applyFont="1" applyFill="1" applyBorder="1" applyAlignment="1" applyProtection="1">
      <alignment horizontal="right"/>
      <protection locked="0"/>
    </xf>
    <xf numFmtId="3" fontId="45" fillId="0" borderId="3" xfId="848" applyNumberFormat="1" applyFont="1" applyFill="1" applyBorder="1" applyAlignment="1" applyProtection="1">
      <alignment horizontal="right"/>
      <protection locked="0"/>
    </xf>
    <xf numFmtId="3" fontId="30" fillId="0" borderId="4" xfId="848" applyNumberFormat="1" applyFont="1" applyFill="1" applyBorder="1" applyAlignment="1" applyProtection="1">
      <alignment horizontal="right"/>
      <protection locked="0"/>
    </xf>
    <xf numFmtId="3" fontId="30" fillId="0" borderId="3" xfId="848" applyNumberFormat="1" applyFont="1" applyFill="1" applyBorder="1" applyAlignment="1" applyProtection="1">
      <alignment horizontal="right"/>
      <protection locked="0"/>
    </xf>
    <xf numFmtId="0" fontId="14" fillId="0" borderId="0" xfId="848" applyFont="1" applyFill="1" applyProtection="1">
      <protection locked="0"/>
    </xf>
    <xf numFmtId="0" fontId="45" fillId="0" borderId="0" xfId="848" applyNumberFormat="1" applyFont="1" applyFill="1" applyBorder="1" applyProtection="1">
      <protection locked="0"/>
    </xf>
    <xf numFmtId="0" fontId="45" fillId="0" borderId="0" xfId="848" applyFont="1" applyFill="1" applyProtection="1">
      <protection locked="0"/>
    </xf>
    <xf numFmtId="0" fontId="13" fillId="0" borderId="0" xfId="848" applyFont="1" applyFill="1" applyProtection="1">
      <protection locked="0"/>
    </xf>
    <xf numFmtId="3" fontId="30" fillId="0" borderId="4" xfId="848" applyNumberFormat="1" applyFont="1" applyFill="1" applyBorder="1" applyAlignment="1" applyProtection="1">
      <alignment horizontal="right"/>
    </xf>
    <xf numFmtId="3" fontId="45" fillId="0" borderId="4" xfId="848" applyNumberFormat="1" applyFont="1" applyFill="1" applyBorder="1" applyAlignment="1" applyProtection="1">
      <alignment horizontal="right"/>
    </xf>
    <xf numFmtId="0" fontId="74" fillId="0" borderId="3" xfId="7" applyFont="1" applyFill="1" applyBorder="1" applyProtection="1">
      <protection locked="0"/>
    </xf>
    <xf numFmtId="0" fontId="51" fillId="0" borderId="3" xfId="7" applyFont="1" applyFill="1" applyBorder="1" applyProtection="1">
      <protection locked="0"/>
    </xf>
    <xf numFmtId="0" fontId="46" fillId="0" borderId="0" xfId="848" applyFont="1" applyFill="1" applyBorder="1" applyProtection="1">
      <protection locked="0"/>
    </xf>
    <xf numFmtId="0" fontId="46" fillId="0" borderId="0" xfId="848" applyFont="1" applyFill="1" applyProtection="1">
      <protection locked="0"/>
    </xf>
    <xf numFmtId="0" fontId="21" fillId="0" borderId="0" xfId="848" applyFont="1" applyFill="1" applyProtection="1">
      <protection locked="0"/>
    </xf>
    <xf numFmtId="0" fontId="68" fillId="0" borderId="0" xfId="848" applyFont="1" applyFill="1" applyBorder="1" applyProtection="1">
      <protection locked="0"/>
    </xf>
    <xf numFmtId="0" fontId="68" fillId="0" borderId="0" xfId="848" applyFont="1" applyFill="1" applyProtection="1">
      <protection locked="0"/>
    </xf>
    <xf numFmtId="0" fontId="71" fillId="0" borderId="0" xfId="848" applyFont="1" applyFill="1" applyProtection="1">
      <protection locked="0"/>
    </xf>
    <xf numFmtId="3" fontId="30" fillId="0" borderId="11" xfId="848" applyNumberFormat="1" applyFont="1" applyFill="1" applyBorder="1" applyAlignment="1" applyProtection="1">
      <alignment horizontal="right"/>
    </xf>
    <xf numFmtId="3" fontId="30" fillId="0" borderId="11" xfId="848" applyNumberFormat="1" applyFont="1" applyFill="1" applyBorder="1" applyAlignment="1" applyProtection="1">
      <alignment horizontal="right"/>
      <protection locked="0"/>
    </xf>
    <xf numFmtId="3" fontId="30" fillId="0" borderId="6" xfId="848" applyNumberFormat="1" applyFont="1" applyFill="1" applyBorder="1" applyAlignment="1" applyProtection="1">
      <alignment horizontal="right"/>
      <protection locked="0"/>
    </xf>
    <xf numFmtId="3" fontId="30" fillId="0" borderId="0" xfId="848" applyNumberFormat="1" applyFont="1" applyFill="1" applyBorder="1" applyProtection="1">
      <protection locked="0"/>
    </xf>
    <xf numFmtId="0" fontId="75" fillId="0" borderId="0" xfId="848" applyFont="1" applyFill="1" applyProtection="1">
      <protection locked="0"/>
    </xf>
    <xf numFmtId="0" fontId="61" fillId="0" borderId="0" xfId="848" applyFont="1" applyFill="1" applyProtection="1">
      <protection locked="0"/>
    </xf>
    <xf numFmtId="0" fontId="61" fillId="0" borderId="0" xfId="848" applyFont="1" applyFill="1" applyBorder="1" applyProtection="1">
      <protection locked="0"/>
    </xf>
    <xf numFmtId="0" fontId="61" fillId="0" borderId="0" xfId="1" applyFont="1" applyFill="1" applyProtection="1">
      <protection locked="0"/>
    </xf>
    <xf numFmtId="0" fontId="61" fillId="0" borderId="0" xfId="1" applyFont="1" applyFill="1" applyBorder="1" applyProtection="1">
      <protection locked="0"/>
    </xf>
    <xf numFmtId="0" fontId="75" fillId="0" borderId="0" xfId="848" applyFont="1" applyFill="1" applyBorder="1" applyProtection="1">
      <protection locked="0"/>
    </xf>
    <xf numFmtId="166" fontId="14" fillId="0" borderId="0" xfId="848" applyNumberFormat="1" applyFill="1" applyProtection="1">
      <protection locked="0"/>
    </xf>
    <xf numFmtId="0" fontId="14" fillId="0" borderId="0" xfId="848" applyFill="1" applyBorder="1" applyProtection="1">
      <protection locked="0"/>
    </xf>
    <xf numFmtId="49" fontId="60" fillId="0" borderId="12" xfId="7" applyNumberFormat="1" applyFont="1" applyFill="1" applyBorder="1" applyProtection="1">
      <protection locked="0"/>
    </xf>
    <xf numFmtId="14" fontId="13" fillId="0" borderId="13" xfId="848" applyNumberFormat="1" applyFont="1" applyFill="1" applyBorder="1" applyAlignment="1" applyProtection="1">
      <alignment horizontal="left"/>
      <protection locked="0"/>
    </xf>
    <xf numFmtId="0" fontId="13" fillId="0" borderId="6" xfId="7" applyFont="1" applyFill="1" applyBorder="1" applyAlignment="1" applyProtection="1">
      <alignment horizontal="center"/>
    </xf>
    <xf numFmtId="49" fontId="45" fillId="0" borderId="3" xfId="7" applyNumberFormat="1" applyFont="1" applyFill="1" applyBorder="1" applyProtection="1">
      <protection locked="0"/>
    </xf>
    <xf numFmtId="3" fontId="15" fillId="0" borderId="4" xfId="7" applyNumberFormat="1" applyFont="1" applyFill="1" applyBorder="1" applyAlignment="1" applyProtection="1">
      <alignment horizontal="right"/>
    </xf>
    <xf numFmtId="3" fontId="15" fillId="0" borderId="4" xfId="7" applyNumberFormat="1" applyFont="1" applyFill="1" applyBorder="1" applyAlignment="1" applyProtection="1">
      <alignment horizontal="right"/>
      <protection locked="0"/>
    </xf>
    <xf numFmtId="3" fontId="15" fillId="0" borderId="4" xfId="848" applyNumberFormat="1" applyFont="1" applyFill="1" applyBorder="1" applyAlignment="1" applyProtection="1">
      <alignment horizontal="right"/>
      <protection locked="0"/>
    </xf>
    <xf numFmtId="3" fontId="15" fillId="0" borderId="3" xfId="848" applyNumberFormat="1" applyFont="1" applyFill="1" applyBorder="1" applyAlignment="1" applyProtection="1">
      <alignment horizontal="right"/>
      <protection locked="0"/>
    </xf>
    <xf numFmtId="1" fontId="30" fillId="0" borderId="0" xfId="848" applyNumberFormat="1" applyFont="1" applyFill="1" applyBorder="1" applyProtection="1">
      <protection locked="0"/>
    </xf>
    <xf numFmtId="1" fontId="45" fillId="0" borderId="0" xfId="848" applyNumberFormat="1" applyFont="1" applyFill="1" applyBorder="1" applyProtection="1">
      <protection locked="0"/>
    </xf>
    <xf numFmtId="3" fontId="30" fillId="0" borderId="6" xfId="848" applyNumberFormat="1" applyFont="1" applyFill="1" applyBorder="1" applyAlignment="1" applyProtection="1">
      <alignment horizontal="right"/>
    </xf>
    <xf numFmtId="0" fontId="30" fillId="0" borderId="0" xfId="848" applyNumberFormat="1" applyFont="1" applyFill="1" applyBorder="1" applyProtection="1">
      <protection locked="0"/>
    </xf>
    <xf numFmtId="0" fontId="19" fillId="0" borderId="0" xfId="848" applyFont="1" applyFill="1" applyProtection="1">
      <protection locked="0"/>
    </xf>
    <xf numFmtId="0" fontId="41" fillId="0" borderId="0" xfId="1" applyFont="1" applyFill="1" applyProtection="1">
      <protection locked="0"/>
    </xf>
    <xf numFmtId="0" fontId="19" fillId="0" borderId="0" xfId="1" applyFill="1" applyProtection="1">
      <protection locked="0"/>
    </xf>
    <xf numFmtId="165" fontId="19" fillId="0" borderId="0" xfId="1" applyNumberFormat="1" applyFill="1" applyProtection="1">
      <protection locked="0"/>
    </xf>
    <xf numFmtId="0" fontId="60" fillId="0" borderId="12" xfId="1" applyFont="1" applyFill="1" applyBorder="1" applyProtection="1">
      <protection locked="0"/>
    </xf>
    <xf numFmtId="165" fontId="19" fillId="0" borderId="0" xfId="1" applyNumberFormat="1" applyFill="1" applyBorder="1" applyProtection="1">
      <protection locked="0"/>
    </xf>
    <xf numFmtId="14" fontId="13" fillId="0" borderId="4" xfId="1" applyNumberFormat="1" applyFont="1" applyFill="1" applyBorder="1" applyAlignment="1" applyProtection="1">
      <alignment horizontal="left"/>
      <protection locked="0"/>
    </xf>
    <xf numFmtId="0" fontId="17" fillId="0" borderId="10" xfId="1" applyFont="1" applyFill="1" applyBorder="1" applyProtection="1">
      <protection locked="0"/>
    </xf>
    <xf numFmtId="0" fontId="17" fillId="0" borderId="8" xfId="1" applyFont="1" applyFill="1" applyBorder="1" applyProtection="1">
      <protection locked="0"/>
    </xf>
    <xf numFmtId="0" fontId="17" fillId="0" borderId="9" xfId="1" applyFont="1" applyFill="1" applyBorder="1" applyProtection="1">
      <protection locked="0"/>
    </xf>
    <xf numFmtId="165" fontId="17" fillId="0" borderId="0" xfId="1" applyNumberFormat="1" applyFont="1" applyFill="1" applyBorder="1" applyProtection="1">
      <protection locked="0"/>
    </xf>
    <xf numFmtId="0" fontId="17" fillId="0" borderId="0" xfId="1" applyFont="1" applyFill="1" applyBorder="1" applyProtection="1">
      <protection locked="0"/>
    </xf>
    <xf numFmtId="0" fontId="19" fillId="0" borderId="0" xfId="1" applyFill="1" applyBorder="1" applyProtection="1">
      <protection locked="0"/>
    </xf>
    <xf numFmtId="0" fontId="45" fillId="0" borderId="0" xfId="1" applyNumberFormat="1" applyFont="1" applyFill="1" applyBorder="1" applyAlignment="1" applyProtection="1">
      <alignment horizontal="center"/>
      <protection locked="0"/>
    </xf>
    <xf numFmtId="0" fontId="15" fillId="0" borderId="1" xfId="1" applyNumberFormat="1" applyFont="1" applyFill="1" applyBorder="1" applyAlignment="1" applyProtection="1">
      <alignment horizontal="center"/>
      <protection locked="0"/>
    </xf>
    <xf numFmtId="3" fontId="50" fillId="0" borderId="11" xfId="1" applyNumberFormat="1" applyFont="1" applyFill="1" applyBorder="1" applyProtection="1">
      <protection locked="0"/>
    </xf>
    <xf numFmtId="0" fontId="13" fillId="0" borderId="6" xfId="1" applyFont="1" applyFill="1" applyBorder="1" applyAlignment="1" applyProtection="1">
      <alignment horizontal="center"/>
      <protection locked="0"/>
    </xf>
    <xf numFmtId="169" fontId="13" fillId="0" borderId="0" xfId="1" applyNumberFormat="1" applyFont="1" applyFill="1" applyBorder="1" applyAlignment="1" applyProtection="1">
      <alignment horizontal="center"/>
      <protection locked="0"/>
    </xf>
    <xf numFmtId="0" fontId="13" fillId="0" borderId="0" xfId="1" applyNumberFormat="1" applyFont="1" applyFill="1" applyBorder="1" applyAlignment="1" applyProtection="1">
      <alignment horizontal="center"/>
      <protection locked="0"/>
    </xf>
    <xf numFmtId="3" fontId="30" fillId="0" borderId="4" xfId="1" applyNumberFormat="1" applyFont="1" applyFill="1" applyBorder="1" applyAlignment="1" applyProtection="1">
      <alignment horizontal="right"/>
    </xf>
    <xf numFmtId="3" fontId="30" fillId="0" borderId="7" xfId="1" applyNumberFormat="1" applyFont="1" applyFill="1" applyBorder="1" applyAlignment="1" applyProtection="1">
      <alignment horizontal="right"/>
      <protection locked="0"/>
    </xf>
    <xf numFmtId="0" fontId="19" fillId="0" borderId="0" xfId="1" applyFont="1" applyFill="1" applyBorder="1" applyProtection="1">
      <protection locked="0"/>
    </xf>
    <xf numFmtId="3" fontId="30" fillId="0" borderId="2" xfId="1" applyNumberFormat="1" applyFont="1" applyFill="1" applyBorder="1" applyAlignment="1" applyProtection="1">
      <alignment horizontal="right"/>
      <protection locked="0"/>
    </xf>
    <xf numFmtId="3" fontId="30" fillId="0" borderId="3" xfId="847" applyNumberFormat="1" applyFont="1" applyFill="1" applyBorder="1" applyAlignment="1" applyProtection="1">
      <alignment horizontal="right"/>
    </xf>
    <xf numFmtId="49" fontId="45" fillId="0" borderId="4" xfId="1" applyNumberFormat="1" applyFont="1" applyFill="1" applyBorder="1" applyProtection="1">
      <protection locked="0"/>
    </xf>
    <xf numFmtId="3" fontId="45" fillId="0" borderId="3" xfId="1" applyNumberFormat="1" applyFont="1" applyFill="1" applyBorder="1" applyAlignment="1" applyProtection="1">
      <alignment horizontal="right"/>
      <protection locked="0"/>
    </xf>
    <xf numFmtId="3" fontId="45" fillId="0" borderId="2" xfId="1" applyNumberFormat="1" applyFont="1" applyFill="1" applyBorder="1" applyAlignment="1" applyProtection="1">
      <alignment horizontal="right"/>
      <protection locked="0"/>
    </xf>
    <xf numFmtId="3" fontId="45" fillId="0" borderId="3" xfId="1" applyNumberFormat="1" applyFont="1" applyFill="1" applyBorder="1" applyAlignment="1" applyProtection="1">
      <alignment horizontal="right"/>
    </xf>
    <xf numFmtId="0" fontId="45" fillId="0" borderId="0" xfId="7" applyNumberFormat="1" applyFont="1" applyFill="1" applyProtection="1">
      <protection locked="0"/>
    </xf>
    <xf numFmtId="0" fontId="49" fillId="0" borderId="0" xfId="1" applyFont="1" applyFill="1" applyBorder="1" applyProtection="1">
      <protection locked="0"/>
    </xf>
    <xf numFmtId="0" fontId="49" fillId="0" borderId="0" xfId="1" applyFont="1" applyFill="1" applyProtection="1">
      <protection locked="0"/>
    </xf>
    <xf numFmtId="0" fontId="30" fillId="0" borderId="11" xfId="1" applyFont="1" applyFill="1" applyBorder="1" applyProtection="1">
      <protection locked="0"/>
    </xf>
    <xf numFmtId="3" fontId="30" fillId="0" borderId="6" xfId="1" applyNumberFormat="1" applyFont="1" applyFill="1" applyBorder="1" applyAlignment="1" applyProtection="1">
      <alignment horizontal="right"/>
      <protection locked="0"/>
    </xf>
    <xf numFmtId="3" fontId="30" fillId="0" borderId="6" xfId="1" applyNumberFormat="1" applyFont="1" applyFill="1" applyBorder="1" applyAlignment="1" applyProtection="1">
      <alignment horizontal="right"/>
    </xf>
    <xf numFmtId="3" fontId="30" fillId="0" borderId="0" xfId="1" applyNumberFormat="1" applyFont="1" applyFill="1" applyBorder="1" applyAlignment="1" applyProtection="1">
      <alignment horizontal="right"/>
      <protection locked="0"/>
    </xf>
    <xf numFmtId="0" fontId="14" fillId="0" borderId="0" xfId="845" applyFill="1" applyProtection="1">
      <protection locked="0"/>
    </xf>
    <xf numFmtId="0" fontId="41" fillId="0" borderId="0" xfId="845" applyFont="1" applyFill="1" applyProtection="1">
      <protection locked="0"/>
    </xf>
    <xf numFmtId="0" fontId="45" fillId="0" borderId="0" xfId="1" applyFont="1" applyFill="1" applyBorder="1" applyProtection="1">
      <protection locked="0"/>
    </xf>
    <xf numFmtId="0" fontId="14" fillId="0" borderId="0" xfId="845" applyFill="1" applyBorder="1" applyProtection="1">
      <protection locked="0"/>
    </xf>
    <xf numFmtId="14" fontId="13" fillId="0" borderId="13" xfId="845" applyNumberFormat="1" applyFont="1" applyFill="1" applyBorder="1" applyAlignment="1" applyProtection="1">
      <alignment horizontal="left"/>
      <protection locked="0"/>
    </xf>
    <xf numFmtId="0" fontId="17" fillId="0" borderId="10" xfId="845" applyFont="1" applyFill="1" applyBorder="1" applyProtection="1">
      <protection locked="0"/>
    </xf>
    <xf numFmtId="0" fontId="17" fillId="0" borderId="8" xfId="845" applyFont="1" applyFill="1" applyBorder="1" applyProtection="1">
      <protection locked="0"/>
    </xf>
    <xf numFmtId="0" fontId="17" fillId="0" borderId="9" xfId="845" applyFont="1" applyFill="1" applyBorder="1" applyProtection="1">
      <protection locked="0"/>
    </xf>
    <xf numFmtId="3" fontId="45" fillId="0" borderId="1" xfId="845" applyNumberFormat="1" applyFont="1" applyFill="1" applyBorder="1" applyProtection="1">
      <protection locked="0"/>
    </xf>
    <xf numFmtId="3" fontId="45" fillId="0" borderId="4" xfId="845" applyNumberFormat="1" applyFont="1" applyFill="1" applyBorder="1" applyProtection="1">
      <protection locked="0"/>
    </xf>
    <xf numFmtId="3" fontId="50" fillId="0" borderId="11" xfId="845" applyNumberFormat="1" applyFont="1" applyFill="1" applyBorder="1" applyProtection="1">
      <protection locked="0"/>
    </xf>
    <xf numFmtId="0" fontId="45" fillId="0" borderId="4" xfId="845" applyFont="1" applyFill="1" applyBorder="1" applyProtection="1">
      <protection locked="0"/>
    </xf>
    <xf numFmtId="3" fontId="30" fillId="0" borderId="3" xfId="845" applyNumberFormat="1" applyFont="1" applyFill="1" applyBorder="1" applyAlignment="1" applyProtection="1">
      <alignment horizontal="right"/>
    </xf>
    <xf numFmtId="3" fontId="30" fillId="0" borderId="4" xfId="845" applyNumberFormat="1" applyFont="1" applyFill="1" applyBorder="1" applyAlignment="1" applyProtection="1">
      <alignment horizontal="right"/>
    </xf>
    <xf numFmtId="3" fontId="30" fillId="0" borderId="4" xfId="845" applyNumberFormat="1" applyFont="1" applyFill="1" applyBorder="1" applyAlignment="1" applyProtection="1">
      <alignment horizontal="right"/>
      <protection locked="0"/>
    </xf>
    <xf numFmtId="0" fontId="30" fillId="0" borderId="3" xfId="845" applyFont="1" applyFill="1" applyBorder="1" applyAlignment="1" applyProtection="1">
      <alignment horizontal="right"/>
      <protection locked="0"/>
    </xf>
    <xf numFmtId="0" fontId="14" fillId="0" borderId="0" xfId="845" applyFont="1" applyFill="1" applyBorder="1" applyProtection="1">
      <protection locked="0"/>
    </xf>
    <xf numFmtId="0" fontId="14" fillId="0" borderId="0" xfId="845" applyFont="1" applyFill="1" applyProtection="1">
      <protection locked="0"/>
    </xf>
    <xf numFmtId="3" fontId="45" fillId="0" borderId="3" xfId="845" applyNumberFormat="1" applyFont="1" applyFill="1" applyBorder="1" applyAlignment="1" applyProtection="1">
      <alignment horizontal="right"/>
    </xf>
    <xf numFmtId="3" fontId="45" fillId="0" borderId="3" xfId="845" applyNumberFormat="1" applyFont="1" applyFill="1" applyBorder="1" applyAlignment="1" applyProtection="1">
      <alignment horizontal="right"/>
      <protection locked="0"/>
    </xf>
    <xf numFmtId="3" fontId="45" fillId="0" borderId="4" xfId="845" applyNumberFormat="1" applyFont="1" applyFill="1" applyBorder="1" applyAlignment="1" applyProtection="1">
      <alignment horizontal="right"/>
    </xf>
    <xf numFmtId="3" fontId="45" fillId="0" borderId="4" xfId="845" applyNumberFormat="1" applyFont="1" applyFill="1" applyBorder="1" applyAlignment="1" applyProtection="1">
      <alignment horizontal="right"/>
      <protection locked="0"/>
    </xf>
    <xf numFmtId="0" fontId="45" fillId="0" borderId="3" xfId="845" applyFont="1" applyFill="1" applyBorder="1" applyAlignment="1" applyProtection="1">
      <alignment horizontal="right"/>
      <protection locked="0"/>
    </xf>
    <xf numFmtId="0" fontId="45" fillId="0" borderId="0" xfId="845" applyFont="1" applyFill="1" applyBorder="1" applyProtection="1">
      <protection locked="0"/>
    </xf>
    <xf numFmtId="0" fontId="45" fillId="0" borderId="0" xfId="845" applyFont="1" applyFill="1" applyProtection="1">
      <protection locked="0"/>
    </xf>
    <xf numFmtId="1" fontId="45" fillId="0" borderId="3" xfId="845" applyNumberFormat="1" applyFont="1" applyFill="1" applyBorder="1" applyAlignment="1" applyProtection="1">
      <alignment horizontal="right"/>
      <protection locked="0"/>
    </xf>
    <xf numFmtId="3" fontId="45" fillId="2" borderId="3" xfId="845" applyNumberFormat="1" applyFont="1" applyFill="1" applyBorder="1" applyAlignment="1" applyProtection="1">
      <alignment horizontal="right"/>
      <protection locked="0"/>
    </xf>
    <xf numFmtId="1" fontId="30" fillId="0" borderId="3" xfId="845" applyNumberFormat="1" applyFont="1" applyFill="1" applyBorder="1" applyAlignment="1" applyProtection="1">
      <alignment horizontal="right"/>
      <protection locked="0"/>
    </xf>
    <xf numFmtId="3" fontId="30" fillId="2" borderId="3" xfId="845" applyNumberFormat="1" applyFont="1" applyFill="1" applyBorder="1" applyAlignment="1" applyProtection="1">
      <alignment horizontal="right"/>
      <protection locked="0"/>
    </xf>
    <xf numFmtId="0" fontId="30" fillId="0" borderId="0" xfId="845" applyFont="1" applyFill="1" applyBorder="1" applyProtection="1">
      <protection locked="0"/>
    </xf>
    <xf numFmtId="0" fontId="30" fillId="0" borderId="0" xfId="845" applyFont="1" applyFill="1" applyProtection="1">
      <protection locked="0"/>
    </xf>
    <xf numFmtId="49" fontId="45" fillId="0" borderId="3" xfId="1" applyNumberFormat="1" applyFont="1" applyFill="1" applyBorder="1" applyProtection="1">
      <protection locked="0"/>
    </xf>
    <xf numFmtId="3" fontId="30" fillId="2" borderId="3" xfId="845" applyNumberFormat="1" applyFont="1" applyFill="1" applyBorder="1" applyAlignment="1" applyProtection="1">
      <alignment horizontal="right"/>
    </xf>
    <xf numFmtId="3" fontId="30" fillId="0" borderId="6" xfId="845" applyNumberFormat="1" applyFont="1" applyFill="1" applyBorder="1" applyAlignment="1" applyProtection="1">
      <alignment horizontal="right"/>
    </xf>
    <xf numFmtId="3" fontId="30" fillId="0" borderId="6" xfId="845" applyNumberFormat="1" applyFont="1" applyFill="1" applyBorder="1" applyAlignment="1" applyProtection="1">
      <alignment horizontal="right"/>
      <protection locked="0"/>
    </xf>
    <xf numFmtId="0" fontId="61" fillId="0" borderId="0" xfId="845" applyFont="1" applyFill="1" applyProtection="1">
      <protection locked="0"/>
    </xf>
    <xf numFmtId="0" fontId="61" fillId="0" borderId="0" xfId="845" applyFont="1" applyFill="1" applyProtection="1"/>
    <xf numFmtId="0" fontId="36" fillId="0" borderId="0" xfId="1" applyFont="1" applyFill="1" applyProtection="1">
      <protection locked="0"/>
    </xf>
    <xf numFmtId="0" fontId="61" fillId="0" borderId="0" xfId="845" applyFont="1" applyFill="1" applyBorder="1" applyProtection="1">
      <protection locked="0"/>
    </xf>
    <xf numFmtId="0" fontId="36" fillId="0" borderId="0" xfId="1" applyFont="1" applyFill="1" applyBorder="1" applyProtection="1">
      <protection locked="0"/>
    </xf>
    <xf numFmtId="165" fontId="19" fillId="0" borderId="0" xfId="1" applyNumberFormat="1" applyProtection="1">
      <protection locked="0"/>
    </xf>
    <xf numFmtId="3" fontId="58" fillId="4" borderId="0" xfId="1" applyNumberFormat="1" applyFont="1" applyFill="1" applyProtection="1">
      <protection locked="0"/>
    </xf>
    <xf numFmtId="165" fontId="19" fillId="0" borderId="0" xfId="1" applyNumberFormat="1" applyBorder="1" applyProtection="1">
      <protection locked="0"/>
    </xf>
    <xf numFmtId="0" fontId="68" fillId="0" borderId="8" xfId="1" applyFont="1" applyBorder="1" applyAlignment="1" applyProtection="1">
      <alignment horizontal="center"/>
      <protection locked="0"/>
    </xf>
    <xf numFmtId="165" fontId="17" fillId="4" borderId="0" xfId="1" applyNumberFormat="1" applyFont="1" applyFill="1" applyBorder="1" applyProtection="1">
      <protection locked="0"/>
    </xf>
    <xf numFmtId="0" fontId="17" fillId="4" borderId="0" xfId="1" applyFont="1" applyFill="1" applyBorder="1" applyProtection="1">
      <protection locked="0"/>
    </xf>
    <xf numFmtId="0" fontId="45" fillId="4" borderId="0" xfId="1" applyNumberFormat="1" applyFont="1" applyFill="1" applyBorder="1" applyAlignment="1" applyProtection="1">
      <alignment horizontal="center"/>
      <protection locked="0"/>
    </xf>
    <xf numFmtId="3" fontId="50" fillId="4" borderId="11" xfId="1" applyNumberFormat="1" applyFont="1" applyFill="1" applyBorder="1" applyProtection="1">
      <protection locked="0"/>
    </xf>
    <xf numFmtId="169" fontId="13" fillId="4" borderId="0" xfId="1" applyNumberFormat="1" applyFont="1" applyFill="1" applyBorder="1" applyAlignment="1" applyProtection="1">
      <alignment horizontal="center"/>
      <protection locked="0"/>
    </xf>
    <xf numFmtId="0" fontId="13" fillId="4" borderId="0" xfId="1" applyNumberFormat="1" applyFont="1" applyFill="1" applyBorder="1" applyAlignment="1" applyProtection="1">
      <alignment horizontal="center"/>
      <protection locked="0"/>
    </xf>
    <xf numFmtId="0" fontId="45" fillId="0" borderId="3" xfId="1" applyFont="1" applyBorder="1" applyProtection="1">
      <protection locked="0"/>
    </xf>
    <xf numFmtId="4" fontId="30" fillId="4" borderId="3" xfId="1" applyNumberFormat="1" applyFont="1" applyFill="1" applyBorder="1" applyAlignment="1" applyProtection="1">
      <alignment horizontal="right"/>
    </xf>
    <xf numFmtId="4" fontId="30" fillId="4" borderId="3" xfId="1" applyNumberFormat="1" applyFont="1" applyFill="1" applyBorder="1" applyAlignment="1" applyProtection="1">
      <alignment horizontal="right"/>
      <protection locked="0"/>
    </xf>
    <xf numFmtId="4" fontId="30" fillId="4" borderId="7" xfId="1" applyNumberFormat="1" applyFont="1" applyFill="1" applyBorder="1" applyAlignment="1" applyProtection="1">
      <alignment horizontal="right"/>
      <protection locked="0"/>
    </xf>
    <xf numFmtId="0" fontId="36" fillId="0" borderId="0" xfId="1" applyFont="1" applyBorder="1" applyProtection="1">
      <protection locked="0"/>
    </xf>
    <xf numFmtId="0" fontId="36" fillId="0" borderId="0" xfId="1" applyFont="1" applyProtection="1">
      <protection locked="0"/>
    </xf>
    <xf numFmtId="4" fontId="30" fillId="0" borderId="3" xfId="1" applyNumberFormat="1" applyFont="1" applyFill="1" applyBorder="1" applyAlignment="1" applyProtection="1">
      <alignment horizontal="right"/>
    </xf>
    <xf numFmtId="4" fontId="30" fillId="0" borderId="3" xfId="1" applyNumberFormat="1" applyFont="1" applyFill="1" applyBorder="1" applyAlignment="1" applyProtection="1">
      <alignment horizontal="right"/>
      <protection locked="0"/>
    </xf>
    <xf numFmtId="0" fontId="53" fillId="0" borderId="0" xfId="1" applyFont="1" applyBorder="1" applyProtection="1">
      <protection locked="0"/>
    </xf>
    <xf numFmtId="0" fontId="53" fillId="0" borderId="0" xfId="1" applyFont="1" applyProtection="1">
      <protection locked="0"/>
    </xf>
    <xf numFmtId="3" fontId="30" fillId="4" borderId="6" xfId="1" applyNumberFormat="1" applyFont="1" applyFill="1" applyBorder="1" applyAlignment="1" applyProtection="1">
      <alignment horizontal="right"/>
    </xf>
    <xf numFmtId="3" fontId="30" fillId="4" borderId="6" xfId="1" applyNumberFormat="1" applyFont="1" applyFill="1" applyBorder="1" applyAlignment="1" applyProtection="1">
      <alignment horizontal="right"/>
      <protection locked="0"/>
    </xf>
    <xf numFmtId="4" fontId="30" fillId="0" borderId="2" xfId="1" applyNumberFormat="1" applyFont="1" applyFill="1" applyBorder="1" applyAlignment="1" applyProtection="1">
      <alignment horizontal="right"/>
      <protection locked="0"/>
    </xf>
    <xf numFmtId="4" fontId="30" fillId="0" borderId="4" xfId="1" applyNumberFormat="1" applyFont="1" applyFill="1" applyBorder="1" applyAlignment="1" applyProtection="1">
      <alignment horizontal="right"/>
      <protection locked="0"/>
    </xf>
    <xf numFmtId="4" fontId="45" fillId="0" borderId="3" xfId="1" applyNumberFormat="1" applyFont="1" applyFill="1" applyBorder="1" applyAlignment="1" applyProtection="1">
      <alignment horizontal="right"/>
      <protection locked="0"/>
    </xf>
    <xf numFmtId="4" fontId="45" fillId="0" borderId="2" xfId="1" applyNumberFormat="1" applyFont="1" applyFill="1" applyBorder="1" applyAlignment="1" applyProtection="1">
      <alignment horizontal="right"/>
      <protection locked="0"/>
    </xf>
    <xf numFmtId="4" fontId="30" fillId="0" borderId="2" xfId="1" applyNumberFormat="1" applyFont="1" applyFill="1" applyBorder="1" applyAlignment="1" applyProtection="1">
      <alignment horizontal="right"/>
    </xf>
    <xf numFmtId="4" fontId="30" fillId="0" borderId="0" xfId="1" applyNumberFormat="1" applyFont="1" applyFill="1" applyBorder="1" applyAlignment="1" applyProtection="1">
      <alignment horizontal="right"/>
      <protection locked="0"/>
    </xf>
    <xf numFmtId="4" fontId="30" fillId="0" borderId="0" xfId="1" applyNumberFormat="1" applyFont="1" applyFill="1" applyBorder="1" applyAlignment="1" applyProtection="1">
      <alignment horizontal="right"/>
    </xf>
    <xf numFmtId="4" fontId="30" fillId="0" borderId="4" xfId="1" applyNumberFormat="1" applyFont="1" applyFill="1" applyBorder="1" applyAlignment="1" applyProtection="1">
      <alignment horizontal="right"/>
    </xf>
    <xf numFmtId="4" fontId="30" fillId="0" borderId="6" xfId="1" applyNumberFormat="1" applyFont="1" applyFill="1" applyBorder="1" applyAlignment="1" applyProtection="1">
      <alignment horizontal="right"/>
      <protection locked="0"/>
    </xf>
    <xf numFmtId="4" fontId="30" fillId="0" borderId="6" xfId="1" applyNumberFormat="1" applyFont="1" applyFill="1" applyBorder="1" applyAlignment="1" applyProtection="1">
      <alignment horizontal="right"/>
    </xf>
    <xf numFmtId="4" fontId="30" fillId="0" borderId="5" xfId="1" applyNumberFormat="1" applyFont="1" applyFill="1" applyBorder="1" applyAlignment="1" applyProtection="1">
      <alignment horizontal="right"/>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1" fontId="13" fillId="0" borderId="11" xfId="1" applyNumberFormat="1" applyFont="1" applyBorder="1" applyAlignment="1">
      <alignment horizontal="center"/>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protection locked="0"/>
    </xf>
    <xf numFmtId="3" fontId="30" fillId="4" borderId="0" xfId="0" applyNumberFormat="1" applyFont="1" applyFill="1" applyBorder="1" applyAlignment="1" applyProtection="1">
      <alignment horizontal="right"/>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0" fillId="4" borderId="1"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30" fillId="0" borderId="3" xfId="7" applyNumberFormat="1" applyFont="1" applyBorder="1" applyAlignment="1" applyProtection="1">
      <alignment horizontal="right"/>
    </xf>
    <xf numFmtId="3" fontId="30" fillId="0" borderId="3" xfId="7" applyNumberFormat="1" applyFont="1" applyFill="1" applyBorder="1" applyAlignment="1" applyProtection="1">
      <alignment horizontal="right"/>
    </xf>
    <xf numFmtId="3" fontId="45" fillId="0" borderId="6" xfId="7" applyNumberFormat="1" applyFont="1" applyFill="1" applyBorder="1" applyAlignment="1" applyProtection="1">
      <alignment horizontal="right"/>
    </xf>
    <xf numFmtId="3" fontId="45" fillId="4" borderId="1" xfId="15" applyNumberFormat="1" applyFont="1" applyFill="1" applyBorder="1" applyAlignment="1" applyProtection="1">
      <alignment horizontal="right"/>
    </xf>
    <xf numFmtId="0" fontId="30" fillId="0" borderId="3" xfId="7" applyFont="1" applyFill="1" applyBorder="1" applyProtection="1"/>
    <xf numFmtId="0" fontId="45" fillId="0" borderId="6" xfId="7" applyFont="1" applyFill="1" applyBorder="1" applyProtection="1"/>
    <xf numFmtId="0" fontId="30" fillId="0" borderId="6" xfId="0" applyFont="1" applyFill="1" applyBorder="1" applyProtection="1">
      <protection locked="0"/>
    </xf>
    <xf numFmtId="3" fontId="30" fillId="0" borderId="7" xfId="7" applyNumberFormat="1" applyFont="1" applyFill="1" applyBorder="1" applyAlignment="1" applyProtection="1">
      <alignment horizontal="right"/>
    </xf>
    <xf numFmtId="3" fontId="30" fillId="0" borderId="2" xfId="7" applyNumberFormat="1" applyFont="1" applyFill="1" applyBorder="1" applyAlignment="1" applyProtection="1">
      <alignment horizontal="right"/>
    </xf>
    <xf numFmtId="3" fontId="45" fillId="0" borderId="3" xfId="7" applyNumberFormat="1" applyFont="1" applyFill="1" applyBorder="1" applyAlignment="1" applyProtection="1">
      <alignment horizontal="right"/>
    </xf>
    <xf numFmtId="3" fontId="30" fillId="0" borderId="6" xfId="7" applyNumberFormat="1" applyFont="1" applyFill="1" applyBorder="1" applyAlignment="1" applyProtection="1">
      <alignment horizontal="right"/>
    </xf>
    <xf numFmtId="3" fontId="30" fillId="0" borderId="3" xfId="848" applyNumberFormat="1" applyFont="1" applyFill="1" applyBorder="1" applyAlignment="1" applyProtection="1">
      <alignment horizontal="right"/>
    </xf>
    <xf numFmtId="3" fontId="45" fillId="0" borderId="3" xfId="848" applyNumberFormat="1" applyFont="1" applyFill="1" applyBorder="1" applyAlignment="1" applyProtection="1">
      <alignment horizontal="right"/>
    </xf>
    <xf numFmtId="0" fontId="45" fillId="0" borderId="4" xfId="7" applyFont="1" applyFill="1" applyBorder="1" applyProtection="1">
      <protection locked="0"/>
    </xf>
    <xf numFmtId="0" fontId="45" fillId="0" borderId="4" xfId="7" applyFont="1" applyFill="1" applyBorder="1" applyAlignment="1" applyProtection="1">
      <alignment horizontal="center"/>
      <protection locked="0"/>
    </xf>
    <xf numFmtId="0" fontId="30" fillId="0" borderId="4" xfId="7" applyFont="1" applyFill="1" applyBorder="1" applyAlignment="1" applyProtection="1">
      <alignment horizontal="center"/>
      <protection locked="0"/>
    </xf>
    <xf numFmtId="0" fontId="30" fillId="0" borderId="4" xfId="7" applyFont="1" applyFill="1" applyBorder="1" applyAlignment="1" applyProtection="1">
      <alignment horizontal="left"/>
      <protection locked="0"/>
    </xf>
    <xf numFmtId="0" fontId="30" fillId="0" borderId="0" xfId="7" applyFont="1" applyProtection="1">
      <protection locked="0"/>
    </xf>
    <xf numFmtId="4" fontId="30" fillId="4" borderId="4"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protection locked="0"/>
    </xf>
    <xf numFmtId="4" fontId="30" fillId="0" borderId="4" xfId="7" applyNumberFormat="1" applyFont="1" applyFill="1" applyBorder="1" applyAlignment="1" applyProtection="1">
      <alignment horizontal="right"/>
      <protection locked="0"/>
    </xf>
    <xf numFmtId="4" fontId="45" fillId="0" borderId="3" xfId="7" applyNumberFormat="1" applyFont="1" applyFill="1" applyBorder="1" applyAlignment="1" applyProtection="1">
      <alignment horizontal="right"/>
      <protection locked="0"/>
    </xf>
    <xf numFmtId="4" fontId="30" fillId="0" borderId="3" xfId="7" applyNumberFormat="1" applyFont="1" applyFill="1" applyBorder="1" applyAlignment="1" applyProtection="1">
      <alignment horizontal="right"/>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30" fillId="0" borderId="3" xfId="7" applyFont="1" applyBorder="1" applyAlignment="1" applyProtection="1">
      <alignment horizontal="right"/>
    </xf>
    <xf numFmtId="0" fontId="51" fillId="0" borderId="6" xfId="1" applyFont="1" applyFill="1" applyBorder="1" applyProtection="1">
      <protection locked="0"/>
    </xf>
    <xf numFmtId="4" fontId="30" fillId="4" borderId="3" xfId="7" applyNumberFormat="1" applyFont="1" applyFill="1" applyBorder="1" applyAlignment="1" applyProtection="1">
      <alignment horizontal="right"/>
      <protection locked="0"/>
    </xf>
    <xf numFmtId="3" fontId="30" fillId="4" borderId="3" xfId="7" applyNumberFormat="1" applyFont="1" applyFill="1" applyBorder="1" applyAlignment="1" applyProtection="1">
      <alignment horizontal="right"/>
      <protection locked="0"/>
    </xf>
    <xf numFmtId="3" fontId="30" fillId="0" borderId="3" xfId="7" applyNumberFormat="1" applyFont="1" applyFill="1" applyBorder="1" applyProtection="1"/>
    <xf numFmtId="3" fontId="45" fillId="0" borderId="6" xfId="7" applyNumberFormat="1" applyFont="1" applyFill="1" applyBorder="1" applyProtection="1"/>
    <xf numFmtId="3" fontId="30" fillId="4" borderId="0" xfId="7" applyNumberFormat="1" applyFont="1" applyFill="1" applyBorder="1" applyAlignment="1" applyProtection="1">
      <alignment horizontal="right"/>
    </xf>
    <xf numFmtId="1" fontId="30" fillId="0" borderId="3" xfId="7" applyNumberFormat="1" applyFont="1" applyFill="1" applyBorder="1" applyProtection="1"/>
    <xf numFmtId="1" fontId="30" fillId="0" borderId="3" xfId="7" applyNumberFormat="1" applyFont="1" applyFill="1" applyBorder="1" applyProtection="1">
      <protection locked="0"/>
    </xf>
    <xf numFmtId="1" fontId="45" fillId="0" borderId="6" xfId="7" applyNumberFormat="1" applyFont="1" applyFill="1" applyBorder="1" applyProtection="1"/>
    <xf numFmtId="1" fontId="45" fillId="0" borderId="6" xfId="7" applyNumberFormat="1" applyFont="1" applyFill="1" applyBorder="1" applyProtection="1">
      <protection locked="0"/>
    </xf>
    <xf numFmtId="4" fontId="45" fillId="0" borderId="4"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3" fontId="30" fillId="4" borderId="7" xfId="7" applyNumberFormat="1" applyFont="1" applyFill="1" applyBorder="1" applyAlignment="1" applyProtection="1">
      <alignment horizontal="right"/>
    </xf>
    <xf numFmtId="4" fontId="30" fillId="4" borderId="3" xfId="0" applyNumberFormat="1" applyFont="1" applyFill="1" applyBorder="1" applyAlignment="1" applyProtection="1">
      <alignment horizontal="right"/>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3" fontId="30" fillId="0" borderId="3" xfId="0" applyNumberFormat="1" applyFont="1" applyFill="1" applyBorder="1" applyProtection="1">
      <protection locked="0"/>
    </xf>
    <xf numFmtId="3" fontId="30" fillId="0" borderId="6" xfId="0" applyNumberFormat="1" applyFont="1" applyFill="1" applyBorder="1" applyProtection="1">
      <protection locked="0"/>
    </xf>
    <xf numFmtId="165" fontId="30" fillId="0" borderId="4" xfId="848" applyNumberFormat="1" applyFont="1" applyFill="1" applyBorder="1" applyAlignment="1" applyProtection="1">
      <alignment horizontal="right"/>
    </xf>
    <xf numFmtId="165" fontId="45" fillId="0" borderId="4" xfId="848" applyNumberFormat="1" applyFont="1" applyFill="1" applyBorder="1" applyAlignment="1" applyProtection="1">
      <alignment horizontal="right"/>
    </xf>
    <xf numFmtId="1" fontId="30" fillId="0" borderId="3" xfId="7" applyNumberFormat="1" applyFont="1" applyBorder="1" applyAlignment="1" applyProtection="1">
      <alignment horizontal="right"/>
    </xf>
    <xf numFmtId="4" fontId="30" fillId="4" borderId="2" xfId="7" applyNumberFormat="1" applyFont="1" applyFill="1" applyBorder="1" applyAlignment="1" applyProtection="1">
      <alignment horizontal="right"/>
    </xf>
    <xf numFmtId="3" fontId="30" fillId="4" borderId="2" xfId="7" applyNumberFormat="1" applyFont="1" applyFill="1" applyBorder="1" applyAlignment="1" applyProtection="1">
      <alignment horizontal="right"/>
    </xf>
    <xf numFmtId="3" fontId="30" fillId="4" borderId="5" xfId="7" applyNumberFormat="1" applyFont="1" applyFill="1" applyBorder="1" applyAlignment="1" applyProtection="1">
      <alignment horizontal="right"/>
    </xf>
    <xf numFmtId="173" fontId="17" fillId="0" borderId="0" xfId="1" applyNumberFormat="1" applyFont="1"/>
    <xf numFmtId="3" fontId="45" fillId="0" borderId="1" xfId="1" applyNumberFormat="1" applyFont="1" applyFill="1" applyBorder="1" applyAlignment="1" applyProtection="1">
      <alignment horizontal="right"/>
      <protection locked="0"/>
    </xf>
    <xf numFmtId="0" fontId="45" fillId="0" borderId="3" xfId="0" applyFont="1" applyFill="1" applyBorder="1" applyProtection="1">
      <protection locked="0"/>
    </xf>
    <xf numFmtId="1" fontId="45" fillId="0" borderId="3" xfId="0" applyNumberFormat="1" applyFont="1" applyFill="1" applyBorder="1" applyProtection="1">
      <protection locked="0"/>
    </xf>
    <xf numFmtId="1" fontId="45" fillId="0" borderId="6" xfId="0" applyNumberFormat="1" applyFont="1" applyFill="1" applyBorder="1" applyProtection="1">
      <protection locked="0"/>
    </xf>
    <xf numFmtId="0" fontId="45" fillId="0" borderId="6" xfId="0" applyFont="1" applyFill="1" applyBorder="1" applyProtection="1">
      <protection locked="0"/>
    </xf>
    <xf numFmtId="3" fontId="45" fillId="0" borderId="6" xfId="0" applyNumberFormat="1" applyFont="1" applyFill="1" applyBorder="1" applyAlignment="1" applyProtection="1">
      <alignment horizontal="right"/>
    </xf>
    <xf numFmtId="0" fontId="76" fillId="0" borderId="0" xfId="1" applyFont="1" applyFill="1" applyProtection="1">
      <protection locked="0"/>
    </xf>
    <xf numFmtId="3" fontId="15" fillId="0" borderId="11" xfId="1" applyNumberFormat="1" applyFont="1" applyFill="1" applyBorder="1"/>
    <xf numFmtId="3" fontId="15" fillId="0" borderId="6" xfId="1" applyNumberFormat="1" applyFont="1" applyFill="1" applyBorder="1"/>
    <xf numFmtId="3" fontId="17" fillId="0" borderId="8" xfId="1" applyNumberFormat="1" applyFont="1" applyFill="1" applyBorder="1"/>
    <xf numFmtId="3" fontId="0" fillId="0" borderId="0" xfId="0" applyNumberFormat="1" applyFill="1"/>
    <xf numFmtId="3" fontId="30" fillId="4" borderId="2" xfId="7" applyNumberFormat="1" applyFont="1" applyFill="1" applyBorder="1" applyAlignment="1" applyProtection="1">
      <alignment horizontal="right"/>
      <protection locked="0"/>
    </xf>
    <xf numFmtId="0" fontId="30" fillId="0" borderId="11" xfId="7" applyFont="1" applyFill="1" applyBorder="1" applyAlignment="1" applyProtection="1">
      <alignment horizontal="center"/>
      <protection locked="0"/>
    </xf>
    <xf numFmtId="4" fontId="30" fillId="0" borderId="6" xfId="7" applyNumberFormat="1" applyFont="1" applyFill="1" applyBorder="1" applyAlignment="1" applyProtection="1">
      <alignment horizontal="right"/>
      <protection locked="0"/>
    </xf>
    <xf numFmtId="4" fontId="30" fillId="0" borderId="11" xfId="7" applyNumberFormat="1" applyFont="1" applyFill="1" applyBorder="1" applyAlignment="1" applyProtection="1">
      <alignment horizontal="right"/>
      <protection locked="0"/>
    </xf>
    <xf numFmtId="0" fontId="17" fillId="0" borderId="4" xfId="0" applyFont="1" applyBorder="1"/>
    <xf numFmtId="0" fontId="77" fillId="0" borderId="0" xfId="3" applyFont="1" applyAlignment="1" applyProtection="1"/>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 xfId="1" applyFont="1" applyBorder="1" applyAlignment="1" applyProtection="1">
      <alignment horizontal="center"/>
      <protection locked="0"/>
    </xf>
    <xf numFmtId="0" fontId="45" fillId="0" borderId="14" xfId="1" applyFont="1" applyBorder="1" applyAlignment="1" applyProtection="1">
      <alignment horizontal="center"/>
      <protection locked="0"/>
    </xf>
    <xf numFmtId="0" fontId="45" fillId="0" borderId="15" xfId="1" applyFont="1" applyBorder="1" applyAlignment="1" applyProtection="1">
      <alignment horizontal="center"/>
      <protection locked="0"/>
    </xf>
    <xf numFmtId="0" fontId="45" fillId="0" borderId="11" xfId="1" applyFont="1" applyBorder="1" applyAlignment="1" applyProtection="1">
      <alignment horizontal="center"/>
      <protection locked="0"/>
    </xf>
    <xf numFmtId="0" fontId="45" fillId="0" borderId="12" xfId="1" applyFont="1" applyBorder="1" applyAlignment="1" applyProtection="1">
      <alignment horizontal="center"/>
      <protection locked="0"/>
    </xf>
    <xf numFmtId="0" fontId="45" fillId="0" borderId="5" xfId="1" applyFont="1" applyBorder="1" applyAlignment="1" applyProtection="1">
      <alignment horizontal="center"/>
      <protection locked="0"/>
    </xf>
    <xf numFmtId="0" fontId="45" fillId="0" borderId="1" xfId="7" applyFont="1" applyBorder="1" applyAlignment="1" applyProtection="1">
      <alignment horizontal="center"/>
      <protection locked="0"/>
    </xf>
    <xf numFmtId="0" fontId="45" fillId="0" borderId="14" xfId="7" applyFont="1" applyBorder="1" applyAlignment="1" applyProtection="1">
      <alignment horizontal="center"/>
      <protection locked="0"/>
    </xf>
    <xf numFmtId="0" fontId="45" fillId="0" borderId="15" xfId="7" applyFont="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1" xfId="7" applyNumberFormat="1" applyFont="1" applyFill="1" applyBorder="1" applyAlignment="1" applyProtection="1">
      <alignment horizontal="center"/>
      <protection locked="0"/>
    </xf>
    <xf numFmtId="0" fontId="45" fillId="0" borderId="12" xfId="7" applyNumberFormat="1" applyFont="1" applyFill="1" applyBorder="1" applyAlignment="1" applyProtection="1">
      <alignment horizontal="center"/>
      <protection locked="0"/>
    </xf>
    <xf numFmtId="0" fontId="45" fillId="0" borderId="5" xfId="7" applyNumberFormat="1" applyFont="1" applyFill="1" applyBorder="1" applyAlignment="1" applyProtection="1">
      <alignment horizontal="center"/>
      <protection locked="0"/>
    </xf>
    <xf numFmtId="0" fontId="45" fillId="0" borderId="11" xfId="7" applyFont="1" applyBorder="1" applyAlignment="1" applyProtection="1">
      <alignment horizontal="center"/>
      <protection locked="0"/>
    </xf>
    <xf numFmtId="0" fontId="45" fillId="0" borderId="12" xfId="7" applyFont="1" applyBorder="1" applyAlignment="1" applyProtection="1">
      <alignment horizontal="center"/>
      <protection locked="0"/>
    </xf>
    <xf numFmtId="0" fontId="45" fillId="0" borderId="5" xfId="7" applyFont="1" applyBorder="1" applyAlignment="1" applyProtection="1">
      <alignment horizontal="center"/>
      <protection locked="0"/>
    </xf>
    <xf numFmtId="0" fontId="45" fillId="0" borderId="11" xfId="848" applyNumberFormat="1" applyFont="1" applyFill="1" applyBorder="1" applyAlignment="1" applyProtection="1">
      <alignment horizontal="center"/>
      <protection locked="0"/>
    </xf>
    <xf numFmtId="0" fontId="45" fillId="0" borderId="12" xfId="848" applyNumberFormat="1" applyFont="1" applyFill="1" applyBorder="1" applyAlignment="1" applyProtection="1">
      <alignment horizontal="center"/>
      <protection locked="0"/>
    </xf>
    <xf numFmtId="0" fontId="45" fillId="0" borderId="5" xfId="848"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0" xfId="1" applyNumberFormat="1" applyFont="1" applyFill="1" applyBorder="1" applyAlignment="1" applyProtection="1">
      <alignment horizontal="center"/>
      <protection locked="0"/>
    </xf>
    <xf numFmtId="0" fontId="45" fillId="0" borderId="1" xfId="845"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0" borderId="11"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4" borderId="0" xfId="1" applyNumberFormat="1" applyFont="1" applyFill="1" applyBorder="1" applyAlignment="1" applyProtection="1">
      <alignment horizontal="center"/>
      <protection locked="0"/>
    </xf>
  </cellXfs>
  <cellStyles count="849">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Normal_Forslag 2" xfId="848" xr:uid="{00000000-0005-0000-0000-00003B020000}"/>
    <cellStyle name="Tusenskille 2" xfId="14" xr:uid="{00000000-0005-0000-0000-00003C020000}"/>
    <cellStyle name="Tusenskille 2 2" xfId="15" xr:uid="{00000000-0005-0000-0000-00003D020000}"/>
    <cellStyle name="Tusenskille 2 2 2" xfId="751" xr:uid="{00000000-0005-0000-0000-00003E020000}"/>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23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50"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2017</c:v>
                </c:pt>
              </c:strCache>
            </c:strRef>
          </c:tx>
          <c:invertIfNegative val="0"/>
          <c:cat>
            <c:strRef>
              <c:f>Figurer!$L$9:$L$30</c:f>
              <c:strCache>
                <c:ptCount val="22"/>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Landkreditt Fors.</c:v>
                </c:pt>
                <c:pt idx="14">
                  <c:v>NEMI</c:v>
                </c:pt>
                <c:pt idx="15">
                  <c:v>Nordea Liv</c:v>
                </c:pt>
                <c:pt idx="16">
                  <c:v>OPF</c:v>
                </c:pt>
                <c:pt idx="17">
                  <c:v>Protector Fors</c:v>
                </c:pt>
                <c:pt idx="18">
                  <c:v>SpareBank 1</c:v>
                </c:pt>
                <c:pt idx="19">
                  <c:v>Storebrand </c:v>
                </c:pt>
                <c:pt idx="20">
                  <c:v>Telenor Fors</c:v>
                </c:pt>
                <c:pt idx="21">
                  <c:v>Tryg Fors</c:v>
                </c:pt>
              </c:strCache>
            </c:strRef>
          </c:cat>
          <c:val>
            <c:numRef>
              <c:f>Figurer!$M$9:$M$30</c:f>
              <c:numCache>
                <c:formatCode>#,##0</c:formatCode>
                <c:ptCount val="22"/>
                <c:pt idx="0">
                  <c:v>0</c:v>
                </c:pt>
                <c:pt idx="1">
                  <c:v>397773.73200000002</c:v>
                </c:pt>
                <c:pt idx="2">
                  <c:v>4920017.8059999999</c:v>
                </c:pt>
                <c:pt idx="3">
                  <c:v>267318</c:v>
                </c:pt>
                <c:pt idx="4">
                  <c:v>439365.6</c:v>
                </c:pt>
                <c:pt idx="5">
                  <c:v>5631</c:v>
                </c:pt>
                <c:pt idx="6">
                  <c:v>1528867</c:v>
                </c:pt>
                <c:pt idx="7">
                  <c:v>523633</c:v>
                </c:pt>
                <c:pt idx="8">
                  <c:v>37362</c:v>
                </c:pt>
                <c:pt idx="9">
                  <c:v>436905</c:v>
                </c:pt>
                <c:pt idx="10">
                  <c:v>31992253.779960003</c:v>
                </c:pt>
                <c:pt idx="11">
                  <c:v>97233</c:v>
                </c:pt>
                <c:pt idx="12">
                  <c:v>142740</c:v>
                </c:pt>
                <c:pt idx="13">
                  <c:v>79056</c:v>
                </c:pt>
                <c:pt idx="14">
                  <c:v>1147</c:v>
                </c:pt>
                <c:pt idx="15">
                  <c:v>1689290.3465455561</c:v>
                </c:pt>
                <c:pt idx="16">
                  <c:v>4149293</c:v>
                </c:pt>
                <c:pt idx="17">
                  <c:v>0</c:v>
                </c:pt>
                <c:pt idx="18">
                  <c:v>2772100.5251799999</c:v>
                </c:pt>
                <c:pt idx="19">
                  <c:v>5689454.449</c:v>
                </c:pt>
                <c:pt idx="20">
                  <c:v>31971</c:v>
                </c:pt>
                <c:pt idx="21">
                  <c:v>512595.94180000003</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2018</c:v>
                </c:pt>
              </c:strCache>
            </c:strRef>
          </c:tx>
          <c:invertIfNegative val="0"/>
          <c:cat>
            <c:strRef>
              <c:f>Figurer!$L$9:$L$30</c:f>
              <c:strCache>
                <c:ptCount val="22"/>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Landkreditt Fors.</c:v>
                </c:pt>
                <c:pt idx="14">
                  <c:v>NEMI</c:v>
                </c:pt>
                <c:pt idx="15">
                  <c:v>Nordea Liv</c:v>
                </c:pt>
                <c:pt idx="16">
                  <c:v>OPF</c:v>
                </c:pt>
                <c:pt idx="17">
                  <c:v>Protector Fors</c:v>
                </c:pt>
                <c:pt idx="18">
                  <c:v>SpareBank 1</c:v>
                </c:pt>
                <c:pt idx="19">
                  <c:v>Storebrand </c:v>
                </c:pt>
                <c:pt idx="20">
                  <c:v>Telenor Fors</c:v>
                </c:pt>
                <c:pt idx="21">
                  <c:v>Tryg Fors</c:v>
                </c:pt>
              </c:strCache>
            </c:strRef>
          </c:cat>
          <c:val>
            <c:numRef>
              <c:f>Figurer!$N$9:$N$30</c:f>
              <c:numCache>
                <c:formatCode>#,##0</c:formatCode>
                <c:ptCount val="22"/>
                <c:pt idx="0">
                  <c:v>0</c:v>
                </c:pt>
                <c:pt idx="1">
                  <c:v>415883.79300000001</c:v>
                </c:pt>
                <c:pt idx="2">
                  <c:v>4564526.0001369994</c:v>
                </c:pt>
                <c:pt idx="3">
                  <c:v>293648</c:v>
                </c:pt>
                <c:pt idx="4">
                  <c:v>461969</c:v>
                </c:pt>
                <c:pt idx="5">
                  <c:v>7955</c:v>
                </c:pt>
                <c:pt idx="6">
                  <c:v>1560358</c:v>
                </c:pt>
                <c:pt idx="7">
                  <c:v>591422</c:v>
                </c:pt>
                <c:pt idx="8">
                  <c:v>35563</c:v>
                </c:pt>
                <c:pt idx="9">
                  <c:v>447566</c:v>
                </c:pt>
                <c:pt idx="10">
                  <c:v>38575507.412819996</c:v>
                </c:pt>
                <c:pt idx="11">
                  <c:v>89195</c:v>
                </c:pt>
                <c:pt idx="12">
                  <c:v>134230.552</c:v>
                </c:pt>
                <c:pt idx="13">
                  <c:v>75514</c:v>
                </c:pt>
                <c:pt idx="14">
                  <c:v>1788</c:v>
                </c:pt>
                <c:pt idx="15">
                  <c:v>1546969.242586259</c:v>
                </c:pt>
                <c:pt idx="16">
                  <c:v>4832000</c:v>
                </c:pt>
                <c:pt idx="17">
                  <c:v>322909.72977305338</c:v>
                </c:pt>
                <c:pt idx="18">
                  <c:v>2769109.2606799998</c:v>
                </c:pt>
                <c:pt idx="19">
                  <c:v>5505079.2280000001</c:v>
                </c:pt>
                <c:pt idx="20">
                  <c:v>22616</c:v>
                </c:pt>
                <c:pt idx="21">
                  <c:v>525057.89627999999</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2017</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Figurer!$M$37:$M$46</c:f>
              <c:numCache>
                <c:formatCode>#,##0</c:formatCode>
                <c:ptCount val="10"/>
                <c:pt idx="0">
                  <c:v>1774297.267</c:v>
                </c:pt>
                <c:pt idx="1">
                  <c:v>8571932</c:v>
                </c:pt>
                <c:pt idx="2">
                  <c:v>368028</c:v>
                </c:pt>
                <c:pt idx="3">
                  <c:v>2571137</c:v>
                </c:pt>
                <c:pt idx="4">
                  <c:v>130226.34600000001</c:v>
                </c:pt>
                <c:pt idx="5">
                  <c:v>356633</c:v>
                </c:pt>
                <c:pt idx="6">
                  <c:v>9386463.9326900002</c:v>
                </c:pt>
                <c:pt idx="7">
                  <c:v>169062.91999999998</c:v>
                </c:pt>
                <c:pt idx="8">
                  <c:v>3137901.4883699999</c:v>
                </c:pt>
                <c:pt idx="9">
                  <c:v>10339332.776999999</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2018</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Figurer!$N$37:$N$46</c:f>
              <c:numCache>
                <c:formatCode>#,##0</c:formatCode>
                <c:ptCount val="10"/>
                <c:pt idx="0">
                  <c:v>1858117.182</c:v>
                </c:pt>
                <c:pt idx="1">
                  <c:v>8751380.8939999994</c:v>
                </c:pt>
                <c:pt idx="2">
                  <c:v>383502.5</c:v>
                </c:pt>
                <c:pt idx="3">
                  <c:v>2849928</c:v>
                </c:pt>
                <c:pt idx="4">
                  <c:v>148957.79199999999</c:v>
                </c:pt>
                <c:pt idx="5">
                  <c:v>432767</c:v>
                </c:pt>
                <c:pt idx="6">
                  <c:v>8182157.7377977194</c:v>
                </c:pt>
                <c:pt idx="7">
                  <c:v>153887</c:v>
                </c:pt>
                <c:pt idx="8">
                  <c:v>3902966.4111699997</c:v>
                </c:pt>
                <c:pt idx="9">
                  <c:v>10907068.207210001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2017</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Figurer!$M$60:$M$74</c:f>
              <c:numCache>
                <c:formatCode>#,##0</c:formatCode>
                <c:ptCount val="15"/>
                <c:pt idx="0">
                  <c:v>1023334.365</c:v>
                </c:pt>
                <c:pt idx="1">
                  <c:v>202997288</c:v>
                </c:pt>
                <c:pt idx="2">
                  <c:v>422298</c:v>
                </c:pt>
                <c:pt idx="3">
                  <c:v>676350.32000000007</c:v>
                </c:pt>
                <c:pt idx="4">
                  <c:v>1200643</c:v>
                </c:pt>
                <c:pt idx="5">
                  <c:v>6018363</c:v>
                </c:pt>
                <c:pt idx="6">
                  <c:v>26374</c:v>
                </c:pt>
                <c:pt idx="7">
                  <c:v>416284</c:v>
                </c:pt>
                <c:pt idx="8">
                  <c:v>444493649.38739997</c:v>
                </c:pt>
                <c:pt idx="9">
                  <c:v>1613262</c:v>
                </c:pt>
                <c:pt idx="10">
                  <c:v>9767</c:v>
                </c:pt>
                <c:pt idx="11">
                  <c:v>49563121.552480593</c:v>
                </c:pt>
                <c:pt idx="12">
                  <c:v>70125745</c:v>
                </c:pt>
                <c:pt idx="13">
                  <c:v>18676728.652520001</c:v>
                </c:pt>
                <c:pt idx="14">
                  <c:v>178778748.09999999</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2018</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Figurer!$N$60:$N$74</c:f>
              <c:numCache>
                <c:formatCode>#,##0</c:formatCode>
                <c:ptCount val="15"/>
                <c:pt idx="0">
                  <c:v>1144794.7290000001</c:v>
                </c:pt>
                <c:pt idx="1">
                  <c:v>200300987.28</c:v>
                </c:pt>
                <c:pt idx="2">
                  <c:v>459894</c:v>
                </c:pt>
                <c:pt idx="3">
                  <c:v>771394</c:v>
                </c:pt>
                <c:pt idx="4">
                  <c:v>1236175</c:v>
                </c:pt>
                <c:pt idx="5">
                  <c:v>6586379</c:v>
                </c:pt>
                <c:pt idx="6">
                  <c:v>23055</c:v>
                </c:pt>
                <c:pt idx="7">
                  <c:v>453992</c:v>
                </c:pt>
                <c:pt idx="8">
                  <c:v>471726467.24905998</c:v>
                </c:pt>
                <c:pt idx="9">
                  <c:v>1675894</c:v>
                </c:pt>
                <c:pt idx="10">
                  <c:v>22247</c:v>
                </c:pt>
                <c:pt idx="11">
                  <c:v>50050246.091799468</c:v>
                </c:pt>
                <c:pt idx="12">
                  <c:v>74694000</c:v>
                </c:pt>
                <c:pt idx="13">
                  <c:v>19767915.11112</c:v>
                </c:pt>
                <c:pt idx="14">
                  <c:v>180788161.222</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2017</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Figurer!$M$85:$M$94</c:f>
              <c:numCache>
                <c:formatCode>#,##0</c:formatCode>
                <c:ptCount val="10"/>
                <c:pt idx="0">
                  <c:v>16948728.280999999</c:v>
                </c:pt>
                <c:pt idx="1">
                  <c:v>75206078.714000002</c:v>
                </c:pt>
                <c:pt idx="2">
                  <c:v>3250729.1</c:v>
                </c:pt>
                <c:pt idx="3">
                  <c:v>22680593</c:v>
                </c:pt>
                <c:pt idx="4">
                  <c:v>2373955.5961500001</c:v>
                </c:pt>
                <c:pt idx="5">
                  <c:v>2683785</c:v>
                </c:pt>
                <c:pt idx="6">
                  <c:v>58646139.999999985</c:v>
                </c:pt>
                <c:pt idx="7">
                  <c:v>2082187</c:v>
                </c:pt>
                <c:pt idx="8">
                  <c:v>24894504.285070002</c:v>
                </c:pt>
                <c:pt idx="9">
                  <c:v>80323761.414470002</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2018</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Figurer!$N$85:$N$94</c:f>
              <c:numCache>
                <c:formatCode>#,##0</c:formatCode>
                <c:ptCount val="10"/>
                <c:pt idx="0">
                  <c:v>16857045.754999999</c:v>
                </c:pt>
                <c:pt idx="1">
                  <c:v>77241342.397</c:v>
                </c:pt>
                <c:pt idx="2">
                  <c:v>3320888.7749999999</c:v>
                </c:pt>
                <c:pt idx="3">
                  <c:v>24101780</c:v>
                </c:pt>
                <c:pt idx="4">
                  <c:v>2418695.24015</c:v>
                </c:pt>
                <c:pt idx="5">
                  <c:v>3376787</c:v>
                </c:pt>
                <c:pt idx="6">
                  <c:v>59037750.000000045</c:v>
                </c:pt>
                <c:pt idx="7">
                  <c:v>2076510</c:v>
                </c:pt>
                <c:pt idx="8">
                  <c:v>27670397.0995</c:v>
                </c:pt>
                <c:pt idx="9">
                  <c:v>93401620.811000004</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2017</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Figurer!$M$111:$M$118</c:f>
              <c:numCache>
                <c:formatCode>#,##0</c:formatCode>
                <c:ptCount val="8"/>
                <c:pt idx="0">
                  <c:v>8391.2209999999977</c:v>
                </c:pt>
                <c:pt idx="1">
                  <c:v>418326</c:v>
                </c:pt>
                <c:pt idx="2">
                  <c:v>49196</c:v>
                </c:pt>
                <c:pt idx="3">
                  <c:v>60236.104999999981</c:v>
                </c:pt>
                <c:pt idx="4">
                  <c:v>-13513</c:v>
                </c:pt>
                <c:pt idx="5">
                  <c:v>-82238.518989999895</c:v>
                </c:pt>
                <c:pt idx="6">
                  <c:v>8306.1557399999947</c:v>
                </c:pt>
                <c:pt idx="7">
                  <c:v>-286957.93400000001</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2018</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Figurer!$N$111:$N$118</c:f>
              <c:numCache>
                <c:formatCode>#,##0</c:formatCode>
                <c:ptCount val="8"/>
                <c:pt idx="0">
                  <c:v>7172.3330000000024</c:v>
                </c:pt>
                <c:pt idx="1">
                  <c:v>163223</c:v>
                </c:pt>
                <c:pt idx="2">
                  <c:v>55886</c:v>
                </c:pt>
                <c:pt idx="3">
                  <c:v>-492216.58499999996</c:v>
                </c:pt>
                <c:pt idx="4">
                  <c:v>3095</c:v>
                </c:pt>
                <c:pt idx="5">
                  <c:v>-138834.61565999998</c:v>
                </c:pt>
                <c:pt idx="6">
                  <c:v>-40094.755590000008</c:v>
                </c:pt>
                <c:pt idx="7">
                  <c:v>-27854.512999999992</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Figurer!$M$135</c:f>
              <c:strCache>
                <c:ptCount val="1"/>
                <c:pt idx="0">
                  <c:v>2017</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Figurer!$M$136:$M$144</c:f>
              <c:numCache>
                <c:formatCode>#,##0</c:formatCode>
                <c:ptCount val="9"/>
                <c:pt idx="0">
                  <c:v>0</c:v>
                </c:pt>
                <c:pt idx="1">
                  <c:v>1294346</c:v>
                </c:pt>
                <c:pt idx="2">
                  <c:v>-40663.235000000001</c:v>
                </c:pt>
                <c:pt idx="3">
                  <c:v>738595</c:v>
                </c:pt>
                <c:pt idx="4">
                  <c:v>431562</c:v>
                </c:pt>
                <c:pt idx="5">
                  <c:v>-1089161.4378300002</c:v>
                </c:pt>
                <c:pt idx="6">
                  <c:v>95800.697</c:v>
                </c:pt>
                <c:pt idx="7">
                  <c:v>875736.41453000007</c:v>
                </c:pt>
                <c:pt idx="8">
                  <c:v>-2684655.31</c:v>
                </c:pt>
              </c:numCache>
            </c:numRef>
          </c:val>
          <c:extLst>
            <c:ext xmlns:c16="http://schemas.microsoft.com/office/drawing/2014/chart" uri="{C3380CC4-5D6E-409C-BE32-E72D297353CC}">
              <c16:uniqueId val="{00000000-B400-4C26-965B-0553A4A37873}"/>
            </c:ext>
          </c:extLst>
        </c:ser>
        <c:ser>
          <c:idx val="1"/>
          <c:order val="1"/>
          <c:tx>
            <c:strRef>
              <c:f>Figurer!$N$135</c:f>
              <c:strCache>
                <c:ptCount val="1"/>
                <c:pt idx="0">
                  <c:v>2018</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Figurer!$N$136:$N$144</c:f>
              <c:numCache>
                <c:formatCode>#,##0</c:formatCode>
                <c:ptCount val="9"/>
                <c:pt idx="0">
                  <c:v>-210577.09800000011</c:v>
                </c:pt>
                <c:pt idx="1">
                  <c:v>-481067</c:v>
                </c:pt>
                <c:pt idx="2">
                  <c:v>-66404</c:v>
                </c:pt>
                <c:pt idx="3">
                  <c:v>280691</c:v>
                </c:pt>
                <c:pt idx="4">
                  <c:v>444032</c:v>
                </c:pt>
                <c:pt idx="5">
                  <c:v>-1061165.3843399999</c:v>
                </c:pt>
                <c:pt idx="6">
                  <c:v>156380</c:v>
                </c:pt>
                <c:pt idx="7">
                  <c:v>1474548.0512999999</c:v>
                </c:pt>
                <c:pt idx="8">
                  <c:v>-788494.15700000012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2018 </a:t>
          </a:r>
          <a:r>
            <a:rPr lang="nb-NO" sz="1100" b="0">
              <a:effectLst/>
              <a:latin typeface="Arial"/>
              <a:ea typeface="ＭＳ 明朝"/>
              <a:cs typeface="Times New Roman"/>
            </a:rPr>
            <a:t>(29.03.2019)</a:t>
          </a:r>
          <a:r>
            <a:rPr lang="nb-NO" sz="1600" b="1">
              <a:effectLst/>
              <a:latin typeface="Arial"/>
              <a:ea typeface="ＭＳ 明朝"/>
              <a:cs typeface="Times New Roman"/>
            </a:rPr>
            <a:t> </a:t>
          </a:r>
        </a:p>
        <a:p>
          <a:pPr>
            <a:spcAft>
              <a:spcPts val="0"/>
            </a:spcAft>
          </a:pPr>
          <a:r>
            <a:rPr lang="nb-NO" sz="900" b="0">
              <a:effectLst/>
              <a:latin typeface="Arial"/>
              <a:ea typeface="ＭＳ 明朝"/>
              <a:cs typeface="Times New Roman"/>
            </a:rPr>
            <a:t>Sist endret 07.05.2019</a:t>
          </a:r>
          <a:endParaRPr lang="nb-NO" sz="9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Frende Livsforsikring</a:t>
          </a:r>
          <a:br>
            <a:rPr lang="nb-NO" sz="1100" u="sng">
              <a:latin typeface="Times New Roman" panose="02020603050405020304" pitchFamily="18" charset="0"/>
              <a:cs typeface="Times New Roman" panose="02020603050405020304" pitchFamily="18" charset="0"/>
            </a:rPr>
          </a:br>
          <a:r>
            <a:rPr lang="nb-NO" sz="1100" u="none">
              <a:latin typeface="Times New Roman" panose="02020603050405020304" pitchFamily="18" charset="0"/>
              <a:cs typeface="Times New Roman" panose="02020603050405020304" pitchFamily="18" charset="0"/>
            </a:rPr>
            <a:t>Tallene</a:t>
          </a:r>
          <a:r>
            <a:rPr lang="nb-NO" sz="1100" u="none" baseline="0">
              <a:latin typeface="Times New Roman" panose="02020603050405020304" pitchFamily="18" charset="0"/>
              <a:cs typeface="Times New Roman" panose="02020603050405020304" pitchFamily="18" charset="0"/>
            </a:rPr>
            <a:t> er ikke endelige.</a:t>
          </a:r>
          <a:br>
            <a:rPr lang="nb-NO" sz="1100" u="sng">
              <a:latin typeface="Times New Roman" panose="02020603050405020304" pitchFamily="18" charset="0"/>
              <a:cs typeface="Times New Roman" panose="02020603050405020304" pitchFamily="18" charset="0"/>
            </a:rPr>
          </a:br>
          <a:br>
            <a:rPr lang="nb-NO" sz="1100" u="sng">
              <a:latin typeface="Times New Roman" panose="02020603050405020304" pitchFamily="18" charset="0"/>
              <a:cs typeface="Times New Roman" panose="02020603050405020304" pitchFamily="18" charset="0"/>
            </a:rPr>
          </a:br>
          <a:r>
            <a:rPr lang="nb-NO" sz="1100" u="sng">
              <a:latin typeface="Times New Roman" panose="02020603050405020304" pitchFamily="18" charset="0"/>
              <a:cs typeface="Times New Roman" panose="02020603050405020304" pitchFamily="18" charset="0"/>
            </a:rPr>
            <a:t>Protector 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2. kvartal 2018.</a:t>
          </a:r>
          <a:br>
            <a:rPr lang="nb-NO" sz="1100" u="none" baseline="0">
              <a:latin typeface="Times New Roman" panose="02020603050405020304" pitchFamily="18" charset="0"/>
              <a:cs typeface="Times New Roman" panose="02020603050405020304" pitchFamily="18" charset="0"/>
            </a:rPr>
          </a:br>
          <a:endParaRPr lang="nb-NO" sz="1100" u="none">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J43" sqref="J43"/>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953"/>
      <c r="C43" s="953"/>
      <c r="D43" s="953"/>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R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8" x14ac:dyDescent="0.2">
      <c r="A1" s="172" t="s">
        <v>143</v>
      </c>
      <c r="B1" s="945"/>
      <c r="C1" s="247" t="s">
        <v>130</v>
      </c>
      <c r="D1" s="26"/>
      <c r="E1" s="26"/>
      <c r="F1" s="26"/>
      <c r="G1" s="26"/>
      <c r="H1" s="26"/>
      <c r="I1" s="26"/>
      <c r="J1" s="26"/>
      <c r="K1" s="26"/>
      <c r="L1" s="26"/>
      <c r="M1" s="26"/>
      <c r="O1" s="421"/>
    </row>
    <row r="2" spans="1:18" ht="15.75" x14ac:dyDescent="0.25">
      <c r="A2" s="165" t="s">
        <v>28</v>
      </c>
      <c r="B2" s="978"/>
      <c r="C2" s="978"/>
      <c r="D2" s="978"/>
      <c r="E2" s="296"/>
      <c r="F2" s="978"/>
      <c r="G2" s="978"/>
      <c r="H2" s="978"/>
      <c r="I2" s="296"/>
      <c r="J2" s="978"/>
      <c r="K2" s="978"/>
      <c r="L2" s="978"/>
      <c r="M2" s="296"/>
      <c r="O2" s="148"/>
    </row>
    <row r="3" spans="1:18" ht="15.75" x14ac:dyDescent="0.25">
      <c r="A3" s="163"/>
      <c r="B3" s="296"/>
      <c r="C3" s="296"/>
      <c r="D3" s="296"/>
      <c r="E3" s="296"/>
      <c r="F3" s="296"/>
      <c r="G3" s="296"/>
      <c r="H3" s="296"/>
      <c r="I3" s="296"/>
      <c r="J3" s="296"/>
      <c r="K3" s="296"/>
      <c r="L3" s="296"/>
      <c r="M3" s="296"/>
      <c r="O3" s="148"/>
    </row>
    <row r="4" spans="1:18" x14ac:dyDescent="0.2">
      <c r="A4" s="144"/>
      <c r="B4" s="975" t="s">
        <v>0</v>
      </c>
      <c r="C4" s="976"/>
      <c r="D4" s="976"/>
      <c r="E4" s="298"/>
      <c r="F4" s="975" t="s">
        <v>1</v>
      </c>
      <c r="G4" s="976"/>
      <c r="H4" s="976"/>
      <c r="I4" s="301"/>
      <c r="J4" s="975" t="s">
        <v>2</v>
      </c>
      <c r="K4" s="976"/>
      <c r="L4" s="976"/>
      <c r="M4" s="301"/>
      <c r="O4" s="148"/>
    </row>
    <row r="5" spans="1:18"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8" x14ac:dyDescent="0.2">
      <c r="A6" s="944"/>
      <c r="B6" s="156"/>
      <c r="C6" s="156"/>
      <c r="D6" s="245" t="s">
        <v>4</v>
      </c>
      <c r="E6" s="156" t="s">
        <v>30</v>
      </c>
      <c r="F6" s="161"/>
      <c r="G6" s="161"/>
      <c r="H6" s="244" t="s">
        <v>4</v>
      </c>
      <c r="I6" s="156" t="s">
        <v>30</v>
      </c>
      <c r="J6" s="161"/>
      <c r="K6" s="161"/>
      <c r="L6" s="244" t="s">
        <v>4</v>
      </c>
      <c r="M6" s="156" t="s">
        <v>30</v>
      </c>
      <c r="O6" s="148"/>
    </row>
    <row r="7" spans="1:18" ht="15.75" x14ac:dyDescent="0.2">
      <c r="A7" s="14" t="s">
        <v>23</v>
      </c>
      <c r="B7" s="303">
        <v>863770</v>
      </c>
      <c r="C7" s="304">
        <v>713770</v>
      </c>
      <c r="D7" s="347">
        <f>IF(B7=0, "    ---- ", IF(ABS(ROUND(100/B7*C7-100,1))&lt;999,ROUND(100/B7*C7-100,1),IF(ROUND(100/B7*C7-100,1)&gt;999,999,-999)))</f>
        <v>-17.399999999999999</v>
      </c>
      <c r="E7" s="11">
        <f>IFERROR(100/'Skjema total MA'!C7*C7,0)</f>
        <v>15.691328197233881</v>
      </c>
      <c r="F7" s="303">
        <v>731375</v>
      </c>
      <c r="G7" s="304">
        <v>621631</v>
      </c>
      <c r="H7" s="347">
        <f>IF(F7=0, "    ---- ", IF(ABS(ROUND(100/F7*G7-100,1))&lt;999,ROUND(100/F7*G7-100,1),IF(ROUND(100/F7*G7-100,1)&gt;999,999,-999)))</f>
        <v>-15</v>
      </c>
      <c r="I7" s="160">
        <f>IFERROR(100/'Skjema total MA'!F7*G7,0)</f>
        <v>8.6398447674173973</v>
      </c>
      <c r="J7" s="305">
        <f t="shared" ref="J7:K12" si="0">SUM(B7,F7)</f>
        <v>1595145</v>
      </c>
      <c r="K7" s="306">
        <f t="shared" si="0"/>
        <v>1335401</v>
      </c>
      <c r="L7" s="422">
        <f>IF(J7=0, "    ---- ", IF(ABS(ROUND(100/J7*K7-100,1))&lt;999,ROUND(100/J7*K7-100,1),IF(ROUND(100/J7*K7-100,1)&gt;999,999,-999)))</f>
        <v>-16.3</v>
      </c>
      <c r="M7" s="11">
        <f>IFERROR(100/'Skjema total MA'!I7*K7,0)</f>
        <v>11.371162653056038</v>
      </c>
      <c r="O7" s="148"/>
    </row>
    <row r="8" spans="1:18" ht="15.75" x14ac:dyDescent="0.2">
      <c r="A8" s="21" t="s">
        <v>25</v>
      </c>
      <c r="B8" s="278">
        <v>139597</v>
      </c>
      <c r="C8" s="279">
        <v>145592</v>
      </c>
      <c r="D8" s="166">
        <f t="shared" ref="D8:D12" si="1">IF(B8=0, "    ---- ", IF(ABS(ROUND(100/B8*C8-100,1))&lt;999,ROUND(100/B8*C8-100,1),IF(ROUND(100/B8*C8-100,1)&gt;999,999,-999)))</f>
        <v>4.3</v>
      </c>
      <c r="E8" s="27">
        <f>IFERROR(100/'Skjema total MA'!C8*C8,0)</f>
        <v>5.5162701298726704</v>
      </c>
      <c r="F8" s="282"/>
      <c r="G8" s="283"/>
      <c r="H8" s="166"/>
      <c r="I8" s="175"/>
      <c r="J8" s="233">
        <f t="shared" si="0"/>
        <v>139597</v>
      </c>
      <c r="K8" s="284">
        <f t="shared" si="0"/>
        <v>145592</v>
      </c>
      <c r="L8" s="166">
        <f t="shared" ref="L8:L9" si="2">IF(J8=0, "    ---- ", IF(ABS(ROUND(100/J8*K8-100,1))&lt;999,ROUND(100/J8*K8-100,1),IF(ROUND(100/J8*K8-100,1)&gt;999,999,-999)))</f>
        <v>4.3</v>
      </c>
      <c r="M8" s="27">
        <f>IFERROR(100/'Skjema total MA'!I8*K8,0)</f>
        <v>5.5162701298726704</v>
      </c>
      <c r="O8" s="148"/>
    </row>
    <row r="9" spans="1:18" ht="15.75" x14ac:dyDescent="0.2">
      <c r="A9" s="21" t="s">
        <v>24</v>
      </c>
      <c r="B9" s="278">
        <v>57677.66</v>
      </c>
      <c r="C9" s="279">
        <v>56822</v>
      </c>
      <c r="D9" s="166">
        <f t="shared" si="1"/>
        <v>-1.5</v>
      </c>
      <c r="E9" s="27">
        <f>IFERROR(100/'Skjema total MA'!C9*C9,0)</f>
        <v>5.8061819118752407</v>
      </c>
      <c r="F9" s="282"/>
      <c r="G9" s="283"/>
      <c r="H9" s="166"/>
      <c r="I9" s="175"/>
      <c r="J9" s="233">
        <f t="shared" si="0"/>
        <v>57677.66</v>
      </c>
      <c r="K9" s="284">
        <f t="shared" si="0"/>
        <v>56822</v>
      </c>
      <c r="L9" s="166">
        <f t="shared" si="2"/>
        <v>-1.5</v>
      </c>
      <c r="M9" s="27">
        <f>IFERROR(100/'Skjema total MA'!I9*K9,0)</f>
        <v>5.8061819118752407</v>
      </c>
      <c r="O9" s="148"/>
    </row>
    <row r="10" spans="1:18" ht="15.75" x14ac:dyDescent="0.2">
      <c r="A10" s="13" t="s">
        <v>456</v>
      </c>
      <c r="B10" s="307">
        <v>15672516</v>
      </c>
      <c r="C10" s="308">
        <v>14144855</v>
      </c>
      <c r="D10" s="171">
        <f t="shared" si="1"/>
        <v>-9.6999999999999993</v>
      </c>
      <c r="E10" s="11">
        <f>IFERROR(100/'Skjema total MA'!C10*C10,0)</f>
        <v>62.977230142213024</v>
      </c>
      <c r="F10" s="307">
        <v>5982464</v>
      </c>
      <c r="G10" s="308">
        <v>5327366.2609999999</v>
      </c>
      <c r="H10" s="171">
        <f t="shared" ref="H10:H12" si="3">IF(F10=0, "    ---- ", IF(ABS(ROUND(100/F10*G10-100,1))&lt;999,ROUND(100/F10*G10-100,1),IF(ROUND(100/F10*G10-100,1)&gt;999,999,-999)))</f>
        <v>-11</v>
      </c>
      <c r="I10" s="160">
        <f>IFERROR(100/'Skjema total MA'!F10*G10,0)</f>
        <v>12.784239707761772</v>
      </c>
      <c r="J10" s="305">
        <f t="shared" si="0"/>
        <v>21654980</v>
      </c>
      <c r="K10" s="306">
        <f t="shared" si="0"/>
        <v>19472221.261</v>
      </c>
      <c r="L10" s="423">
        <f t="shared" ref="L10:L12" si="4">IF(J10=0, "    ---- ", IF(ABS(ROUND(100/J10*K10-100,1))&lt;999,ROUND(100/J10*K10-100,1),IF(ROUND(100/J10*K10-100,1)&gt;999,999,-999)))</f>
        <v>-10.1</v>
      </c>
      <c r="M10" s="11">
        <f>IFERROR(100/'Skjema total MA'!I10*K10,0)</f>
        <v>30.362899554389696</v>
      </c>
      <c r="O10" s="148"/>
      <c r="R10" s="149"/>
    </row>
    <row r="11" spans="1:18" s="43" customFormat="1" ht="15.75" x14ac:dyDescent="0.2">
      <c r="A11" s="13" t="s">
        <v>457</v>
      </c>
      <c r="B11" s="307">
        <v>95526</v>
      </c>
      <c r="C11" s="308">
        <v>25116</v>
      </c>
      <c r="D11" s="171">
        <f t="shared" si="1"/>
        <v>-73.7</v>
      </c>
      <c r="E11" s="11">
        <f>IFERROR(100/'Skjema total MA'!C11*C11,0)</f>
        <v>99.999999999999986</v>
      </c>
      <c r="F11" s="307">
        <v>40901</v>
      </c>
      <c r="G11" s="308">
        <v>45691</v>
      </c>
      <c r="H11" s="171">
        <f t="shared" si="3"/>
        <v>11.7</v>
      </c>
      <c r="I11" s="160">
        <f>IFERROR(100/'Skjema total MA'!F11*G11,0)</f>
        <v>15.695024166267725</v>
      </c>
      <c r="J11" s="305">
        <f t="shared" si="0"/>
        <v>136427</v>
      </c>
      <c r="K11" s="306">
        <f t="shared" si="0"/>
        <v>70807</v>
      </c>
      <c r="L11" s="423">
        <f t="shared" si="4"/>
        <v>-48.1</v>
      </c>
      <c r="M11" s="11">
        <f>IFERROR(100/'Skjema total MA'!I11*K11,0)</f>
        <v>22.390716276501617</v>
      </c>
      <c r="N11" s="143"/>
      <c r="O11" s="148"/>
    </row>
    <row r="12" spans="1:18" s="43" customFormat="1" ht="15.75" x14ac:dyDescent="0.2">
      <c r="A12" s="41" t="s">
        <v>458</v>
      </c>
      <c r="B12" s="309">
        <v>28875</v>
      </c>
      <c r="C12" s="310">
        <v>2765</v>
      </c>
      <c r="D12" s="169">
        <f t="shared" si="1"/>
        <v>-90.4</v>
      </c>
      <c r="E12" s="36">
        <f>IFERROR(100/'Skjema total MA'!C12*C12,0)</f>
        <v>100</v>
      </c>
      <c r="F12" s="309">
        <v>47569</v>
      </c>
      <c r="G12" s="310">
        <v>56355</v>
      </c>
      <c r="H12" s="169">
        <f t="shared" si="3"/>
        <v>18.5</v>
      </c>
      <c r="I12" s="169">
        <f>IFERROR(100/'Skjema total MA'!F12*G12,0)</f>
        <v>22.986748094977504</v>
      </c>
      <c r="J12" s="311">
        <f t="shared" si="0"/>
        <v>76444</v>
      </c>
      <c r="K12" s="312">
        <f t="shared" si="0"/>
        <v>59120</v>
      </c>
      <c r="L12" s="424">
        <f t="shared" si="4"/>
        <v>-22.7</v>
      </c>
      <c r="M12" s="36">
        <f>IFERROR(100/'Skjema total MA'!I12*K12,0)</f>
        <v>23.84563311853681</v>
      </c>
      <c r="N12" s="143"/>
      <c r="O12" s="148"/>
      <c r="R12" s="143"/>
    </row>
    <row r="13" spans="1:18" s="43" customFormat="1" x14ac:dyDescent="0.2">
      <c r="A13" s="168"/>
      <c r="B13" s="145"/>
      <c r="C13" s="33"/>
      <c r="D13" s="159"/>
      <c r="E13" s="159"/>
      <c r="F13" s="145"/>
      <c r="G13" s="33"/>
      <c r="H13" s="159"/>
      <c r="I13" s="159"/>
      <c r="J13" s="48"/>
      <c r="K13" s="48"/>
      <c r="L13" s="159"/>
      <c r="M13" s="159"/>
      <c r="N13" s="143"/>
      <c r="O13" s="421"/>
    </row>
    <row r="14" spans="1:18" x14ac:dyDescent="0.2">
      <c r="A14" s="153" t="s">
        <v>282</v>
      </c>
      <c r="B14" s="26"/>
      <c r="O14" s="148"/>
    </row>
    <row r="15" spans="1:18" x14ac:dyDescent="0.2">
      <c r="F15" s="146"/>
      <c r="G15" s="146"/>
      <c r="H15" s="146"/>
      <c r="I15" s="146"/>
      <c r="J15" s="146"/>
      <c r="K15" s="146"/>
      <c r="L15" s="146"/>
      <c r="M15" s="146"/>
      <c r="O15" s="148"/>
    </row>
    <row r="16" spans="1:18"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v>500405.80599999998</v>
      </c>
      <c r="C22" s="307">
        <v>345329.000137</v>
      </c>
      <c r="D22" s="347">
        <f t="shared" ref="D22:D39" si="5">IF(B22=0, "    ---- ", IF(ABS(ROUND(100/B22*C22-100,1))&lt;999,ROUND(100/B22*C22-100,1),IF(ROUND(100/B22*C22-100,1)&gt;999,999,-999)))</f>
        <v>-31</v>
      </c>
      <c r="E22" s="11">
        <f>IFERROR(100/'Skjema total MA'!C22*C22,0)</f>
        <v>21.834848590695572</v>
      </c>
      <c r="F22" s="307">
        <v>133660</v>
      </c>
      <c r="G22" s="307">
        <v>77876.894</v>
      </c>
      <c r="H22" s="347">
        <f t="shared" ref="H22:H35" si="6">IF(F22=0, "    ---- ", IF(ABS(ROUND(100/F22*G22-100,1))&lt;999,ROUND(100/F22*G22-100,1),IF(ROUND(100/F22*G22-100,1)&gt;999,999,-999)))</f>
        <v>-41.7</v>
      </c>
      <c r="I22" s="11">
        <f>IFERROR(100/'Skjema total MA'!F22*G22,0)</f>
        <v>6.1215119434634593</v>
      </c>
      <c r="J22" s="313">
        <f t="shared" ref="J22:K35" si="7">SUM(B22,F22)</f>
        <v>634065.80599999998</v>
      </c>
      <c r="K22" s="313">
        <f t="shared" si="7"/>
        <v>423205.89413699997</v>
      </c>
      <c r="L22" s="422">
        <f t="shared" ref="L22:L39" si="8">IF(J22=0, "    ---- ", IF(ABS(ROUND(100/J22*K22-100,1))&lt;999,ROUND(100/J22*K22-100,1),IF(ROUND(100/J22*K22-100,1)&gt;999,999,-999)))</f>
        <v>-33.299999999999997</v>
      </c>
      <c r="M22" s="24">
        <f>IFERROR(100/'Skjema total MA'!I22*K22,0)</f>
        <v>14.829901112305604</v>
      </c>
      <c r="O22" s="148"/>
    </row>
    <row r="23" spans="1:15" ht="15.75" x14ac:dyDescent="0.2">
      <c r="A23" s="834" t="s">
        <v>459</v>
      </c>
      <c r="B23" s="278">
        <v>471433</v>
      </c>
      <c r="C23" s="278">
        <v>320369.82400000002</v>
      </c>
      <c r="D23" s="166">
        <f t="shared" si="5"/>
        <v>-32</v>
      </c>
      <c r="E23" s="11">
        <f>IFERROR(100/'Skjema total MA'!C23*C23,0)</f>
        <v>21.119712846240681</v>
      </c>
      <c r="F23" s="278">
        <v>114237</v>
      </c>
      <c r="G23" s="278">
        <v>64783.239000000001</v>
      </c>
      <c r="H23" s="166">
        <f t="shared" si="6"/>
        <v>-43.3</v>
      </c>
      <c r="I23" s="412">
        <f>IFERROR(100/'Skjema total MA'!F23*G23,0)</f>
        <v>39.023030042882773</v>
      </c>
      <c r="J23" s="287">
        <f t="shared" ref="J23:J25" si="9">SUM(B23,F23)</f>
        <v>585670</v>
      </c>
      <c r="K23" s="287">
        <f t="shared" ref="K23:K25" si="10">SUM(C23,G23)</f>
        <v>385153.06300000002</v>
      </c>
      <c r="L23" s="166">
        <f t="shared" si="8"/>
        <v>-34.200000000000003</v>
      </c>
      <c r="M23" s="23">
        <f>IFERROR(100/'Skjema total MA'!I23*K23,0)</f>
        <v>22.885781432931982</v>
      </c>
      <c r="O23" s="148"/>
    </row>
    <row r="24" spans="1:15" ht="15.75" x14ac:dyDescent="0.2">
      <c r="A24" s="834" t="s">
        <v>460</v>
      </c>
      <c r="B24" s="278">
        <v>0</v>
      </c>
      <c r="C24" s="278">
        <v>240.27613700000001</v>
      </c>
      <c r="D24" s="166" t="str">
        <f t="shared" si="5"/>
        <v xml:space="preserve">    ---- </v>
      </c>
      <c r="E24" s="11">
        <f>IFERROR(100/'Skjema total MA'!C24*C24,0)</f>
        <v>1.5637355934688366</v>
      </c>
      <c r="F24" s="278">
        <v>672</v>
      </c>
      <c r="G24" s="278">
        <v>149.91300000000001</v>
      </c>
      <c r="H24" s="166">
        <f t="shared" si="6"/>
        <v>-77.7</v>
      </c>
      <c r="I24" s="412">
        <f>IFERROR(100/'Skjema total MA'!F24*G24,0)</f>
        <v>148.79536823014968</v>
      </c>
      <c r="J24" s="287">
        <f t="shared" si="9"/>
        <v>672</v>
      </c>
      <c r="K24" s="287">
        <f t="shared" si="10"/>
        <v>390.18913700000002</v>
      </c>
      <c r="L24" s="166">
        <f t="shared" si="8"/>
        <v>-41.9</v>
      </c>
      <c r="M24" s="23">
        <f>IFERROR(100/'Skjema total MA'!I24*K24,0)</f>
        <v>2.5228387820763061</v>
      </c>
      <c r="O24" s="148"/>
    </row>
    <row r="25" spans="1:15" ht="15.75" x14ac:dyDescent="0.2">
      <c r="A25" s="834" t="s">
        <v>461</v>
      </c>
      <c r="B25" s="278">
        <v>28972.806</v>
      </c>
      <c r="C25" s="278">
        <v>24718.9</v>
      </c>
      <c r="D25" s="166">
        <f t="shared" si="5"/>
        <v>-14.7</v>
      </c>
      <c r="E25" s="11">
        <f>IFERROR(100/'Skjema total MA'!C25*C25,0)</f>
        <v>98.393667815041923</v>
      </c>
      <c r="F25" s="278">
        <v>18751</v>
      </c>
      <c r="G25" s="278">
        <v>12943.742</v>
      </c>
      <c r="H25" s="166">
        <f t="shared" si="6"/>
        <v>-31</v>
      </c>
      <c r="I25" s="412">
        <f>IFERROR(100/'Skjema total MA'!F25*G25,0)</f>
        <v>13.293759763198683</v>
      </c>
      <c r="J25" s="287">
        <f t="shared" si="9"/>
        <v>47723.805999999997</v>
      </c>
      <c r="K25" s="287">
        <f t="shared" si="10"/>
        <v>37662.642</v>
      </c>
      <c r="L25" s="166">
        <f t="shared" si="8"/>
        <v>-21.1</v>
      </c>
      <c r="M25" s="23">
        <f>IFERROR(100/'Skjema total MA'!I25*K25,0)</f>
        <v>30.747648853167263</v>
      </c>
      <c r="O25" s="148"/>
    </row>
    <row r="26" spans="1:15" ht="15.75" x14ac:dyDescent="0.2">
      <c r="A26" s="834" t="s">
        <v>462</v>
      </c>
      <c r="B26" s="278"/>
      <c r="C26" s="278"/>
      <c r="D26" s="166"/>
      <c r="E26" s="11"/>
      <c r="F26" s="278"/>
      <c r="G26" s="278"/>
      <c r="H26" s="166"/>
      <c r="I26" s="412"/>
      <c r="J26" s="287"/>
      <c r="K26" s="287"/>
      <c r="L26" s="166"/>
      <c r="M26" s="23"/>
      <c r="O26" s="148"/>
    </row>
    <row r="27" spans="1:15" x14ac:dyDescent="0.2">
      <c r="A27" s="834" t="s">
        <v>11</v>
      </c>
      <c r="B27" s="278"/>
      <c r="C27" s="278"/>
      <c r="D27" s="166"/>
      <c r="E27" s="11"/>
      <c r="F27" s="278"/>
      <c r="G27" s="278"/>
      <c r="H27" s="166"/>
      <c r="I27" s="412"/>
      <c r="J27" s="287"/>
      <c r="K27" s="287"/>
      <c r="L27" s="166"/>
      <c r="M27" s="23"/>
      <c r="O27" s="148"/>
    </row>
    <row r="28" spans="1:15" ht="15.75" x14ac:dyDescent="0.2">
      <c r="A28" s="49" t="s">
        <v>283</v>
      </c>
      <c r="B28" s="44">
        <v>195547</v>
      </c>
      <c r="C28" s="284">
        <v>205113</v>
      </c>
      <c r="D28" s="166">
        <f t="shared" si="5"/>
        <v>4.9000000000000004</v>
      </c>
      <c r="E28" s="11">
        <f>IFERROR(100/'Skjema total MA'!C28*C28,0)</f>
        <v>11.502963119863274</v>
      </c>
      <c r="F28" s="233"/>
      <c r="G28" s="284"/>
      <c r="H28" s="166"/>
      <c r="I28" s="27"/>
      <c r="J28" s="44">
        <f t="shared" si="7"/>
        <v>195547</v>
      </c>
      <c r="K28" s="44">
        <f t="shared" si="7"/>
        <v>205113</v>
      </c>
      <c r="L28" s="253">
        <f t="shared" si="8"/>
        <v>4.9000000000000004</v>
      </c>
      <c r="M28" s="23">
        <f>IFERROR(100/'Skjema total MA'!I28*K28,0)</f>
        <v>11.502963119863274</v>
      </c>
      <c r="O28" s="148"/>
    </row>
    <row r="29" spans="1:15" s="3" customFormat="1" ht="15.75" x14ac:dyDescent="0.2">
      <c r="A29" s="13" t="s">
        <v>456</v>
      </c>
      <c r="B29" s="307">
        <v>27414633</v>
      </c>
      <c r="C29" s="307">
        <v>26106515.280000001</v>
      </c>
      <c r="D29" s="171">
        <f t="shared" si="5"/>
        <v>-4.8</v>
      </c>
      <c r="E29" s="11">
        <f>IFERROR(100/'Skjema total MA'!C29*C29,0)</f>
        <v>54.491973818442112</v>
      </c>
      <c r="F29" s="307">
        <v>5853762</v>
      </c>
      <c r="G29" s="307">
        <v>5150678.9819999998</v>
      </c>
      <c r="H29" s="171">
        <f t="shared" si="6"/>
        <v>-12</v>
      </c>
      <c r="I29" s="11">
        <f>IFERROR(100/'Skjema total MA'!F29*G29,0)</f>
        <v>26.963181311059461</v>
      </c>
      <c r="J29" s="235">
        <f t="shared" si="7"/>
        <v>33268395</v>
      </c>
      <c r="K29" s="235">
        <f t="shared" si="7"/>
        <v>31257194.262000002</v>
      </c>
      <c r="L29" s="423">
        <f t="shared" si="8"/>
        <v>-6</v>
      </c>
      <c r="M29" s="24">
        <f>IFERROR(100/'Skjema total MA'!I29*K29,0)</f>
        <v>46.644483168187726</v>
      </c>
      <c r="N29" s="148"/>
      <c r="O29" s="148"/>
    </row>
    <row r="30" spans="1:15" s="3" customFormat="1" ht="15.75" x14ac:dyDescent="0.2">
      <c r="A30" s="834" t="s">
        <v>459</v>
      </c>
      <c r="B30" s="278">
        <v>5919538</v>
      </c>
      <c r="C30" s="278">
        <v>5637081.0899999999</v>
      </c>
      <c r="D30" s="166">
        <f t="shared" si="5"/>
        <v>-4.8</v>
      </c>
      <c r="E30" s="11">
        <f>IFERROR(100/'Skjema total MA'!C30*C30,0)</f>
        <v>43.623113799855687</v>
      </c>
      <c r="F30" s="287">
        <v>1931900</v>
      </c>
      <c r="G30" s="287">
        <v>1767515.0290000001</v>
      </c>
      <c r="H30" s="166">
        <f t="shared" si="6"/>
        <v>-8.5</v>
      </c>
      <c r="I30" s="412">
        <f>IFERROR(100/'Skjema total MA'!F30*G30,0)</f>
        <v>43.79588258447194</v>
      </c>
      <c r="J30" s="287">
        <f t="shared" ref="J30:J32" si="11">SUM(B30,F30)</f>
        <v>7851438</v>
      </c>
      <c r="K30" s="287">
        <f t="shared" ref="K30:K32" si="12">SUM(C30,G30)</f>
        <v>7404596.1189999999</v>
      </c>
      <c r="L30" s="166">
        <f t="shared" si="8"/>
        <v>-5.7</v>
      </c>
      <c r="M30" s="23">
        <f>IFERROR(100/'Skjema total MA'!I30*K30,0)</f>
        <v>43.664230622600677</v>
      </c>
      <c r="N30" s="148"/>
      <c r="O30" s="148"/>
    </row>
    <row r="31" spans="1:15" s="3" customFormat="1" ht="15.75" x14ac:dyDescent="0.2">
      <c r="A31" s="834" t="s">
        <v>460</v>
      </c>
      <c r="B31" s="278">
        <v>20454808</v>
      </c>
      <c r="C31" s="278">
        <v>19478785.57</v>
      </c>
      <c r="D31" s="166">
        <f t="shared" si="5"/>
        <v>-4.8</v>
      </c>
      <c r="E31" s="11">
        <f>IFERROR(100/'Skjema total MA'!C31*C31,0)</f>
        <v>58.020989302347232</v>
      </c>
      <c r="F31" s="287">
        <v>3537302</v>
      </c>
      <c r="G31" s="287">
        <v>3015052.8050000002</v>
      </c>
      <c r="H31" s="166">
        <f t="shared" si="6"/>
        <v>-14.8</v>
      </c>
      <c r="I31" s="412">
        <f>IFERROR(100/'Skjema total MA'!F31*G31,0)</f>
        <v>32.304540111770791</v>
      </c>
      <c r="J31" s="287">
        <f t="shared" si="11"/>
        <v>23992110</v>
      </c>
      <c r="K31" s="287">
        <f t="shared" si="12"/>
        <v>22493838.375</v>
      </c>
      <c r="L31" s="166">
        <f t="shared" si="8"/>
        <v>-6.2</v>
      </c>
      <c r="M31" s="23">
        <f>IFERROR(100/'Skjema total MA'!I31*K31,0)</f>
        <v>52.426858376180675</v>
      </c>
      <c r="N31" s="148"/>
      <c r="O31" s="148"/>
    </row>
    <row r="32" spans="1:15" ht="15.75" x14ac:dyDescent="0.2">
      <c r="A32" s="834" t="s">
        <v>461</v>
      </c>
      <c r="B32" s="278">
        <v>1040287</v>
      </c>
      <c r="C32" s="278">
        <v>990648.62</v>
      </c>
      <c r="D32" s="166">
        <f t="shared" si="5"/>
        <v>-4.8</v>
      </c>
      <c r="E32" s="11">
        <f>IFERROR(100/'Skjema total MA'!C32*C32,0)</f>
        <v>76.818086143944299</v>
      </c>
      <c r="F32" s="287">
        <v>384560</v>
      </c>
      <c r="G32" s="287">
        <v>368111.14799999999</v>
      </c>
      <c r="H32" s="166">
        <f t="shared" si="6"/>
        <v>-4.3</v>
      </c>
      <c r="I32" s="412">
        <f>IFERROR(100/'Skjema total MA'!F32*G32,0)</f>
        <v>9.2941658177689011</v>
      </c>
      <c r="J32" s="287">
        <f t="shared" si="11"/>
        <v>1424847</v>
      </c>
      <c r="K32" s="287">
        <f t="shared" si="12"/>
        <v>1358759.7679999999</v>
      </c>
      <c r="L32" s="166">
        <f t="shared" si="8"/>
        <v>-4.5999999999999996</v>
      </c>
      <c r="M32" s="23">
        <f>IFERROR(100/'Skjema total MA'!I32*K32,0)</f>
        <v>25.879795650158769</v>
      </c>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v>28843</v>
      </c>
      <c r="C34" s="306">
        <v>20593</v>
      </c>
      <c r="D34" s="171">
        <f t="shared" si="5"/>
        <v>-28.6</v>
      </c>
      <c r="E34" s="11">
        <f>IFERROR(100/'Skjema total MA'!C34*C34,0)</f>
        <v>73.224016922423402</v>
      </c>
      <c r="F34" s="305">
        <v>-75518</v>
      </c>
      <c r="G34" s="306">
        <v>-8767</v>
      </c>
      <c r="H34" s="171">
        <f t="shared" si="6"/>
        <v>-88.4</v>
      </c>
      <c r="I34" s="11">
        <f>IFERROR(100/'Skjema total MA'!F34*G34,0)</f>
        <v>-11.554484878089594</v>
      </c>
      <c r="J34" s="235">
        <f t="shared" si="7"/>
        <v>-46675</v>
      </c>
      <c r="K34" s="235">
        <f t="shared" si="7"/>
        <v>11826</v>
      </c>
      <c r="L34" s="423">
        <f t="shared" si="8"/>
        <v>-125.3</v>
      </c>
      <c r="M34" s="24">
        <f>IFERROR(100/'Skjema total MA'!I34*K34,0)</f>
        <v>11.371308468614142</v>
      </c>
      <c r="O34" s="148"/>
    </row>
    <row r="35" spans="1:15" ht="15.75" x14ac:dyDescent="0.2">
      <c r="A35" s="13" t="s">
        <v>458</v>
      </c>
      <c r="B35" s="235">
        <v>-71120</v>
      </c>
      <c r="C35" s="306">
        <v>-31885</v>
      </c>
      <c r="D35" s="171">
        <f t="shared" si="5"/>
        <v>-55.2</v>
      </c>
      <c r="E35" s="11">
        <f>IFERROR(100/'Skjema total MA'!C35*C35,0)</f>
        <v>108.83851795020547</v>
      </c>
      <c r="F35" s="305">
        <v>23741</v>
      </c>
      <c r="G35" s="306">
        <v>39203</v>
      </c>
      <c r="H35" s="171">
        <f t="shared" si="6"/>
        <v>65.099999999999994</v>
      </c>
      <c r="I35" s="11">
        <f>IFERROR(100/'Skjema total MA'!F35*G35,0)</f>
        <v>34.217534467036053</v>
      </c>
      <c r="J35" s="235">
        <f t="shared" si="7"/>
        <v>-47379</v>
      </c>
      <c r="K35" s="235">
        <f t="shared" si="7"/>
        <v>7318</v>
      </c>
      <c r="L35" s="423">
        <f t="shared" si="8"/>
        <v>-115.4</v>
      </c>
      <c r="M35" s="24">
        <f>IFERROR(100/'Skjema total MA'!I35*K35,0)</f>
        <v>8.5817261278046573</v>
      </c>
      <c r="O35" s="148"/>
    </row>
    <row r="36" spans="1:15" ht="15.75" x14ac:dyDescent="0.2">
      <c r="A36" s="12" t="s">
        <v>291</v>
      </c>
      <c r="B36" s="235">
        <v>15407</v>
      </c>
      <c r="C36" s="306">
        <v>15158</v>
      </c>
      <c r="D36" s="171">
        <f t="shared" si="5"/>
        <v>-1.6</v>
      </c>
      <c r="E36" s="11">
        <f>100/'Skjema total MA'!C36*C36</f>
        <v>99.353045061371063</v>
      </c>
      <c r="F36" s="316"/>
      <c r="G36" s="317"/>
      <c r="H36" s="171"/>
      <c r="I36" s="429"/>
      <c r="J36" s="235">
        <f t="shared" ref="J36:J39" si="13">SUM(B36,F36)</f>
        <v>15407</v>
      </c>
      <c r="K36" s="235">
        <f t="shared" ref="K36:K39" si="14">SUM(C36,G36)</f>
        <v>15158</v>
      </c>
      <c r="L36" s="423">
        <f t="shared" si="8"/>
        <v>-1.6</v>
      </c>
      <c r="M36" s="24">
        <f>IFERROR(100/'Skjema total MA'!I36*K36,0)</f>
        <v>99.353045061371063</v>
      </c>
      <c r="O36" s="148"/>
    </row>
    <row r="37" spans="1:15" ht="15.75" x14ac:dyDescent="0.2">
      <c r="A37" s="12" t="s">
        <v>464</v>
      </c>
      <c r="B37" s="235">
        <v>3444982</v>
      </c>
      <c r="C37" s="306">
        <v>3267066</v>
      </c>
      <c r="D37" s="171">
        <f t="shared" si="5"/>
        <v>-5.2</v>
      </c>
      <c r="E37" s="11">
        <f>100/'Skjema total MA'!C37*C37</f>
        <v>87.397788949573126</v>
      </c>
      <c r="F37" s="316"/>
      <c r="G37" s="318"/>
      <c r="H37" s="171"/>
      <c r="I37" s="429"/>
      <c r="J37" s="235">
        <f t="shared" si="13"/>
        <v>3444982</v>
      </c>
      <c r="K37" s="235">
        <f t="shared" si="14"/>
        <v>3267066</v>
      </c>
      <c r="L37" s="423">
        <f t="shared" si="8"/>
        <v>-5.2</v>
      </c>
      <c r="M37" s="24">
        <f>IFERROR(100/'Skjema total MA'!I37*K37,0)</f>
        <v>87.397788949573126</v>
      </c>
      <c r="O37" s="148"/>
    </row>
    <row r="38" spans="1:15" ht="15.75" x14ac:dyDescent="0.2">
      <c r="A38" s="12" t="s">
        <v>465</v>
      </c>
      <c r="B38" s="235">
        <v>0</v>
      </c>
      <c r="C38" s="306">
        <v>611</v>
      </c>
      <c r="D38" s="171" t="str">
        <f t="shared" si="5"/>
        <v xml:space="preserve">    ---- </v>
      </c>
      <c r="E38" s="24">
        <f>IFERROR(100/'Skjema total MA'!C37*C38,0)</f>
        <v>1.6344955702819956E-2</v>
      </c>
      <c r="F38" s="316"/>
      <c r="G38" s="317"/>
      <c r="H38" s="171"/>
      <c r="I38" s="429"/>
      <c r="J38" s="235">
        <f t="shared" si="13"/>
        <v>0</v>
      </c>
      <c r="K38" s="235">
        <f t="shared" si="14"/>
        <v>611</v>
      </c>
      <c r="L38" s="423" t="str">
        <f t="shared" si="8"/>
        <v xml:space="preserve">    ---- </v>
      </c>
      <c r="M38" s="24">
        <f>IFERROR(100/'Skjema total MA'!I38*K38,0)</f>
        <v>100.00000000000001</v>
      </c>
      <c r="O38" s="148"/>
    </row>
    <row r="39" spans="1:15" ht="15.75" x14ac:dyDescent="0.2">
      <c r="A39" s="18" t="s">
        <v>466</v>
      </c>
      <c r="B39" s="273">
        <v>5</v>
      </c>
      <c r="C39" s="312">
        <v>0</v>
      </c>
      <c r="D39" s="169">
        <f t="shared" si="5"/>
        <v>-100</v>
      </c>
      <c r="E39" s="36">
        <f>IFERROR(100/'Skjema total MA'!C38*C39,0)</f>
        <v>0</v>
      </c>
      <c r="F39" s="319"/>
      <c r="G39" s="320"/>
      <c r="H39" s="169"/>
      <c r="I39" s="36"/>
      <c r="J39" s="235">
        <f t="shared" si="13"/>
        <v>5</v>
      </c>
      <c r="K39" s="235">
        <f t="shared" si="14"/>
        <v>0</v>
      </c>
      <c r="L39" s="423">
        <f t="shared" si="8"/>
        <v>-100</v>
      </c>
      <c r="M39" s="36">
        <f>IFERROR(100/'Skjema total MA'!I39*K39,0)</f>
        <v>0</v>
      </c>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531722</v>
      </c>
      <c r="C47" s="308">
        <v>594692</v>
      </c>
      <c r="D47" s="422">
        <f t="shared" ref="D47:D57" si="15">IF(B47=0, "    ---- ", IF(ABS(ROUND(100/B47*C47-100,1))&lt;999,ROUND(100/B47*C47-100,1),IF(ROUND(100/B47*C47-100,1)&gt;999,999,-999)))</f>
        <v>11.8</v>
      </c>
      <c r="E47" s="11">
        <f>IFERROR(100/'Skjema total MA'!C47*C47,0)</f>
        <v>14.166923891108427</v>
      </c>
      <c r="F47" s="145"/>
      <c r="G47" s="33"/>
      <c r="H47" s="159"/>
      <c r="I47" s="159"/>
      <c r="J47" s="37"/>
      <c r="K47" s="37"/>
      <c r="L47" s="159"/>
      <c r="M47" s="159"/>
      <c r="N47" s="148"/>
      <c r="O47" s="148"/>
    </row>
    <row r="48" spans="1:15" s="3" customFormat="1" ht="15.75" x14ac:dyDescent="0.2">
      <c r="A48" s="38" t="s">
        <v>467</v>
      </c>
      <c r="B48" s="278">
        <v>316940</v>
      </c>
      <c r="C48" s="279">
        <v>344998</v>
      </c>
      <c r="D48" s="253">
        <f t="shared" si="15"/>
        <v>8.9</v>
      </c>
      <c r="E48" s="27">
        <f>IFERROR(100/'Skjema total MA'!C48*C48,0)</f>
        <v>14.755345304930092</v>
      </c>
      <c r="F48" s="145"/>
      <c r="G48" s="33"/>
      <c r="H48" s="145"/>
      <c r="I48" s="145"/>
      <c r="J48" s="33"/>
      <c r="K48" s="33"/>
      <c r="L48" s="159"/>
      <c r="M48" s="159"/>
      <c r="N48" s="148"/>
      <c r="O48" s="148"/>
    </row>
    <row r="49" spans="1:15" s="3" customFormat="1" ht="15.75" x14ac:dyDescent="0.2">
      <c r="A49" s="38" t="s">
        <v>468</v>
      </c>
      <c r="B49" s="44">
        <v>214782</v>
      </c>
      <c r="C49" s="284">
        <v>249694</v>
      </c>
      <c r="D49" s="253">
        <f>IF(B49=0, "    ---- ", IF(ABS(ROUND(100/B49*C49-100,1))&lt;999,ROUND(100/B49*C49-100,1),IF(ROUND(100/B49*C49-100,1)&gt;999,999,-999)))</f>
        <v>16.3</v>
      </c>
      <c r="E49" s="27">
        <f>IFERROR(100/'Skjema total MA'!C49*C49,0)</f>
        <v>13.427097684469741</v>
      </c>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v>214782</v>
      </c>
      <c r="C51" s="288">
        <v>249694</v>
      </c>
      <c r="D51" s="253">
        <f t="shared" ref="D51" si="16">IF(B51=0, "    ---- ", IF(ABS(ROUND(100/B51*C51-100,1))&lt;999,ROUND(100/B51*C51-100,1),IF(ROUND(100/B51*C51-100,1)&gt;999,999,-999)))</f>
        <v>16.3</v>
      </c>
      <c r="E51" s="27">
        <f>IFERROR(100/'Skjema total MA'!C51*C51,0)</f>
        <v>15.814915129084131</v>
      </c>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v>19453</v>
      </c>
      <c r="C53" s="308">
        <v>28258</v>
      </c>
      <c r="D53" s="423">
        <f t="shared" si="15"/>
        <v>45.3</v>
      </c>
      <c r="E53" s="11">
        <f>IFERROR(100/'Skjema total MA'!C53*C53,0)</f>
        <v>25.050602962641147</v>
      </c>
      <c r="F53" s="145"/>
      <c r="G53" s="33"/>
      <c r="H53" s="145"/>
      <c r="I53" s="145"/>
      <c r="J53" s="33"/>
      <c r="K53" s="33"/>
      <c r="L53" s="159"/>
      <c r="M53" s="159"/>
      <c r="N53" s="148"/>
      <c r="O53" s="148"/>
    </row>
    <row r="54" spans="1:15" s="3" customFormat="1" ht="15.75" x14ac:dyDescent="0.2">
      <c r="A54" s="38" t="s">
        <v>467</v>
      </c>
      <c r="B54" s="278">
        <v>19453</v>
      </c>
      <c r="C54" s="279">
        <v>28258</v>
      </c>
      <c r="D54" s="253">
        <f t="shared" si="15"/>
        <v>45.3</v>
      </c>
      <c r="E54" s="27">
        <f>IFERROR(100/'Skjema total MA'!C54*C54,0)</f>
        <v>25.050602962641147</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51538</v>
      </c>
      <c r="C56" s="308">
        <v>32523</v>
      </c>
      <c r="D56" s="423">
        <f t="shared" si="15"/>
        <v>-36.9</v>
      </c>
      <c r="E56" s="11">
        <f>IFERROR(100/'Skjema total MA'!C56*C56,0)</f>
        <v>27.225201943268168</v>
      </c>
      <c r="F56" s="145"/>
      <c r="G56" s="33"/>
      <c r="H56" s="145"/>
      <c r="I56" s="145"/>
      <c r="J56" s="33"/>
      <c r="K56" s="33"/>
      <c r="L56" s="159"/>
      <c r="M56" s="159"/>
      <c r="N56" s="148"/>
      <c r="O56" s="148"/>
    </row>
    <row r="57" spans="1:15" s="3" customFormat="1" ht="15.75" x14ac:dyDescent="0.2">
      <c r="A57" s="38" t="s">
        <v>467</v>
      </c>
      <c r="B57" s="278">
        <v>51538</v>
      </c>
      <c r="C57" s="279">
        <v>32523</v>
      </c>
      <c r="D57" s="253">
        <f t="shared" si="15"/>
        <v>-36.9</v>
      </c>
      <c r="E57" s="27">
        <f>IFERROR(100/'Skjema total MA'!C57*C57,0)</f>
        <v>27.225201943268168</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3008713</v>
      </c>
      <c r="C66" s="350">
        <v>2895577</v>
      </c>
      <c r="D66" s="347">
        <f t="shared" ref="D66:D111" si="17">IF(B66=0, "    ---- ", IF(ABS(ROUND(100/B66*C66-100,1))&lt;999,ROUND(100/B66*C66-100,1),IF(ROUND(100/B66*C66-100,1)&gt;999,999,-999)))</f>
        <v>-3.8</v>
      </c>
      <c r="E66" s="11">
        <f>IFERROR(100/'Skjema total MA'!C66*C66,0)</f>
        <v>32.800000487046951</v>
      </c>
      <c r="F66" s="349">
        <v>7706897</v>
      </c>
      <c r="G66" s="349">
        <v>8051873</v>
      </c>
      <c r="H66" s="347">
        <f t="shared" ref="H66:H111" si="18">IF(F66=0, "    ---- ", IF(ABS(ROUND(100/F66*G66-100,1))&lt;999,ROUND(100/F66*G66-100,1),IF(ROUND(100/F66*G66-100,1)&gt;999,999,-999)))</f>
        <v>4.5</v>
      </c>
      <c r="I66" s="11">
        <f>IFERROR(100/'Skjema total MA'!F66*G66,0)</f>
        <v>27.808558042099882</v>
      </c>
      <c r="J66" s="306">
        <f t="shared" ref="J66:K86" si="19">SUM(B66,F66)</f>
        <v>10715610</v>
      </c>
      <c r="K66" s="313">
        <f t="shared" si="19"/>
        <v>10947450</v>
      </c>
      <c r="L66" s="423">
        <f t="shared" ref="L66:L111" si="20">IF(J66=0, "    ---- ", IF(ABS(ROUND(100/J66*K66-100,1))&lt;999,ROUND(100/J66*K66-100,1),IF(ROUND(100/J66*K66-100,1)&gt;999,999,-999)))</f>
        <v>2.2000000000000002</v>
      </c>
      <c r="M66" s="11">
        <f>IFERROR(100/'Skjema total MA'!I66*K66,0)</f>
        <v>28.974817209116743</v>
      </c>
      <c r="O66" s="148"/>
    </row>
    <row r="67" spans="1:15" x14ac:dyDescent="0.2">
      <c r="A67" s="21" t="s">
        <v>9</v>
      </c>
      <c r="B67" s="44">
        <v>2983328</v>
      </c>
      <c r="C67" s="145">
        <v>2862991</v>
      </c>
      <c r="D67" s="166">
        <f t="shared" si="17"/>
        <v>-4</v>
      </c>
      <c r="E67" s="27">
        <f>IFERROR(100/'Skjema total MA'!C67*C67,0)</f>
        <v>40.672035580629647</v>
      </c>
      <c r="F67" s="233"/>
      <c r="G67" s="145"/>
      <c r="H67" s="166"/>
      <c r="I67" s="27"/>
      <c r="J67" s="284">
        <f t="shared" si="19"/>
        <v>2983328</v>
      </c>
      <c r="K67" s="44">
        <f t="shared" si="19"/>
        <v>2862991</v>
      </c>
      <c r="L67" s="253">
        <f t="shared" si="20"/>
        <v>-4</v>
      </c>
      <c r="M67" s="27">
        <f>IFERROR(100/'Skjema total MA'!I67*K67,0)</f>
        <v>40.672035580629647</v>
      </c>
      <c r="O67" s="148"/>
    </row>
    <row r="68" spans="1:15" x14ac:dyDescent="0.2">
      <c r="A68" s="21" t="s">
        <v>10</v>
      </c>
      <c r="B68" s="289"/>
      <c r="C68" s="290"/>
      <c r="D68" s="166"/>
      <c r="E68" s="27"/>
      <c r="F68" s="289">
        <v>7706897</v>
      </c>
      <c r="G68" s="290">
        <v>8051873</v>
      </c>
      <c r="H68" s="166">
        <f t="shared" si="18"/>
        <v>4.5</v>
      </c>
      <c r="I68" s="27">
        <f>IFERROR(100/'Skjema total MA'!F68*G68,0)</f>
        <v>28.20443961379263</v>
      </c>
      <c r="J68" s="284">
        <f t="shared" si="19"/>
        <v>7706897</v>
      </c>
      <c r="K68" s="44">
        <f t="shared" si="19"/>
        <v>8051873</v>
      </c>
      <c r="L68" s="253">
        <f t="shared" si="20"/>
        <v>4.5</v>
      </c>
      <c r="M68" s="27">
        <f>IFERROR(100/'Skjema total MA'!I68*K68,0)</f>
        <v>28.057921806335742</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v>7706897</v>
      </c>
      <c r="G72" s="278">
        <v>8051873</v>
      </c>
      <c r="H72" s="253">
        <f t="shared" si="18"/>
        <v>4.5</v>
      </c>
      <c r="I72" s="27">
        <f>IFERROR(100/'Skjema total MA'!F72*G72,0)</f>
        <v>28.20829306375088</v>
      </c>
      <c r="J72" s="287">
        <f t="shared" ref="J72:J74" si="21">SUM(B72,F72)</f>
        <v>7706897</v>
      </c>
      <c r="K72" s="287">
        <f t="shared" si="19"/>
        <v>8051873</v>
      </c>
      <c r="L72" s="253">
        <f t="shared" si="20"/>
        <v>4.5</v>
      </c>
      <c r="M72" s="23">
        <f>IFERROR(100/'Skjema total MA'!I72*K72,0)</f>
        <v>28.077106901161105</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7706897</v>
      </c>
      <c r="G74" s="278">
        <v>8051873</v>
      </c>
      <c r="H74" s="253">
        <f t="shared" si="18"/>
        <v>4.5</v>
      </c>
      <c r="I74" s="27">
        <f>IFERROR(100/'Skjema total MA'!F74*G74,0)</f>
        <v>28.50571921690895</v>
      </c>
      <c r="J74" s="287">
        <f t="shared" si="21"/>
        <v>7706897</v>
      </c>
      <c r="K74" s="287">
        <f t="shared" si="19"/>
        <v>8051873</v>
      </c>
      <c r="L74" s="253">
        <f t="shared" si="20"/>
        <v>4.5</v>
      </c>
      <c r="M74" s="23">
        <f>IFERROR(100/'Skjema total MA'!I74*K74,0)</f>
        <v>28.50571921690895</v>
      </c>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v>25385</v>
      </c>
      <c r="C76" s="145">
        <v>32586</v>
      </c>
      <c r="D76" s="166">
        <f t="shared" ref="D76" si="22">IF(B76=0, "    ---- ", IF(ABS(ROUND(100/B76*C76-100,1))&lt;999,ROUND(100/B76*C76-100,1),IF(ROUND(100/B76*C76-100,1)&gt;999,999,-999)))</f>
        <v>28.4</v>
      </c>
      <c r="E76" s="27">
        <f>IFERROR(100/'Skjema total MA'!C77*C76,0)</f>
        <v>0.46126824832632174</v>
      </c>
      <c r="F76" s="233"/>
      <c r="G76" s="145"/>
      <c r="H76" s="166"/>
      <c r="I76" s="27"/>
      <c r="J76" s="284">
        <f t="shared" ref="J76" si="23">SUM(B76,F76)</f>
        <v>25385</v>
      </c>
      <c r="K76" s="44">
        <f t="shared" ref="K76" si="24">SUM(C76,G76)</f>
        <v>32586</v>
      </c>
      <c r="L76" s="253">
        <f t="shared" ref="L76" si="25">IF(J76=0, "    ---- ", IF(ABS(ROUND(100/J76*K76-100,1))&lt;999,ROUND(100/J76*K76-100,1),IF(ROUND(100/J76*K76-100,1)&gt;999,999,-999)))</f>
        <v>28.4</v>
      </c>
      <c r="M76" s="27">
        <f>IFERROR(100/'Skjema total MA'!I77*K76,0)</f>
        <v>9.1533137886981905E-2</v>
      </c>
      <c r="N76" s="148"/>
      <c r="O76" s="148"/>
    </row>
    <row r="77" spans="1:15" ht="15.75" x14ac:dyDescent="0.2">
      <c r="A77" s="21" t="s">
        <v>473</v>
      </c>
      <c r="B77" s="233">
        <v>2957698</v>
      </c>
      <c r="C77" s="233">
        <v>2825350.7880000002</v>
      </c>
      <c r="D77" s="166">
        <f t="shared" si="17"/>
        <v>-4.5</v>
      </c>
      <c r="E77" s="27">
        <f>IFERROR(100/'Skjema total MA'!C77*C77,0)</f>
        <v>39.994003832570826</v>
      </c>
      <c r="F77" s="233">
        <v>7706897</v>
      </c>
      <c r="G77" s="145">
        <v>8051873</v>
      </c>
      <c r="H77" s="166">
        <f t="shared" si="18"/>
        <v>4.5</v>
      </c>
      <c r="I77" s="27">
        <f>IFERROR(100/'Skjema total MA'!F77*G77,0)</f>
        <v>28.216755894174355</v>
      </c>
      <c r="J77" s="284">
        <f t="shared" si="19"/>
        <v>10664595</v>
      </c>
      <c r="K77" s="44">
        <f t="shared" si="19"/>
        <v>10877223.788000001</v>
      </c>
      <c r="L77" s="253">
        <f t="shared" si="20"/>
        <v>2</v>
      </c>
      <c r="M77" s="27">
        <f>IFERROR(100/'Skjema total MA'!I77*K77,0)</f>
        <v>30.553809145478539</v>
      </c>
      <c r="O77" s="148"/>
    </row>
    <row r="78" spans="1:15" x14ac:dyDescent="0.2">
      <c r="A78" s="21" t="s">
        <v>9</v>
      </c>
      <c r="B78" s="233">
        <v>2957698</v>
      </c>
      <c r="C78" s="145">
        <v>2825350.7880000002</v>
      </c>
      <c r="D78" s="166">
        <f t="shared" si="17"/>
        <v>-4.5</v>
      </c>
      <c r="E78" s="27">
        <f>IFERROR(100/'Skjema total MA'!C78*C78,0)</f>
        <v>40.833116235980619</v>
      </c>
      <c r="F78" s="233"/>
      <c r="G78" s="145"/>
      <c r="H78" s="166"/>
      <c r="I78" s="27"/>
      <c r="J78" s="284">
        <f t="shared" si="19"/>
        <v>2957698</v>
      </c>
      <c r="K78" s="44">
        <f t="shared" si="19"/>
        <v>2825350.7880000002</v>
      </c>
      <c r="L78" s="253">
        <f t="shared" si="20"/>
        <v>-4.5</v>
      </c>
      <c r="M78" s="27">
        <f>IFERROR(100/'Skjema total MA'!I78*K78,0)</f>
        <v>40.833116235980619</v>
      </c>
      <c r="O78" s="148"/>
    </row>
    <row r="79" spans="1:15" x14ac:dyDescent="0.2">
      <c r="A79" s="21" t="s">
        <v>10</v>
      </c>
      <c r="B79" s="289"/>
      <c r="C79" s="290"/>
      <c r="D79" s="166"/>
      <c r="E79" s="27"/>
      <c r="F79" s="289">
        <v>7706897</v>
      </c>
      <c r="G79" s="290">
        <v>8051873</v>
      </c>
      <c r="H79" s="166">
        <f t="shared" si="18"/>
        <v>4.5</v>
      </c>
      <c r="I79" s="27">
        <f>IFERROR(100/'Skjema total MA'!F79*G79,0)</f>
        <v>28.216755894174355</v>
      </c>
      <c r="J79" s="284">
        <f t="shared" si="19"/>
        <v>7706897</v>
      </c>
      <c r="K79" s="44">
        <f t="shared" si="19"/>
        <v>8051873</v>
      </c>
      <c r="L79" s="253">
        <f t="shared" si="20"/>
        <v>4.5</v>
      </c>
      <c r="M79" s="27">
        <f>IFERROR(100/'Skjema total MA'!I79*K79,0)</f>
        <v>28.073932770083371</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v>7706897</v>
      </c>
      <c r="G83" s="278">
        <v>8051873</v>
      </c>
      <c r="H83" s="253">
        <f t="shared" si="18"/>
        <v>4.5</v>
      </c>
      <c r="I83" s="412">
        <f>IFERROR(100/'Skjema total MA'!F83*G83,0)</f>
        <v>28.216755894174355</v>
      </c>
      <c r="J83" s="287">
        <f t="shared" si="19"/>
        <v>7706897</v>
      </c>
      <c r="K83" s="287">
        <f t="shared" si="19"/>
        <v>8051873</v>
      </c>
      <c r="L83" s="253">
        <f t="shared" si="20"/>
        <v>4.5</v>
      </c>
      <c r="M83" s="23">
        <f>IFERROR(100/'Skjema total MA'!I83*K83,0)</f>
        <v>28.073932770083371</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v>7706897</v>
      </c>
      <c r="G85" s="278">
        <v>8051873</v>
      </c>
      <c r="H85" s="253">
        <f t="shared" si="18"/>
        <v>4.5</v>
      </c>
      <c r="I85" s="412">
        <f>IFERROR(100/'Skjema total MA'!F85*G85,0)</f>
        <v>28.51429887580262</v>
      </c>
      <c r="J85" s="287">
        <f t="shared" si="19"/>
        <v>7706897</v>
      </c>
      <c r="K85" s="287">
        <f t="shared" si="19"/>
        <v>8051873</v>
      </c>
      <c r="L85" s="253">
        <f t="shared" si="20"/>
        <v>4.5</v>
      </c>
      <c r="M85" s="23">
        <f>IFERROR(100/'Skjema total MA'!I85*K85,0)</f>
        <v>28.51429887580262</v>
      </c>
      <c r="O85" s="148"/>
    </row>
    <row r="86" spans="1:15" ht="15.75" x14ac:dyDescent="0.2">
      <c r="A86" s="21" t="s">
        <v>474</v>
      </c>
      <c r="B86" s="233">
        <v>25630</v>
      </c>
      <c r="C86" s="145">
        <v>37640.212</v>
      </c>
      <c r="D86" s="166">
        <f t="shared" si="17"/>
        <v>46.9</v>
      </c>
      <c r="E86" s="27">
        <f>IFERROR(100/'Skjema total MA'!C86*C86,0)</f>
        <v>30.39060025643095</v>
      </c>
      <c r="F86" s="233"/>
      <c r="G86" s="145"/>
      <c r="H86" s="166"/>
      <c r="I86" s="27"/>
      <c r="J86" s="284">
        <f t="shared" si="19"/>
        <v>25630</v>
      </c>
      <c r="K86" s="44">
        <f t="shared" si="19"/>
        <v>37640.212</v>
      </c>
      <c r="L86" s="253">
        <f t="shared" si="20"/>
        <v>46.9</v>
      </c>
      <c r="M86" s="27">
        <f>IFERROR(100/'Skjema total MA'!I86*K86,0)</f>
        <v>27.612517256861363</v>
      </c>
      <c r="O86" s="148"/>
    </row>
    <row r="87" spans="1:15" ht="15.75" x14ac:dyDescent="0.2">
      <c r="A87" s="13" t="s">
        <v>456</v>
      </c>
      <c r="B87" s="350">
        <v>156465157</v>
      </c>
      <c r="C87" s="350">
        <v>156782551</v>
      </c>
      <c r="D87" s="171">
        <f t="shared" si="17"/>
        <v>0.2</v>
      </c>
      <c r="E87" s="11">
        <f>IFERROR(100/'Skjema total MA'!C87*C87,0)</f>
        <v>40.585635335210604</v>
      </c>
      <c r="F87" s="349">
        <v>63369852.714000002</v>
      </c>
      <c r="G87" s="349">
        <v>66763297.153999999</v>
      </c>
      <c r="H87" s="171">
        <f t="shared" si="18"/>
        <v>5.4</v>
      </c>
      <c r="I87" s="11">
        <f>IFERROR(100/'Skjema total MA'!F87*G87,0)</f>
        <v>27.105380631656068</v>
      </c>
      <c r="J87" s="306">
        <f t="shared" ref="J87:K111" si="26">SUM(B87,F87)</f>
        <v>219835009.71399999</v>
      </c>
      <c r="K87" s="235">
        <f t="shared" si="26"/>
        <v>223545848.15399998</v>
      </c>
      <c r="L87" s="423">
        <f t="shared" si="20"/>
        <v>1.7</v>
      </c>
      <c r="M87" s="11">
        <f>IFERROR(100/'Skjema total MA'!I87*K87,0)</f>
        <v>35.337031224426525</v>
      </c>
      <c r="O87" s="148"/>
    </row>
    <row r="88" spans="1:15" x14ac:dyDescent="0.2">
      <c r="A88" s="21" t="s">
        <v>9</v>
      </c>
      <c r="B88" s="233">
        <v>155435118</v>
      </c>
      <c r="C88" s="145">
        <v>155812254</v>
      </c>
      <c r="D88" s="166">
        <f t="shared" si="17"/>
        <v>0.2</v>
      </c>
      <c r="E88" s="27">
        <f>IFERROR(100/'Skjema total MA'!C88*C88,0)</f>
        <v>41.295127874635256</v>
      </c>
      <c r="F88" s="233"/>
      <c r="G88" s="145"/>
      <c r="H88" s="166"/>
      <c r="I88" s="27"/>
      <c r="J88" s="284">
        <f t="shared" si="26"/>
        <v>155435118</v>
      </c>
      <c r="K88" s="44">
        <f t="shared" si="26"/>
        <v>155812254</v>
      </c>
      <c r="L88" s="253">
        <f t="shared" si="20"/>
        <v>0.2</v>
      </c>
      <c r="M88" s="27">
        <f>IFERROR(100/'Skjema total MA'!I88*K88,0)</f>
        <v>41.295127874635256</v>
      </c>
      <c r="O88" s="148"/>
    </row>
    <row r="89" spans="1:15" x14ac:dyDescent="0.2">
      <c r="A89" s="21" t="s">
        <v>10</v>
      </c>
      <c r="B89" s="233">
        <v>97223</v>
      </c>
      <c r="C89" s="145">
        <v>96025</v>
      </c>
      <c r="D89" s="166">
        <f t="shared" si="17"/>
        <v>-1.2</v>
      </c>
      <c r="E89" s="27">
        <f>IFERROR(100/'Skjema total MA'!C89*C89,0)</f>
        <v>3.530510106959226</v>
      </c>
      <c r="F89" s="233">
        <v>63369852.714000002</v>
      </c>
      <c r="G89" s="145">
        <v>66763297.153999999</v>
      </c>
      <c r="H89" s="166">
        <f t="shared" si="18"/>
        <v>5.4</v>
      </c>
      <c r="I89" s="27">
        <f>IFERROR(100/'Skjema total MA'!F89*G89,0)</f>
        <v>27.217095218086669</v>
      </c>
      <c r="J89" s="284">
        <f t="shared" si="26"/>
        <v>63467075.714000002</v>
      </c>
      <c r="K89" s="44">
        <f t="shared" si="26"/>
        <v>66859322.153999999</v>
      </c>
      <c r="L89" s="253">
        <f t="shared" si="20"/>
        <v>5.3</v>
      </c>
      <c r="M89" s="27">
        <f>IFERROR(100/'Skjema total MA'!I89*K89,0)</f>
        <v>26.957339943012208</v>
      </c>
      <c r="O89" s="148"/>
    </row>
    <row r="90" spans="1:15" ht="15.75" x14ac:dyDescent="0.2">
      <c r="A90" s="293" t="s">
        <v>471</v>
      </c>
      <c r="B90" s="278"/>
      <c r="C90" s="278"/>
      <c r="D90" s="253"/>
      <c r="E90" s="27"/>
      <c r="F90" s="278">
        <v>137862.71400000001</v>
      </c>
      <c r="G90" s="278">
        <v>111727.15399999999</v>
      </c>
      <c r="H90" s="253">
        <f t="shared" si="18"/>
        <v>-19</v>
      </c>
      <c r="I90" s="412">
        <f>IFERROR(100/'Skjema total MA'!F90*G90,0)</f>
        <v>84.304811254693035</v>
      </c>
      <c r="J90" s="287">
        <f t="shared" si="26"/>
        <v>137862.71400000001</v>
      </c>
      <c r="K90" s="287">
        <f t="shared" si="26"/>
        <v>111727.15399999999</v>
      </c>
      <c r="L90" s="253">
        <f t="shared" si="20"/>
        <v>-19</v>
      </c>
      <c r="M90" s="23">
        <f>IFERROR(100/'Skjema total MA'!I90*K90,0)</f>
        <v>84.304811254693035</v>
      </c>
      <c r="O90" s="148"/>
    </row>
    <row r="91" spans="1:15" x14ac:dyDescent="0.2">
      <c r="A91" s="293" t="s">
        <v>12</v>
      </c>
      <c r="B91" s="234"/>
      <c r="C91" s="286"/>
      <c r="D91" s="166"/>
      <c r="E91" s="27"/>
      <c r="F91" s="278">
        <v>137862.71400000001</v>
      </c>
      <c r="G91" s="278">
        <v>111727.15399999999</v>
      </c>
      <c r="H91" s="253">
        <f t="shared" si="18"/>
        <v>-19</v>
      </c>
      <c r="I91" s="412">
        <f>IFERROR(100/'Skjema total MA'!F91*G91,0)</f>
        <v>99.532937141682439</v>
      </c>
      <c r="J91" s="287">
        <f t="shared" si="26"/>
        <v>137862.71400000001</v>
      </c>
      <c r="K91" s="287">
        <f t="shared" si="26"/>
        <v>111727.15399999999</v>
      </c>
      <c r="L91" s="253">
        <f t="shared" si="20"/>
        <v>-19</v>
      </c>
      <c r="M91" s="23">
        <f>IFERROR(100/'Skjema total MA'!I91*K91,0)</f>
        <v>99.532937141682439</v>
      </c>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v>97223</v>
      </c>
      <c r="C93" s="278">
        <v>96025</v>
      </c>
      <c r="D93" s="253">
        <f t="shared" ref="D93" si="27">IF(B93=0, "    ---- ", IF(ABS(ROUND(100/B93*C93-100,1))&lt;999,ROUND(100/B93*C93-100,1),IF(ROUND(100/B93*C93-100,1)&gt;999,999,-999)))</f>
        <v>-1.2</v>
      </c>
      <c r="E93" s="27">
        <f>IFERROR(100/'Skjema total MA'!C93*C93,0)</f>
        <v>3.530510106959226</v>
      </c>
      <c r="F93" s="278">
        <v>63231990</v>
      </c>
      <c r="G93" s="278">
        <v>66651570</v>
      </c>
      <c r="H93" s="253">
        <f t="shared" si="18"/>
        <v>5.4</v>
      </c>
      <c r="I93" s="412">
        <f>IFERROR(100/'Skjema total MA'!F93*G93,0)</f>
        <v>27.186235799489637</v>
      </c>
      <c r="J93" s="287">
        <f t="shared" si="26"/>
        <v>63329213</v>
      </c>
      <c r="K93" s="287">
        <f t="shared" si="26"/>
        <v>66747595</v>
      </c>
      <c r="L93" s="253">
        <f t="shared" si="20"/>
        <v>5.4</v>
      </c>
      <c r="M93" s="23">
        <f>IFERROR(100/'Skjema total MA'!I93*K93,0)</f>
        <v>26.926680247347051</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63231990</v>
      </c>
      <c r="G95" s="278">
        <v>66651570</v>
      </c>
      <c r="H95" s="253">
        <f t="shared" si="18"/>
        <v>5.4</v>
      </c>
      <c r="I95" s="412">
        <f>IFERROR(100/'Skjema total MA'!F95*G95,0)</f>
        <v>27.536376577399029</v>
      </c>
      <c r="J95" s="287">
        <f t="shared" si="26"/>
        <v>63231990</v>
      </c>
      <c r="K95" s="287">
        <f t="shared" si="26"/>
        <v>66651570</v>
      </c>
      <c r="L95" s="253">
        <f t="shared" si="20"/>
        <v>5.4</v>
      </c>
      <c r="M95" s="23">
        <f>IFERROR(100/'Skjema total MA'!I95*K95,0)</f>
        <v>27.536376577399029</v>
      </c>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v>932816</v>
      </c>
      <c r="C97" s="145">
        <v>874272</v>
      </c>
      <c r="D97" s="166">
        <f t="shared" ref="D97" si="28">IF(B97=0, "    ---- ", IF(ABS(ROUND(100/B97*C97-100,1))&lt;999,ROUND(100/B97*C97-100,1),IF(ROUND(100/B97*C97-100,1)&gt;999,999,-999)))</f>
        <v>-6.3</v>
      </c>
      <c r="E97" s="27">
        <f>IFERROR(100/'Skjema total MA'!C97*C97,0)</f>
        <v>16.109207724201106</v>
      </c>
      <c r="F97" s="233"/>
      <c r="G97" s="145"/>
      <c r="H97" s="166"/>
      <c r="I97" s="27"/>
      <c r="J97" s="284">
        <f t="shared" ref="J97" si="29">SUM(B97,F97)</f>
        <v>932816</v>
      </c>
      <c r="K97" s="44">
        <f t="shared" ref="K97" si="30">SUM(C97,G97)</f>
        <v>874272</v>
      </c>
      <c r="L97" s="253">
        <f t="shared" ref="L97" si="31">IF(J97=0, "    ---- ", IF(ABS(ROUND(100/J97*K97-100,1))&lt;999,ROUND(100/J97*K97-100,1),IF(ROUND(100/J97*K97-100,1)&gt;999,999,-999)))</f>
        <v>-6.3</v>
      </c>
      <c r="M97" s="23">
        <f>IFERROR(100/'Skjema total MA'!I97*K97,0)</f>
        <v>16.109207724201106</v>
      </c>
      <c r="O97" s="148"/>
    </row>
    <row r="98" spans="1:15" ht="15.75" x14ac:dyDescent="0.2">
      <c r="A98" s="21" t="s">
        <v>473</v>
      </c>
      <c r="B98" s="233">
        <v>155097842</v>
      </c>
      <c r="C98" s="233">
        <v>154463656.09900001</v>
      </c>
      <c r="D98" s="166">
        <f t="shared" si="17"/>
        <v>-0.4</v>
      </c>
      <c r="E98" s="27">
        <f>IFERROR(100/'Skjema total MA'!C98*C98,0)</f>
        <v>41.177112306705304</v>
      </c>
      <c r="F98" s="289">
        <v>63231990</v>
      </c>
      <c r="G98" s="289">
        <v>66651569.846000001</v>
      </c>
      <c r="H98" s="166">
        <f t="shared" si="18"/>
        <v>5.4</v>
      </c>
      <c r="I98" s="27">
        <f>IFERROR(100/'Skjema total MA'!F98*G98,0)</f>
        <v>27.247117296819187</v>
      </c>
      <c r="J98" s="284">
        <f t="shared" si="26"/>
        <v>218329832</v>
      </c>
      <c r="K98" s="44">
        <f t="shared" si="26"/>
        <v>221115225.94499999</v>
      </c>
      <c r="L98" s="253">
        <f t="shared" si="20"/>
        <v>1.3</v>
      </c>
      <c r="M98" s="27">
        <f>IFERROR(100/'Skjema total MA'!I98*K98,0)</f>
        <v>35.678767440535246</v>
      </c>
      <c r="O98" s="148"/>
    </row>
    <row r="99" spans="1:15" x14ac:dyDescent="0.2">
      <c r="A99" s="21" t="s">
        <v>9</v>
      </c>
      <c r="B99" s="289">
        <v>155000619</v>
      </c>
      <c r="C99" s="290">
        <v>154367631.09900001</v>
      </c>
      <c r="D99" s="166">
        <f t="shared" si="17"/>
        <v>-0.4</v>
      </c>
      <c r="E99" s="27">
        <f>IFERROR(100/'Skjema total MA'!C99*C99,0)</f>
        <v>41.452067928191262</v>
      </c>
      <c r="F99" s="233"/>
      <c r="G99" s="145"/>
      <c r="H99" s="166"/>
      <c r="I99" s="27"/>
      <c r="J99" s="284">
        <f t="shared" si="26"/>
        <v>155000619</v>
      </c>
      <c r="K99" s="44">
        <f t="shared" si="26"/>
        <v>154367631.09900001</v>
      </c>
      <c r="L99" s="253">
        <f t="shared" si="20"/>
        <v>-0.4</v>
      </c>
      <c r="M99" s="27">
        <f>IFERROR(100/'Skjema total MA'!I99*K99,0)</f>
        <v>41.452067928191262</v>
      </c>
      <c r="O99" s="148"/>
    </row>
    <row r="100" spans="1:15" x14ac:dyDescent="0.2">
      <c r="A100" s="21" t="s">
        <v>10</v>
      </c>
      <c r="B100" s="289">
        <v>97223</v>
      </c>
      <c r="C100" s="290">
        <v>96025</v>
      </c>
      <c r="D100" s="166">
        <f t="shared" si="17"/>
        <v>-1.2</v>
      </c>
      <c r="E100" s="27">
        <f>IFERROR(100/'Skjema total MA'!C100*C100,0)</f>
        <v>3.530510106959226</v>
      </c>
      <c r="F100" s="233">
        <v>63231990</v>
      </c>
      <c r="G100" s="233">
        <v>66651569.846000001</v>
      </c>
      <c r="H100" s="166">
        <f t="shared" si="18"/>
        <v>5.4</v>
      </c>
      <c r="I100" s="27">
        <f>IFERROR(100/'Skjema total MA'!F100*G100,0)</f>
        <v>27.247117296819187</v>
      </c>
      <c r="J100" s="284">
        <f t="shared" si="26"/>
        <v>63329213</v>
      </c>
      <c r="K100" s="44">
        <f t="shared" si="26"/>
        <v>66747594.846000001</v>
      </c>
      <c r="L100" s="253">
        <f t="shared" si="20"/>
        <v>5.4</v>
      </c>
      <c r="M100" s="27">
        <f>IFERROR(100/'Skjema total MA'!I100*K100,0)</f>
        <v>26.986317397061555</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v>97223</v>
      </c>
      <c r="C104" s="278">
        <v>96025</v>
      </c>
      <c r="D104" s="253">
        <f t="shared" ref="D104" si="32">IF(B104=0, "    ---- ", IF(ABS(ROUND(100/B104*C104-100,1))&lt;999,ROUND(100/B104*C104-100,1),IF(ROUND(100/B104*C104-100,1)&gt;999,999,-999)))</f>
        <v>-1.2</v>
      </c>
      <c r="E104" s="27">
        <f>IFERROR(100/'Skjema total MA'!C104*C104,0)</f>
        <v>3.530510106959226</v>
      </c>
      <c r="F104" s="278">
        <v>63231990</v>
      </c>
      <c r="G104" s="278">
        <v>66651569.846000001</v>
      </c>
      <c r="H104" s="253">
        <f t="shared" si="18"/>
        <v>5.4</v>
      </c>
      <c r="I104" s="412">
        <f>IFERROR(100/'Skjema total MA'!F104*G104,0)</f>
        <v>27.247117296819187</v>
      </c>
      <c r="J104" s="287">
        <f t="shared" si="26"/>
        <v>63329213</v>
      </c>
      <c r="K104" s="287">
        <f t="shared" si="26"/>
        <v>66747594.846000001</v>
      </c>
      <c r="L104" s="253">
        <f t="shared" si="20"/>
        <v>5.4</v>
      </c>
      <c r="M104" s="23">
        <f>IFERROR(100/'Skjema total MA'!I104*K104,0)</f>
        <v>26.986317397061555</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63231990</v>
      </c>
      <c r="G106" s="278">
        <v>66651569.846000001</v>
      </c>
      <c r="H106" s="253">
        <f t="shared" si="18"/>
        <v>5.4</v>
      </c>
      <c r="I106" s="412">
        <f>IFERROR(100/'Skjema total MA'!F106*G106,0)</f>
        <v>27.54360452001259</v>
      </c>
      <c r="J106" s="287">
        <f t="shared" si="26"/>
        <v>63231990</v>
      </c>
      <c r="K106" s="287">
        <f t="shared" si="26"/>
        <v>66651569.846000001</v>
      </c>
      <c r="L106" s="253">
        <f t="shared" si="20"/>
        <v>5.4</v>
      </c>
      <c r="M106" s="23">
        <f>IFERROR(100/'Skjema total MA'!I106*K106,0)</f>
        <v>27.54360452001259</v>
      </c>
      <c r="O106" s="148"/>
    </row>
    <row r="107" spans="1:15" ht="15.75" x14ac:dyDescent="0.2">
      <c r="A107" s="21" t="s">
        <v>474</v>
      </c>
      <c r="B107" s="233">
        <v>434499</v>
      </c>
      <c r="C107" s="145">
        <v>1444622.9010000001</v>
      </c>
      <c r="D107" s="166">
        <f t="shared" si="17"/>
        <v>232.5</v>
      </c>
      <c r="E107" s="27">
        <f>IFERROR(100/'Skjema total MA'!C107*C107,0)</f>
        <v>29.400632667325741</v>
      </c>
      <c r="F107" s="233">
        <v>137862.71400000001</v>
      </c>
      <c r="G107" s="145">
        <v>111727.15399999999</v>
      </c>
      <c r="H107" s="166">
        <f t="shared" si="18"/>
        <v>-19</v>
      </c>
      <c r="I107" s="27">
        <f>IFERROR(100/'Skjema total MA'!F107*G107,0)</f>
        <v>16.422418764105107</v>
      </c>
      <c r="J107" s="284">
        <f t="shared" si="26"/>
        <v>572361.71400000004</v>
      </c>
      <c r="K107" s="44">
        <f t="shared" si="26"/>
        <v>1556350.0550000002</v>
      </c>
      <c r="L107" s="253">
        <f t="shared" si="20"/>
        <v>171.9</v>
      </c>
      <c r="M107" s="27">
        <f>IFERROR(100/'Skjema total MA'!I107*K107,0)</f>
        <v>27.822218351880711</v>
      </c>
      <c r="O107" s="148"/>
    </row>
    <row r="108" spans="1:15" ht="15.75" x14ac:dyDescent="0.2">
      <c r="A108" s="21" t="s">
        <v>475</v>
      </c>
      <c r="B108" s="233">
        <v>129629855</v>
      </c>
      <c r="C108" s="233">
        <v>131698975</v>
      </c>
      <c r="D108" s="166">
        <f t="shared" si="17"/>
        <v>1.6</v>
      </c>
      <c r="E108" s="27">
        <f>IFERROR(100/'Skjema total MA'!C108*C108,0)</f>
        <v>42.329114889274955</v>
      </c>
      <c r="F108" s="233">
        <v>307496.19699999999</v>
      </c>
      <c r="G108" s="233">
        <v>355819.21799999999</v>
      </c>
      <c r="H108" s="166">
        <f t="shared" si="18"/>
        <v>15.7</v>
      </c>
      <c r="I108" s="27">
        <f>IFERROR(100/'Skjema total MA'!F108*G108,0)</f>
        <v>2.3605045242511506</v>
      </c>
      <c r="J108" s="284">
        <f t="shared" si="26"/>
        <v>129937351.197</v>
      </c>
      <c r="K108" s="44">
        <f t="shared" si="26"/>
        <v>132054794.21799999</v>
      </c>
      <c r="L108" s="253">
        <f t="shared" si="20"/>
        <v>1.6</v>
      </c>
      <c r="M108" s="27">
        <f>IFERROR(100/'Skjema total MA'!I108*K108,0)</f>
        <v>40.482172898429738</v>
      </c>
      <c r="O108" s="148"/>
    </row>
    <row r="109" spans="1:15" ht="15.75" x14ac:dyDescent="0.2">
      <c r="A109" s="21" t="s">
        <v>476</v>
      </c>
      <c r="B109" s="233">
        <v>97223</v>
      </c>
      <c r="C109" s="233">
        <v>96025</v>
      </c>
      <c r="D109" s="166">
        <f t="shared" si="17"/>
        <v>-1.2</v>
      </c>
      <c r="E109" s="27">
        <f>IFERROR(100/'Skjema total MA'!C109*C109,0)</f>
        <v>10.844481171400208</v>
      </c>
      <c r="F109" s="233">
        <v>19091791</v>
      </c>
      <c r="G109" s="233">
        <v>20607060</v>
      </c>
      <c r="H109" s="166">
        <f t="shared" si="18"/>
        <v>7.9</v>
      </c>
      <c r="I109" s="27">
        <f>IFERROR(100/'Skjema total MA'!F109*G109,0)</f>
        <v>25.597124330185196</v>
      </c>
      <c r="J109" s="284">
        <f t="shared" si="26"/>
        <v>19189014</v>
      </c>
      <c r="K109" s="44">
        <f t="shared" si="26"/>
        <v>20703085</v>
      </c>
      <c r="L109" s="253">
        <f t="shared" si="20"/>
        <v>7.9</v>
      </c>
      <c r="M109" s="27">
        <f>IFERROR(100/'Skjema total MA'!I109*K109,0)</f>
        <v>25.436626258758459</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v>359541</v>
      </c>
      <c r="C111" s="159">
        <v>285432</v>
      </c>
      <c r="D111" s="171">
        <f t="shared" si="17"/>
        <v>-20.6</v>
      </c>
      <c r="E111" s="11">
        <f>IFERROR(100/'Skjema total MA'!C111*C111,0)</f>
        <v>52.872578604322065</v>
      </c>
      <c r="F111" s="305">
        <v>3126775</v>
      </c>
      <c r="G111" s="159">
        <v>3288956</v>
      </c>
      <c r="H111" s="171">
        <f t="shared" si="18"/>
        <v>5.2</v>
      </c>
      <c r="I111" s="11">
        <f>IFERROR(100/'Skjema total MA'!F111*G111,0)</f>
        <v>26.318025062984958</v>
      </c>
      <c r="J111" s="306">
        <f t="shared" si="26"/>
        <v>3486316</v>
      </c>
      <c r="K111" s="235">
        <f t="shared" si="26"/>
        <v>3574388</v>
      </c>
      <c r="L111" s="423">
        <f t="shared" si="20"/>
        <v>2.5</v>
      </c>
      <c r="M111" s="11">
        <f>IFERROR(100/'Skjema total MA'!I111*K111,0)</f>
        <v>27.417637148211302</v>
      </c>
      <c r="O111" s="148"/>
    </row>
    <row r="112" spans="1:15" x14ac:dyDescent="0.2">
      <c r="A112" s="21" t="s">
        <v>9</v>
      </c>
      <c r="B112" s="233">
        <v>359541</v>
      </c>
      <c r="C112" s="145">
        <v>285432</v>
      </c>
      <c r="D112" s="166">
        <f t="shared" ref="D112:D124" si="33">IF(B112=0, "    ---- ", IF(ABS(ROUND(100/B112*C112-100,1))&lt;999,ROUND(100/B112*C112-100,1),IF(ROUND(100/B112*C112-100,1)&gt;999,999,-999)))</f>
        <v>-20.6</v>
      </c>
      <c r="E112" s="27">
        <f>IFERROR(100/'Skjema total MA'!C112*C112,0)</f>
        <v>59.82510953940416</v>
      </c>
      <c r="F112" s="233"/>
      <c r="G112" s="145"/>
      <c r="H112" s="166"/>
      <c r="I112" s="27"/>
      <c r="J112" s="284">
        <f t="shared" ref="J112:K125" si="34">SUM(B112,F112)</f>
        <v>359541</v>
      </c>
      <c r="K112" s="44">
        <f t="shared" si="34"/>
        <v>285432</v>
      </c>
      <c r="L112" s="253">
        <f t="shared" ref="L112:L125" si="35">IF(J112=0, "    ---- ", IF(ABS(ROUND(100/J112*K112-100,1))&lt;999,ROUND(100/J112*K112-100,1),IF(ROUND(100/J112*K112-100,1)&gt;999,999,-999)))</f>
        <v>-20.6</v>
      </c>
      <c r="M112" s="27">
        <f>IFERROR(100/'Skjema total MA'!I112*K112,0)</f>
        <v>59.465574729824304</v>
      </c>
      <c r="O112" s="148"/>
    </row>
    <row r="113" spans="1:15" x14ac:dyDescent="0.2">
      <c r="A113" s="21" t="s">
        <v>10</v>
      </c>
      <c r="B113" s="233"/>
      <c r="C113" s="145"/>
      <c r="D113" s="166"/>
      <c r="E113" s="27"/>
      <c r="F113" s="233">
        <v>3126775</v>
      </c>
      <c r="G113" s="145">
        <v>3288956</v>
      </c>
      <c r="H113" s="166">
        <f t="shared" ref="H113:H125" si="36">IF(F113=0, "    ---- ", IF(ABS(ROUND(100/F113*G113-100,1))&lt;999,ROUND(100/F113*G113-100,1),IF(ROUND(100/F113*G113-100,1)&gt;999,999,-999)))</f>
        <v>5.2</v>
      </c>
      <c r="I113" s="27">
        <f>IFERROR(100/'Skjema total MA'!F113*G113,0)</f>
        <v>26.406983424486114</v>
      </c>
      <c r="J113" s="284">
        <f t="shared" si="34"/>
        <v>3126775</v>
      </c>
      <c r="K113" s="44">
        <f t="shared" si="34"/>
        <v>3288956</v>
      </c>
      <c r="L113" s="253">
        <f t="shared" si="35"/>
        <v>5.2</v>
      </c>
      <c r="M113" s="27">
        <f>IFERROR(100/'Skjema total MA'!I113*K113,0)</f>
        <v>26.402072975991043</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v>120610</v>
      </c>
      <c r="C116" s="233">
        <v>149479.51683000001</v>
      </c>
      <c r="D116" s="166">
        <f t="shared" si="33"/>
        <v>23.9</v>
      </c>
      <c r="E116" s="27">
        <f>IFERROR(100/'Skjema total MA'!C116*C116,0)</f>
        <v>68.99435310836175</v>
      </c>
      <c r="F116" s="233"/>
      <c r="G116" s="233"/>
      <c r="H116" s="166"/>
      <c r="I116" s="27"/>
      <c r="J116" s="284">
        <f t="shared" si="34"/>
        <v>120610</v>
      </c>
      <c r="K116" s="44">
        <f t="shared" si="34"/>
        <v>149479.51683000001</v>
      </c>
      <c r="L116" s="253">
        <f t="shared" si="35"/>
        <v>23.9</v>
      </c>
      <c r="M116" s="27">
        <f>IFERROR(100/'Skjema total MA'!I116*K116,0)</f>
        <v>68.087795068268562</v>
      </c>
      <c r="O116" s="148"/>
    </row>
    <row r="117" spans="1:15" ht="15.75" x14ac:dyDescent="0.2">
      <c r="A117" s="21" t="s">
        <v>479</v>
      </c>
      <c r="B117" s="233"/>
      <c r="C117" s="233"/>
      <c r="D117" s="166"/>
      <c r="E117" s="27"/>
      <c r="F117" s="233">
        <v>255816.58799999999</v>
      </c>
      <c r="G117" s="233">
        <v>340251.63400000002</v>
      </c>
      <c r="H117" s="166">
        <f t="shared" si="36"/>
        <v>33</v>
      </c>
      <c r="I117" s="27">
        <f>IFERROR(100/'Skjema total MA'!F117*G117,0)</f>
        <v>15.388827321477777</v>
      </c>
      <c r="J117" s="284">
        <f t="shared" si="34"/>
        <v>255816.58799999999</v>
      </c>
      <c r="K117" s="44">
        <f t="shared" si="34"/>
        <v>340251.63400000002</v>
      </c>
      <c r="L117" s="253">
        <f t="shared" si="35"/>
        <v>33</v>
      </c>
      <c r="M117" s="27">
        <f>IFERROR(100/'Skjema total MA'!I117*K117,0)</f>
        <v>15.388827321477777</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107824</v>
      </c>
      <c r="C119" s="159">
        <v>197649</v>
      </c>
      <c r="D119" s="171">
        <f t="shared" si="33"/>
        <v>83.3</v>
      </c>
      <c r="E119" s="11">
        <f>IFERROR(100/'Skjema total MA'!C119*C119,0)</f>
        <v>32.89745205964342</v>
      </c>
      <c r="F119" s="305">
        <v>1726502</v>
      </c>
      <c r="G119" s="159">
        <v>3711389</v>
      </c>
      <c r="H119" s="171">
        <f t="shared" si="36"/>
        <v>115</v>
      </c>
      <c r="I119" s="11">
        <f>IFERROR(100/'Skjema total MA'!F119*G119,0)</f>
        <v>29.09458485860134</v>
      </c>
      <c r="J119" s="306">
        <f t="shared" si="34"/>
        <v>1834326</v>
      </c>
      <c r="K119" s="235">
        <f t="shared" si="34"/>
        <v>3909038</v>
      </c>
      <c r="L119" s="423">
        <f t="shared" si="35"/>
        <v>113.1</v>
      </c>
      <c r="M119" s="11">
        <f>IFERROR(100/'Skjema total MA'!I119*K119,0)</f>
        <v>29.265638225061529</v>
      </c>
      <c r="O119" s="148"/>
    </row>
    <row r="120" spans="1:15" x14ac:dyDescent="0.2">
      <c r="A120" s="21" t="s">
        <v>9</v>
      </c>
      <c r="B120" s="233">
        <v>107824</v>
      </c>
      <c r="C120" s="145">
        <v>197649</v>
      </c>
      <c r="D120" s="166">
        <f t="shared" si="33"/>
        <v>83.3</v>
      </c>
      <c r="E120" s="27">
        <f>IFERROR(100/'Skjema total MA'!C120*C120,0)</f>
        <v>43.67557543857712</v>
      </c>
      <c r="F120" s="233"/>
      <c r="G120" s="145"/>
      <c r="H120" s="166"/>
      <c r="I120" s="27"/>
      <c r="J120" s="284">
        <f t="shared" si="34"/>
        <v>107824</v>
      </c>
      <c r="K120" s="44">
        <f t="shared" si="34"/>
        <v>197649</v>
      </c>
      <c r="L120" s="253">
        <f t="shared" si="35"/>
        <v>83.3</v>
      </c>
      <c r="M120" s="27">
        <f>IFERROR(100/'Skjema total MA'!I120*K120,0)</f>
        <v>43.67557543857712</v>
      </c>
      <c r="O120" s="148"/>
    </row>
    <row r="121" spans="1:15" x14ac:dyDescent="0.2">
      <c r="A121" s="21" t="s">
        <v>10</v>
      </c>
      <c r="B121" s="233"/>
      <c r="C121" s="145"/>
      <c r="D121" s="166"/>
      <c r="E121" s="27"/>
      <c r="F121" s="233">
        <v>1726502</v>
      </c>
      <c r="G121" s="145">
        <v>3711389</v>
      </c>
      <c r="H121" s="166">
        <f t="shared" si="36"/>
        <v>115</v>
      </c>
      <c r="I121" s="27">
        <f>IFERROR(100/'Skjema total MA'!F121*G121,0)</f>
        <v>29.09458485860134</v>
      </c>
      <c r="J121" s="284">
        <f t="shared" si="34"/>
        <v>1726502</v>
      </c>
      <c r="K121" s="44">
        <f t="shared" si="34"/>
        <v>3711389</v>
      </c>
      <c r="L121" s="253">
        <f t="shared" si="35"/>
        <v>115</v>
      </c>
      <c r="M121" s="27">
        <f>IFERROR(100/'Skjema total MA'!I121*K121,0)</f>
        <v>29.013965449372883</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v>67383</v>
      </c>
      <c r="C124" s="233">
        <v>145871.8633</v>
      </c>
      <c r="D124" s="166">
        <f t="shared" si="33"/>
        <v>116.5</v>
      </c>
      <c r="E124" s="27">
        <f>IFERROR(100/'Skjema total MA'!C124*C124,0)</f>
        <v>94.74787790603925</v>
      </c>
      <c r="F124" s="233"/>
      <c r="G124" s="233"/>
      <c r="H124" s="166"/>
      <c r="I124" s="27"/>
      <c r="J124" s="284">
        <f t="shared" si="34"/>
        <v>67383</v>
      </c>
      <c r="K124" s="44">
        <f t="shared" si="34"/>
        <v>145871.8633</v>
      </c>
      <c r="L124" s="253">
        <f t="shared" si="35"/>
        <v>116.5</v>
      </c>
      <c r="M124" s="27">
        <f>IFERROR(100/'Skjema total MA'!I124*K124,0)</f>
        <v>79.953637819743435</v>
      </c>
      <c r="O124" s="148"/>
    </row>
    <row r="125" spans="1:15" ht="15.75" x14ac:dyDescent="0.2">
      <c r="A125" s="21" t="s">
        <v>476</v>
      </c>
      <c r="B125" s="233"/>
      <c r="C125" s="233"/>
      <c r="D125" s="166"/>
      <c r="E125" s="27"/>
      <c r="F125" s="233">
        <v>570015.951</v>
      </c>
      <c r="G125" s="233">
        <v>677077.973</v>
      </c>
      <c r="H125" s="166">
        <f t="shared" si="36"/>
        <v>18.8</v>
      </c>
      <c r="I125" s="27">
        <f>IFERROR(100/'Skjema total MA'!F125*G125,0)</f>
        <v>31.742809144025141</v>
      </c>
      <c r="J125" s="284">
        <f t="shared" si="34"/>
        <v>570015.951</v>
      </c>
      <c r="K125" s="44">
        <f t="shared" si="34"/>
        <v>677077.973</v>
      </c>
      <c r="L125" s="253">
        <f t="shared" si="35"/>
        <v>18.8</v>
      </c>
      <c r="M125" s="27">
        <f>IFERROR(100/'Skjema total MA'!I125*K125,0)</f>
        <v>31.689974067482225</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161" priority="139">
      <formula>kvartal &lt; 4</formula>
    </cfRule>
  </conditionalFormatting>
  <conditionalFormatting sqref="B69">
    <cfRule type="expression" dxfId="2160" priority="107">
      <formula>kvartal &lt; 4</formula>
    </cfRule>
  </conditionalFormatting>
  <conditionalFormatting sqref="C69">
    <cfRule type="expression" dxfId="2159" priority="106">
      <formula>kvartal &lt; 4</formula>
    </cfRule>
  </conditionalFormatting>
  <conditionalFormatting sqref="B72">
    <cfRule type="expression" dxfId="2158" priority="105">
      <formula>kvartal &lt; 4</formula>
    </cfRule>
  </conditionalFormatting>
  <conditionalFormatting sqref="C72">
    <cfRule type="expression" dxfId="2157" priority="104">
      <formula>kvartal &lt; 4</formula>
    </cfRule>
  </conditionalFormatting>
  <conditionalFormatting sqref="B80">
    <cfRule type="expression" dxfId="2156" priority="103">
      <formula>kvartal &lt; 4</formula>
    </cfRule>
  </conditionalFormatting>
  <conditionalFormatting sqref="C80">
    <cfRule type="expression" dxfId="2155" priority="102">
      <formula>kvartal &lt; 4</formula>
    </cfRule>
  </conditionalFormatting>
  <conditionalFormatting sqref="B83">
    <cfRule type="expression" dxfId="2154" priority="101">
      <formula>kvartal &lt; 4</formula>
    </cfRule>
  </conditionalFormatting>
  <conditionalFormatting sqref="C83">
    <cfRule type="expression" dxfId="2153" priority="100">
      <formula>kvartal &lt; 4</formula>
    </cfRule>
  </conditionalFormatting>
  <conditionalFormatting sqref="B90">
    <cfRule type="expression" dxfId="2152" priority="91">
      <formula>kvartal &lt; 4</formula>
    </cfRule>
  </conditionalFormatting>
  <conditionalFormatting sqref="C90">
    <cfRule type="expression" dxfId="2151" priority="90">
      <formula>kvartal &lt; 4</formula>
    </cfRule>
  </conditionalFormatting>
  <conditionalFormatting sqref="B93">
    <cfRule type="expression" dxfId="2150" priority="89">
      <formula>kvartal &lt; 4</formula>
    </cfRule>
  </conditionalFormatting>
  <conditionalFormatting sqref="C93">
    <cfRule type="expression" dxfId="2149" priority="88">
      <formula>kvartal &lt; 4</formula>
    </cfRule>
  </conditionalFormatting>
  <conditionalFormatting sqref="B101">
    <cfRule type="expression" dxfId="2148" priority="87">
      <formula>kvartal &lt; 4</formula>
    </cfRule>
  </conditionalFormatting>
  <conditionalFormatting sqref="C101">
    <cfRule type="expression" dxfId="2147" priority="86">
      <formula>kvartal &lt; 4</formula>
    </cfRule>
  </conditionalFormatting>
  <conditionalFormatting sqref="B104">
    <cfRule type="expression" dxfId="2146" priority="85">
      <formula>kvartal &lt; 4</formula>
    </cfRule>
  </conditionalFormatting>
  <conditionalFormatting sqref="C104">
    <cfRule type="expression" dxfId="2145" priority="84">
      <formula>kvartal &lt; 4</formula>
    </cfRule>
  </conditionalFormatting>
  <conditionalFormatting sqref="B115">
    <cfRule type="expression" dxfId="2144" priority="83">
      <formula>kvartal &lt; 4</formula>
    </cfRule>
  </conditionalFormatting>
  <conditionalFormatting sqref="C115">
    <cfRule type="expression" dxfId="2143" priority="82">
      <formula>kvartal &lt; 4</formula>
    </cfRule>
  </conditionalFormatting>
  <conditionalFormatting sqref="B123">
    <cfRule type="expression" dxfId="2142" priority="81">
      <formula>kvartal &lt; 4</formula>
    </cfRule>
  </conditionalFormatting>
  <conditionalFormatting sqref="C123">
    <cfRule type="expression" dxfId="2141" priority="80">
      <formula>kvartal &lt; 4</formula>
    </cfRule>
  </conditionalFormatting>
  <conditionalFormatting sqref="F70">
    <cfRule type="expression" dxfId="2140" priority="79">
      <formula>kvartal &lt; 4</formula>
    </cfRule>
  </conditionalFormatting>
  <conditionalFormatting sqref="G70">
    <cfRule type="expression" dxfId="2139" priority="78">
      <formula>kvartal &lt; 4</formula>
    </cfRule>
  </conditionalFormatting>
  <conditionalFormatting sqref="F71:G71">
    <cfRule type="expression" dxfId="2138" priority="77">
      <formula>kvartal &lt; 4</formula>
    </cfRule>
  </conditionalFormatting>
  <conditionalFormatting sqref="F73:G74">
    <cfRule type="expression" dxfId="2137" priority="76">
      <formula>kvartal &lt; 4</formula>
    </cfRule>
  </conditionalFormatting>
  <conditionalFormatting sqref="F81:G82">
    <cfRule type="expression" dxfId="2136" priority="75">
      <formula>kvartal &lt; 4</formula>
    </cfRule>
  </conditionalFormatting>
  <conditionalFormatting sqref="F84:G85">
    <cfRule type="expression" dxfId="2135" priority="74">
      <formula>kvartal &lt; 4</formula>
    </cfRule>
  </conditionalFormatting>
  <conditionalFormatting sqref="F91:G92">
    <cfRule type="expression" dxfId="2134" priority="69">
      <formula>kvartal &lt; 4</formula>
    </cfRule>
  </conditionalFormatting>
  <conditionalFormatting sqref="F94:G95">
    <cfRule type="expression" dxfId="2133" priority="68">
      <formula>kvartal &lt; 4</formula>
    </cfRule>
  </conditionalFormatting>
  <conditionalFormatting sqref="F102:G103">
    <cfRule type="expression" dxfId="2132" priority="67">
      <formula>kvartal &lt; 4</formula>
    </cfRule>
  </conditionalFormatting>
  <conditionalFormatting sqref="F105:G106">
    <cfRule type="expression" dxfId="2131" priority="66">
      <formula>kvartal &lt; 4</formula>
    </cfRule>
  </conditionalFormatting>
  <conditionalFormatting sqref="F115">
    <cfRule type="expression" dxfId="2130" priority="65">
      <formula>kvartal &lt; 4</formula>
    </cfRule>
  </conditionalFormatting>
  <conditionalFormatting sqref="G115">
    <cfRule type="expression" dxfId="2129" priority="64">
      <formula>kvartal &lt; 4</formula>
    </cfRule>
  </conditionalFormatting>
  <conditionalFormatting sqref="F123:G123">
    <cfRule type="expression" dxfId="2128" priority="63">
      <formula>kvartal &lt; 4</formula>
    </cfRule>
  </conditionalFormatting>
  <conditionalFormatting sqref="F69:G69">
    <cfRule type="expression" dxfId="2127" priority="62">
      <formula>kvartal &lt; 4</formula>
    </cfRule>
  </conditionalFormatting>
  <conditionalFormatting sqref="F72:G72">
    <cfRule type="expression" dxfId="2126" priority="61">
      <formula>kvartal &lt; 4</formula>
    </cfRule>
  </conditionalFormatting>
  <conditionalFormatting sqref="F80:G80">
    <cfRule type="expression" dxfId="2125" priority="60">
      <formula>kvartal &lt; 4</formula>
    </cfRule>
  </conditionalFormatting>
  <conditionalFormatting sqref="F83:G83">
    <cfRule type="expression" dxfId="2124" priority="59">
      <formula>kvartal &lt; 4</formula>
    </cfRule>
  </conditionalFormatting>
  <conditionalFormatting sqref="F90:G90">
    <cfRule type="expression" dxfId="2123" priority="53">
      <formula>kvartal &lt; 4</formula>
    </cfRule>
  </conditionalFormatting>
  <conditionalFormatting sqref="F93">
    <cfRule type="expression" dxfId="2122" priority="52">
      <formula>kvartal &lt; 4</formula>
    </cfRule>
  </conditionalFormatting>
  <conditionalFormatting sqref="G93">
    <cfRule type="expression" dxfId="2121" priority="51">
      <formula>kvartal &lt; 4</formula>
    </cfRule>
  </conditionalFormatting>
  <conditionalFormatting sqref="F101">
    <cfRule type="expression" dxfId="2120" priority="50">
      <formula>kvartal &lt; 4</formula>
    </cfRule>
  </conditionalFormatting>
  <conditionalFormatting sqref="G101">
    <cfRule type="expression" dxfId="2119" priority="49">
      <formula>kvartal &lt; 4</formula>
    </cfRule>
  </conditionalFormatting>
  <conditionalFormatting sqref="G104">
    <cfRule type="expression" dxfId="2118" priority="48">
      <formula>kvartal &lt; 4</formula>
    </cfRule>
  </conditionalFormatting>
  <conditionalFormatting sqref="F104">
    <cfRule type="expression" dxfId="2117" priority="47">
      <formula>kvartal &lt; 4</formula>
    </cfRule>
  </conditionalFormatting>
  <conditionalFormatting sqref="J69">
    <cfRule type="expression" dxfId="2116" priority="46">
      <formula>kvartal &lt; 4</formula>
    </cfRule>
  </conditionalFormatting>
  <conditionalFormatting sqref="A50:A52">
    <cfRule type="expression" dxfId="2115" priority="19">
      <formula>kvartal &lt; 4</formula>
    </cfRule>
  </conditionalFormatting>
  <conditionalFormatting sqref="A69:A74">
    <cfRule type="expression" dxfId="2114" priority="17">
      <formula>kvartal &lt; 4</formula>
    </cfRule>
  </conditionalFormatting>
  <conditionalFormatting sqref="A80:A85">
    <cfRule type="expression" dxfId="2113" priority="16">
      <formula>kvartal &lt; 4</formula>
    </cfRule>
  </conditionalFormatting>
  <conditionalFormatting sqref="A90:A95">
    <cfRule type="expression" dxfId="2112" priority="13">
      <formula>kvartal &lt; 4</formula>
    </cfRule>
  </conditionalFormatting>
  <conditionalFormatting sqref="A101:A106">
    <cfRule type="expression" dxfId="2111" priority="12">
      <formula>kvartal &lt; 4</formula>
    </cfRule>
  </conditionalFormatting>
  <conditionalFormatting sqref="A115">
    <cfRule type="expression" dxfId="2110" priority="11">
      <formula>kvartal &lt; 4</formula>
    </cfRule>
  </conditionalFormatting>
  <conditionalFormatting sqref="A123">
    <cfRule type="expression" dxfId="2109" priority="10">
      <formula>kvartal &lt; 4</formula>
    </cfRule>
  </conditionalFormatting>
  <conditionalFormatting sqref="J70:J74">
    <cfRule type="expression" dxfId="2108" priority="7">
      <formula>kvartal &lt; 4</formula>
    </cfRule>
  </conditionalFormatting>
  <conditionalFormatting sqref="K69:K74">
    <cfRule type="expression" dxfId="2107" priority="6">
      <formula>kvartal &lt; 4</formula>
    </cfRule>
  </conditionalFormatting>
  <conditionalFormatting sqref="J80:K85">
    <cfRule type="expression" dxfId="2106" priority="5">
      <formula>kvartal &lt; 4</formula>
    </cfRule>
  </conditionalFormatting>
  <conditionalFormatting sqref="J90:K95">
    <cfRule type="expression" dxfId="2105" priority="4">
      <formula>kvartal &lt; 4</formula>
    </cfRule>
  </conditionalFormatting>
  <conditionalFormatting sqref="J101:K106">
    <cfRule type="expression" dxfId="2104" priority="3">
      <formula>kvartal &lt; 4</formula>
    </cfRule>
  </conditionalFormatting>
  <conditionalFormatting sqref="J115:K115">
    <cfRule type="expression" dxfId="2103" priority="2">
      <formula>kvartal &lt; 4</formula>
    </cfRule>
  </conditionalFormatting>
  <conditionalFormatting sqref="J123:K123">
    <cfRule type="expression" dxfId="2102" priority="1">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131</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267318</v>
      </c>
      <c r="C7" s="304">
        <v>293648</v>
      </c>
      <c r="D7" s="347">
        <f>IF(B7=0, "    ---- ", IF(ABS(ROUND(100/B7*C7-100,1))&lt;999,ROUND(100/B7*C7-100,1),IF(ROUND(100/B7*C7-100,1)&gt;999,999,-999)))</f>
        <v>9.8000000000000007</v>
      </c>
      <c r="E7" s="11">
        <f>IFERROR(100/'Skjema total MA'!C7*C7,0)</f>
        <v>6.4554788551793081</v>
      </c>
      <c r="F7" s="303"/>
      <c r="G7" s="304"/>
      <c r="H7" s="347"/>
      <c r="I7" s="160"/>
      <c r="J7" s="305">
        <f t="shared" ref="J7:K10" si="0">SUM(B7,F7)</f>
        <v>267318</v>
      </c>
      <c r="K7" s="306">
        <f t="shared" si="0"/>
        <v>293648</v>
      </c>
      <c r="L7" s="422">
        <f>IF(J7=0, "    ---- ", IF(ABS(ROUND(100/J7*K7-100,1))&lt;999,ROUND(100/J7*K7-100,1),IF(ROUND(100/J7*K7-100,1)&gt;999,999,-999)))</f>
        <v>9.8000000000000007</v>
      </c>
      <c r="M7" s="11">
        <f>IFERROR(100/'Skjema total MA'!I7*K7,0)</f>
        <v>2.5004617869423487</v>
      </c>
      <c r="O7" s="148"/>
    </row>
    <row r="8" spans="1:15" ht="15.75" x14ac:dyDescent="0.2">
      <c r="A8" s="21" t="s">
        <v>25</v>
      </c>
      <c r="B8" s="278">
        <v>132335</v>
      </c>
      <c r="C8" s="279">
        <v>144961</v>
      </c>
      <c r="D8" s="166">
        <f t="shared" ref="D8:D10" si="1">IF(B8=0, "    ---- ", IF(ABS(ROUND(100/B8*C8-100,1))&lt;999,ROUND(100/B8*C8-100,1),IF(ROUND(100/B8*C8-100,1)&gt;999,999,-999)))</f>
        <v>9.5</v>
      </c>
      <c r="E8" s="27">
        <f>IFERROR(100/'Skjema total MA'!C8*C8,0)</f>
        <v>5.492362453269906</v>
      </c>
      <c r="F8" s="282"/>
      <c r="G8" s="283"/>
      <c r="H8" s="166"/>
      <c r="I8" s="175"/>
      <c r="J8" s="233">
        <f t="shared" si="0"/>
        <v>132335</v>
      </c>
      <c r="K8" s="284">
        <f t="shared" si="0"/>
        <v>144961</v>
      </c>
      <c r="L8" s="166">
        <f t="shared" ref="L8:L9" si="2">IF(J8=0, "    ---- ", IF(ABS(ROUND(100/J8*K8-100,1))&lt;999,ROUND(100/J8*K8-100,1),IF(ROUND(100/J8*K8-100,1)&gt;999,999,-999)))</f>
        <v>9.5</v>
      </c>
      <c r="M8" s="27">
        <f>IFERROR(100/'Skjema total MA'!I8*K8,0)</f>
        <v>5.492362453269906</v>
      </c>
      <c r="O8" s="148"/>
    </row>
    <row r="9" spans="1:15" ht="15.75" x14ac:dyDescent="0.2">
      <c r="A9" s="21" t="s">
        <v>24</v>
      </c>
      <c r="B9" s="278">
        <v>134983</v>
      </c>
      <c r="C9" s="279">
        <v>148687</v>
      </c>
      <c r="D9" s="166">
        <f t="shared" si="1"/>
        <v>10.199999999999999</v>
      </c>
      <c r="E9" s="27">
        <f>IFERROR(100/'Skjema total MA'!C9*C9,0)</f>
        <v>15.193125372760443</v>
      </c>
      <c r="F9" s="282"/>
      <c r="G9" s="283"/>
      <c r="H9" s="166"/>
      <c r="I9" s="175"/>
      <c r="J9" s="233">
        <f t="shared" si="0"/>
        <v>134983</v>
      </c>
      <c r="K9" s="284">
        <f t="shared" si="0"/>
        <v>148687</v>
      </c>
      <c r="L9" s="166">
        <f t="shared" si="2"/>
        <v>10.199999999999999</v>
      </c>
      <c r="M9" s="27">
        <f>IFERROR(100/'Skjema total MA'!I9*K9,0)</f>
        <v>15.193125372760443</v>
      </c>
      <c r="O9" s="148"/>
    </row>
    <row r="10" spans="1:15" ht="15.75" x14ac:dyDescent="0.2">
      <c r="A10" s="13" t="s">
        <v>456</v>
      </c>
      <c r="B10" s="307">
        <v>422298</v>
      </c>
      <c r="C10" s="308">
        <v>459894</v>
      </c>
      <c r="D10" s="171">
        <f t="shared" si="1"/>
        <v>8.9</v>
      </c>
      <c r="E10" s="11">
        <f>IFERROR(100/'Skjema total MA'!C10*C10,0)</f>
        <v>2.0475890547497952</v>
      </c>
      <c r="F10" s="307"/>
      <c r="G10" s="308"/>
      <c r="H10" s="171"/>
      <c r="I10" s="160"/>
      <c r="J10" s="305">
        <f t="shared" si="0"/>
        <v>422298</v>
      </c>
      <c r="K10" s="306">
        <f t="shared" si="0"/>
        <v>459894</v>
      </c>
      <c r="L10" s="423">
        <f t="shared" ref="L10" si="3">IF(J10=0, "    ---- ", IF(ABS(ROUND(100/J10*K10-100,1))&lt;999,ROUND(100/J10*K10-100,1),IF(ROUND(100/J10*K10-100,1)&gt;999,999,-999)))</f>
        <v>8.9</v>
      </c>
      <c r="M10" s="11">
        <f>IFERROR(100/'Skjema total MA'!I10*K10,0)</f>
        <v>0.71710952440920372</v>
      </c>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278"/>
      <c r="C22" s="278"/>
      <c r="D22" s="347"/>
      <c r="E22" s="11"/>
      <c r="F22" s="278"/>
      <c r="G22" s="278"/>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78"/>
      <c r="C29" s="278"/>
      <c r="D29" s="171"/>
      <c r="E29" s="11"/>
      <c r="F29" s="278"/>
      <c r="G29" s="278"/>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c r="D47" s="422"/>
      <c r="E47" s="11"/>
      <c r="F47" s="145"/>
      <c r="G47" s="33"/>
      <c r="H47" s="159"/>
      <c r="I47" s="159"/>
      <c r="J47" s="37"/>
      <c r="K47" s="37"/>
      <c r="L47" s="159"/>
      <c r="M47" s="159"/>
      <c r="N47" s="148"/>
      <c r="O47" s="148"/>
    </row>
    <row r="48" spans="1:15" s="3" customFormat="1" ht="15.75" x14ac:dyDescent="0.2">
      <c r="A48" s="38" t="s">
        <v>467</v>
      </c>
      <c r="B48" s="278"/>
      <c r="C48" s="279"/>
      <c r="D48" s="253"/>
      <c r="E48" s="27"/>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101" priority="139">
      <formula>kvartal &lt; 4</formula>
    </cfRule>
  </conditionalFormatting>
  <conditionalFormatting sqref="B69">
    <cfRule type="expression" dxfId="2100" priority="107">
      <formula>kvartal &lt; 4</formula>
    </cfRule>
  </conditionalFormatting>
  <conditionalFormatting sqref="C69">
    <cfRule type="expression" dxfId="2099" priority="106">
      <formula>kvartal &lt; 4</formula>
    </cfRule>
  </conditionalFormatting>
  <conditionalFormatting sqref="B72">
    <cfRule type="expression" dxfId="2098" priority="105">
      <formula>kvartal &lt; 4</formula>
    </cfRule>
  </conditionalFormatting>
  <conditionalFormatting sqref="C72">
    <cfRule type="expression" dxfId="2097" priority="104">
      <formula>kvartal &lt; 4</formula>
    </cfRule>
  </conditionalFormatting>
  <conditionalFormatting sqref="B80">
    <cfRule type="expression" dxfId="2096" priority="103">
      <formula>kvartal &lt; 4</formula>
    </cfRule>
  </conditionalFormatting>
  <conditionalFormatting sqref="C80">
    <cfRule type="expression" dxfId="2095" priority="102">
      <formula>kvartal &lt; 4</formula>
    </cfRule>
  </conditionalFormatting>
  <conditionalFormatting sqref="B83">
    <cfRule type="expression" dxfId="2094" priority="101">
      <formula>kvartal &lt; 4</formula>
    </cfRule>
  </conditionalFormatting>
  <conditionalFormatting sqref="C83">
    <cfRule type="expression" dxfId="2093" priority="100">
      <formula>kvartal &lt; 4</formula>
    </cfRule>
  </conditionalFormatting>
  <conditionalFormatting sqref="B90">
    <cfRule type="expression" dxfId="2092" priority="91">
      <formula>kvartal &lt; 4</formula>
    </cfRule>
  </conditionalFormatting>
  <conditionalFormatting sqref="C90">
    <cfRule type="expression" dxfId="2091" priority="90">
      <formula>kvartal &lt; 4</formula>
    </cfRule>
  </conditionalFormatting>
  <conditionalFormatting sqref="B93">
    <cfRule type="expression" dxfId="2090" priority="89">
      <formula>kvartal &lt; 4</formula>
    </cfRule>
  </conditionalFormatting>
  <conditionalFormatting sqref="C93">
    <cfRule type="expression" dxfId="2089" priority="88">
      <formula>kvartal &lt; 4</formula>
    </cfRule>
  </conditionalFormatting>
  <conditionalFormatting sqref="B101">
    <cfRule type="expression" dxfId="2088" priority="87">
      <formula>kvartal &lt; 4</formula>
    </cfRule>
  </conditionalFormatting>
  <conditionalFormatting sqref="C101">
    <cfRule type="expression" dxfId="2087" priority="86">
      <formula>kvartal &lt; 4</formula>
    </cfRule>
  </conditionalFormatting>
  <conditionalFormatting sqref="B104">
    <cfRule type="expression" dxfId="2086" priority="85">
      <formula>kvartal &lt; 4</formula>
    </cfRule>
  </conditionalFormatting>
  <conditionalFormatting sqref="C104">
    <cfRule type="expression" dxfId="2085" priority="84">
      <formula>kvartal &lt; 4</formula>
    </cfRule>
  </conditionalFormatting>
  <conditionalFormatting sqref="B115">
    <cfRule type="expression" dxfId="2084" priority="83">
      <formula>kvartal &lt; 4</formula>
    </cfRule>
  </conditionalFormatting>
  <conditionalFormatting sqref="C115">
    <cfRule type="expression" dxfId="2083" priority="82">
      <formula>kvartal &lt; 4</formula>
    </cfRule>
  </conditionalFormatting>
  <conditionalFormatting sqref="B123">
    <cfRule type="expression" dxfId="2082" priority="81">
      <formula>kvartal &lt; 4</formula>
    </cfRule>
  </conditionalFormatting>
  <conditionalFormatting sqref="C123">
    <cfRule type="expression" dxfId="2081" priority="80">
      <formula>kvartal &lt; 4</formula>
    </cfRule>
  </conditionalFormatting>
  <conditionalFormatting sqref="F70">
    <cfRule type="expression" dxfId="2080" priority="79">
      <formula>kvartal &lt; 4</formula>
    </cfRule>
  </conditionalFormatting>
  <conditionalFormatting sqref="G70">
    <cfRule type="expression" dxfId="2079" priority="78">
      <formula>kvartal &lt; 4</formula>
    </cfRule>
  </conditionalFormatting>
  <conditionalFormatting sqref="F71:G71">
    <cfRule type="expression" dxfId="2078" priority="77">
      <formula>kvartal &lt; 4</formula>
    </cfRule>
  </conditionalFormatting>
  <conditionalFormatting sqref="F73:G74">
    <cfRule type="expression" dxfId="2077" priority="76">
      <formula>kvartal &lt; 4</formula>
    </cfRule>
  </conditionalFormatting>
  <conditionalFormatting sqref="F81:G82">
    <cfRule type="expression" dxfId="2076" priority="75">
      <formula>kvartal &lt; 4</formula>
    </cfRule>
  </conditionalFormatting>
  <conditionalFormatting sqref="F84:G85">
    <cfRule type="expression" dxfId="2075" priority="74">
      <formula>kvartal &lt; 4</formula>
    </cfRule>
  </conditionalFormatting>
  <conditionalFormatting sqref="F91:G92">
    <cfRule type="expression" dxfId="2074" priority="69">
      <formula>kvartal &lt; 4</formula>
    </cfRule>
  </conditionalFormatting>
  <conditionalFormatting sqref="F94:G95">
    <cfRule type="expression" dxfId="2073" priority="68">
      <formula>kvartal &lt; 4</formula>
    </cfRule>
  </conditionalFormatting>
  <conditionalFormatting sqref="F102:G103">
    <cfRule type="expression" dxfId="2072" priority="67">
      <formula>kvartal &lt; 4</formula>
    </cfRule>
  </conditionalFormatting>
  <conditionalFormatting sqref="F105:G106">
    <cfRule type="expression" dxfId="2071" priority="66">
      <formula>kvartal &lt; 4</formula>
    </cfRule>
  </conditionalFormatting>
  <conditionalFormatting sqref="F115">
    <cfRule type="expression" dxfId="2070" priority="65">
      <formula>kvartal &lt; 4</formula>
    </cfRule>
  </conditionalFormatting>
  <conditionalFormatting sqref="G115">
    <cfRule type="expression" dxfId="2069" priority="64">
      <formula>kvartal &lt; 4</formula>
    </cfRule>
  </conditionalFormatting>
  <conditionalFormatting sqref="F123:G123">
    <cfRule type="expression" dxfId="2068" priority="63">
      <formula>kvartal &lt; 4</formula>
    </cfRule>
  </conditionalFormatting>
  <conditionalFormatting sqref="F69:G69">
    <cfRule type="expression" dxfId="2067" priority="62">
      <formula>kvartal &lt; 4</formula>
    </cfRule>
  </conditionalFormatting>
  <conditionalFormatting sqref="F72:G72">
    <cfRule type="expression" dxfId="2066" priority="61">
      <formula>kvartal &lt; 4</formula>
    </cfRule>
  </conditionalFormatting>
  <conditionalFormatting sqref="F80:G80">
    <cfRule type="expression" dxfId="2065" priority="60">
      <formula>kvartal &lt; 4</formula>
    </cfRule>
  </conditionalFormatting>
  <conditionalFormatting sqref="F83:G83">
    <cfRule type="expression" dxfId="2064" priority="59">
      <formula>kvartal &lt; 4</formula>
    </cfRule>
  </conditionalFormatting>
  <conditionalFormatting sqref="F90:G90">
    <cfRule type="expression" dxfId="2063" priority="53">
      <formula>kvartal &lt; 4</formula>
    </cfRule>
  </conditionalFormatting>
  <conditionalFormatting sqref="F93">
    <cfRule type="expression" dxfId="2062" priority="52">
      <formula>kvartal &lt; 4</formula>
    </cfRule>
  </conditionalFormatting>
  <conditionalFormatting sqref="G93">
    <cfRule type="expression" dxfId="2061" priority="51">
      <formula>kvartal &lt; 4</formula>
    </cfRule>
  </conditionalFormatting>
  <conditionalFormatting sqref="F101">
    <cfRule type="expression" dxfId="2060" priority="50">
      <formula>kvartal &lt; 4</formula>
    </cfRule>
  </conditionalFormatting>
  <conditionalFormatting sqref="G101">
    <cfRule type="expression" dxfId="2059" priority="49">
      <formula>kvartal &lt; 4</formula>
    </cfRule>
  </conditionalFormatting>
  <conditionalFormatting sqref="G104">
    <cfRule type="expression" dxfId="2058" priority="48">
      <formula>kvartal &lt; 4</formula>
    </cfRule>
  </conditionalFormatting>
  <conditionalFormatting sqref="F104">
    <cfRule type="expression" dxfId="2057" priority="47">
      <formula>kvartal &lt; 4</formula>
    </cfRule>
  </conditionalFormatting>
  <conditionalFormatting sqref="J69">
    <cfRule type="expression" dxfId="2056" priority="46">
      <formula>kvartal &lt; 4</formula>
    </cfRule>
  </conditionalFormatting>
  <conditionalFormatting sqref="A50:A52">
    <cfRule type="expression" dxfId="2055" priority="19">
      <formula>kvartal &lt; 4</formula>
    </cfRule>
  </conditionalFormatting>
  <conditionalFormatting sqref="A69:A74">
    <cfRule type="expression" dxfId="2054" priority="17">
      <formula>kvartal &lt; 4</formula>
    </cfRule>
  </conditionalFormatting>
  <conditionalFormatting sqref="A80:A85">
    <cfRule type="expression" dxfId="2053" priority="16">
      <formula>kvartal &lt; 4</formula>
    </cfRule>
  </conditionalFormatting>
  <conditionalFormatting sqref="A90:A95">
    <cfRule type="expression" dxfId="2052" priority="13">
      <formula>kvartal &lt; 4</formula>
    </cfRule>
  </conditionalFormatting>
  <conditionalFormatting sqref="A101:A106">
    <cfRule type="expression" dxfId="2051" priority="12">
      <formula>kvartal &lt; 4</formula>
    </cfRule>
  </conditionalFormatting>
  <conditionalFormatting sqref="A115">
    <cfRule type="expression" dxfId="2050" priority="11">
      <formula>kvartal &lt; 4</formula>
    </cfRule>
  </conditionalFormatting>
  <conditionalFormatting sqref="A123">
    <cfRule type="expression" dxfId="2049" priority="10">
      <formula>kvartal &lt; 4</formula>
    </cfRule>
  </conditionalFormatting>
  <conditionalFormatting sqref="J70:J74">
    <cfRule type="expression" dxfId="2048" priority="7">
      <formula>kvartal &lt; 4</formula>
    </cfRule>
  </conditionalFormatting>
  <conditionalFormatting sqref="K69:K74">
    <cfRule type="expression" dxfId="2047" priority="6">
      <formula>kvartal &lt; 4</formula>
    </cfRule>
  </conditionalFormatting>
  <conditionalFormatting sqref="J80:K85">
    <cfRule type="expression" dxfId="2046" priority="5">
      <formula>kvartal &lt; 4</formula>
    </cfRule>
  </conditionalFormatting>
  <conditionalFormatting sqref="J90:K95">
    <cfRule type="expression" dxfId="2045" priority="4">
      <formula>kvartal &lt; 4</formula>
    </cfRule>
  </conditionalFormatting>
  <conditionalFormatting sqref="J101:K106">
    <cfRule type="expression" dxfId="2044" priority="3">
      <formula>kvartal &lt; 4</formula>
    </cfRule>
  </conditionalFormatting>
  <conditionalFormatting sqref="J115:K115">
    <cfRule type="expression" dxfId="2043" priority="2">
      <formula>kvartal &lt; 4</formula>
    </cfRule>
  </conditionalFormatting>
  <conditionalFormatting sqref="J123:K123">
    <cfRule type="expression" dxfId="2042"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R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8" x14ac:dyDescent="0.2">
      <c r="A1" s="172" t="s">
        <v>143</v>
      </c>
      <c r="B1" s="945"/>
      <c r="C1" s="247" t="s">
        <v>132</v>
      </c>
      <c r="D1" s="26"/>
      <c r="E1" s="26"/>
      <c r="F1" s="26"/>
      <c r="G1" s="26"/>
      <c r="H1" s="26"/>
      <c r="I1" s="26"/>
      <c r="J1" s="26"/>
      <c r="K1" s="26"/>
      <c r="L1" s="26"/>
      <c r="M1" s="26"/>
      <c r="O1" s="421"/>
    </row>
    <row r="2" spans="1:18" ht="15.75" x14ac:dyDescent="0.25">
      <c r="A2" s="165" t="s">
        <v>28</v>
      </c>
      <c r="B2" s="978"/>
      <c r="C2" s="978"/>
      <c r="D2" s="978"/>
      <c r="E2" s="296"/>
      <c r="F2" s="978"/>
      <c r="G2" s="978"/>
      <c r="H2" s="978"/>
      <c r="I2" s="296"/>
      <c r="J2" s="978"/>
      <c r="K2" s="978"/>
      <c r="L2" s="978"/>
      <c r="M2" s="296"/>
      <c r="O2" s="148"/>
    </row>
    <row r="3" spans="1:18" ht="15.75" x14ac:dyDescent="0.25">
      <c r="A3" s="163"/>
      <c r="B3" s="296"/>
      <c r="C3" s="296"/>
      <c r="D3" s="296"/>
      <c r="E3" s="296"/>
      <c r="F3" s="296"/>
      <c r="G3" s="296"/>
      <c r="H3" s="296"/>
      <c r="I3" s="296"/>
      <c r="J3" s="296"/>
      <c r="K3" s="296"/>
      <c r="L3" s="296"/>
      <c r="M3" s="296"/>
      <c r="O3" s="148"/>
    </row>
    <row r="4" spans="1:18" x14ac:dyDescent="0.2">
      <c r="A4" s="144"/>
      <c r="B4" s="975" t="s">
        <v>0</v>
      </c>
      <c r="C4" s="976"/>
      <c r="D4" s="976"/>
      <c r="E4" s="298"/>
      <c r="F4" s="975" t="s">
        <v>1</v>
      </c>
      <c r="G4" s="976"/>
      <c r="H4" s="976"/>
      <c r="I4" s="301"/>
      <c r="J4" s="975" t="s">
        <v>2</v>
      </c>
      <c r="K4" s="976"/>
      <c r="L4" s="976"/>
      <c r="M4" s="301"/>
      <c r="O4" s="148"/>
    </row>
    <row r="5" spans="1:18"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8" x14ac:dyDescent="0.2">
      <c r="A6" s="944"/>
      <c r="B6" s="156"/>
      <c r="C6" s="156"/>
      <c r="D6" s="245" t="s">
        <v>4</v>
      </c>
      <c r="E6" s="156" t="s">
        <v>30</v>
      </c>
      <c r="F6" s="161"/>
      <c r="G6" s="161"/>
      <c r="H6" s="244" t="s">
        <v>4</v>
      </c>
      <c r="I6" s="156" t="s">
        <v>30</v>
      </c>
      <c r="J6" s="161"/>
      <c r="K6" s="161"/>
      <c r="L6" s="244" t="s">
        <v>4</v>
      </c>
      <c r="M6" s="156" t="s">
        <v>30</v>
      </c>
      <c r="O6" s="148"/>
    </row>
    <row r="7" spans="1:18" ht="15.75" x14ac:dyDescent="0.2">
      <c r="A7" s="14" t="s">
        <v>23</v>
      </c>
      <c r="B7" s="303">
        <v>166467</v>
      </c>
      <c r="C7" s="304">
        <v>180669</v>
      </c>
      <c r="D7" s="347">
        <f>IF(B7=0, "    ---- ", IF(ABS(ROUND(100/B7*C7-100,1))&lt;999,ROUND(100/B7*C7-100,1),IF(ROUND(100/B7*C7-100,1)&gt;999,999,-999)))</f>
        <v>8.5</v>
      </c>
      <c r="E7" s="11">
        <f>IFERROR(100/'Skjema total MA'!C7*C7,0)</f>
        <v>3.9717788280062876</v>
      </c>
      <c r="F7" s="303"/>
      <c r="G7" s="304"/>
      <c r="H7" s="347"/>
      <c r="I7" s="160"/>
      <c r="J7" s="305">
        <f t="shared" ref="J7:K10" si="0">SUM(B7,F7)</f>
        <v>166467</v>
      </c>
      <c r="K7" s="306">
        <f t="shared" si="0"/>
        <v>180669</v>
      </c>
      <c r="L7" s="422">
        <f>IF(J7=0, "    ---- ", IF(ABS(ROUND(100/J7*K7-100,1))&lt;999,ROUND(100/J7*K7-100,1),IF(ROUND(100/J7*K7-100,1)&gt;999,999,-999)))</f>
        <v>8.5</v>
      </c>
      <c r="M7" s="11">
        <f>IFERROR(100/'Skjema total MA'!I7*K7,0)</f>
        <v>1.5384267237818312</v>
      </c>
      <c r="O7" s="148"/>
    </row>
    <row r="8" spans="1:18" ht="15.75" x14ac:dyDescent="0.2">
      <c r="A8" s="21" t="s">
        <v>25</v>
      </c>
      <c r="B8" s="278">
        <v>140653</v>
      </c>
      <c r="C8" s="279">
        <v>154163</v>
      </c>
      <c r="D8" s="166">
        <f t="shared" ref="D8:D10" si="1">IF(B8=0, "    ---- ", IF(ABS(ROUND(100/B8*C8-100,1))&lt;999,ROUND(100/B8*C8-100,1),IF(ROUND(100/B8*C8-100,1)&gt;999,999,-999)))</f>
        <v>9.6</v>
      </c>
      <c r="E8" s="27">
        <f>IFERROR(100/'Skjema total MA'!C8*C8,0)</f>
        <v>5.8410129130141799</v>
      </c>
      <c r="F8" s="282"/>
      <c r="G8" s="283"/>
      <c r="H8" s="166"/>
      <c r="I8" s="175"/>
      <c r="J8" s="233">
        <f t="shared" si="0"/>
        <v>140653</v>
      </c>
      <c r="K8" s="284">
        <f t="shared" si="0"/>
        <v>154163</v>
      </c>
      <c r="L8" s="166">
        <f t="shared" ref="L8:L9" si="2">IF(J8=0, "    ---- ", IF(ABS(ROUND(100/J8*K8-100,1))&lt;999,ROUND(100/J8*K8-100,1),IF(ROUND(100/J8*K8-100,1)&gt;999,999,-999)))</f>
        <v>9.6</v>
      </c>
      <c r="M8" s="27">
        <f>IFERROR(100/'Skjema total MA'!I8*K8,0)</f>
        <v>5.8410129130141799</v>
      </c>
      <c r="O8" s="148"/>
    </row>
    <row r="9" spans="1:18" ht="15.75" x14ac:dyDescent="0.2">
      <c r="A9" s="21" t="s">
        <v>24</v>
      </c>
      <c r="B9" s="278">
        <v>25814</v>
      </c>
      <c r="C9" s="279">
        <v>26506</v>
      </c>
      <c r="D9" s="166">
        <f t="shared" si="1"/>
        <v>2.7</v>
      </c>
      <c r="E9" s="27">
        <f>IFERROR(100/'Skjema total MA'!C9*C9,0)</f>
        <v>2.7084343697188609</v>
      </c>
      <c r="F9" s="282"/>
      <c r="G9" s="283"/>
      <c r="H9" s="166"/>
      <c r="I9" s="175"/>
      <c r="J9" s="233">
        <f t="shared" si="0"/>
        <v>25814</v>
      </c>
      <c r="K9" s="284">
        <f t="shared" si="0"/>
        <v>26506</v>
      </c>
      <c r="L9" s="166">
        <f t="shared" si="2"/>
        <v>2.7</v>
      </c>
      <c r="M9" s="27">
        <f>IFERROR(100/'Skjema total MA'!I9*K9,0)</f>
        <v>2.7084343697188609</v>
      </c>
      <c r="O9" s="148"/>
    </row>
    <row r="10" spans="1:18" ht="15.75" x14ac:dyDescent="0.2">
      <c r="A10" s="13" t="s">
        <v>456</v>
      </c>
      <c r="B10" s="307">
        <v>67067</v>
      </c>
      <c r="C10" s="308">
        <v>73912</v>
      </c>
      <c r="D10" s="171">
        <f t="shared" si="1"/>
        <v>10.199999999999999</v>
      </c>
      <c r="E10" s="11">
        <f>IFERROR(100/'Skjema total MA'!C10*C10,0)</f>
        <v>0.32907887951281573</v>
      </c>
      <c r="F10" s="307"/>
      <c r="G10" s="308"/>
      <c r="H10" s="171"/>
      <c r="I10" s="160"/>
      <c r="J10" s="305">
        <f t="shared" si="0"/>
        <v>67067</v>
      </c>
      <c r="K10" s="306">
        <f t="shared" si="0"/>
        <v>73912</v>
      </c>
      <c r="L10" s="423">
        <f t="shared" ref="L10" si="3">IF(J10=0, "    ---- ", IF(ABS(ROUND(100/J10*K10-100,1))&lt;999,ROUND(100/J10*K10-100,1),IF(ROUND(100/J10*K10-100,1)&gt;999,999,-999)))</f>
        <v>10.199999999999999</v>
      </c>
      <c r="M10" s="11">
        <f>IFERROR(100/'Skjema total MA'!I10*K10,0)</f>
        <v>0.11525046895183035</v>
      </c>
      <c r="O10" s="148"/>
    </row>
    <row r="11" spans="1:18" s="43" customFormat="1" ht="15.75" x14ac:dyDescent="0.2">
      <c r="A11" s="13" t="s">
        <v>457</v>
      </c>
      <c r="B11" s="307"/>
      <c r="C11" s="308"/>
      <c r="D11" s="171"/>
      <c r="E11" s="11"/>
      <c r="F11" s="307"/>
      <c r="G11" s="308"/>
      <c r="H11" s="171"/>
      <c r="I11" s="160"/>
      <c r="J11" s="305"/>
      <c r="K11" s="306"/>
      <c r="L11" s="423"/>
      <c r="M11" s="11"/>
      <c r="N11" s="143"/>
      <c r="O11" s="148"/>
      <c r="R11" s="143"/>
    </row>
    <row r="12" spans="1:18" s="43" customFormat="1" ht="15.75" x14ac:dyDescent="0.2">
      <c r="A12" s="41" t="s">
        <v>458</v>
      </c>
      <c r="B12" s="309"/>
      <c r="C12" s="310"/>
      <c r="D12" s="169"/>
      <c r="E12" s="36"/>
      <c r="F12" s="309"/>
      <c r="G12" s="310"/>
      <c r="H12" s="169"/>
      <c r="I12" s="169"/>
      <c r="J12" s="311"/>
      <c r="K12" s="312"/>
      <c r="L12" s="424"/>
      <c r="M12" s="36"/>
      <c r="N12" s="143"/>
      <c r="O12" s="148"/>
    </row>
    <row r="13" spans="1:18" s="43" customFormat="1" x14ac:dyDescent="0.2">
      <c r="A13" s="168"/>
      <c r="B13" s="145"/>
      <c r="C13" s="33"/>
      <c r="D13" s="159"/>
      <c r="E13" s="159"/>
      <c r="F13" s="145"/>
      <c r="G13" s="33"/>
      <c r="H13" s="159"/>
      <c r="I13" s="159"/>
      <c r="J13" s="48"/>
      <c r="K13" s="48"/>
      <c r="L13" s="159"/>
      <c r="M13" s="159"/>
      <c r="N13" s="143"/>
      <c r="O13" s="421"/>
    </row>
    <row r="14" spans="1:18" x14ac:dyDescent="0.2">
      <c r="A14" s="153" t="s">
        <v>282</v>
      </c>
      <c r="B14" s="26"/>
      <c r="O14" s="148"/>
    </row>
    <row r="15" spans="1:18" x14ac:dyDescent="0.2">
      <c r="F15" s="146"/>
      <c r="G15" s="146"/>
      <c r="H15" s="146"/>
      <c r="I15" s="146"/>
      <c r="J15" s="146"/>
      <c r="K15" s="146"/>
      <c r="L15" s="146"/>
      <c r="M15" s="146"/>
      <c r="O15" s="148"/>
    </row>
    <row r="16" spans="1:18"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v>167213.70000000001</v>
      </c>
      <c r="C22" s="313">
        <v>174650</v>
      </c>
      <c r="D22" s="347">
        <f t="shared" ref="D22:D32" si="4">IF(B22=0, "    ---- ", IF(ABS(ROUND(100/B22*C22-100,1))&lt;999,ROUND(100/B22*C22-100,1),IF(ROUND(100/B22*C22-100,1)&gt;999,999,-999)))</f>
        <v>4.4000000000000004</v>
      </c>
      <c r="E22" s="11">
        <f>IFERROR(100/'Skjema total MA'!C22*C22,0)</f>
        <v>11.042965707635604</v>
      </c>
      <c r="F22" s="313">
        <v>18304</v>
      </c>
      <c r="G22" s="313">
        <v>16016.5</v>
      </c>
      <c r="H22" s="347">
        <f t="shared" ref="H22:H33" si="5">IF(F22=0, "    ---- ", IF(ABS(ROUND(100/F22*G22-100,1))&lt;999,ROUND(100/F22*G22-100,1),IF(ROUND(100/F22*G22-100,1)&gt;999,999,-999)))</f>
        <v>-12.5</v>
      </c>
      <c r="I22" s="11">
        <f>IFERROR(100/'Skjema total MA'!F22*G22,0)</f>
        <v>1.2589767132017682</v>
      </c>
      <c r="J22" s="313">
        <f t="shared" ref="J22:K29" si="6">SUM(B22,F22)</f>
        <v>185517.7</v>
      </c>
      <c r="K22" s="313">
        <f t="shared" si="6"/>
        <v>190666.5</v>
      </c>
      <c r="L22" s="422">
        <f t="shared" ref="L22:L33" si="7">IF(J22=0, "    ---- ", IF(ABS(ROUND(100/J22*K22-100,1))&lt;999,ROUND(100/J22*K22-100,1),IF(ROUND(100/J22*K22-100,1)&gt;999,999,-999)))</f>
        <v>2.8</v>
      </c>
      <c r="M22" s="24">
        <f>IFERROR(100/'Skjema total MA'!I22*K22,0)</f>
        <v>6.6812995272558249</v>
      </c>
      <c r="O22" s="148"/>
    </row>
    <row r="23" spans="1:15" ht="15.75" x14ac:dyDescent="0.2">
      <c r="A23" s="834" t="s">
        <v>459</v>
      </c>
      <c r="B23" s="278">
        <v>166664</v>
      </c>
      <c r="C23" s="278">
        <v>174249</v>
      </c>
      <c r="D23" s="166">
        <f t="shared" si="4"/>
        <v>4.5999999999999996</v>
      </c>
      <c r="E23" s="11">
        <f>IFERROR(100/'Skjema total MA'!C23*C23,0)</f>
        <v>11.487002108365214</v>
      </c>
      <c r="F23" s="278"/>
      <c r="G23" s="278"/>
      <c r="H23" s="166"/>
      <c r="I23" s="412"/>
      <c r="J23" s="287">
        <f t="shared" ref="J23:J26" si="8">SUM(B23,F23)</f>
        <v>166664</v>
      </c>
      <c r="K23" s="287">
        <f t="shared" ref="K23:K26" si="9">SUM(C23,G23)</f>
        <v>174249</v>
      </c>
      <c r="L23" s="166">
        <f t="shared" si="7"/>
        <v>4.5999999999999996</v>
      </c>
      <c r="M23" s="23">
        <f>IFERROR(100/'Skjema total MA'!I23*K23,0)</f>
        <v>10.353869440490376</v>
      </c>
      <c r="O23" s="148"/>
    </row>
    <row r="24" spans="1:15" ht="15.75" x14ac:dyDescent="0.2">
      <c r="A24" s="834" t="s">
        <v>460</v>
      </c>
      <c r="B24" s="278"/>
      <c r="C24" s="278"/>
      <c r="D24" s="166"/>
      <c r="E24" s="11"/>
      <c r="F24" s="278"/>
      <c r="G24" s="278"/>
      <c r="H24" s="166"/>
      <c r="I24" s="412"/>
      <c r="J24" s="287"/>
      <c r="K24" s="287"/>
      <c r="L24" s="166"/>
      <c r="M24" s="23"/>
      <c r="O24" s="148"/>
    </row>
    <row r="25" spans="1:15" ht="15.75" x14ac:dyDescent="0.2">
      <c r="A25" s="834" t="s">
        <v>461</v>
      </c>
      <c r="B25" s="278">
        <v>549.70000000000005</v>
      </c>
      <c r="C25" s="278">
        <v>401</v>
      </c>
      <c r="D25" s="166">
        <f t="shared" si="4"/>
        <v>-27.1</v>
      </c>
      <c r="E25" s="11">
        <f>IFERROR(100/'Skjema total MA'!C25*C25,0)</f>
        <v>1.5961819010486635</v>
      </c>
      <c r="F25" s="278">
        <v>7559</v>
      </c>
      <c r="G25" s="278">
        <v>6043.4</v>
      </c>
      <c r="H25" s="166">
        <f t="shared" si="5"/>
        <v>-20.100000000000001</v>
      </c>
      <c r="I25" s="412">
        <f>IFERROR(100/'Skjema total MA'!F25*G25,0)</f>
        <v>6.2068223974886791</v>
      </c>
      <c r="J25" s="287">
        <f t="shared" si="8"/>
        <v>8108.7</v>
      </c>
      <c r="K25" s="287">
        <f t="shared" si="9"/>
        <v>6444.4</v>
      </c>
      <c r="L25" s="166">
        <f t="shared" si="7"/>
        <v>-20.5</v>
      </c>
      <c r="M25" s="23">
        <f>IFERROR(100/'Skjema total MA'!I25*K25,0)</f>
        <v>5.2611855607302083</v>
      </c>
      <c r="O25" s="148"/>
    </row>
    <row r="26" spans="1:15" ht="15.75" x14ac:dyDescent="0.2">
      <c r="A26" s="834" t="s">
        <v>462</v>
      </c>
      <c r="B26" s="278"/>
      <c r="C26" s="278"/>
      <c r="D26" s="166"/>
      <c r="E26" s="11"/>
      <c r="F26" s="278">
        <v>10745</v>
      </c>
      <c r="G26" s="278">
        <v>9973.1</v>
      </c>
      <c r="H26" s="166">
        <f t="shared" si="5"/>
        <v>-7.2</v>
      </c>
      <c r="I26" s="412">
        <f>IFERROR(100/'Skjema total MA'!F26*G26,0)</f>
        <v>0.98870496860169566</v>
      </c>
      <c r="J26" s="287">
        <f t="shared" si="8"/>
        <v>10745</v>
      </c>
      <c r="K26" s="287">
        <f t="shared" si="9"/>
        <v>9973.1</v>
      </c>
      <c r="L26" s="166">
        <f t="shared" si="7"/>
        <v>-7.2</v>
      </c>
      <c r="M26" s="23">
        <f>IFERROR(100/'Skjema total MA'!I26*K26,0)</f>
        <v>0.98870496860169566</v>
      </c>
      <c r="O26" s="148"/>
    </row>
    <row r="27" spans="1:15" x14ac:dyDescent="0.2">
      <c r="A27" s="834" t="s">
        <v>11</v>
      </c>
      <c r="B27" s="278"/>
      <c r="C27" s="278"/>
      <c r="D27" s="166"/>
      <c r="E27" s="11"/>
      <c r="F27" s="278"/>
      <c r="G27" s="278"/>
      <c r="H27" s="166"/>
      <c r="I27" s="412"/>
      <c r="J27" s="287"/>
      <c r="K27" s="287"/>
      <c r="L27" s="166"/>
      <c r="M27" s="23"/>
      <c r="O27" s="148"/>
    </row>
    <row r="28" spans="1:15" ht="15.75" x14ac:dyDescent="0.2">
      <c r="A28" s="49" t="s">
        <v>283</v>
      </c>
      <c r="B28" s="44">
        <v>166114</v>
      </c>
      <c r="C28" s="44">
        <v>173848</v>
      </c>
      <c r="D28" s="166">
        <f t="shared" si="4"/>
        <v>4.7</v>
      </c>
      <c r="E28" s="11">
        <f>IFERROR(100/'Skjema total MA'!C28*C28,0)</f>
        <v>9.7495874589225959</v>
      </c>
      <c r="F28" s="44"/>
      <c r="G28" s="44"/>
      <c r="H28" s="166"/>
      <c r="I28" s="27"/>
      <c r="J28" s="44">
        <f t="shared" si="6"/>
        <v>166114</v>
      </c>
      <c r="K28" s="44">
        <f t="shared" si="6"/>
        <v>173848</v>
      </c>
      <c r="L28" s="253">
        <f t="shared" si="7"/>
        <v>4.7</v>
      </c>
      <c r="M28" s="23">
        <f>IFERROR(100/'Skjema total MA'!I28*K28,0)</f>
        <v>9.7495874589225959</v>
      </c>
      <c r="O28" s="148"/>
    </row>
    <row r="29" spans="1:15" s="3" customFormat="1" ht="15.75" x14ac:dyDescent="0.2">
      <c r="A29" s="13" t="s">
        <v>456</v>
      </c>
      <c r="B29" s="235">
        <v>458642.32</v>
      </c>
      <c r="C29" s="235">
        <v>543624</v>
      </c>
      <c r="D29" s="171">
        <f t="shared" si="4"/>
        <v>18.5</v>
      </c>
      <c r="E29" s="11">
        <f>IFERROR(100/'Skjema total MA'!C29*C29,0)</f>
        <v>1.1347031366446227</v>
      </c>
      <c r="F29" s="235">
        <v>115856</v>
      </c>
      <c r="G29" s="235">
        <v>129149.77499999999</v>
      </c>
      <c r="H29" s="171">
        <f t="shared" si="5"/>
        <v>11.5</v>
      </c>
      <c r="I29" s="11">
        <f>IFERROR(100/'Skjema total MA'!F29*G29,0)</f>
        <v>0.67608344681876631</v>
      </c>
      <c r="J29" s="235">
        <f t="shared" si="6"/>
        <v>574498.32000000007</v>
      </c>
      <c r="K29" s="235">
        <f t="shared" si="6"/>
        <v>672773.77500000002</v>
      </c>
      <c r="L29" s="423">
        <f t="shared" si="7"/>
        <v>17.100000000000001</v>
      </c>
      <c r="M29" s="24">
        <f>IFERROR(100/'Skjema total MA'!I29*K29,0)</f>
        <v>1.003966791163222</v>
      </c>
      <c r="N29" s="148"/>
      <c r="O29" s="148"/>
    </row>
    <row r="30" spans="1:15" s="3" customFormat="1" ht="15.75" x14ac:dyDescent="0.2">
      <c r="A30" s="834" t="s">
        <v>459</v>
      </c>
      <c r="B30" s="278">
        <v>456982</v>
      </c>
      <c r="C30" s="278">
        <v>542019</v>
      </c>
      <c r="D30" s="166">
        <f t="shared" si="4"/>
        <v>18.600000000000001</v>
      </c>
      <c r="E30" s="11">
        <f>IFERROR(100/'Skjema total MA'!C30*C30,0)</f>
        <v>4.1944680484779013</v>
      </c>
      <c r="F30" s="278"/>
      <c r="G30" s="278"/>
      <c r="H30" s="166"/>
      <c r="I30" s="412"/>
      <c r="J30" s="287">
        <f t="shared" ref="J30:J33" si="10">SUM(B30,F30)</f>
        <v>456982</v>
      </c>
      <c r="K30" s="287">
        <f t="shared" ref="K30:K33" si="11">SUM(C30,G30)</f>
        <v>542019</v>
      </c>
      <c r="L30" s="166">
        <f t="shared" si="7"/>
        <v>18.600000000000001</v>
      </c>
      <c r="M30" s="23">
        <f>IFERROR(100/'Skjema total MA'!I30*K30,0)</f>
        <v>3.1962368017754401</v>
      </c>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v>1660.32</v>
      </c>
      <c r="C32" s="278">
        <v>1605</v>
      </c>
      <c r="D32" s="166">
        <f t="shared" si="4"/>
        <v>-3.3</v>
      </c>
      <c r="E32" s="11">
        <f>IFERROR(100/'Skjema total MA'!C32*C32,0)</f>
        <v>0.12445687176249294</v>
      </c>
      <c r="F32" s="287">
        <v>105111</v>
      </c>
      <c r="G32" s="287">
        <v>108125.43</v>
      </c>
      <c r="H32" s="166">
        <f t="shared" si="5"/>
        <v>2.9</v>
      </c>
      <c r="I32" s="412">
        <f>IFERROR(100/'Skjema total MA'!F32*G32,0)</f>
        <v>2.7299789234787424</v>
      </c>
      <c r="J32" s="287">
        <f t="shared" si="10"/>
        <v>106771.32</v>
      </c>
      <c r="K32" s="287">
        <f t="shared" si="11"/>
        <v>109730.43</v>
      </c>
      <c r="L32" s="166">
        <f t="shared" si="7"/>
        <v>2.8</v>
      </c>
      <c r="M32" s="23">
        <f>IFERROR(100/'Skjema total MA'!I32*K32,0)</f>
        <v>2.0899949879911746</v>
      </c>
      <c r="O32" s="148"/>
    </row>
    <row r="33" spans="1:15" ht="15.75" x14ac:dyDescent="0.2">
      <c r="A33" s="834" t="s">
        <v>462</v>
      </c>
      <c r="B33" s="278"/>
      <c r="C33" s="278"/>
      <c r="D33" s="166"/>
      <c r="E33" s="11"/>
      <c r="F33" s="287">
        <v>10745</v>
      </c>
      <c r="G33" s="287">
        <v>21024.345000000001</v>
      </c>
      <c r="H33" s="166">
        <f t="shared" si="5"/>
        <v>95.7</v>
      </c>
      <c r="I33" s="412">
        <f>IFERROR(100/'Skjema total MA'!F34*G33,0)</f>
        <v>27.709076807829199</v>
      </c>
      <c r="J33" s="287">
        <f t="shared" si="10"/>
        <v>10745</v>
      </c>
      <c r="K33" s="287">
        <f t="shared" si="11"/>
        <v>21024.345000000001</v>
      </c>
      <c r="L33" s="166">
        <f t="shared" si="7"/>
        <v>95.7</v>
      </c>
      <c r="M33" s="23">
        <f>IFERROR(100/'Skjema total MA'!I34*K33,0)</f>
        <v>20.215991235038512</v>
      </c>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29231.8</v>
      </c>
      <c r="C47" s="308">
        <v>30456</v>
      </c>
      <c r="D47" s="422">
        <f t="shared" ref="D47:D48" si="12">IF(B47=0, "    ---- ", IF(ABS(ROUND(100/B47*C47-100,1))&lt;999,ROUND(100/B47*C47-100,1),IF(ROUND(100/B47*C47-100,1)&gt;999,999,-999)))</f>
        <v>4.2</v>
      </c>
      <c r="E47" s="11">
        <f>IFERROR(100/'Skjema total MA'!C47*C47,0)</f>
        <v>0.7255315928709285</v>
      </c>
      <c r="F47" s="145"/>
      <c r="G47" s="33"/>
      <c r="H47" s="159"/>
      <c r="I47" s="159"/>
      <c r="J47" s="37"/>
      <c r="K47" s="37"/>
      <c r="L47" s="159"/>
      <c r="M47" s="159"/>
      <c r="N47" s="148"/>
      <c r="O47" s="148"/>
    </row>
    <row r="48" spans="1:15" s="3" customFormat="1" ht="15.75" x14ac:dyDescent="0.2">
      <c r="A48" s="38" t="s">
        <v>467</v>
      </c>
      <c r="B48" s="278">
        <v>29231.8</v>
      </c>
      <c r="C48" s="279">
        <v>30456</v>
      </c>
      <c r="D48" s="253">
        <f t="shared" si="12"/>
        <v>4.2</v>
      </c>
      <c r="E48" s="27">
        <f>IFERROR(100/'Skjema total MA'!C48*C48,0)</f>
        <v>1.3025837732594128</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76453.100000000006</v>
      </c>
      <c r="C66" s="350">
        <v>76194</v>
      </c>
      <c r="D66" s="347">
        <f t="shared" ref="D66:D111" si="13">IF(B66=0, "    ---- ", IF(ABS(ROUND(100/B66*C66-100,1))&lt;999,ROUND(100/B66*C66-100,1),IF(ROUND(100/B66*C66-100,1)&gt;999,999,-999)))</f>
        <v>-0.3</v>
      </c>
      <c r="E66" s="11">
        <f>IFERROR(100/'Skjema total MA'!C66*C66,0)</f>
        <v>0.86309679801644212</v>
      </c>
      <c r="F66" s="349">
        <v>349724</v>
      </c>
      <c r="G66" s="349">
        <v>367486</v>
      </c>
      <c r="H66" s="347">
        <f t="shared" ref="H66:H111" si="14">IF(F66=0, "    ---- ", IF(ABS(ROUND(100/F66*G66-100,1))&lt;999,ROUND(100/F66*G66-100,1),IF(ROUND(100/F66*G66-100,1)&gt;999,999,-999)))</f>
        <v>5.0999999999999996</v>
      </c>
      <c r="I66" s="11">
        <f>IFERROR(100/'Skjema total MA'!F66*G66,0)</f>
        <v>1.2691774647537433</v>
      </c>
      <c r="J66" s="306">
        <f t="shared" ref="J66:K85" si="15">SUM(B66,F66)</f>
        <v>426177.1</v>
      </c>
      <c r="K66" s="313">
        <f t="shared" si="15"/>
        <v>443680</v>
      </c>
      <c r="L66" s="423">
        <f t="shared" ref="L66:L111" si="16">IF(J66=0, "    ---- ", IF(ABS(ROUND(100/J66*K66-100,1))&lt;999,ROUND(100/J66*K66-100,1),IF(ROUND(100/J66*K66-100,1)&gt;999,999,-999)))</f>
        <v>4.0999999999999996</v>
      </c>
      <c r="M66" s="11">
        <f>IFERROR(100/'Skjema total MA'!I66*K66,0)</f>
        <v>1.1742960140800751</v>
      </c>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v>76453.100000000006</v>
      </c>
      <c r="C68" s="290">
        <v>76194</v>
      </c>
      <c r="D68" s="166">
        <f t="shared" si="13"/>
        <v>-0.3</v>
      </c>
      <c r="E68" s="27">
        <f>IFERROR(100/'Skjema total MA'!C68*C68,0)</f>
        <v>51.110063678200326</v>
      </c>
      <c r="F68" s="289">
        <v>349724</v>
      </c>
      <c r="G68" s="290">
        <v>367486</v>
      </c>
      <c r="H68" s="166">
        <f t="shared" si="14"/>
        <v>5.0999999999999996</v>
      </c>
      <c r="I68" s="27">
        <f>IFERROR(100/'Skjema total MA'!F68*G68,0)</f>
        <v>1.2872454267366362</v>
      </c>
      <c r="J68" s="284">
        <f t="shared" si="15"/>
        <v>426177.1</v>
      </c>
      <c r="K68" s="44">
        <f t="shared" si="15"/>
        <v>443680</v>
      </c>
      <c r="L68" s="253">
        <f t="shared" si="16"/>
        <v>4.0999999999999996</v>
      </c>
      <c r="M68" s="27">
        <f>IFERROR(100/'Skjema total MA'!I68*K68,0)</f>
        <v>1.5460674487830399</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v>76453.100000000006</v>
      </c>
      <c r="C72" s="278">
        <v>76194</v>
      </c>
      <c r="D72" s="253">
        <f t="shared" si="13"/>
        <v>-0.3</v>
      </c>
      <c r="E72" s="27">
        <f>IFERROR(100/'Skjema total MA'!C72*C72,0)</f>
        <v>57.130100942638798</v>
      </c>
      <c r="F72" s="278">
        <v>349724</v>
      </c>
      <c r="G72" s="278">
        <v>367486</v>
      </c>
      <c r="H72" s="253">
        <f t="shared" si="14"/>
        <v>5.0999999999999996</v>
      </c>
      <c r="I72" s="27">
        <f>IFERROR(100/'Skjema total MA'!F72*G72,0)</f>
        <v>1.2874212974826547</v>
      </c>
      <c r="J72" s="287">
        <f t="shared" ref="J72:J74" si="17">SUM(B72,F72)</f>
        <v>426177.1</v>
      </c>
      <c r="K72" s="287">
        <f t="shared" si="15"/>
        <v>443680</v>
      </c>
      <c r="L72" s="253">
        <f t="shared" si="16"/>
        <v>4.0999999999999996</v>
      </c>
      <c r="M72" s="23">
        <f>IFERROR(100/'Skjema total MA'!I72*K72,0)</f>
        <v>1.5471245994450185</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349724</v>
      </c>
      <c r="G74" s="278">
        <v>367486</v>
      </c>
      <c r="H74" s="253">
        <f t="shared" si="14"/>
        <v>5.0999999999999996</v>
      </c>
      <c r="I74" s="27">
        <f>IFERROR(100/'Skjema total MA'!F74*G74,0)</f>
        <v>1.3009957723060215</v>
      </c>
      <c r="J74" s="287">
        <f t="shared" si="17"/>
        <v>349724</v>
      </c>
      <c r="K74" s="287">
        <f t="shared" si="15"/>
        <v>367486</v>
      </c>
      <c r="L74" s="253">
        <f t="shared" si="16"/>
        <v>5.0999999999999996</v>
      </c>
      <c r="M74" s="23">
        <f>IFERROR(100/'Skjema total MA'!I74*K74,0)</f>
        <v>1.3009957723060215</v>
      </c>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v>76453.100000000006</v>
      </c>
      <c r="C77" s="233">
        <v>76194</v>
      </c>
      <c r="D77" s="166">
        <f t="shared" si="13"/>
        <v>-0.3</v>
      </c>
      <c r="E77" s="27">
        <f>IFERROR(100/'Skjema total MA'!C77*C77,0)</f>
        <v>1.0785574453131945</v>
      </c>
      <c r="F77" s="233">
        <v>349724</v>
      </c>
      <c r="G77" s="145">
        <v>367486</v>
      </c>
      <c r="H77" s="166">
        <f t="shared" si="14"/>
        <v>5.0999999999999996</v>
      </c>
      <c r="I77" s="27">
        <f>IFERROR(100/'Skjema total MA'!F77*G77,0)</f>
        <v>1.2878075395037349</v>
      </c>
      <c r="J77" s="284">
        <f t="shared" si="15"/>
        <v>426177.1</v>
      </c>
      <c r="K77" s="44">
        <f t="shared" si="15"/>
        <v>443680</v>
      </c>
      <c r="L77" s="253">
        <f t="shared" si="16"/>
        <v>4.0999999999999996</v>
      </c>
      <c r="M77" s="27">
        <f>IFERROR(100/'Skjema total MA'!I77*K77,0)</f>
        <v>1.2462843742004581</v>
      </c>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v>76453.100000000006</v>
      </c>
      <c r="C79" s="290">
        <v>76194</v>
      </c>
      <c r="D79" s="166">
        <f t="shared" si="13"/>
        <v>-0.3</v>
      </c>
      <c r="E79" s="27">
        <f>IFERROR(100/'Skjema total MA'!C79*C79,0)</f>
        <v>52.485056057677951</v>
      </c>
      <c r="F79" s="289">
        <v>349724</v>
      </c>
      <c r="G79" s="290">
        <v>367486</v>
      </c>
      <c r="H79" s="166">
        <f t="shared" si="14"/>
        <v>5.0999999999999996</v>
      </c>
      <c r="I79" s="27">
        <f>IFERROR(100/'Skjema total MA'!F79*G79,0)</f>
        <v>1.2878075395037349</v>
      </c>
      <c r="J79" s="284">
        <f t="shared" si="15"/>
        <v>426177.1</v>
      </c>
      <c r="K79" s="44">
        <f t="shared" si="15"/>
        <v>443680</v>
      </c>
      <c r="L79" s="253">
        <f t="shared" si="16"/>
        <v>4.0999999999999996</v>
      </c>
      <c r="M79" s="27">
        <f>IFERROR(100/'Skjema total MA'!I79*K79,0)</f>
        <v>1.546949696229758</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v>76453.100000000006</v>
      </c>
      <c r="C83" s="278">
        <v>76194</v>
      </c>
      <c r="D83" s="253">
        <f t="shared" ref="D83" si="18">IF(B83=0, "    ---- ", IF(ABS(ROUND(100/B83*C83-100,1))&lt;999,ROUND(100/B83*C83-100,1),IF(ROUND(100/B83*C83-100,1)&gt;999,999,-999)))</f>
        <v>-0.3</v>
      </c>
      <c r="E83" s="27">
        <f>IFERROR(100/'Skjema total MA'!C83*C83,0)</f>
        <v>52.485056057677951</v>
      </c>
      <c r="F83" s="278">
        <v>349724</v>
      </c>
      <c r="G83" s="278">
        <v>367486</v>
      </c>
      <c r="H83" s="253">
        <f t="shared" si="14"/>
        <v>5.0999999999999996</v>
      </c>
      <c r="I83" s="412">
        <f>IFERROR(100/'Skjema total MA'!F83*G83,0)</f>
        <v>1.2878075395037349</v>
      </c>
      <c r="J83" s="287">
        <f t="shared" si="15"/>
        <v>426177.1</v>
      </c>
      <c r="K83" s="287">
        <f t="shared" si="15"/>
        <v>443680</v>
      </c>
      <c r="L83" s="253">
        <f t="shared" si="16"/>
        <v>4.0999999999999996</v>
      </c>
      <c r="M83" s="23">
        <f>IFERROR(100/'Skjema total MA'!I83*K83,0)</f>
        <v>1.546949696229758</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f>IFERROR(100/'Skjema total MA'!C85*C85,0)</f>
        <v>0</v>
      </c>
      <c r="F85" s="278">
        <v>349724</v>
      </c>
      <c r="G85" s="278">
        <v>367486</v>
      </c>
      <c r="H85" s="253">
        <f t="shared" si="14"/>
        <v>5.0999999999999996</v>
      </c>
      <c r="I85" s="412">
        <f>IFERROR(100/'Skjema total MA'!F85*G85,0)</f>
        <v>1.3013873463569534</v>
      </c>
      <c r="J85" s="287">
        <f t="shared" si="15"/>
        <v>349724</v>
      </c>
      <c r="K85" s="287">
        <f t="shared" si="15"/>
        <v>367486</v>
      </c>
      <c r="L85" s="253">
        <f t="shared" si="16"/>
        <v>5.0999999999999996</v>
      </c>
      <c r="M85" s="23">
        <f>IFERROR(100/'Skjema total MA'!I85*K85,0)</f>
        <v>1.3013873463569534</v>
      </c>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v>150641</v>
      </c>
      <c r="C87" s="350">
        <v>153858</v>
      </c>
      <c r="D87" s="171">
        <f t="shared" si="13"/>
        <v>2.1</v>
      </c>
      <c r="E87" s="11">
        <f>IFERROR(100/'Skjema total MA'!C87*C87,0)</f>
        <v>3.9828569197122153E-2</v>
      </c>
      <c r="F87" s="349">
        <v>3134873.1</v>
      </c>
      <c r="G87" s="349">
        <v>3191739</v>
      </c>
      <c r="H87" s="171">
        <f t="shared" si="14"/>
        <v>1.8</v>
      </c>
      <c r="I87" s="11">
        <f>IFERROR(100/'Skjema total MA'!F87*G87,0)</f>
        <v>1.2958212694670372</v>
      </c>
      <c r="J87" s="306">
        <f t="shared" ref="J87:K111" si="19">SUM(B87,F87)</f>
        <v>3285514.1</v>
      </c>
      <c r="K87" s="235">
        <f t="shared" si="19"/>
        <v>3345597</v>
      </c>
      <c r="L87" s="423">
        <f t="shared" si="16"/>
        <v>1.8</v>
      </c>
      <c r="M87" s="11">
        <f>IFERROR(100/'Skjema total MA'!I87*K87,0)</f>
        <v>0.52885556421474655</v>
      </c>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v>150641</v>
      </c>
      <c r="C89" s="145">
        <v>153858</v>
      </c>
      <c r="D89" s="166">
        <f t="shared" si="13"/>
        <v>2.1</v>
      </c>
      <c r="E89" s="27">
        <f>IFERROR(100/'Skjema total MA'!C89*C89,0)</f>
        <v>5.6568312839003649</v>
      </c>
      <c r="F89" s="233">
        <v>3134873.1</v>
      </c>
      <c r="G89" s="145">
        <v>3191739</v>
      </c>
      <c r="H89" s="166">
        <f t="shared" si="14"/>
        <v>1.8</v>
      </c>
      <c r="I89" s="27">
        <f>IFERROR(100/'Skjema total MA'!F89*G89,0)</f>
        <v>1.3011619853630323</v>
      </c>
      <c r="J89" s="284">
        <f t="shared" si="19"/>
        <v>3285514.1</v>
      </c>
      <c r="K89" s="44">
        <f t="shared" si="19"/>
        <v>3345597</v>
      </c>
      <c r="L89" s="253">
        <f t="shared" si="16"/>
        <v>1.8</v>
      </c>
      <c r="M89" s="27">
        <f>IFERROR(100/'Skjema total MA'!I89*K89,0)</f>
        <v>1.3489277595962899</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v>150641</v>
      </c>
      <c r="C93" s="278">
        <v>153858</v>
      </c>
      <c r="D93" s="253">
        <f t="shared" ref="D93" si="20">IF(B93=0, "    ---- ", IF(ABS(ROUND(100/B93*C93-100,1))&lt;999,ROUND(100/B93*C93-100,1),IF(ROUND(100/B93*C93-100,1)&gt;999,999,-999)))</f>
        <v>2.1</v>
      </c>
      <c r="E93" s="27">
        <f>IFERROR(100/'Skjema total MA'!C93*C93,0)</f>
        <v>5.6568312839003649</v>
      </c>
      <c r="F93" s="278">
        <v>3134873.1</v>
      </c>
      <c r="G93" s="278">
        <v>3191739</v>
      </c>
      <c r="H93" s="253">
        <f t="shared" si="14"/>
        <v>1.8</v>
      </c>
      <c r="I93" s="412">
        <f>IFERROR(100/'Skjema total MA'!F93*G93,0)</f>
        <v>1.3018653433734158</v>
      </c>
      <c r="J93" s="287">
        <f t="shared" si="19"/>
        <v>3285514.1</v>
      </c>
      <c r="K93" s="287">
        <f t="shared" si="19"/>
        <v>3345597</v>
      </c>
      <c r="L93" s="253">
        <f t="shared" si="16"/>
        <v>1.8</v>
      </c>
      <c r="M93" s="23">
        <f>IFERROR(100/'Skjema total MA'!I93*K93,0)</f>
        <v>1.3496489372461067</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3134873.1</v>
      </c>
      <c r="G95" s="278">
        <v>3191739</v>
      </c>
      <c r="H95" s="253">
        <f t="shared" si="14"/>
        <v>1.8</v>
      </c>
      <c r="I95" s="412">
        <f>IFERROR(100/'Skjema total MA'!F95*G95,0)</f>
        <v>1.3186325099434417</v>
      </c>
      <c r="J95" s="287">
        <f t="shared" si="19"/>
        <v>3134873.1</v>
      </c>
      <c r="K95" s="287">
        <f t="shared" si="19"/>
        <v>3191739</v>
      </c>
      <c r="L95" s="253">
        <f t="shared" si="16"/>
        <v>1.8</v>
      </c>
      <c r="M95" s="23">
        <f>IFERROR(100/'Skjema total MA'!I95*K95,0)</f>
        <v>1.3186325099434417</v>
      </c>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v>150641</v>
      </c>
      <c r="C98" s="233">
        <v>153858</v>
      </c>
      <c r="D98" s="166">
        <f t="shared" si="13"/>
        <v>2.1</v>
      </c>
      <c r="E98" s="27">
        <f>IFERROR(100/'Skjema total MA'!C98*C98,0)</f>
        <v>4.101565575545172E-2</v>
      </c>
      <c r="F98" s="289">
        <v>3134873.1</v>
      </c>
      <c r="G98" s="289">
        <v>3191739</v>
      </c>
      <c r="H98" s="166">
        <f t="shared" si="14"/>
        <v>1.8</v>
      </c>
      <c r="I98" s="27">
        <f>IFERROR(100/'Skjema total MA'!F98*G98,0)</f>
        <v>1.3047807743278759</v>
      </c>
      <c r="J98" s="284">
        <f t="shared" si="19"/>
        <v>3285514.1</v>
      </c>
      <c r="K98" s="44">
        <f t="shared" si="19"/>
        <v>3345597</v>
      </c>
      <c r="L98" s="253">
        <f t="shared" si="16"/>
        <v>1.8</v>
      </c>
      <c r="M98" s="27">
        <f>IFERROR(100/'Skjema total MA'!I98*K98,0)</f>
        <v>0.53983970033091977</v>
      </c>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v>150641</v>
      </c>
      <c r="C100" s="290">
        <v>153858</v>
      </c>
      <c r="D100" s="166">
        <f t="shared" si="13"/>
        <v>2.1</v>
      </c>
      <c r="E100" s="27">
        <f>IFERROR(100/'Skjema total MA'!C100*C100,0)</f>
        <v>5.6568312839003649</v>
      </c>
      <c r="F100" s="233">
        <v>3134873.1</v>
      </c>
      <c r="G100" s="233">
        <v>3191739</v>
      </c>
      <c r="H100" s="166">
        <f t="shared" si="14"/>
        <v>1.8</v>
      </c>
      <c r="I100" s="27">
        <f>IFERROR(100/'Skjema total MA'!F100*G100,0)</f>
        <v>1.3047807743278759</v>
      </c>
      <c r="J100" s="284">
        <f t="shared" si="19"/>
        <v>3285514.1</v>
      </c>
      <c r="K100" s="44">
        <f t="shared" si="19"/>
        <v>3345597</v>
      </c>
      <c r="L100" s="253">
        <f t="shared" si="16"/>
        <v>1.8</v>
      </c>
      <c r="M100" s="27">
        <f>IFERROR(100/'Skjema total MA'!I100*K100,0)</f>
        <v>1.3526381397406635</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v>150641</v>
      </c>
      <c r="C104" s="278">
        <v>153858</v>
      </c>
      <c r="D104" s="253">
        <f t="shared" ref="D104" si="21">IF(B104=0, "    ---- ", IF(ABS(ROUND(100/B104*C104-100,1))&lt;999,ROUND(100/B104*C104-100,1),IF(ROUND(100/B104*C104-100,1)&gt;999,999,-999)))</f>
        <v>2.1</v>
      </c>
      <c r="E104" s="27">
        <f>IFERROR(100/'Skjema total MA'!C104*C104,0)</f>
        <v>5.6568312839003649</v>
      </c>
      <c r="F104" s="278">
        <v>3134873.1</v>
      </c>
      <c r="G104" s="278">
        <v>3191739</v>
      </c>
      <c r="H104" s="253">
        <f t="shared" si="14"/>
        <v>1.8</v>
      </c>
      <c r="I104" s="412">
        <f>IFERROR(100/'Skjema total MA'!F104*G104,0)</f>
        <v>1.3047807743278759</v>
      </c>
      <c r="J104" s="287">
        <f t="shared" si="19"/>
        <v>3285514.1</v>
      </c>
      <c r="K104" s="287">
        <f t="shared" si="19"/>
        <v>3345597</v>
      </c>
      <c r="L104" s="253">
        <f t="shared" si="16"/>
        <v>1.8</v>
      </c>
      <c r="M104" s="23">
        <f>IFERROR(100/'Skjema total MA'!I104*K104,0)</f>
        <v>1.3526381397406635</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3134873.1</v>
      </c>
      <c r="G106" s="278">
        <v>3191739</v>
      </c>
      <c r="H106" s="253">
        <f t="shared" si="14"/>
        <v>1.8</v>
      </c>
      <c r="I106" s="412">
        <f>IFERROR(100/'Skjema total MA'!F106*G106,0)</f>
        <v>1.3189786369656884</v>
      </c>
      <c r="J106" s="287">
        <f t="shared" si="19"/>
        <v>3134873.1</v>
      </c>
      <c r="K106" s="287">
        <f t="shared" si="19"/>
        <v>3191739</v>
      </c>
      <c r="L106" s="253">
        <f t="shared" si="16"/>
        <v>1.8</v>
      </c>
      <c r="M106" s="23">
        <f>IFERROR(100/'Skjema total MA'!I106*K106,0)</f>
        <v>1.3189786369656884</v>
      </c>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v>1055858</v>
      </c>
      <c r="G109" s="233">
        <v>1078581.8</v>
      </c>
      <c r="H109" s="166">
        <f t="shared" si="14"/>
        <v>2.2000000000000002</v>
      </c>
      <c r="I109" s="27">
        <f>IFERROR(100/'Skjema total MA'!F109*G109,0)</f>
        <v>1.3397637719730493</v>
      </c>
      <c r="J109" s="284">
        <f t="shared" si="19"/>
        <v>1055858</v>
      </c>
      <c r="K109" s="44">
        <f t="shared" si="19"/>
        <v>1078581.8</v>
      </c>
      <c r="L109" s="253">
        <f t="shared" si="16"/>
        <v>2.2000000000000002</v>
      </c>
      <c r="M109" s="27">
        <f>IFERROR(100/'Skjema total MA'!I109*K109,0)</f>
        <v>1.3251881125976619</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v>594.09500000000003</v>
      </c>
      <c r="C111" s="159">
        <v>559</v>
      </c>
      <c r="D111" s="171">
        <f t="shared" si="13"/>
        <v>-5.9</v>
      </c>
      <c r="E111" s="11">
        <f>IFERROR(100/'Skjema total MA'!C111*C111,0)</f>
        <v>0.1035475049742707</v>
      </c>
      <c r="F111" s="305">
        <v>81079.184999999998</v>
      </c>
      <c r="G111" s="159">
        <v>58937</v>
      </c>
      <c r="H111" s="171">
        <f t="shared" si="14"/>
        <v>-27.3</v>
      </c>
      <c r="I111" s="11">
        <f>IFERROR(100/'Skjema total MA'!F111*G111,0)</f>
        <v>0.47161027485230711</v>
      </c>
      <c r="J111" s="306">
        <f t="shared" si="19"/>
        <v>81673.279999999999</v>
      </c>
      <c r="K111" s="235">
        <f t="shared" si="19"/>
        <v>59496</v>
      </c>
      <c r="L111" s="423">
        <f t="shared" si="16"/>
        <v>-27.2</v>
      </c>
      <c r="M111" s="11">
        <f>IFERROR(100/'Skjema total MA'!I111*K111,0)</f>
        <v>0.4563689615592878</v>
      </c>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v>594.09500000000003</v>
      </c>
      <c r="C113" s="145">
        <v>559</v>
      </c>
      <c r="D113" s="166">
        <f t="shared" ref="D113:D121" si="22">IF(B113=0, "    ---- ", IF(ABS(ROUND(100/B113*C113-100,1))&lt;999,ROUND(100/B113*C113-100,1),IF(ROUND(100/B113*C113-100,1)&gt;999,999,-999)))</f>
        <v>-5.9</v>
      </c>
      <c r="E113" s="27">
        <f>IFERROR(100/'Skjema total MA'!C113*C113,0)</f>
        <v>24.131782602822902</v>
      </c>
      <c r="F113" s="233">
        <v>81079.184999999998</v>
      </c>
      <c r="G113" s="145">
        <v>58937</v>
      </c>
      <c r="H113" s="166">
        <f t="shared" ref="H113:H121" si="23">IF(F113=0, "    ---- ", IF(ABS(ROUND(100/F113*G113-100,1))&lt;999,ROUND(100/F113*G113-100,1),IF(ROUND(100/F113*G113-100,1)&gt;999,999,-999)))</f>
        <v>-27.3</v>
      </c>
      <c r="I113" s="27">
        <f>IFERROR(100/'Skjema total MA'!F113*G113,0)</f>
        <v>0.47320437916741304</v>
      </c>
      <c r="J113" s="284">
        <f t="shared" ref="J113:K121" si="24">SUM(B113,F113)</f>
        <v>81673.279999999999</v>
      </c>
      <c r="K113" s="44">
        <f t="shared" si="24"/>
        <v>59496</v>
      </c>
      <c r="L113" s="253">
        <f t="shared" ref="L113:L121" si="25">IF(J113=0, "    ---- ", IF(ABS(ROUND(100/J113*K113-100,1))&lt;999,ROUND(100/J113*K113-100,1),IF(ROUND(100/J113*K113-100,1)&gt;999,999,-999)))</f>
        <v>-27.2</v>
      </c>
      <c r="M113" s="27">
        <f>IFERROR(100/'Skjema total MA'!I113*K113,0)</f>
        <v>0.47760375443744552</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2370.998</v>
      </c>
      <c r="C119" s="159">
        <v>3725</v>
      </c>
      <c r="D119" s="171">
        <f t="shared" si="22"/>
        <v>57.1</v>
      </c>
      <c r="E119" s="11">
        <f>IFERROR(100/'Skjema total MA'!C119*C119,0)</f>
        <v>0.62000318201545035</v>
      </c>
      <c r="F119" s="305">
        <v>121742.42</v>
      </c>
      <c r="G119" s="159">
        <v>125341</v>
      </c>
      <c r="H119" s="171">
        <f t="shared" si="23"/>
        <v>3</v>
      </c>
      <c r="I119" s="11">
        <f>IFERROR(100/'Skjema total MA'!F119*G119,0)</f>
        <v>0.98258209009132447</v>
      </c>
      <c r="J119" s="306">
        <f t="shared" si="24"/>
        <v>124113.41800000001</v>
      </c>
      <c r="K119" s="235">
        <f t="shared" si="24"/>
        <v>129066</v>
      </c>
      <c r="L119" s="423">
        <f t="shared" si="25"/>
        <v>4</v>
      </c>
      <c r="M119" s="11">
        <f>IFERROR(100/'Skjema total MA'!I119*K119,0)</f>
        <v>0.96627325269178532</v>
      </c>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v>2370.998</v>
      </c>
      <c r="C121" s="145">
        <v>3725</v>
      </c>
      <c r="D121" s="166">
        <f t="shared" si="22"/>
        <v>57.1</v>
      </c>
      <c r="E121" s="27">
        <f>IFERROR(100/'Skjema total MA'!C121*C121,0)</f>
        <v>10.509194837346328</v>
      </c>
      <c r="F121" s="233">
        <v>121742.42</v>
      </c>
      <c r="G121" s="145">
        <v>125341</v>
      </c>
      <c r="H121" s="166">
        <f t="shared" si="23"/>
        <v>3</v>
      </c>
      <c r="I121" s="27">
        <f>IFERROR(100/'Skjema total MA'!F121*G121,0)</f>
        <v>0.98258209009132447</v>
      </c>
      <c r="J121" s="284">
        <f t="shared" si="24"/>
        <v>124113.41800000001</v>
      </c>
      <c r="K121" s="44">
        <f t="shared" si="24"/>
        <v>129066</v>
      </c>
      <c r="L121" s="253">
        <f t="shared" si="25"/>
        <v>4</v>
      </c>
      <c r="M121" s="27">
        <f>IFERROR(100/'Skjema total MA'!I121*K121,0)</f>
        <v>1.0089797821486135</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041" priority="139">
      <formula>kvartal &lt; 4</formula>
    </cfRule>
  </conditionalFormatting>
  <conditionalFormatting sqref="B69">
    <cfRule type="expression" dxfId="2040" priority="107">
      <formula>kvartal &lt; 4</formula>
    </cfRule>
  </conditionalFormatting>
  <conditionalFormatting sqref="C69">
    <cfRule type="expression" dxfId="2039" priority="106">
      <formula>kvartal &lt; 4</formula>
    </cfRule>
  </conditionalFormatting>
  <conditionalFormatting sqref="B72">
    <cfRule type="expression" dxfId="2038" priority="105">
      <formula>kvartal &lt; 4</formula>
    </cfRule>
  </conditionalFormatting>
  <conditionalFormatting sqref="C72">
    <cfRule type="expression" dxfId="2037" priority="104">
      <formula>kvartal &lt; 4</formula>
    </cfRule>
  </conditionalFormatting>
  <conditionalFormatting sqref="B80">
    <cfRule type="expression" dxfId="2036" priority="103">
      <formula>kvartal &lt; 4</formula>
    </cfRule>
  </conditionalFormatting>
  <conditionalFormatting sqref="C80">
    <cfRule type="expression" dxfId="2035" priority="102">
      <formula>kvartal &lt; 4</formula>
    </cfRule>
  </conditionalFormatting>
  <conditionalFormatting sqref="B83">
    <cfRule type="expression" dxfId="2034" priority="101">
      <formula>kvartal &lt; 4</formula>
    </cfRule>
  </conditionalFormatting>
  <conditionalFormatting sqref="C83">
    <cfRule type="expression" dxfId="2033" priority="100">
      <formula>kvartal &lt; 4</formula>
    </cfRule>
  </conditionalFormatting>
  <conditionalFormatting sqref="B90">
    <cfRule type="expression" dxfId="2032" priority="91">
      <formula>kvartal &lt; 4</formula>
    </cfRule>
  </conditionalFormatting>
  <conditionalFormatting sqref="C90">
    <cfRule type="expression" dxfId="2031" priority="90">
      <formula>kvartal &lt; 4</formula>
    </cfRule>
  </conditionalFormatting>
  <conditionalFormatting sqref="B93">
    <cfRule type="expression" dxfId="2030" priority="89">
      <formula>kvartal &lt; 4</formula>
    </cfRule>
  </conditionalFormatting>
  <conditionalFormatting sqref="C93">
    <cfRule type="expression" dxfId="2029" priority="88">
      <formula>kvartal &lt; 4</formula>
    </cfRule>
  </conditionalFormatting>
  <conditionalFormatting sqref="B101">
    <cfRule type="expression" dxfId="2028" priority="87">
      <formula>kvartal &lt; 4</formula>
    </cfRule>
  </conditionalFormatting>
  <conditionalFormatting sqref="C101">
    <cfRule type="expression" dxfId="2027" priority="86">
      <formula>kvartal &lt; 4</formula>
    </cfRule>
  </conditionalFormatting>
  <conditionalFormatting sqref="B104">
    <cfRule type="expression" dxfId="2026" priority="85">
      <formula>kvartal &lt; 4</formula>
    </cfRule>
  </conditionalFormatting>
  <conditionalFormatting sqref="C104">
    <cfRule type="expression" dxfId="2025" priority="84">
      <formula>kvartal &lt; 4</formula>
    </cfRule>
  </conditionalFormatting>
  <conditionalFormatting sqref="B115">
    <cfRule type="expression" dxfId="2024" priority="83">
      <formula>kvartal &lt; 4</formula>
    </cfRule>
  </conditionalFormatting>
  <conditionalFormatting sqref="C115">
    <cfRule type="expression" dxfId="2023" priority="82">
      <formula>kvartal &lt; 4</formula>
    </cfRule>
  </conditionalFormatting>
  <conditionalFormatting sqref="B123">
    <cfRule type="expression" dxfId="2022" priority="81">
      <formula>kvartal &lt; 4</formula>
    </cfRule>
  </conditionalFormatting>
  <conditionalFormatting sqref="C123">
    <cfRule type="expression" dxfId="2021" priority="80">
      <formula>kvartal &lt; 4</formula>
    </cfRule>
  </conditionalFormatting>
  <conditionalFormatting sqref="F70">
    <cfRule type="expression" dxfId="2020" priority="79">
      <formula>kvartal &lt; 4</formula>
    </cfRule>
  </conditionalFormatting>
  <conditionalFormatting sqref="G70">
    <cfRule type="expression" dxfId="2019" priority="78">
      <formula>kvartal &lt; 4</formula>
    </cfRule>
  </conditionalFormatting>
  <conditionalFormatting sqref="F71:G71">
    <cfRule type="expression" dxfId="2018" priority="77">
      <formula>kvartal &lt; 4</formula>
    </cfRule>
  </conditionalFormatting>
  <conditionalFormatting sqref="F73:G74">
    <cfRule type="expression" dxfId="2017" priority="76">
      <formula>kvartal &lt; 4</formula>
    </cfRule>
  </conditionalFormatting>
  <conditionalFormatting sqref="F81:G82">
    <cfRule type="expression" dxfId="2016" priority="75">
      <formula>kvartal &lt; 4</formula>
    </cfRule>
  </conditionalFormatting>
  <conditionalFormatting sqref="F84:G85">
    <cfRule type="expression" dxfId="2015" priority="74">
      <formula>kvartal &lt; 4</formula>
    </cfRule>
  </conditionalFormatting>
  <conditionalFormatting sqref="F91:G92">
    <cfRule type="expression" dxfId="2014" priority="69">
      <formula>kvartal &lt; 4</formula>
    </cfRule>
  </conditionalFormatting>
  <conditionalFormatting sqref="F94:G95">
    <cfRule type="expression" dxfId="2013" priority="68">
      <formula>kvartal &lt; 4</formula>
    </cfRule>
  </conditionalFormatting>
  <conditionalFormatting sqref="F102:G103">
    <cfRule type="expression" dxfId="2012" priority="67">
      <formula>kvartal &lt; 4</formula>
    </cfRule>
  </conditionalFormatting>
  <conditionalFormatting sqref="F105:G106">
    <cfRule type="expression" dxfId="2011" priority="66">
      <formula>kvartal &lt; 4</formula>
    </cfRule>
  </conditionalFormatting>
  <conditionalFormatting sqref="F115">
    <cfRule type="expression" dxfId="2010" priority="65">
      <formula>kvartal &lt; 4</formula>
    </cfRule>
  </conditionalFormatting>
  <conditionalFormatting sqref="G115">
    <cfRule type="expression" dxfId="2009" priority="64">
      <formula>kvartal &lt; 4</formula>
    </cfRule>
  </conditionalFormatting>
  <conditionalFormatting sqref="F123:G123">
    <cfRule type="expression" dxfId="2008" priority="63">
      <formula>kvartal &lt; 4</formula>
    </cfRule>
  </conditionalFormatting>
  <conditionalFormatting sqref="F69:G69">
    <cfRule type="expression" dxfId="2007" priority="62">
      <formula>kvartal &lt; 4</formula>
    </cfRule>
  </conditionalFormatting>
  <conditionalFormatting sqref="F72:G72">
    <cfRule type="expression" dxfId="2006" priority="61">
      <formula>kvartal &lt; 4</formula>
    </cfRule>
  </conditionalFormatting>
  <conditionalFormatting sqref="F80:G80">
    <cfRule type="expression" dxfId="2005" priority="60">
      <formula>kvartal &lt; 4</formula>
    </cfRule>
  </conditionalFormatting>
  <conditionalFormatting sqref="F83:G83">
    <cfRule type="expression" dxfId="2004" priority="59">
      <formula>kvartal &lt; 4</formula>
    </cfRule>
  </conditionalFormatting>
  <conditionalFormatting sqref="F90:G90">
    <cfRule type="expression" dxfId="2003" priority="53">
      <formula>kvartal &lt; 4</formula>
    </cfRule>
  </conditionalFormatting>
  <conditionalFormatting sqref="F93">
    <cfRule type="expression" dxfId="2002" priority="52">
      <formula>kvartal &lt; 4</formula>
    </cfRule>
  </conditionalFormatting>
  <conditionalFormatting sqref="G93">
    <cfRule type="expression" dxfId="2001" priority="51">
      <formula>kvartal &lt; 4</formula>
    </cfRule>
  </conditionalFormatting>
  <conditionalFormatting sqref="F101">
    <cfRule type="expression" dxfId="2000" priority="50">
      <formula>kvartal &lt; 4</formula>
    </cfRule>
  </conditionalFormatting>
  <conditionalFormatting sqref="G101">
    <cfRule type="expression" dxfId="1999" priority="49">
      <formula>kvartal &lt; 4</formula>
    </cfRule>
  </conditionalFormatting>
  <conditionalFormatting sqref="G104">
    <cfRule type="expression" dxfId="1998" priority="48">
      <formula>kvartal &lt; 4</formula>
    </cfRule>
  </conditionalFormatting>
  <conditionalFormatting sqref="F104">
    <cfRule type="expression" dxfId="1997" priority="47">
      <formula>kvartal &lt; 4</formula>
    </cfRule>
  </conditionalFormatting>
  <conditionalFormatting sqref="J69">
    <cfRule type="expression" dxfId="1996" priority="46">
      <formula>kvartal &lt; 4</formula>
    </cfRule>
  </conditionalFormatting>
  <conditionalFormatting sqref="A50:A52">
    <cfRule type="expression" dxfId="1995" priority="19">
      <formula>kvartal &lt; 4</formula>
    </cfRule>
  </conditionalFormatting>
  <conditionalFormatting sqref="A69:A74">
    <cfRule type="expression" dxfId="1994" priority="17">
      <formula>kvartal &lt; 4</formula>
    </cfRule>
  </conditionalFormatting>
  <conditionalFormatting sqref="A80:A85">
    <cfRule type="expression" dxfId="1993" priority="16">
      <formula>kvartal &lt; 4</formula>
    </cfRule>
  </conditionalFormatting>
  <conditionalFormatting sqref="A90:A95">
    <cfRule type="expression" dxfId="1992" priority="13">
      <formula>kvartal &lt; 4</formula>
    </cfRule>
  </conditionalFormatting>
  <conditionalFormatting sqref="A101:A106">
    <cfRule type="expression" dxfId="1991" priority="12">
      <formula>kvartal &lt; 4</formula>
    </cfRule>
  </conditionalFormatting>
  <conditionalFormatting sqref="A115">
    <cfRule type="expression" dxfId="1990" priority="11">
      <formula>kvartal &lt; 4</formula>
    </cfRule>
  </conditionalFormatting>
  <conditionalFormatting sqref="A123">
    <cfRule type="expression" dxfId="1989" priority="10">
      <formula>kvartal &lt; 4</formula>
    </cfRule>
  </conditionalFormatting>
  <conditionalFormatting sqref="J70:J74">
    <cfRule type="expression" dxfId="1988" priority="7">
      <formula>kvartal &lt; 4</formula>
    </cfRule>
  </conditionalFormatting>
  <conditionalFormatting sqref="K69:K74">
    <cfRule type="expression" dxfId="1987" priority="6">
      <formula>kvartal &lt; 4</formula>
    </cfRule>
  </conditionalFormatting>
  <conditionalFormatting sqref="J80:K85">
    <cfRule type="expression" dxfId="1986" priority="5">
      <formula>kvartal &lt; 4</formula>
    </cfRule>
  </conditionalFormatting>
  <conditionalFormatting sqref="J90:K95">
    <cfRule type="expression" dxfId="1985" priority="4">
      <formula>kvartal &lt; 4</formula>
    </cfRule>
  </conditionalFormatting>
  <conditionalFormatting sqref="J101:K106">
    <cfRule type="expression" dxfId="1984" priority="3">
      <formula>kvartal &lt; 4</formula>
    </cfRule>
  </conditionalFormatting>
  <conditionalFormatting sqref="J115:K115">
    <cfRule type="expression" dxfId="1983" priority="2">
      <formula>kvartal &lt; 4</formula>
    </cfRule>
  </conditionalFormatting>
  <conditionalFormatting sqref="J123:K123">
    <cfRule type="expression" dxfId="1982" priority="1">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133</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278"/>
      <c r="C22" s="278"/>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35"/>
      <c r="C29" s="235"/>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5631</v>
      </c>
      <c r="C47" s="308">
        <v>7955</v>
      </c>
      <c r="D47" s="422">
        <f t="shared" ref="D47:D57" si="0">IF(B47=0, "    ---- ", IF(ABS(ROUND(100/B47*C47-100,1))&lt;999,ROUND(100/B47*C47-100,1),IF(ROUND(100/B47*C47-100,1)&gt;999,999,-999)))</f>
        <v>41.3</v>
      </c>
      <c r="E47" s="11">
        <f>IFERROR(100/'Skjema total MA'!C47*C47,0)</f>
        <v>0.18950629830864973</v>
      </c>
      <c r="F47" s="145"/>
      <c r="G47" s="33"/>
      <c r="H47" s="159"/>
      <c r="I47" s="159"/>
      <c r="J47" s="37"/>
      <c r="K47" s="37"/>
      <c r="L47" s="159"/>
      <c r="M47" s="159"/>
      <c r="N47" s="148"/>
      <c r="O47" s="148"/>
    </row>
    <row r="48" spans="1:15" s="3" customFormat="1" ht="15.75" x14ac:dyDescent="0.2">
      <c r="A48" s="38" t="s">
        <v>467</v>
      </c>
      <c r="B48" s="278">
        <v>5631</v>
      </c>
      <c r="C48" s="279">
        <v>7955</v>
      </c>
      <c r="D48" s="253">
        <f t="shared" si="0"/>
        <v>41.3</v>
      </c>
      <c r="E48" s="27">
        <f>IFERROR(100/'Skjema total MA'!C48*C48,0)</f>
        <v>0.34023029669945593</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v>1180</v>
      </c>
      <c r="C53" s="308">
        <v>1860</v>
      </c>
      <c r="D53" s="423">
        <f t="shared" si="0"/>
        <v>57.6</v>
      </c>
      <c r="E53" s="11">
        <f>IFERROR(100/'Skjema total MA'!C53*C53,0)</f>
        <v>1.6488824938252011</v>
      </c>
      <c r="F53" s="145"/>
      <c r="G53" s="33"/>
      <c r="H53" s="145"/>
      <c r="I53" s="145"/>
      <c r="J53" s="33"/>
      <c r="K53" s="33"/>
      <c r="L53" s="159"/>
      <c r="M53" s="159"/>
      <c r="N53" s="148"/>
      <c r="O53" s="148"/>
    </row>
    <row r="54" spans="1:15" s="3" customFormat="1" ht="15.75" x14ac:dyDescent="0.2">
      <c r="A54" s="38" t="s">
        <v>467</v>
      </c>
      <c r="B54" s="278">
        <v>1180</v>
      </c>
      <c r="C54" s="279">
        <v>1860</v>
      </c>
      <c r="D54" s="253">
        <f t="shared" si="0"/>
        <v>57.6</v>
      </c>
      <c r="E54" s="27">
        <f>IFERROR(100/'Skjema total MA'!C54*C54,0)</f>
        <v>1.6488824938252011</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0</v>
      </c>
      <c r="C56" s="308">
        <v>325</v>
      </c>
      <c r="D56" s="423" t="str">
        <f t="shared" si="0"/>
        <v xml:space="preserve">    ---- </v>
      </c>
      <c r="E56" s="11">
        <f>IFERROR(100/'Skjema total MA'!C56*C56,0)</f>
        <v>0.27205948502789268</v>
      </c>
      <c r="F56" s="145"/>
      <c r="G56" s="33"/>
      <c r="H56" s="145"/>
      <c r="I56" s="145"/>
      <c r="J56" s="33"/>
      <c r="K56" s="33"/>
      <c r="L56" s="159"/>
      <c r="M56" s="159"/>
      <c r="N56" s="148"/>
      <c r="O56" s="148"/>
    </row>
    <row r="57" spans="1:15" s="3" customFormat="1" ht="15.75" x14ac:dyDescent="0.2">
      <c r="A57" s="38" t="s">
        <v>467</v>
      </c>
      <c r="B57" s="278">
        <v>0</v>
      </c>
      <c r="C57" s="279">
        <v>325</v>
      </c>
      <c r="D57" s="253" t="str">
        <f t="shared" si="0"/>
        <v xml:space="preserve">    ---- </v>
      </c>
      <c r="E57" s="27">
        <f>IFERROR(100/'Skjema total MA'!C57*C57,0)</f>
        <v>0.27205948502789268</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981" priority="139">
      <formula>kvartal &lt; 4</formula>
    </cfRule>
  </conditionalFormatting>
  <conditionalFormatting sqref="B69">
    <cfRule type="expression" dxfId="1980" priority="107">
      <formula>kvartal &lt; 4</formula>
    </cfRule>
  </conditionalFormatting>
  <conditionalFormatting sqref="C69">
    <cfRule type="expression" dxfId="1979" priority="106">
      <formula>kvartal &lt; 4</formula>
    </cfRule>
  </conditionalFormatting>
  <conditionalFormatting sqref="B72">
    <cfRule type="expression" dxfId="1978" priority="105">
      <formula>kvartal &lt; 4</formula>
    </cfRule>
  </conditionalFormatting>
  <conditionalFormatting sqref="C72">
    <cfRule type="expression" dxfId="1977" priority="104">
      <formula>kvartal &lt; 4</formula>
    </cfRule>
  </conditionalFormatting>
  <conditionalFormatting sqref="B80">
    <cfRule type="expression" dxfId="1976" priority="103">
      <formula>kvartal &lt; 4</formula>
    </cfRule>
  </conditionalFormatting>
  <conditionalFormatting sqref="C80">
    <cfRule type="expression" dxfId="1975" priority="102">
      <formula>kvartal &lt; 4</formula>
    </cfRule>
  </conditionalFormatting>
  <conditionalFormatting sqref="B83">
    <cfRule type="expression" dxfId="1974" priority="101">
      <formula>kvartal &lt; 4</formula>
    </cfRule>
  </conditionalFormatting>
  <conditionalFormatting sqref="C83">
    <cfRule type="expression" dxfId="1973" priority="100">
      <formula>kvartal &lt; 4</formula>
    </cfRule>
  </conditionalFormatting>
  <conditionalFormatting sqref="B90">
    <cfRule type="expression" dxfId="1972" priority="91">
      <formula>kvartal &lt; 4</formula>
    </cfRule>
  </conditionalFormatting>
  <conditionalFormatting sqref="C90">
    <cfRule type="expression" dxfId="1971" priority="90">
      <formula>kvartal &lt; 4</formula>
    </cfRule>
  </conditionalFormatting>
  <conditionalFormatting sqref="B93">
    <cfRule type="expression" dxfId="1970" priority="89">
      <formula>kvartal &lt; 4</formula>
    </cfRule>
  </conditionalFormatting>
  <conditionalFormatting sqref="C93">
    <cfRule type="expression" dxfId="1969" priority="88">
      <formula>kvartal &lt; 4</formula>
    </cfRule>
  </conditionalFormatting>
  <conditionalFormatting sqref="B101">
    <cfRule type="expression" dxfId="1968" priority="87">
      <formula>kvartal &lt; 4</formula>
    </cfRule>
  </conditionalFormatting>
  <conditionalFormatting sqref="C101">
    <cfRule type="expression" dxfId="1967" priority="86">
      <formula>kvartal &lt; 4</formula>
    </cfRule>
  </conditionalFormatting>
  <conditionalFormatting sqref="B104">
    <cfRule type="expression" dxfId="1966" priority="85">
      <formula>kvartal &lt; 4</formula>
    </cfRule>
  </conditionalFormatting>
  <conditionalFormatting sqref="C104">
    <cfRule type="expression" dxfId="1965" priority="84">
      <formula>kvartal &lt; 4</formula>
    </cfRule>
  </conditionalFormatting>
  <conditionalFormatting sqref="B115">
    <cfRule type="expression" dxfId="1964" priority="83">
      <formula>kvartal &lt; 4</formula>
    </cfRule>
  </conditionalFormatting>
  <conditionalFormatting sqref="C115">
    <cfRule type="expression" dxfId="1963" priority="82">
      <formula>kvartal &lt; 4</formula>
    </cfRule>
  </conditionalFormatting>
  <conditionalFormatting sqref="B123">
    <cfRule type="expression" dxfId="1962" priority="81">
      <formula>kvartal &lt; 4</formula>
    </cfRule>
  </conditionalFormatting>
  <conditionalFormatting sqref="C123">
    <cfRule type="expression" dxfId="1961" priority="80">
      <formula>kvartal &lt; 4</formula>
    </cfRule>
  </conditionalFormatting>
  <conditionalFormatting sqref="F70">
    <cfRule type="expression" dxfId="1960" priority="79">
      <formula>kvartal &lt; 4</formula>
    </cfRule>
  </conditionalFormatting>
  <conditionalFormatting sqref="G70">
    <cfRule type="expression" dxfId="1959" priority="78">
      <formula>kvartal &lt; 4</formula>
    </cfRule>
  </conditionalFormatting>
  <conditionalFormatting sqref="F71:G71">
    <cfRule type="expression" dxfId="1958" priority="77">
      <formula>kvartal &lt; 4</formula>
    </cfRule>
  </conditionalFormatting>
  <conditionalFormatting sqref="F73:G74">
    <cfRule type="expression" dxfId="1957" priority="76">
      <formula>kvartal &lt; 4</formula>
    </cfRule>
  </conditionalFormatting>
  <conditionalFormatting sqref="F81:G82">
    <cfRule type="expression" dxfId="1956" priority="75">
      <formula>kvartal &lt; 4</formula>
    </cfRule>
  </conditionalFormatting>
  <conditionalFormatting sqref="F84:G85">
    <cfRule type="expression" dxfId="1955" priority="74">
      <formula>kvartal &lt; 4</formula>
    </cfRule>
  </conditionalFormatting>
  <conditionalFormatting sqref="F91:G92">
    <cfRule type="expression" dxfId="1954" priority="69">
      <formula>kvartal &lt; 4</formula>
    </cfRule>
  </conditionalFormatting>
  <conditionalFormatting sqref="F94:G95">
    <cfRule type="expression" dxfId="1953" priority="68">
      <formula>kvartal &lt; 4</formula>
    </cfRule>
  </conditionalFormatting>
  <conditionalFormatting sqref="F102:G103">
    <cfRule type="expression" dxfId="1952" priority="67">
      <formula>kvartal &lt; 4</formula>
    </cfRule>
  </conditionalFormatting>
  <conditionalFormatting sqref="F105:G106">
    <cfRule type="expression" dxfId="1951" priority="66">
      <formula>kvartal &lt; 4</formula>
    </cfRule>
  </conditionalFormatting>
  <conditionalFormatting sqref="F115">
    <cfRule type="expression" dxfId="1950" priority="65">
      <formula>kvartal &lt; 4</formula>
    </cfRule>
  </conditionalFormatting>
  <conditionalFormatting sqref="G115">
    <cfRule type="expression" dxfId="1949" priority="64">
      <formula>kvartal &lt; 4</formula>
    </cfRule>
  </conditionalFormatting>
  <conditionalFormatting sqref="F123:G123">
    <cfRule type="expression" dxfId="1948" priority="63">
      <formula>kvartal &lt; 4</formula>
    </cfRule>
  </conditionalFormatting>
  <conditionalFormatting sqref="F69:G69">
    <cfRule type="expression" dxfId="1947" priority="62">
      <formula>kvartal &lt; 4</formula>
    </cfRule>
  </conditionalFormatting>
  <conditionalFormatting sqref="F72:G72">
    <cfRule type="expression" dxfId="1946" priority="61">
      <formula>kvartal &lt; 4</formula>
    </cfRule>
  </conditionalFormatting>
  <conditionalFormatting sqref="F80:G80">
    <cfRule type="expression" dxfId="1945" priority="60">
      <formula>kvartal &lt; 4</formula>
    </cfRule>
  </conditionalFormatting>
  <conditionalFormatting sqref="F83:G83">
    <cfRule type="expression" dxfId="1944" priority="59">
      <formula>kvartal &lt; 4</formula>
    </cfRule>
  </conditionalFormatting>
  <conditionalFormatting sqref="F90:G90">
    <cfRule type="expression" dxfId="1943" priority="53">
      <formula>kvartal &lt; 4</formula>
    </cfRule>
  </conditionalFormatting>
  <conditionalFormatting sqref="F93">
    <cfRule type="expression" dxfId="1942" priority="52">
      <formula>kvartal &lt; 4</formula>
    </cfRule>
  </conditionalFormatting>
  <conditionalFormatting sqref="G93">
    <cfRule type="expression" dxfId="1941" priority="51">
      <formula>kvartal &lt; 4</formula>
    </cfRule>
  </conditionalFormatting>
  <conditionalFormatting sqref="F101">
    <cfRule type="expression" dxfId="1940" priority="50">
      <formula>kvartal &lt; 4</formula>
    </cfRule>
  </conditionalFormatting>
  <conditionalFormatting sqref="G101">
    <cfRule type="expression" dxfId="1939" priority="49">
      <formula>kvartal &lt; 4</formula>
    </cfRule>
  </conditionalFormatting>
  <conditionalFormatting sqref="G104">
    <cfRule type="expression" dxfId="1938" priority="48">
      <formula>kvartal &lt; 4</formula>
    </cfRule>
  </conditionalFormatting>
  <conditionalFormatting sqref="F104">
    <cfRule type="expression" dxfId="1937" priority="47">
      <formula>kvartal &lt; 4</formula>
    </cfRule>
  </conditionalFormatting>
  <conditionalFormatting sqref="J69">
    <cfRule type="expression" dxfId="1936" priority="46">
      <formula>kvartal &lt; 4</formula>
    </cfRule>
  </conditionalFormatting>
  <conditionalFormatting sqref="A50:A52">
    <cfRule type="expression" dxfId="1935" priority="19">
      <formula>kvartal &lt; 4</formula>
    </cfRule>
  </conditionalFormatting>
  <conditionalFormatting sqref="A69:A74">
    <cfRule type="expression" dxfId="1934" priority="17">
      <formula>kvartal &lt; 4</formula>
    </cfRule>
  </conditionalFormatting>
  <conditionalFormatting sqref="A80:A85">
    <cfRule type="expression" dxfId="1933" priority="16">
      <formula>kvartal &lt; 4</formula>
    </cfRule>
  </conditionalFormatting>
  <conditionalFormatting sqref="A90:A95">
    <cfRule type="expression" dxfId="1932" priority="13">
      <formula>kvartal &lt; 4</formula>
    </cfRule>
  </conditionalFormatting>
  <conditionalFormatting sqref="A101:A106">
    <cfRule type="expression" dxfId="1931" priority="12">
      <formula>kvartal &lt; 4</formula>
    </cfRule>
  </conditionalFormatting>
  <conditionalFormatting sqref="A115">
    <cfRule type="expression" dxfId="1930" priority="11">
      <formula>kvartal &lt; 4</formula>
    </cfRule>
  </conditionalFormatting>
  <conditionalFormatting sqref="A123">
    <cfRule type="expression" dxfId="1929" priority="10">
      <formula>kvartal &lt; 4</formula>
    </cfRule>
  </conditionalFormatting>
  <conditionalFormatting sqref="J70:J74">
    <cfRule type="expression" dxfId="1928" priority="7">
      <formula>kvartal &lt; 4</formula>
    </cfRule>
  </conditionalFormatting>
  <conditionalFormatting sqref="K69:K74">
    <cfRule type="expression" dxfId="1927" priority="6">
      <formula>kvartal &lt; 4</formula>
    </cfRule>
  </conditionalFormatting>
  <conditionalFormatting sqref="J80:K85">
    <cfRule type="expression" dxfId="1926" priority="5">
      <formula>kvartal &lt; 4</formula>
    </cfRule>
  </conditionalFormatting>
  <conditionalFormatting sqref="J90:K95">
    <cfRule type="expression" dxfId="1925" priority="4">
      <formula>kvartal &lt; 4</formula>
    </cfRule>
  </conditionalFormatting>
  <conditionalFormatting sqref="J101:K106">
    <cfRule type="expression" dxfId="1924" priority="3">
      <formula>kvartal &lt; 4</formula>
    </cfRule>
  </conditionalFormatting>
  <conditionalFormatting sqref="J115:K115">
    <cfRule type="expression" dxfId="1923" priority="2">
      <formula>kvartal &lt; 4</formula>
    </cfRule>
  </conditionalFormatting>
  <conditionalFormatting sqref="J123:K123">
    <cfRule type="expression" dxfId="1922"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O144"/>
  <sheetViews>
    <sheetView showGridLines="0" zoomScaleNormal="100" zoomScaleSheetLayoutView="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134</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714136</v>
      </c>
      <c r="C7" s="304">
        <v>721318</v>
      </c>
      <c r="D7" s="347">
        <f>IF(B7=0, "    ---- ", IF(ABS(ROUND(100/B7*C7-100,1))&lt;999,ROUND(100/B7*C7-100,1),IF(ROUND(100/B7*C7-100,1)&gt;999,999,-999)))</f>
        <v>1</v>
      </c>
      <c r="E7" s="11">
        <f>IFERROR(100/'Skjema total MA'!C7*C7,0)</f>
        <v>15.857261404335217</v>
      </c>
      <c r="F7" s="303"/>
      <c r="G7" s="304"/>
      <c r="H7" s="347"/>
      <c r="I7" s="160"/>
      <c r="J7" s="305">
        <f t="shared" ref="J7:K10" si="0">SUM(B7,F7)</f>
        <v>714136</v>
      </c>
      <c r="K7" s="306">
        <f t="shared" si="0"/>
        <v>721318</v>
      </c>
      <c r="L7" s="422">
        <f>IF(J7=0, "    ---- ", IF(ABS(ROUND(100/J7*K7-100,1))&lt;999,ROUND(100/J7*K7-100,1),IF(ROUND(100/J7*K7-100,1)&gt;999,999,-999)))</f>
        <v>1</v>
      </c>
      <c r="M7" s="11">
        <f>IFERROR(100/'Skjema total MA'!I7*K7,0)</f>
        <v>6.1421432982131021</v>
      </c>
      <c r="O7" s="148"/>
    </row>
    <row r="8" spans="1:15" ht="15.75" x14ac:dyDescent="0.2">
      <c r="A8" s="21" t="s">
        <v>25</v>
      </c>
      <c r="B8" s="278">
        <v>410773</v>
      </c>
      <c r="C8" s="279">
        <v>426082</v>
      </c>
      <c r="D8" s="166">
        <f t="shared" ref="D8:D10" si="1">IF(B8=0, "    ---- ", IF(ABS(ROUND(100/B8*C8-100,1))&lt;999,ROUND(100/B8*C8-100,1),IF(ROUND(100/B8*C8-100,1)&gt;999,999,-999)))</f>
        <v>3.7</v>
      </c>
      <c r="E8" s="27">
        <f>IFERROR(100/'Skjema total MA'!C8*C8,0)</f>
        <v>16.143630209602225</v>
      </c>
      <c r="F8" s="282"/>
      <c r="G8" s="283"/>
      <c r="H8" s="166"/>
      <c r="I8" s="175"/>
      <c r="J8" s="233">
        <f t="shared" si="0"/>
        <v>410773</v>
      </c>
      <c r="K8" s="284">
        <f t="shared" si="0"/>
        <v>426082</v>
      </c>
      <c r="L8" s="166">
        <f t="shared" ref="L8:L9" si="2">IF(J8=0, "    ---- ", IF(ABS(ROUND(100/J8*K8-100,1))&lt;999,ROUND(100/J8*K8-100,1),IF(ROUND(100/J8*K8-100,1)&gt;999,999,-999)))</f>
        <v>3.7</v>
      </c>
      <c r="M8" s="27">
        <f>IFERROR(100/'Skjema total MA'!I8*K8,0)</f>
        <v>16.143630209602225</v>
      </c>
      <c r="O8" s="148"/>
    </row>
    <row r="9" spans="1:15" ht="15.75" x14ac:dyDescent="0.2">
      <c r="A9" s="21" t="s">
        <v>24</v>
      </c>
      <c r="B9" s="278">
        <v>303363</v>
      </c>
      <c r="C9" s="279">
        <v>295236</v>
      </c>
      <c r="D9" s="166">
        <f t="shared" si="1"/>
        <v>-2.7</v>
      </c>
      <c r="E9" s="27">
        <f>IFERROR(100/'Skjema total MA'!C9*C9,0)</f>
        <v>30.167785768441775</v>
      </c>
      <c r="F9" s="282"/>
      <c r="G9" s="283"/>
      <c r="H9" s="166"/>
      <c r="I9" s="175"/>
      <c r="J9" s="233">
        <f t="shared" si="0"/>
        <v>303363</v>
      </c>
      <c r="K9" s="284">
        <f t="shared" si="0"/>
        <v>295236</v>
      </c>
      <c r="L9" s="166">
        <f t="shared" si="2"/>
        <v>-2.7</v>
      </c>
      <c r="M9" s="27">
        <f>IFERROR(100/'Skjema total MA'!I9*K9,0)</f>
        <v>30.167785768441775</v>
      </c>
      <c r="O9" s="148"/>
    </row>
    <row r="10" spans="1:15" ht="15.75" x14ac:dyDescent="0.2">
      <c r="A10" s="13" t="s">
        <v>456</v>
      </c>
      <c r="B10" s="307">
        <v>1200643</v>
      </c>
      <c r="C10" s="308">
        <v>1236175</v>
      </c>
      <c r="D10" s="171">
        <f t="shared" si="1"/>
        <v>3</v>
      </c>
      <c r="E10" s="11">
        <f>IFERROR(100/'Skjema total MA'!C10*C10,0)</f>
        <v>5.5038300124709787</v>
      </c>
      <c r="F10" s="307"/>
      <c r="G10" s="308"/>
      <c r="H10" s="171"/>
      <c r="I10" s="160"/>
      <c r="J10" s="305">
        <f t="shared" si="0"/>
        <v>1200643</v>
      </c>
      <c r="K10" s="306">
        <f t="shared" si="0"/>
        <v>1236175</v>
      </c>
      <c r="L10" s="423">
        <f t="shared" ref="L10" si="3">IF(J10=0, "    ---- ", IF(ABS(ROUND(100/J10*K10-100,1))&lt;999,ROUND(100/J10*K10-100,1),IF(ROUND(100/J10*K10-100,1)&gt;999,999,-999)))</f>
        <v>3</v>
      </c>
      <c r="M10" s="11">
        <f>IFERROR(100/'Skjema total MA'!I10*K10,0)</f>
        <v>1.9275591034815573</v>
      </c>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278"/>
      <c r="C22" s="278"/>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35"/>
      <c r="C29" s="235"/>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814731</v>
      </c>
      <c r="C47" s="308">
        <v>839040</v>
      </c>
      <c r="D47" s="422">
        <f t="shared" ref="D47:D58" si="4">IF(B47=0, "    ---- ", IF(ABS(ROUND(100/B47*C47-100,1))&lt;999,ROUND(100/B47*C47-100,1),IF(ROUND(100/B47*C47-100,1)&gt;999,999,-999)))</f>
        <v>3</v>
      </c>
      <c r="E47" s="11">
        <f>IFERROR(100/'Skjema total MA'!C47*C47,0)</f>
        <v>19.987852235435511</v>
      </c>
      <c r="F47" s="145"/>
      <c r="G47" s="33"/>
      <c r="H47" s="159"/>
      <c r="I47" s="159"/>
      <c r="J47" s="37"/>
      <c r="K47" s="37"/>
      <c r="L47" s="159"/>
      <c r="M47" s="159"/>
      <c r="N47" s="148"/>
      <c r="O47" s="148"/>
    </row>
    <row r="48" spans="1:15" s="3" customFormat="1" ht="15.75" x14ac:dyDescent="0.2">
      <c r="A48" s="38" t="s">
        <v>467</v>
      </c>
      <c r="B48" s="278">
        <v>495693</v>
      </c>
      <c r="C48" s="279">
        <v>505201</v>
      </c>
      <c r="D48" s="253">
        <f t="shared" si="4"/>
        <v>1.9</v>
      </c>
      <c r="E48" s="27">
        <f>IFERROR(100/'Skjema total MA'!C48*C48,0)</f>
        <v>21.607125848254157</v>
      </c>
      <c r="F48" s="145"/>
      <c r="G48" s="33"/>
      <c r="H48" s="145"/>
      <c r="I48" s="145"/>
      <c r="J48" s="33"/>
      <c r="K48" s="33"/>
      <c r="L48" s="159"/>
      <c r="M48" s="159"/>
      <c r="N48" s="148"/>
      <c r="O48" s="148"/>
    </row>
    <row r="49" spans="1:15" s="3" customFormat="1" ht="15.75" x14ac:dyDescent="0.2">
      <c r="A49" s="38" t="s">
        <v>468</v>
      </c>
      <c r="B49" s="44">
        <v>319038</v>
      </c>
      <c r="C49" s="284">
        <v>333839</v>
      </c>
      <c r="D49" s="253">
        <f>IF(B49=0, "    ---- ", IF(ABS(ROUND(100/B49*C49-100,1))&lt;999,ROUND(100/B49*C49-100,1),IF(ROUND(100/B49*C49-100,1)&gt;999,999,-999)))</f>
        <v>4.5999999999999996</v>
      </c>
      <c r="E49" s="27">
        <f>IFERROR(100/'Skjema total MA'!C49*C49,0)</f>
        <v>17.951928616168967</v>
      </c>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v>271213</v>
      </c>
      <c r="C51" s="288">
        <v>289635</v>
      </c>
      <c r="D51" s="253">
        <f t="shared" ref="D51:D52" si="5">IF(B51=0, "    ---- ", IF(ABS(ROUND(100/B51*C51-100,1))&lt;999,ROUND(100/B51*C51-100,1),IF(ROUND(100/B51*C51-100,1)&gt;999,999,-999)))</f>
        <v>6.8</v>
      </c>
      <c r="E51" s="27">
        <f>IFERROR(100/'Skjema total MA'!C51*C51,0)</f>
        <v>18.344665644397871</v>
      </c>
      <c r="F51" s="145"/>
      <c r="G51" s="33"/>
      <c r="H51" s="145"/>
      <c r="I51" s="145"/>
      <c r="J51" s="33"/>
      <c r="K51" s="33"/>
      <c r="L51" s="159"/>
      <c r="M51" s="159"/>
      <c r="N51" s="148"/>
      <c r="O51" s="148"/>
    </row>
    <row r="52" spans="1:15" s="3" customFormat="1" x14ac:dyDescent="0.2">
      <c r="A52" s="293" t="s">
        <v>8</v>
      </c>
      <c r="B52" s="287">
        <v>47825</v>
      </c>
      <c r="C52" s="288">
        <v>44204</v>
      </c>
      <c r="D52" s="253">
        <f t="shared" si="5"/>
        <v>-7.6</v>
      </c>
      <c r="E52" s="27">
        <f>IFERROR(100/'Skjema total MA'!C52*C52,0)</f>
        <v>15.870844047148793</v>
      </c>
      <c r="F52" s="145"/>
      <c r="G52" s="33"/>
      <c r="H52" s="145"/>
      <c r="I52" s="145"/>
      <c r="J52" s="33"/>
      <c r="K52" s="33"/>
      <c r="L52" s="159"/>
      <c r="M52" s="159"/>
      <c r="N52" s="148"/>
      <c r="O52" s="148"/>
    </row>
    <row r="53" spans="1:15" s="3" customFormat="1" ht="15.75" x14ac:dyDescent="0.2">
      <c r="A53" s="39" t="s">
        <v>469</v>
      </c>
      <c r="B53" s="307">
        <v>106458</v>
      </c>
      <c r="C53" s="308">
        <v>54126</v>
      </c>
      <c r="D53" s="423">
        <f t="shared" si="4"/>
        <v>-49.2</v>
      </c>
      <c r="E53" s="11">
        <f>IFERROR(100/'Skjema total MA'!C53*C53,0)</f>
        <v>47.982480570313349</v>
      </c>
      <c r="F53" s="145"/>
      <c r="G53" s="33"/>
      <c r="H53" s="145"/>
      <c r="I53" s="145"/>
      <c r="J53" s="33"/>
      <c r="K53" s="33"/>
      <c r="L53" s="159"/>
      <c r="M53" s="159"/>
      <c r="N53" s="148"/>
      <c r="O53" s="148"/>
    </row>
    <row r="54" spans="1:15" s="3" customFormat="1" ht="15.75" x14ac:dyDescent="0.2">
      <c r="A54" s="38" t="s">
        <v>467</v>
      </c>
      <c r="B54" s="278">
        <v>51292</v>
      </c>
      <c r="C54" s="279">
        <v>54126</v>
      </c>
      <c r="D54" s="253">
        <f t="shared" si="4"/>
        <v>5.5</v>
      </c>
      <c r="E54" s="27">
        <f>IFERROR(100/'Skjema total MA'!C54*C54,0)</f>
        <v>47.982480570313349</v>
      </c>
      <c r="F54" s="145"/>
      <c r="G54" s="33"/>
      <c r="H54" s="145"/>
      <c r="I54" s="145"/>
      <c r="J54" s="33"/>
      <c r="K54" s="33"/>
      <c r="L54" s="159"/>
      <c r="M54" s="159"/>
      <c r="N54" s="148"/>
      <c r="O54" s="148"/>
    </row>
    <row r="55" spans="1:15" s="3" customFormat="1" ht="15.75" x14ac:dyDescent="0.2">
      <c r="A55" s="38" t="s">
        <v>468</v>
      </c>
      <c r="B55" s="278">
        <v>55166</v>
      </c>
      <c r="C55" s="279">
        <v>0</v>
      </c>
      <c r="D55" s="253">
        <f t="shared" si="4"/>
        <v>-100</v>
      </c>
      <c r="E55" s="27">
        <f>IFERROR(100/'Skjema total MA'!C55*C55,0)</f>
        <v>0</v>
      </c>
      <c r="F55" s="145"/>
      <c r="G55" s="33"/>
      <c r="H55" s="145"/>
      <c r="I55" s="145"/>
      <c r="J55" s="33"/>
      <c r="K55" s="33"/>
      <c r="L55" s="159"/>
      <c r="M55" s="159"/>
      <c r="N55" s="148"/>
      <c r="O55" s="148"/>
    </row>
    <row r="56" spans="1:15" s="3" customFormat="1" ht="15.75" x14ac:dyDescent="0.2">
      <c r="A56" s="39" t="s">
        <v>470</v>
      </c>
      <c r="B56" s="307">
        <v>113086</v>
      </c>
      <c r="C56" s="308">
        <v>41615</v>
      </c>
      <c r="D56" s="423">
        <f t="shared" si="4"/>
        <v>-63.2</v>
      </c>
      <c r="E56" s="11">
        <f>IFERROR(100/'Skjema total MA'!C56*C56,0)</f>
        <v>34.836170675186935</v>
      </c>
      <c r="F56" s="145"/>
      <c r="G56" s="33"/>
      <c r="H56" s="145"/>
      <c r="I56" s="145"/>
      <c r="J56" s="33"/>
      <c r="K56" s="33"/>
      <c r="L56" s="159"/>
      <c r="M56" s="159"/>
      <c r="N56" s="148"/>
      <c r="O56" s="148"/>
    </row>
    <row r="57" spans="1:15" s="3" customFormat="1" ht="15.75" x14ac:dyDescent="0.2">
      <c r="A57" s="38" t="s">
        <v>467</v>
      </c>
      <c r="B57" s="278">
        <v>55469</v>
      </c>
      <c r="C57" s="279">
        <v>41615</v>
      </c>
      <c r="D57" s="253">
        <f t="shared" si="4"/>
        <v>-25</v>
      </c>
      <c r="E57" s="27">
        <f>IFERROR(100/'Skjema total MA'!C57*C57,0)</f>
        <v>34.836170675186935</v>
      </c>
      <c r="F57" s="145"/>
      <c r="G57" s="33"/>
      <c r="H57" s="145"/>
      <c r="I57" s="145"/>
      <c r="J57" s="33"/>
      <c r="K57" s="33"/>
      <c r="L57" s="159"/>
      <c r="M57" s="159"/>
      <c r="N57" s="148"/>
      <c r="O57" s="148"/>
    </row>
    <row r="58" spans="1:15" s="3" customFormat="1" ht="15.75" x14ac:dyDescent="0.2">
      <c r="A58" s="46" t="s">
        <v>468</v>
      </c>
      <c r="B58" s="280">
        <v>57617</v>
      </c>
      <c r="C58" s="281">
        <v>0</v>
      </c>
      <c r="D58" s="254">
        <f t="shared" si="4"/>
        <v>-100</v>
      </c>
      <c r="E58" s="22">
        <f>IFERROR(100/'Skjema total MA'!C58*C58,0)</f>
        <v>0</v>
      </c>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921" priority="139">
      <formula>kvartal &lt; 4</formula>
    </cfRule>
  </conditionalFormatting>
  <conditionalFormatting sqref="B69">
    <cfRule type="expression" dxfId="1920" priority="107">
      <formula>kvartal &lt; 4</formula>
    </cfRule>
  </conditionalFormatting>
  <conditionalFormatting sqref="C69">
    <cfRule type="expression" dxfId="1919" priority="106">
      <formula>kvartal &lt; 4</formula>
    </cfRule>
  </conditionalFormatting>
  <conditionalFormatting sqref="B72">
    <cfRule type="expression" dxfId="1918" priority="105">
      <formula>kvartal &lt; 4</formula>
    </cfRule>
  </conditionalFormatting>
  <conditionalFormatting sqref="C72">
    <cfRule type="expression" dxfId="1917" priority="104">
      <formula>kvartal &lt; 4</formula>
    </cfRule>
  </conditionalFormatting>
  <conditionalFormatting sqref="B80">
    <cfRule type="expression" dxfId="1916" priority="103">
      <formula>kvartal &lt; 4</formula>
    </cfRule>
  </conditionalFormatting>
  <conditionalFormatting sqref="C80">
    <cfRule type="expression" dxfId="1915" priority="102">
      <formula>kvartal &lt; 4</formula>
    </cfRule>
  </conditionalFormatting>
  <conditionalFormatting sqref="B83">
    <cfRule type="expression" dxfId="1914" priority="101">
      <formula>kvartal &lt; 4</formula>
    </cfRule>
  </conditionalFormatting>
  <conditionalFormatting sqref="C83">
    <cfRule type="expression" dxfId="1913" priority="100">
      <formula>kvartal &lt; 4</formula>
    </cfRule>
  </conditionalFormatting>
  <conditionalFormatting sqref="B90">
    <cfRule type="expression" dxfId="1912" priority="91">
      <formula>kvartal &lt; 4</formula>
    </cfRule>
  </conditionalFormatting>
  <conditionalFormatting sqref="C90">
    <cfRule type="expression" dxfId="1911" priority="90">
      <formula>kvartal &lt; 4</formula>
    </cfRule>
  </conditionalFormatting>
  <conditionalFormatting sqref="B93">
    <cfRule type="expression" dxfId="1910" priority="89">
      <formula>kvartal &lt; 4</formula>
    </cfRule>
  </conditionalFormatting>
  <conditionalFormatting sqref="C93">
    <cfRule type="expression" dxfId="1909" priority="88">
      <formula>kvartal &lt; 4</formula>
    </cfRule>
  </conditionalFormatting>
  <conditionalFormatting sqref="B101">
    <cfRule type="expression" dxfId="1908" priority="87">
      <formula>kvartal &lt; 4</formula>
    </cfRule>
  </conditionalFormatting>
  <conditionalFormatting sqref="C101">
    <cfRule type="expression" dxfId="1907" priority="86">
      <formula>kvartal &lt; 4</formula>
    </cfRule>
  </conditionalFormatting>
  <conditionalFormatting sqref="B104">
    <cfRule type="expression" dxfId="1906" priority="85">
      <formula>kvartal &lt; 4</formula>
    </cfRule>
  </conditionalFormatting>
  <conditionalFormatting sqref="C104">
    <cfRule type="expression" dxfId="1905" priority="84">
      <formula>kvartal &lt; 4</formula>
    </cfRule>
  </conditionalFormatting>
  <conditionalFormatting sqref="B115">
    <cfRule type="expression" dxfId="1904" priority="83">
      <formula>kvartal &lt; 4</formula>
    </cfRule>
  </conditionalFormatting>
  <conditionalFormatting sqref="C115">
    <cfRule type="expression" dxfId="1903" priority="82">
      <formula>kvartal &lt; 4</formula>
    </cfRule>
  </conditionalFormatting>
  <conditionalFormatting sqref="B123">
    <cfRule type="expression" dxfId="1902" priority="81">
      <formula>kvartal &lt; 4</formula>
    </cfRule>
  </conditionalFormatting>
  <conditionalFormatting sqref="C123">
    <cfRule type="expression" dxfId="1901" priority="80">
      <formula>kvartal &lt; 4</formula>
    </cfRule>
  </conditionalFormatting>
  <conditionalFormatting sqref="F70">
    <cfRule type="expression" dxfId="1900" priority="79">
      <formula>kvartal &lt; 4</formula>
    </cfRule>
  </conditionalFormatting>
  <conditionalFormatting sqref="G70">
    <cfRule type="expression" dxfId="1899" priority="78">
      <formula>kvartal &lt; 4</formula>
    </cfRule>
  </conditionalFormatting>
  <conditionalFormatting sqref="F71:G71">
    <cfRule type="expression" dxfId="1898" priority="77">
      <formula>kvartal &lt; 4</formula>
    </cfRule>
  </conditionalFormatting>
  <conditionalFormatting sqref="F73:G74">
    <cfRule type="expression" dxfId="1897" priority="76">
      <formula>kvartal &lt; 4</formula>
    </cfRule>
  </conditionalFormatting>
  <conditionalFormatting sqref="F81:G82">
    <cfRule type="expression" dxfId="1896" priority="75">
      <formula>kvartal &lt; 4</formula>
    </cfRule>
  </conditionalFormatting>
  <conditionalFormatting sqref="F84:G85">
    <cfRule type="expression" dxfId="1895" priority="74">
      <formula>kvartal &lt; 4</formula>
    </cfRule>
  </conditionalFormatting>
  <conditionalFormatting sqref="F91:G92">
    <cfRule type="expression" dxfId="1894" priority="69">
      <formula>kvartal &lt; 4</formula>
    </cfRule>
  </conditionalFormatting>
  <conditionalFormatting sqref="F94:G95">
    <cfRule type="expression" dxfId="1893" priority="68">
      <formula>kvartal &lt; 4</formula>
    </cfRule>
  </conditionalFormatting>
  <conditionalFormatting sqref="F102:G103">
    <cfRule type="expression" dxfId="1892" priority="67">
      <formula>kvartal &lt; 4</formula>
    </cfRule>
  </conditionalFormatting>
  <conditionalFormatting sqref="F105:G106">
    <cfRule type="expression" dxfId="1891" priority="66">
      <formula>kvartal &lt; 4</formula>
    </cfRule>
  </conditionalFormatting>
  <conditionalFormatting sqref="F115">
    <cfRule type="expression" dxfId="1890" priority="65">
      <formula>kvartal &lt; 4</formula>
    </cfRule>
  </conditionalFormatting>
  <conditionalFormatting sqref="G115">
    <cfRule type="expression" dxfId="1889" priority="64">
      <formula>kvartal &lt; 4</formula>
    </cfRule>
  </conditionalFormatting>
  <conditionalFormatting sqref="F123:G123">
    <cfRule type="expression" dxfId="1888" priority="63">
      <formula>kvartal &lt; 4</formula>
    </cfRule>
  </conditionalFormatting>
  <conditionalFormatting sqref="F69:G69">
    <cfRule type="expression" dxfId="1887" priority="62">
      <formula>kvartal &lt; 4</formula>
    </cfRule>
  </conditionalFormatting>
  <conditionalFormatting sqref="F72:G72">
    <cfRule type="expression" dxfId="1886" priority="61">
      <formula>kvartal &lt; 4</formula>
    </cfRule>
  </conditionalFormatting>
  <conditionalFormatting sqref="F80:G80">
    <cfRule type="expression" dxfId="1885" priority="60">
      <formula>kvartal &lt; 4</formula>
    </cfRule>
  </conditionalFormatting>
  <conditionalFormatting sqref="F83:G83">
    <cfRule type="expression" dxfId="1884" priority="59">
      <formula>kvartal &lt; 4</formula>
    </cfRule>
  </conditionalFormatting>
  <conditionalFormatting sqref="F90:G90">
    <cfRule type="expression" dxfId="1883" priority="53">
      <formula>kvartal &lt; 4</formula>
    </cfRule>
  </conditionalFormatting>
  <conditionalFormatting sqref="F93">
    <cfRule type="expression" dxfId="1882" priority="52">
      <formula>kvartal &lt; 4</formula>
    </cfRule>
  </conditionalFormatting>
  <conditionalFormatting sqref="G93">
    <cfRule type="expression" dxfId="1881" priority="51">
      <formula>kvartal &lt; 4</formula>
    </cfRule>
  </conditionalFormatting>
  <conditionalFormatting sqref="F101">
    <cfRule type="expression" dxfId="1880" priority="50">
      <formula>kvartal &lt; 4</formula>
    </cfRule>
  </conditionalFormatting>
  <conditionalFormatting sqref="G101">
    <cfRule type="expression" dxfId="1879" priority="49">
      <formula>kvartal &lt; 4</formula>
    </cfRule>
  </conditionalFormatting>
  <conditionalFormatting sqref="G104">
    <cfRule type="expression" dxfId="1878" priority="48">
      <formula>kvartal &lt; 4</formula>
    </cfRule>
  </conditionalFormatting>
  <conditionalFormatting sqref="F104">
    <cfRule type="expression" dxfId="1877" priority="47">
      <formula>kvartal &lt; 4</formula>
    </cfRule>
  </conditionalFormatting>
  <conditionalFormatting sqref="J69">
    <cfRule type="expression" dxfId="1876" priority="46">
      <formula>kvartal &lt; 4</formula>
    </cfRule>
  </conditionalFormatting>
  <conditionalFormatting sqref="A50:A52">
    <cfRule type="expression" dxfId="1875" priority="19">
      <formula>kvartal &lt; 4</formula>
    </cfRule>
  </conditionalFormatting>
  <conditionalFormatting sqref="A69:A74">
    <cfRule type="expression" dxfId="1874" priority="17">
      <formula>kvartal &lt; 4</formula>
    </cfRule>
  </conditionalFormatting>
  <conditionalFormatting sqref="A80:A85">
    <cfRule type="expression" dxfId="1873" priority="16">
      <formula>kvartal &lt; 4</formula>
    </cfRule>
  </conditionalFormatting>
  <conditionalFormatting sqref="A90:A95">
    <cfRule type="expression" dxfId="1872" priority="13">
      <formula>kvartal &lt; 4</formula>
    </cfRule>
  </conditionalFormatting>
  <conditionalFormatting sqref="A101:A106">
    <cfRule type="expression" dxfId="1871" priority="12">
      <formula>kvartal &lt; 4</formula>
    </cfRule>
  </conditionalFormatting>
  <conditionalFormatting sqref="A115">
    <cfRule type="expression" dxfId="1870" priority="11">
      <formula>kvartal &lt; 4</formula>
    </cfRule>
  </conditionalFormatting>
  <conditionalFormatting sqref="A123">
    <cfRule type="expression" dxfId="1869" priority="10">
      <formula>kvartal &lt; 4</formula>
    </cfRule>
  </conditionalFormatting>
  <conditionalFormatting sqref="J70:J74">
    <cfRule type="expression" dxfId="1868" priority="7">
      <formula>kvartal &lt; 4</formula>
    </cfRule>
  </conditionalFormatting>
  <conditionalFormatting sqref="K69:K74">
    <cfRule type="expression" dxfId="1867" priority="6">
      <formula>kvartal &lt; 4</formula>
    </cfRule>
  </conditionalFormatting>
  <conditionalFormatting sqref="J80:K85">
    <cfRule type="expression" dxfId="1866" priority="5">
      <formula>kvartal &lt; 4</formula>
    </cfRule>
  </conditionalFormatting>
  <conditionalFormatting sqref="J90:K95">
    <cfRule type="expression" dxfId="1865" priority="4">
      <formula>kvartal &lt; 4</formula>
    </cfRule>
  </conditionalFormatting>
  <conditionalFormatting sqref="J101:K106">
    <cfRule type="expression" dxfId="1864" priority="3">
      <formula>kvartal &lt; 4</formula>
    </cfRule>
  </conditionalFormatting>
  <conditionalFormatting sqref="J115:K115">
    <cfRule type="expression" dxfId="1863" priority="2">
      <formula>kvartal &lt; 4</formula>
    </cfRule>
  </conditionalFormatting>
  <conditionalFormatting sqref="J123:K123">
    <cfRule type="expression" dxfId="1862" priority="1">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833" t="s">
        <v>135</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v>141496</v>
      </c>
      <c r="G7" s="304">
        <v>89619</v>
      </c>
      <c r="H7" s="347">
        <f>IF(F7=0, "    ---- ", IF(ABS(ROUND(100/F7*G7-100,1))&lt;999,ROUND(100/F7*G7-100,1),IF(ROUND(100/F7*G7-100,1)&gt;999,999,-999)))</f>
        <v>-36.700000000000003</v>
      </c>
      <c r="I7" s="160">
        <f>IFERROR(100/'Skjema total MA'!F7*G7,0)</f>
        <v>1.2455849985138769</v>
      </c>
      <c r="J7" s="305">
        <f t="shared" ref="J7:K12" si="0">SUM(B7,F7)</f>
        <v>141496</v>
      </c>
      <c r="K7" s="306">
        <f t="shared" si="0"/>
        <v>89619</v>
      </c>
      <c r="L7" s="422">
        <f>IF(J7=0, "    ---- ", IF(ABS(ROUND(100/J7*K7-100,1))&lt;999,ROUND(100/J7*K7-100,1),IF(ROUND(100/J7*K7-100,1)&gt;999,999,-999)))</f>
        <v>-36.700000000000003</v>
      </c>
      <c r="M7" s="11">
        <f>IFERROR(100/'Skjema total MA'!I7*K7,0)</f>
        <v>0.76312075983485783</v>
      </c>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v>517631</v>
      </c>
      <c r="G10" s="308">
        <v>521336</v>
      </c>
      <c r="H10" s="171">
        <f t="shared" ref="H10:H12" si="1">IF(F10=0, "    ---- ", IF(ABS(ROUND(100/F10*G10-100,1))&lt;999,ROUND(100/F10*G10-100,1),IF(ROUND(100/F10*G10-100,1)&gt;999,999,-999)))</f>
        <v>0.7</v>
      </c>
      <c r="I10" s="160">
        <f>IFERROR(100/'Skjema total MA'!F10*G10,0)</f>
        <v>1.2510655482948954</v>
      </c>
      <c r="J10" s="305">
        <f t="shared" si="0"/>
        <v>517631</v>
      </c>
      <c r="K10" s="306">
        <f t="shared" si="0"/>
        <v>521336</v>
      </c>
      <c r="L10" s="423">
        <f t="shared" ref="L10:L12" si="2">IF(J10=0, "    ---- ", IF(ABS(ROUND(100/J10*K10-100,1))&lt;999,ROUND(100/J10*K10-100,1),IF(ROUND(100/J10*K10-100,1)&gt;999,999,-999)))</f>
        <v>0.7</v>
      </c>
      <c r="M10" s="11">
        <f>IFERROR(100/'Skjema total MA'!I10*K10,0)</f>
        <v>0.8129156088520324</v>
      </c>
      <c r="O10" s="148"/>
    </row>
    <row r="11" spans="1:15" s="43" customFormat="1" ht="15.75" x14ac:dyDescent="0.2">
      <c r="A11" s="13" t="s">
        <v>457</v>
      </c>
      <c r="B11" s="307"/>
      <c r="C11" s="308"/>
      <c r="D11" s="171"/>
      <c r="E11" s="11"/>
      <c r="F11" s="307">
        <v>8036</v>
      </c>
      <c r="G11" s="308">
        <v>5995</v>
      </c>
      <c r="H11" s="171">
        <f t="shared" si="1"/>
        <v>-25.4</v>
      </c>
      <c r="I11" s="160">
        <f>IFERROR(100/'Skjema total MA'!F11*G11,0)</f>
        <v>2.059304236649997</v>
      </c>
      <c r="J11" s="305">
        <f t="shared" si="0"/>
        <v>8036</v>
      </c>
      <c r="K11" s="306">
        <f t="shared" si="0"/>
        <v>5995</v>
      </c>
      <c r="L11" s="423">
        <f t="shared" si="2"/>
        <v>-25.4</v>
      </c>
      <c r="M11" s="11">
        <f>IFERROR(100/'Skjema total MA'!I11*K11,0)</f>
        <v>1.8957496303702628</v>
      </c>
      <c r="N11" s="143"/>
      <c r="O11" s="148"/>
    </row>
    <row r="12" spans="1:15" s="43" customFormat="1" ht="15.75" x14ac:dyDescent="0.2">
      <c r="A12" s="41" t="s">
        <v>458</v>
      </c>
      <c r="B12" s="309"/>
      <c r="C12" s="310"/>
      <c r="D12" s="169"/>
      <c r="E12" s="36"/>
      <c r="F12" s="309">
        <v>565</v>
      </c>
      <c r="G12" s="310">
        <v>4863</v>
      </c>
      <c r="H12" s="169">
        <f t="shared" si="1"/>
        <v>760.7</v>
      </c>
      <c r="I12" s="169">
        <f>IFERROR(100/'Skjema total MA'!F12*G12,0)</f>
        <v>1.9835783157816627</v>
      </c>
      <c r="J12" s="311">
        <f t="shared" si="0"/>
        <v>565</v>
      </c>
      <c r="K12" s="312">
        <f t="shared" si="0"/>
        <v>4863</v>
      </c>
      <c r="L12" s="424">
        <f t="shared" si="2"/>
        <v>760.7</v>
      </c>
      <c r="M12" s="36">
        <f>IFERROR(100/'Skjema total MA'!I12*K12,0)</f>
        <v>1.9614565943072479</v>
      </c>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v>315619</v>
      </c>
      <c r="C22" s="313">
        <v>354168</v>
      </c>
      <c r="D22" s="347">
        <f t="shared" ref="D22:D30" si="3">IF(B22=0, "    ---- ", IF(ABS(ROUND(100/B22*C22-100,1))&lt;999,ROUND(100/B22*C22-100,1),IF(ROUND(100/B22*C22-100,1)&gt;999,999,-999)))</f>
        <v>12.2</v>
      </c>
      <c r="E22" s="11">
        <f>IFERROR(100/'Skjema total MA'!C22*C22,0)</f>
        <v>22.393730768633763</v>
      </c>
      <c r="F22" s="313">
        <v>85763</v>
      </c>
      <c r="G22" s="313">
        <v>86272</v>
      </c>
      <c r="H22" s="347">
        <f t="shared" ref="H22:H35" si="4">IF(F22=0, "    ---- ", IF(ABS(ROUND(100/F22*G22-100,1))&lt;999,ROUND(100/F22*G22-100,1),IF(ROUND(100/F22*G22-100,1)&gt;999,999,-999)))</f>
        <v>0.6</v>
      </c>
      <c r="I22" s="11">
        <f>IFERROR(100/'Skjema total MA'!F22*G22,0)</f>
        <v>6.7814091094398243</v>
      </c>
      <c r="J22" s="313">
        <f t="shared" ref="J22:K35" si="5">SUM(B22,F22)</f>
        <v>401382</v>
      </c>
      <c r="K22" s="313">
        <f t="shared" si="5"/>
        <v>440440</v>
      </c>
      <c r="L22" s="422">
        <f t="shared" ref="L22:L35" si="6">IF(J22=0, "    ---- ", IF(ABS(ROUND(100/J22*K22-100,1))&lt;999,ROUND(100/J22*K22-100,1),IF(ROUND(100/J22*K22-100,1)&gt;999,999,-999)))</f>
        <v>9.6999999999999993</v>
      </c>
      <c r="M22" s="422">
        <f>IFERROR(100/'Skjema total MA'!I22*K22,0)</f>
        <v>15.433815399058332</v>
      </c>
      <c r="O22" s="148"/>
    </row>
    <row r="23" spans="1:15" ht="15.75" x14ac:dyDescent="0.2">
      <c r="A23" s="834" t="s">
        <v>459</v>
      </c>
      <c r="B23" s="278">
        <v>315619</v>
      </c>
      <c r="C23" s="278">
        <v>354168</v>
      </c>
      <c r="D23" s="166">
        <f t="shared" si="3"/>
        <v>12.2</v>
      </c>
      <c r="E23" s="11">
        <f>IFERROR(100/'Skjema total MA'!C23*C23,0)</f>
        <v>23.347787147791326</v>
      </c>
      <c r="F23" s="278">
        <v>17</v>
      </c>
      <c r="G23" s="278">
        <v>11</v>
      </c>
      <c r="H23" s="166">
        <f t="shared" si="4"/>
        <v>-35.299999999999997</v>
      </c>
      <c r="I23" s="412">
        <f>IFERROR(100/'Skjema total MA'!F23*G23,0)</f>
        <v>6.6259936535700307E-3</v>
      </c>
      <c r="J23" s="287">
        <f t="shared" ref="J23:J26" si="7">SUM(B23,F23)</f>
        <v>315636</v>
      </c>
      <c r="K23" s="287">
        <f t="shared" ref="K23:K26" si="8">SUM(C23,G23)</f>
        <v>354179</v>
      </c>
      <c r="L23" s="166">
        <f t="shared" si="6"/>
        <v>12.2</v>
      </c>
      <c r="M23" s="23">
        <f>IFERROR(100/'Skjema total MA'!I23*K23,0)</f>
        <v>21.045303700815737</v>
      </c>
      <c r="O23" s="148"/>
    </row>
    <row r="24" spans="1:15" ht="15.75" x14ac:dyDescent="0.2">
      <c r="A24" s="834" t="s">
        <v>460</v>
      </c>
      <c r="B24" s="278"/>
      <c r="C24" s="278"/>
      <c r="D24" s="166"/>
      <c r="E24" s="11"/>
      <c r="F24" s="278"/>
      <c r="G24" s="278"/>
      <c r="H24" s="166"/>
      <c r="I24" s="412"/>
      <c r="J24" s="287"/>
      <c r="K24" s="287"/>
      <c r="L24" s="166"/>
      <c r="M24" s="23"/>
      <c r="O24" s="148"/>
    </row>
    <row r="25" spans="1:15" ht="15.75" x14ac:dyDescent="0.2">
      <c r="A25" s="834" t="s">
        <v>461</v>
      </c>
      <c r="B25" s="278"/>
      <c r="C25" s="278"/>
      <c r="D25" s="166"/>
      <c r="E25" s="11"/>
      <c r="F25" s="278">
        <v>6141</v>
      </c>
      <c r="G25" s="278">
        <v>290</v>
      </c>
      <c r="H25" s="166">
        <f t="shared" si="4"/>
        <v>-95.3</v>
      </c>
      <c r="I25" s="412">
        <f>IFERROR(100/'Skjema total MA'!F25*G25,0)</f>
        <v>0.29784202522945974</v>
      </c>
      <c r="J25" s="287">
        <f t="shared" si="7"/>
        <v>6141</v>
      </c>
      <c r="K25" s="287">
        <f t="shared" si="8"/>
        <v>290</v>
      </c>
      <c r="L25" s="166">
        <f t="shared" si="6"/>
        <v>-95.3</v>
      </c>
      <c r="M25" s="23">
        <f>IFERROR(100/'Skjema total MA'!I25*K25,0)</f>
        <v>0.2367549830258458</v>
      </c>
      <c r="O25" s="148"/>
    </row>
    <row r="26" spans="1:15" ht="15.75" x14ac:dyDescent="0.2">
      <c r="A26" s="834" t="s">
        <v>462</v>
      </c>
      <c r="B26" s="278"/>
      <c r="C26" s="278"/>
      <c r="D26" s="166"/>
      <c r="E26" s="11"/>
      <c r="F26" s="278">
        <v>79605</v>
      </c>
      <c r="G26" s="278">
        <v>85971</v>
      </c>
      <c r="H26" s="166">
        <f t="shared" si="4"/>
        <v>8</v>
      </c>
      <c r="I26" s="412">
        <f>IFERROR(100/'Skjema total MA'!F26*G26,0)</f>
        <v>8.5229221461387503</v>
      </c>
      <c r="J26" s="287">
        <f t="shared" si="7"/>
        <v>79605</v>
      </c>
      <c r="K26" s="287">
        <f t="shared" si="8"/>
        <v>85971</v>
      </c>
      <c r="L26" s="166">
        <f t="shared" si="6"/>
        <v>8</v>
      </c>
      <c r="M26" s="23">
        <f>IFERROR(100/'Skjema total MA'!I26*K26,0)</f>
        <v>8.5229221461387503</v>
      </c>
      <c r="O26" s="148"/>
    </row>
    <row r="27" spans="1:15" x14ac:dyDescent="0.2">
      <c r="A27" s="834" t="s">
        <v>11</v>
      </c>
      <c r="B27" s="278"/>
      <c r="C27" s="278"/>
      <c r="D27" s="166"/>
      <c r="E27" s="11"/>
      <c r="F27" s="278"/>
      <c r="G27" s="278"/>
      <c r="H27" s="166"/>
      <c r="I27" s="412"/>
      <c r="J27" s="287"/>
      <c r="K27" s="287"/>
      <c r="L27" s="166"/>
      <c r="M27" s="23"/>
      <c r="O27" s="148"/>
    </row>
    <row r="28" spans="1:15" ht="15.75" x14ac:dyDescent="0.2">
      <c r="A28" s="49" t="s">
        <v>283</v>
      </c>
      <c r="B28" s="44">
        <v>315619</v>
      </c>
      <c r="C28" s="44">
        <v>354168</v>
      </c>
      <c r="D28" s="166">
        <f t="shared" si="3"/>
        <v>12.2</v>
      </c>
      <c r="E28" s="11">
        <f>IFERROR(100/'Skjema total MA'!C28*C28,0)</f>
        <v>19.862131811419736</v>
      </c>
      <c r="F28" s="44"/>
      <c r="G28" s="44"/>
      <c r="H28" s="166"/>
      <c r="I28" s="27"/>
      <c r="J28" s="44">
        <f t="shared" si="5"/>
        <v>315619</v>
      </c>
      <c r="K28" s="44">
        <f t="shared" si="5"/>
        <v>354168</v>
      </c>
      <c r="L28" s="253">
        <f t="shared" si="6"/>
        <v>12.2</v>
      </c>
      <c r="M28" s="23">
        <f>IFERROR(100/'Skjema total MA'!I28*K28,0)</f>
        <v>19.862131811419736</v>
      </c>
      <c r="O28" s="148"/>
    </row>
    <row r="29" spans="1:15" s="3" customFormat="1" ht="15.75" x14ac:dyDescent="0.2">
      <c r="A29" s="13" t="s">
        <v>456</v>
      </c>
      <c r="B29" s="235">
        <v>1291434</v>
      </c>
      <c r="C29" s="235">
        <v>1588564</v>
      </c>
      <c r="D29" s="171">
        <f t="shared" si="3"/>
        <v>23</v>
      </c>
      <c r="E29" s="11">
        <f>IFERROR(100/'Skjema total MA'!C29*C29,0)</f>
        <v>3.3158001735771938</v>
      </c>
      <c r="F29" s="235">
        <v>1599558</v>
      </c>
      <c r="G29" s="235">
        <v>1492622</v>
      </c>
      <c r="H29" s="171">
        <f t="shared" si="4"/>
        <v>-6.7</v>
      </c>
      <c r="I29" s="11">
        <f>IFERROR(100/'Skjema total MA'!F29*G29,0)</f>
        <v>7.8136955837323034</v>
      </c>
      <c r="J29" s="235">
        <f t="shared" si="5"/>
        <v>2890992</v>
      </c>
      <c r="K29" s="235">
        <f t="shared" si="5"/>
        <v>3081186</v>
      </c>
      <c r="L29" s="423">
        <f t="shared" si="6"/>
        <v>6.6</v>
      </c>
      <c r="M29" s="24">
        <f>IFERROR(100/'Skjema total MA'!I29*K29,0)</f>
        <v>4.5979919793946236</v>
      </c>
      <c r="N29" s="148"/>
      <c r="O29" s="148"/>
    </row>
    <row r="30" spans="1:15" s="3" customFormat="1" ht="15.75" x14ac:dyDescent="0.2">
      <c r="A30" s="834" t="s">
        <v>459</v>
      </c>
      <c r="B30" s="278">
        <v>1291434</v>
      </c>
      <c r="C30" s="278">
        <v>1588564</v>
      </c>
      <c r="D30" s="166">
        <f t="shared" si="3"/>
        <v>23</v>
      </c>
      <c r="E30" s="11">
        <f>IFERROR(100/'Skjema total MA'!C30*C30,0)</f>
        <v>12.293260828425293</v>
      </c>
      <c r="F30" s="278">
        <v>33555</v>
      </c>
      <c r="G30" s="278">
        <v>29104</v>
      </c>
      <c r="H30" s="166">
        <f t="shared" si="4"/>
        <v>-13.3</v>
      </c>
      <c r="I30" s="412">
        <f>IFERROR(100/'Skjema total MA'!F30*G30,0)</f>
        <v>0.72114541931766019</v>
      </c>
      <c r="J30" s="287">
        <f t="shared" ref="J30:J33" si="9">SUM(B30,F30)</f>
        <v>1324989</v>
      </c>
      <c r="K30" s="287">
        <f t="shared" ref="K30:K33" si="10">SUM(C30,G30)</f>
        <v>1617668</v>
      </c>
      <c r="L30" s="166">
        <f t="shared" si="6"/>
        <v>22.1</v>
      </c>
      <c r="M30" s="23">
        <f>IFERROR(100/'Skjema total MA'!I30*K30,0)</f>
        <v>9.5392412344483724</v>
      </c>
      <c r="N30" s="148"/>
      <c r="O30" s="148"/>
    </row>
    <row r="31" spans="1:15" s="3" customFormat="1" ht="15.75" x14ac:dyDescent="0.2">
      <c r="A31" s="834" t="s">
        <v>460</v>
      </c>
      <c r="B31" s="278"/>
      <c r="C31" s="278"/>
      <c r="D31" s="166"/>
      <c r="E31" s="11"/>
      <c r="F31" s="287">
        <v>1397378</v>
      </c>
      <c r="G31" s="287">
        <v>1209821</v>
      </c>
      <c r="H31" s="166">
        <f t="shared" si="4"/>
        <v>-13.4</v>
      </c>
      <c r="I31" s="412">
        <f>IFERROR(100/'Skjema total MA'!F31*G31,0)</f>
        <v>12.96252953107488</v>
      </c>
      <c r="J31" s="287">
        <f t="shared" si="9"/>
        <v>1397378</v>
      </c>
      <c r="K31" s="287">
        <f t="shared" si="10"/>
        <v>1209821</v>
      </c>
      <c r="L31" s="166">
        <f t="shared" si="6"/>
        <v>-13.4</v>
      </c>
      <c r="M31" s="23">
        <f>IFERROR(100/'Skjema total MA'!I31*K31,0)</f>
        <v>2.8197550444757864</v>
      </c>
      <c r="N31" s="148"/>
      <c r="O31" s="148"/>
    </row>
    <row r="32" spans="1:15" ht="15.75" x14ac:dyDescent="0.2">
      <c r="A32" s="834" t="s">
        <v>461</v>
      </c>
      <c r="B32" s="278"/>
      <c r="C32" s="278"/>
      <c r="D32" s="166"/>
      <c r="E32" s="11"/>
      <c r="F32" s="287">
        <v>125695</v>
      </c>
      <c r="G32" s="287">
        <v>117862</v>
      </c>
      <c r="H32" s="166">
        <f t="shared" si="4"/>
        <v>-6.2</v>
      </c>
      <c r="I32" s="412">
        <f>IFERROR(100/'Skjema total MA'!F32*G32,0)</f>
        <v>2.9758103702251315</v>
      </c>
      <c r="J32" s="287">
        <f t="shared" si="9"/>
        <v>125695</v>
      </c>
      <c r="K32" s="287">
        <f t="shared" si="10"/>
        <v>117862</v>
      </c>
      <c r="L32" s="166">
        <f t="shared" si="6"/>
        <v>-6.2</v>
      </c>
      <c r="M32" s="23">
        <f>IFERROR(100/'Skjema total MA'!I32*K32,0)</f>
        <v>2.2448739996244966</v>
      </c>
      <c r="O32" s="148"/>
    </row>
    <row r="33" spans="1:15" ht="15.75" x14ac:dyDescent="0.2">
      <c r="A33" s="834" t="s">
        <v>462</v>
      </c>
      <c r="B33" s="278"/>
      <c r="C33" s="278"/>
      <c r="D33" s="166"/>
      <c r="E33" s="11"/>
      <c r="F33" s="287">
        <v>42930</v>
      </c>
      <c r="G33" s="287">
        <v>135835</v>
      </c>
      <c r="H33" s="166">
        <f t="shared" si="4"/>
        <v>216.4</v>
      </c>
      <c r="I33" s="412">
        <f>IFERROR(100/'Skjema total MA'!F34*G33,0)</f>
        <v>179.02400518025553</v>
      </c>
      <c r="J33" s="287">
        <f t="shared" si="9"/>
        <v>42930</v>
      </c>
      <c r="K33" s="287">
        <f t="shared" si="10"/>
        <v>135835</v>
      </c>
      <c r="L33" s="166">
        <f t="shared" si="6"/>
        <v>216.4</v>
      </c>
      <c r="M33" s="23">
        <f>IFERROR(100/'Skjema total MA'!I34*K33,0)</f>
        <v>130.61235293710487</v>
      </c>
      <c r="O33" s="148"/>
    </row>
    <row r="34" spans="1:15" ht="15.75" x14ac:dyDescent="0.2">
      <c r="A34" s="13" t="s">
        <v>457</v>
      </c>
      <c r="B34" s="235"/>
      <c r="C34" s="306"/>
      <c r="D34" s="171"/>
      <c r="E34" s="11"/>
      <c r="F34" s="305">
        <v>21626</v>
      </c>
      <c r="G34" s="306">
        <v>8755</v>
      </c>
      <c r="H34" s="171">
        <f t="shared" si="4"/>
        <v>-59.5</v>
      </c>
      <c r="I34" s="11">
        <f>IFERROR(100/'Skjema total MA'!F34*G34,0)</f>
        <v>11.538669454508316</v>
      </c>
      <c r="J34" s="235">
        <f t="shared" si="5"/>
        <v>21626</v>
      </c>
      <c r="K34" s="235">
        <f t="shared" si="5"/>
        <v>8755</v>
      </c>
      <c r="L34" s="423">
        <f t="shared" si="6"/>
        <v>-59.5</v>
      </c>
      <c r="M34" s="24">
        <f>IFERROR(100/'Skjema total MA'!I34*K34,0)</f>
        <v>8.4183837005510593</v>
      </c>
      <c r="O34" s="148"/>
    </row>
    <row r="35" spans="1:15" ht="15.75" x14ac:dyDescent="0.2">
      <c r="A35" s="13" t="s">
        <v>458</v>
      </c>
      <c r="B35" s="235"/>
      <c r="C35" s="306"/>
      <c r="D35" s="171"/>
      <c r="E35" s="11"/>
      <c r="F35" s="305">
        <v>4312</v>
      </c>
      <c r="G35" s="306">
        <v>7277</v>
      </c>
      <c r="H35" s="171">
        <f t="shared" si="4"/>
        <v>68.8</v>
      </c>
      <c r="I35" s="11">
        <f>IFERROR(100/'Skjema total MA'!F35*G35,0)</f>
        <v>6.3515801932663658</v>
      </c>
      <c r="J35" s="235">
        <f t="shared" si="5"/>
        <v>4312</v>
      </c>
      <c r="K35" s="235">
        <f t="shared" si="5"/>
        <v>7277</v>
      </c>
      <c r="L35" s="423">
        <f t="shared" si="6"/>
        <v>68.8</v>
      </c>
      <c r="M35" s="24">
        <f>IFERROR(100/'Skjema total MA'!I35*K35,0)</f>
        <v>8.5336459458915677</v>
      </c>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c r="D47" s="422"/>
      <c r="E47" s="11"/>
      <c r="F47" s="145"/>
      <c r="G47" s="33"/>
      <c r="H47" s="159"/>
      <c r="I47" s="159"/>
      <c r="J47" s="37"/>
      <c r="K47" s="37"/>
      <c r="L47" s="159"/>
      <c r="M47" s="159"/>
      <c r="N47" s="148"/>
      <c r="O47" s="148"/>
    </row>
    <row r="48" spans="1:15" s="3" customFormat="1" ht="15.75" x14ac:dyDescent="0.2">
      <c r="A48" s="38" t="s">
        <v>467</v>
      </c>
      <c r="B48" s="278"/>
      <c r="C48" s="279"/>
      <c r="D48" s="253"/>
      <c r="E48" s="27"/>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208014</v>
      </c>
      <c r="C66" s="350">
        <v>237254</v>
      </c>
      <c r="D66" s="347">
        <f t="shared" ref="D66:D111" si="11">IF(B66=0, "    ---- ", IF(ABS(ROUND(100/B66*C66-100,1))&lt;999,ROUND(100/B66*C66-100,1),IF(ROUND(100/B66*C66-100,1)&gt;999,999,-999)))</f>
        <v>14.1</v>
      </c>
      <c r="E66" s="11">
        <f>IFERROR(100/'Skjema total MA'!C66*C66,0)</f>
        <v>2.6875235283170977</v>
      </c>
      <c r="F66" s="349">
        <v>2343878</v>
      </c>
      <c r="G66" s="349">
        <v>2674037</v>
      </c>
      <c r="H66" s="347">
        <f t="shared" ref="H66:H111" si="12">IF(F66=0, "    ---- ", IF(ABS(ROUND(100/F66*G66-100,1))&lt;999,ROUND(100/F66*G66-100,1),IF(ROUND(100/F66*G66-100,1)&gt;999,999,-999)))</f>
        <v>14.1</v>
      </c>
      <c r="I66" s="11">
        <f>IFERROR(100/'Skjema total MA'!F66*G66,0)</f>
        <v>9.2352565820676311</v>
      </c>
      <c r="J66" s="306">
        <f t="shared" ref="J66:K85" si="13">SUM(B66,F66)</f>
        <v>2551892</v>
      </c>
      <c r="K66" s="313">
        <f t="shared" si="13"/>
        <v>2911291</v>
      </c>
      <c r="L66" s="423">
        <f t="shared" ref="L66:L111" si="14">IF(J66=0, "    ---- ", IF(ABS(ROUND(100/J66*K66-100,1))&lt;999,ROUND(100/J66*K66-100,1),IF(ROUND(100/J66*K66-100,1)&gt;999,999,-999)))</f>
        <v>14.1</v>
      </c>
      <c r="M66" s="11">
        <f>IFERROR(100/'Skjema total MA'!I66*K66,0)</f>
        <v>7.7053674204994493</v>
      </c>
      <c r="O66" s="148"/>
    </row>
    <row r="67" spans="1:15" x14ac:dyDescent="0.2">
      <c r="A67" s="414" t="s">
        <v>9</v>
      </c>
      <c r="B67" s="44">
        <v>208014</v>
      </c>
      <c r="C67" s="145">
        <v>237254</v>
      </c>
      <c r="D67" s="166">
        <f t="shared" si="11"/>
        <v>14.1</v>
      </c>
      <c r="E67" s="27">
        <f>IFERROR(100/'Skjema total MA'!C67*C67,0)</f>
        <v>3.3704622646898663</v>
      </c>
      <c r="F67" s="233"/>
      <c r="G67" s="145"/>
      <c r="H67" s="166"/>
      <c r="I67" s="27"/>
      <c r="J67" s="284">
        <f t="shared" si="13"/>
        <v>208014</v>
      </c>
      <c r="K67" s="44">
        <f t="shared" si="13"/>
        <v>237254</v>
      </c>
      <c r="L67" s="253">
        <f t="shared" si="14"/>
        <v>14.1</v>
      </c>
      <c r="M67" s="27">
        <f>IFERROR(100/'Skjema total MA'!I67*K67,0)</f>
        <v>3.3704622646898663</v>
      </c>
      <c r="O67" s="148"/>
    </row>
    <row r="68" spans="1:15" x14ac:dyDescent="0.2">
      <c r="A68" s="21" t="s">
        <v>10</v>
      </c>
      <c r="B68" s="289"/>
      <c r="C68" s="290"/>
      <c r="D68" s="166"/>
      <c r="E68" s="27"/>
      <c r="F68" s="289">
        <v>2343878</v>
      </c>
      <c r="G68" s="290">
        <v>2674037</v>
      </c>
      <c r="H68" s="166">
        <f t="shared" si="12"/>
        <v>14.1</v>
      </c>
      <c r="I68" s="27">
        <f>IFERROR(100/'Skjema total MA'!F68*G68,0)</f>
        <v>9.3667293425451703</v>
      </c>
      <c r="J68" s="284">
        <f t="shared" si="13"/>
        <v>2343878</v>
      </c>
      <c r="K68" s="44">
        <f t="shared" si="13"/>
        <v>2674037</v>
      </c>
      <c r="L68" s="253">
        <f t="shared" si="14"/>
        <v>14.1</v>
      </c>
      <c r="M68" s="27">
        <f>IFERROR(100/'Skjema total MA'!I68*K68,0)</f>
        <v>9.3180705971453612</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v>2343878</v>
      </c>
      <c r="G72" s="278">
        <v>2674037</v>
      </c>
      <c r="H72" s="253"/>
      <c r="I72" s="27">
        <f>IFERROR(100/'Skjema total MA'!F72*G72,0)</f>
        <v>9.3680090780509335</v>
      </c>
      <c r="J72" s="287">
        <f t="shared" ref="J72:J74" si="15">SUM(B72,F72)</f>
        <v>2343878</v>
      </c>
      <c r="K72" s="287">
        <f t="shared" si="13"/>
        <v>2674037</v>
      </c>
      <c r="L72" s="253">
        <f t="shared" si="14"/>
        <v>14.1</v>
      </c>
      <c r="M72" s="23">
        <f>IFERROR(100/'Skjema total MA'!I72*K72,0)</f>
        <v>9.3244419909082197</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2343878</v>
      </c>
      <c r="G74" s="278">
        <v>2674037</v>
      </c>
      <c r="H74" s="253"/>
      <c r="I74" s="27">
        <f>IFERROR(100/'Skjema total MA'!F74*G74,0)</f>
        <v>9.4667846720415927</v>
      </c>
      <c r="J74" s="287">
        <f t="shared" si="15"/>
        <v>2343878</v>
      </c>
      <c r="K74" s="287">
        <f t="shared" si="13"/>
        <v>2674037</v>
      </c>
      <c r="L74" s="253">
        <f t="shared" si="14"/>
        <v>14.1</v>
      </c>
      <c r="M74" s="23">
        <f>IFERROR(100/'Skjema total MA'!I74*K74,0)</f>
        <v>9.4667846720415927</v>
      </c>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v>208014</v>
      </c>
      <c r="C77" s="233">
        <v>237254</v>
      </c>
      <c r="D77" s="166">
        <f t="shared" si="11"/>
        <v>14.1</v>
      </c>
      <c r="E77" s="27">
        <f>IFERROR(100/'Skjema total MA'!C77*C77,0)</f>
        <v>3.3584280669125741</v>
      </c>
      <c r="F77" s="233">
        <v>2343878</v>
      </c>
      <c r="G77" s="145">
        <v>2674037</v>
      </c>
      <c r="H77" s="166">
        <f t="shared" si="12"/>
        <v>14.1</v>
      </c>
      <c r="I77" s="27">
        <f>IFERROR(100/'Skjema total MA'!F77*G77,0)</f>
        <v>9.3708195945204693</v>
      </c>
      <c r="J77" s="284">
        <f t="shared" si="13"/>
        <v>2551892</v>
      </c>
      <c r="K77" s="44">
        <f t="shared" si="13"/>
        <v>2911291</v>
      </c>
      <c r="L77" s="253">
        <f t="shared" si="14"/>
        <v>14.1</v>
      </c>
      <c r="M77" s="27">
        <f>IFERROR(100/'Skjema total MA'!I77*K77,0)</f>
        <v>8.1777327850036645</v>
      </c>
      <c r="O77" s="148"/>
    </row>
    <row r="78" spans="1:15" x14ac:dyDescent="0.2">
      <c r="A78" s="21" t="s">
        <v>9</v>
      </c>
      <c r="B78" s="233">
        <v>208014</v>
      </c>
      <c r="C78" s="145">
        <v>237254</v>
      </c>
      <c r="D78" s="166">
        <f t="shared" si="11"/>
        <v>14.1</v>
      </c>
      <c r="E78" s="27">
        <f>IFERROR(100/'Skjema total MA'!C78*C78,0)</f>
        <v>3.4288910957881895</v>
      </c>
      <c r="F78" s="233"/>
      <c r="G78" s="145"/>
      <c r="H78" s="166"/>
      <c r="I78" s="27"/>
      <c r="J78" s="284">
        <f t="shared" si="13"/>
        <v>208014</v>
      </c>
      <c r="K78" s="44">
        <f t="shared" si="13"/>
        <v>237254</v>
      </c>
      <c r="L78" s="253">
        <f t="shared" si="14"/>
        <v>14.1</v>
      </c>
      <c r="M78" s="27">
        <f>IFERROR(100/'Skjema total MA'!I78*K78,0)</f>
        <v>3.4288910957881895</v>
      </c>
      <c r="O78" s="148"/>
    </row>
    <row r="79" spans="1:15" x14ac:dyDescent="0.2">
      <c r="A79" s="21" t="s">
        <v>10</v>
      </c>
      <c r="B79" s="289"/>
      <c r="C79" s="290"/>
      <c r="D79" s="166"/>
      <c r="E79" s="27"/>
      <c r="F79" s="289">
        <v>2343878</v>
      </c>
      <c r="G79" s="290">
        <v>2674037</v>
      </c>
      <c r="H79" s="166">
        <f t="shared" si="12"/>
        <v>14.1</v>
      </c>
      <c r="I79" s="27">
        <f>IFERROR(100/'Skjema total MA'!F79*G79,0)</f>
        <v>9.3708195945204693</v>
      </c>
      <c r="J79" s="284">
        <f t="shared" si="13"/>
        <v>2343878</v>
      </c>
      <c r="K79" s="44">
        <f t="shared" si="13"/>
        <v>2674037</v>
      </c>
      <c r="L79" s="253">
        <f t="shared" si="14"/>
        <v>14.1</v>
      </c>
      <c r="M79" s="27">
        <f>IFERROR(100/'Skjema total MA'!I79*K79,0)</f>
        <v>9.3233878580443861</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v>2343878</v>
      </c>
      <c r="G83" s="278">
        <v>2674037</v>
      </c>
      <c r="H83" s="253">
        <f t="shared" si="12"/>
        <v>14.1</v>
      </c>
      <c r="I83" s="412">
        <f>IFERROR(100/'Skjema total MA'!F83*G83,0)</f>
        <v>9.3708195945204693</v>
      </c>
      <c r="J83" s="287">
        <f t="shared" si="13"/>
        <v>2343878</v>
      </c>
      <c r="K83" s="287">
        <f t="shared" si="13"/>
        <v>2674037</v>
      </c>
      <c r="L83" s="253">
        <f t="shared" si="14"/>
        <v>14.1</v>
      </c>
      <c r="M83" s="23">
        <f>IFERROR(100/'Skjema total MA'!I83*K83,0)</f>
        <v>9.3233878580443861</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v>2343878</v>
      </c>
      <c r="G85" s="278">
        <v>2674037</v>
      </c>
      <c r="H85" s="253">
        <f t="shared" si="12"/>
        <v>14.1</v>
      </c>
      <c r="I85" s="412">
        <f>IFERROR(100/'Skjema total MA'!F85*G85,0)</f>
        <v>9.4696339873908357</v>
      </c>
      <c r="J85" s="287">
        <f t="shared" si="13"/>
        <v>2343878</v>
      </c>
      <c r="K85" s="287">
        <f t="shared" si="13"/>
        <v>2674037</v>
      </c>
      <c r="L85" s="253">
        <f t="shared" si="14"/>
        <v>14.1</v>
      </c>
      <c r="M85" s="23">
        <f>IFERROR(100/'Skjema total MA'!I85*K85,0)</f>
        <v>9.4696339873908357</v>
      </c>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v>4726929</v>
      </c>
      <c r="C87" s="350">
        <v>4997815</v>
      </c>
      <c r="D87" s="171">
        <f t="shared" si="11"/>
        <v>5.7</v>
      </c>
      <c r="E87" s="11">
        <f>IFERROR(100/'Skjema total MA'!C87*C87,0)</f>
        <v>1.2937632138849786</v>
      </c>
      <c r="F87" s="349">
        <v>20563404</v>
      </c>
      <c r="G87" s="349">
        <v>22087822</v>
      </c>
      <c r="H87" s="171">
        <f t="shared" si="12"/>
        <v>7.4</v>
      </c>
      <c r="I87" s="11">
        <f>IFERROR(100/'Skjema total MA'!F87*G87,0)</f>
        <v>8.9674843537651263</v>
      </c>
      <c r="J87" s="306">
        <f t="shared" ref="J87:K111" si="16">SUM(B87,F87)</f>
        <v>25290333</v>
      </c>
      <c r="K87" s="235">
        <f t="shared" si="16"/>
        <v>27085637</v>
      </c>
      <c r="L87" s="423">
        <f t="shared" si="14"/>
        <v>7.1</v>
      </c>
      <c r="M87" s="11">
        <f>IFERROR(100/'Skjema total MA'!I87*K87,0)</f>
        <v>4.2815646468330808</v>
      </c>
      <c r="O87" s="148"/>
    </row>
    <row r="88" spans="1:15" x14ac:dyDescent="0.2">
      <c r="A88" s="21" t="s">
        <v>9</v>
      </c>
      <c r="B88" s="233">
        <v>4726929</v>
      </c>
      <c r="C88" s="145">
        <v>4997815</v>
      </c>
      <c r="D88" s="166">
        <f t="shared" si="11"/>
        <v>5.7</v>
      </c>
      <c r="E88" s="27">
        <f>IFERROR(100/'Skjema total MA'!C88*C88,0)</f>
        <v>1.3245775234005035</v>
      </c>
      <c r="F88" s="233"/>
      <c r="G88" s="145"/>
      <c r="H88" s="166"/>
      <c r="I88" s="27"/>
      <c r="J88" s="284">
        <f t="shared" si="16"/>
        <v>4726929</v>
      </c>
      <c r="K88" s="44">
        <f t="shared" si="16"/>
        <v>4997815</v>
      </c>
      <c r="L88" s="253">
        <f t="shared" si="14"/>
        <v>5.7</v>
      </c>
      <c r="M88" s="27">
        <f>IFERROR(100/'Skjema total MA'!I88*K88,0)</f>
        <v>1.3245775234005035</v>
      </c>
      <c r="O88" s="148"/>
    </row>
    <row r="89" spans="1:15" x14ac:dyDescent="0.2">
      <c r="A89" s="21" t="s">
        <v>10</v>
      </c>
      <c r="B89" s="233"/>
      <c r="C89" s="145"/>
      <c r="D89" s="166"/>
      <c r="E89" s="27"/>
      <c r="F89" s="233">
        <v>20563404</v>
      </c>
      <c r="G89" s="145">
        <v>22087822</v>
      </c>
      <c r="H89" s="166">
        <f t="shared" si="12"/>
        <v>7.4</v>
      </c>
      <c r="I89" s="27">
        <f>IFERROR(100/'Skjema total MA'!F89*G89,0)</f>
        <v>9.0044437611801165</v>
      </c>
      <c r="J89" s="284">
        <f t="shared" si="16"/>
        <v>20563404</v>
      </c>
      <c r="K89" s="44">
        <f t="shared" si="16"/>
        <v>22087822</v>
      </c>
      <c r="L89" s="253">
        <f t="shared" si="14"/>
        <v>7.4</v>
      </c>
      <c r="M89" s="27">
        <f>IFERROR(100/'Skjema total MA'!I89*K89,0)</f>
        <v>8.9056979202281816</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v>20563404</v>
      </c>
      <c r="G93" s="278">
        <v>22087822</v>
      </c>
      <c r="H93" s="253">
        <f t="shared" si="12"/>
        <v>7.4</v>
      </c>
      <c r="I93" s="412">
        <f>IFERROR(100/'Skjema total MA'!F93*G93,0)</f>
        <v>9.0093112163622671</v>
      </c>
      <c r="J93" s="287">
        <f t="shared" si="16"/>
        <v>20563404</v>
      </c>
      <c r="K93" s="287">
        <f t="shared" si="16"/>
        <v>22087822</v>
      </c>
      <c r="L93" s="253">
        <f t="shared" si="14"/>
        <v>7.4</v>
      </c>
      <c r="M93" s="23">
        <f>IFERROR(100/'Skjema total MA'!I93*K93,0)</f>
        <v>8.9104591761593444</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20563404</v>
      </c>
      <c r="G95" s="278">
        <v>22087822</v>
      </c>
      <c r="H95" s="253">
        <f t="shared" si="12"/>
        <v>7.4</v>
      </c>
      <c r="I95" s="412">
        <f>IFERROR(100/'Skjema total MA'!F95*G95,0)</f>
        <v>9.1253451999189057</v>
      </c>
      <c r="J95" s="287">
        <f t="shared" si="16"/>
        <v>20563404</v>
      </c>
      <c r="K95" s="287">
        <f t="shared" si="16"/>
        <v>22087822</v>
      </c>
      <c r="L95" s="253">
        <f t="shared" si="14"/>
        <v>7.4</v>
      </c>
      <c r="M95" s="23">
        <f>IFERROR(100/'Skjema total MA'!I95*K95,0)</f>
        <v>9.1253451999189057</v>
      </c>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v>4726929</v>
      </c>
      <c r="C98" s="233">
        <v>4997815</v>
      </c>
      <c r="D98" s="166">
        <f t="shared" si="11"/>
        <v>5.7</v>
      </c>
      <c r="E98" s="27">
        <f>IFERROR(100/'Skjema total MA'!C98*C98,0)</f>
        <v>1.3323236982765467</v>
      </c>
      <c r="F98" s="289">
        <v>20563404</v>
      </c>
      <c r="G98" s="289">
        <v>22087822</v>
      </c>
      <c r="H98" s="166">
        <f t="shared" si="12"/>
        <v>7.4</v>
      </c>
      <c r="I98" s="27">
        <f>IFERROR(100/'Skjema total MA'!F98*G98,0)</f>
        <v>9.0294869011458303</v>
      </c>
      <c r="J98" s="284">
        <f t="shared" si="16"/>
        <v>25290333</v>
      </c>
      <c r="K98" s="44">
        <f t="shared" si="16"/>
        <v>27085637</v>
      </c>
      <c r="L98" s="253">
        <f t="shared" si="14"/>
        <v>7.1</v>
      </c>
      <c r="M98" s="27">
        <f>IFERROR(100/'Skjema total MA'!I98*K98,0)</f>
        <v>4.3704911743261583</v>
      </c>
      <c r="O98" s="148"/>
    </row>
    <row r="99" spans="1:15" x14ac:dyDescent="0.2">
      <c r="A99" s="21" t="s">
        <v>9</v>
      </c>
      <c r="B99" s="289">
        <v>4726929</v>
      </c>
      <c r="C99" s="290">
        <v>4997815</v>
      </c>
      <c r="D99" s="166">
        <f t="shared" si="11"/>
        <v>5.7</v>
      </c>
      <c r="E99" s="27">
        <f>IFERROR(100/'Skjema total MA'!C99*C99,0)</f>
        <v>1.3420544540174346</v>
      </c>
      <c r="F99" s="233"/>
      <c r="G99" s="145"/>
      <c r="H99" s="166"/>
      <c r="I99" s="27"/>
      <c r="J99" s="284">
        <f t="shared" si="16"/>
        <v>4726929</v>
      </c>
      <c r="K99" s="44">
        <f t="shared" si="16"/>
        <v>4997815</v>
      </c>
      <c r="L99" s="253">
        <f t="shared" si="14"/>
        <v>5.7</v>
      </c>
      <c r="M99" s="27">
        <f>IFERROR(100/'Skjema total MA'!I99*K99,0)</f>
        <v>1.3420544540174346</v>
      </c>
      <c r="O99" s="148"/>
    </row>
    <row r="100" spans="1:15" x14ac:dyDescent="0.2">
      <c r="A100" s="21" t="s">
        <v>10</v>
      </c>
      <c r="B100" s="289"/>
      <c r="C100" s="290"/>
      <c r="D100" s="166"/>
      <c r="E100" s="27"/>
      <c r="F100" s="233">
        <v>20563404</v>
      </c>
      <c r="G100" s="233">
        <v>22087822</v>
      </c>
      <c r="H100" s="166">
        <f t="shared" si="12"/>
        <v>7.4</v>
      </c>
      <c r="I100" s="27">
        <f>IFERROR(100/'Skjema total MA'!F100*G100,0)</f>
        <v>9.0294869011458303</v>
      </c>
      <c r="J100" s="284">
        <f t="shared" si="16"/>
        <v>20563404</v>
      </c>
      <c r="K100" s="44">
        <f t="shared" si="16"/>
        <v>22087822</v>
      </c>
      <c r="L100" s="253">
        <f t="shared" si="14"/>
        <v>7.4</v>
      </c>
      <c r="M100" s="27">
        <f>IFERROR(100/'Skjema total MA'!I100*K100,0)</f>
        <v>8.9301940613298321</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v>20563404</v>
      </c>
      <c r="G104" s="278">
        <v>22087822</v>
      </c>
      <c r="H104" s="253">
        <f t="shared" si="12"/>
        <v>7.4</v>
      </c>
      <c r="I104" s="412">
        <f>IFERROR(100/'Skjema total MA'!F104*G104,0)</f>
        <v>9.0294869011458303</v>
      </c>
      <c r="J104" s="287">
        <f t="shared" si="16"/>
        <v>20563404</v>
      </c>
      <c r="K104" s="287">
        <f t="shared" si="16"/>
        <v>22087822</v>
      </c>
      <c r="L104" s="253">
        <f t="shared" si="14"/>
        <v>7.4</v>
      </c>
      <c r="M104" s="23">
        <f>IFERROR(100/'Skjema total MA'!I104*K104,0)</f>
        <v>8.9301940613298321</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20563404</v>
      </c>
      <c r="G106" s="278">
        <v>22087822</v>
      </c>
      <c r="H106" s="253">
        <f t="shared" si="12"/>
        <v>7.4</v>
      </c>
      <c r="I106" s="412">
        <f>IFERROR(100/'Skjema total MA'!F106*G106,0)</f>
        <v>9.1277405060691823</v>
      </c>
      <c r="J106" s="287">
        <f t="shared" si="16"/>
        <v>20563404</v>
      </c>
      <c r="K106" s="287">
        <f t="shared" si="16"/>
        <v>22087822</v>
      </c>
      <c r="L106" s="253">
        <f t="shared" si="14"/>
        <v>7.4</v>
      </c>
      <c r="M106" s="23">
        <f>IFERROR(100/'Skjema total MA'!I106*K106,0)</f>
        <v>9.1277405060691823</v>
      </c>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v>3995480</v>
      </c>
      <c r="C108" s="233">
        <v>4083892</v>
      </c>
      <c r="D108" s="166">
        <f t="shared" si="11"/>
        <v>2.2000000000000002</v>
      </c>
      <c r="E108" s="27">
        <f>IFERROR(100/'Skjema total MA'!C108*C108,0)</f>
        <v>1.3125958927424521</v>
      </c>
      <c r="F108" s="233"/>
      <c r="G108" s="233"/>
      <c r="H108" s="166"/>
      <c r="I108" s="27"/>
      <c r="J108" s="284">
        <f t="shared" si="16"/>
        <v>3995480</v>
      </c>
      <c r="K108" s="44">
        <f t="shared" si="16"/>
        <v>4083892</v>
      </c>
      <c r="L108" s="253">
        <f t="shared" si="14"/>
        <v>2.2000000000000002</v>
      </c>
      <c r="M108" s="27">
        <f>IFERROR(100/'Skjema total MA'!I108*K108,0)</f>
        <v>1.251941082650819</v>
      </c>
      <c r="O108" s="148"/>
    </row>
    <row r="109" spans="1:15" ht="15.75" x14ac:dyDescent="0.2">
      <c r="A109" s="21" t="s">
        <v>476</v>
      </c>
      <c r="B109" s="233"/>
      <c r="C109" s="233"/>
      <c r="D109" s="166"/>
      <c r="E109" s="27"/>
      <c r="F109" s="233">
        <v>6914666</v>
      </c>
      <c r="G109" s="233">
        <v>7660602</v>
      </c>
      <c r="H109" s="166">
        <f t="shared" si="12"/>
        <v>10.8</v>
      </c>
      <c r="I109" s="27">
        <f>IFERROR(100/'Skjema total MA'!F109*G109,0)</f>
        <v>9.515640845325116</v>
      </c>
      <c r="J109" s="284">
        <f t="shared" si="16"/>
        <v>6914666</v>
      </c>
      <c r="K109" s="44">
        <f t="shared" si="16"/>
        <v>7660602</v>
      </c>
      <c r="L109" s="253">
        <f t="shared" si="14"/>
        <v>10.8</v>
      </c>
      <c r="M109" s="27">
        <f>IFERROR(100/'Skjema total MA'!I109*K109,0)</f>
        <v>9.4121175656235554</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v>91259</v>
      </c>
      <c r="C111" s="159">
        <v>74310</v>
      </c>
      <c r="D111" s="171">
        <f t="shared" si="11"/>
        <v>-18.600000000000001</v>
      </c>
      <c r="E111" s="11">
        <f>IFERROR(100/'Skjema total MA'!C111*C111,0)</f>
        <v>13.764964391123534</v>
      </c>
      <c r="F111" s="305">
        <v>1898054</v>
      </c>
      <c r="G111" s="159">
        <v>1512281</v>
      </c>
      <c r="H111" s="171">
        <f t="shared" si="12"/>
        <v>-20.3</v>
      </c>
      <c r="I111" s="11">
        <f>IFERROR(100/'Skjema total MA'!F111*G111,0)</f>
        <v>12.101180210460692</v>
      </c>
      <c r="J111" s="306">
        <f t="shared" si="16"/>
        <v>1989313</v>
      </c>
      <c r="K111" s="235">
        <f t="shared" si="16"/>
        <v>1586591</v>
      </c>
      <c r="L111" s="423">
        <f t="shared" si="14"/>
        <v>-20.2</v>
      </c>
      <c r="M111" s="11">
        <f>IFERROR(100/'Skjema total MA'!I111*K111,0)</f>
        <v>12.170076762964099</v>
      </c>
      <c r="O111" s="148"/>
    </row>
    <row r="112" spans="1:15" x14ac:dyDescent="0.2">
      <c r="A112" s="21" t="s">
        <v>9</v>
      </c>
      <c r="B112" s="233">
        <v>91259</v>
      </c>
      <c r="C112" s="145">
        <v>74310</v>
      </c>
      <c r="D112" s="166">
        <f t="shared" ref="D112:D120" si="17">IF(B112=0, "    ---- ", IF(ABS(ROUND(100/B112*C112-100,1))&lt;999,ROUND(100/B112*C112-100,1),IF(ROUND(100/B112*C112-100,1)&gt;999,999,-999)))</f>
        <v>-18.600000000000001</v>
      </c>
      <c r="E112" s="27">
        <f>IFERROR(100/'Skjema total MA'!C112*C112,0)</f>
        <v>15.575001716251588</v>
      </c>
      <c r="F112" s="233"/>
      <c r="G112" s="145"/>
      <c r="H112" s="166"/>
      <c r="I112" s="27"/>
      <c r="J112" s="284">
        <f t="shared" ref="J112:K125" si="18">SUM(B112,F112)</f>
        <v>91259</v>
      </c>
      <c r="K112" s="44">
        <f t="shared" si="18"/>
        <v>74310</v>
      </c>
      <c r="L112" s="253">
        <f t="shared" ref="L112:L125" si="19">IF(J112=0, "    ---- ", IF(ABS(ROUND(100/J112*K112-100,1))&lt;999,ROUND(100/J112*K112-100,1),IF(ROUND(100/J112*K112-100,1)&gt;999,999,-999)))</f>
        <v>-18.600000000000001</v>
      </c>
      <c r="M112" s="27">
        <f>IFERROR(100/'Skjema total MA'!I112*K112,0)</f>
        <v>15.481399626437273</v>
      </c>
      <c r="O112" s="148"/>
    </row>
    <row r="113" spans="1:15" x14ac:dyDescent="0.2">
      <c r="A113" s="21" t="s">
        <v>10</v>
      </c>
      <c r="B113" s="233"/>
      <c r="C113" s="145"/>
      <c r="D113" s="166"/>
      <c r="E113" s="27"/>
      <c r="F113" s="233">
        <v>1898054</v>
      </c>
      <c r="G113" s="145">
        <v>1512281</v>
      </c>
      <c r="H113" s="166">
        <f t="shared" ref="H113:H125" si="20">IF(F113=0, "    ---- ", IF(ABS(ROUND(100/F113*G113-100,1))&lt;999,ROUND(100/F113*G113-100,1),IF(ROUND(100/F113*G113-100,1)&gt;999,999,-999)))</f>
        <v>-20.3</v>
      </c>
      <c r="I113" s="27">
        <f>IFERROR(100/'Skjema total MA'!F113*G113,0)</f>
        <v>12.14208377982718</v>
      </c>
      <c r="J113" s="284">
        <f t="shared" si="18"/>
        <v>1898054</v>
      </c>
      <c r="K113" s="44">
        <f t="shared" si="18"/>
        <v>1512281</v>
      </c>
      <c r="L113" s="253">
        <f t="shared" si="19"/>
        <v>-20.3</v>
      </c>
      <c r="M113" s="27">
        <f>IFERROR(100/'Skjema total MA'!I113*K113,0)</f>
        <v>12.13982592719535</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v>0</v>
      </c>
      <c r="C116" s="233">
        <v>20833</v>
      </c>
      <c r="D116" s="166" t="str">
        <f t="shared" si="17"/>
        <v xml:space="preserve">    ---- </v>
      </c>
      <c r="E116" s="27">
        <f>IFERROR(100/'Skjema total MA'!C116*C116,0)</f>
        <v>9.6157613349873206</v>
      </c>
      <c r="F116" s="233"/>
      <c r="G116" s="233"/>
      <c r="H116" s="166"/>
      <c r="I116" s="27"/>
      <c r="J116" s="284">
        <f t="shared" si="18"/>
        <v>0</v>
      </c>
      <c r="K116" s="44">
        <f t="shared" si="18"/>
        <v>20833</v>
      </c>
      <c r="L116" s="253" t="str">
        <f t="shared" si="19"/>
        <v xml:space="preserve">    ---- </v>
      </c>
      <c r="M116" s="27">
        <f>IFERROR(100/'Skjema total MA'!I116*K116,0)</f>
        <v>9.4894140999294194</v>
      </c>
      <c r="O116" s="148"/>
    </row>
    <row r="117" spans="1:15" ht="15.75" x14ac:dyDescent="0.2">
      <c r="A117" s="21" t="s">
        <v>479</v>
      </c>
      <c r="B117" s="233"/>
      <c r="C117" s="233"/>
      <c r="D117" s="166"/>
      <c r="E117" s="27"/>
      <c r="F117" s="233">
        <v>188788</v>
      </c>
      <c r="G117" s="233">
        <v>198433</v>
      </c>
      <c r="H117" s="166">
        <f t="shared" si="20"/>
        <v>5.0999999999999996</v>
      </c>
      <c r="I117" s="27">
        <f>IFERROR(100/'Skjema total MA'!F117*G117,0)</f>
        <v>8.9746848118965961</v>
      </c>
      <c r="J117" s="284">
        <f t="shared" si="18"/>
        <v>188788</v>
      </c>
      <c r="K117" s="44">
        <f t="shared" si="18"/>
        <v>198433</v>
      </c>
      <c r="L117" s="253">
        <f t="shared" si="19"/>
        <v>5.0999999999999996</v>
      </c>
      <c r="M117" s="27">
        <f>IFERROR(100/'Skjema total MA'!I117*K117,0)</f>
        <v>8.9746848118965961</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42063</v>
      </c>
      <c r="C119" s="159">
        <v>18424</v>
      </c>
      <c r="D119" s="171">
        <f t="shared" si="17"/>
        <v>-56.2</v>
      </c>
      <c r="E119" s="11">
        <f>IFERROR(100/'Skjema total MA'!C119*C119,0)</f>
        <v>3.0665607048195054</v>
      </c>
      <c r="F119" s="305">
        <v>1184244</v>
      </c>
      <c r="G119" s="159">
        <v>1234200</v>
      </c>
      <c r="H119" s="171">
        <f t="shared" si="20"/>
        <v>4.2</v>
      </c>
      <c r="I119" s="11">
        <f>IFERROR(100/'Skjema total MA'!F119*G119,0)</f>
        <v>9.6752285013739527</v>
      </c>
      <c r="J119" s="306">
        <f t="shared" si="18"/>
        <v>1226307</v>
      </c>
      <c r="K119" s="235">
        <f t="shared" si="18"/>
        <v>1252624</v>
      </c>
      <c r="L119" s="423">
        <f t="shared" si="19"/>
        <v>2.1</v>
      </c>
      <c r="M119" s="11">
        <f>IFERROR(100/'Skjema total MA'!I119*K119,0)</f>
        <v>9.3779699291819298</v>
      </c>
      <c r="O119" s="148"/>
    </row>
    <row r="120" spans="1:15" x14ac:dyDescent="0.2">
      <c r="A120" s="21" t="s">
        <v>9</v>
      </c>
      <c r="B120" s="233">
        <v>42063</v>
      </c>
      <c r="C120" s="145">
        <v>18424</v>
      </c>
      <c r="D120" s="166">
        <f t="shared" si="17"/>
        <v>-56.2</v>
      </c>
      <c r="E120" s="27">
        <f>IFERROR(100/'Skjema total MA'!C120*C120,0)</f>
        <v>4.0712515716261901</v>
      </c>
      <c r="F120" s="233"/>
      <c r="G120" s="145"/>
      <c r="H120" s="166"/>
      <c r="I120" s="27"/>
      <c r="J120" s="284">
        <f t="shared" si="18"/>
        <v>42063</v>
      </c>
      <c r="K120" s="44">
        <f t="shared" si="18"/>
        <v>18424</v>
      </c>
      <c r="L120" s="253">
        <f t="shared" si="19"/>
        <v>-56.2</v>
      </c>
      <c r="M120" s="27">
        <f>IFERROR(100/'Skjema total MA'!I120*K120,0)</f>
        <v>4.0712515716261901</v>
      </c>
      <c r="O120" s="148"/>
    </row>
    <row r="121" spans="1:15" x14ac:dyDescent="0.2">
      <c r="A121" s="21" t="s">
        <v>10</v>
      </c>
      <c r="B121" s="233"/>
      <c r="C121" s="145"/>
      <c r="D121" s="166"/>
      <c r="E121" s="27"/>
      <c r="F121" s="233">
        <v>1184244</v>
      </c>
      <c r="G121" s="145">
        <v>1234200</v>
      </c>
      <c r="H121" s="166">
        <f t="shared" si="20"/>
        <v>4.2</v>
      </c>
      <c r="I121" s="27">
        <f>IFERROR(100/'Skjema total MA'!F121*G121,0)</f>
        <v>9.6752285013739527</v>
      </c>
      <c r="J121" s="284">
        <f t="shared" si="18"/>
        <v>1184244</v>
      </c>
      <c r="K121" s="44">
        <f t="shared" si="18"/>
        <v>1234200</v>
      </c>
      <c r="L121" s="253">
        <f t="shared" si="19"/>
        <v>4.2</v>
      </c>
      <c r="M121" s="27">
        <f>IFERROR(100/'Skjema total MA'!I121*K121,0)</f>
        <v>9.648419003671135</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v>213656</v>
      </c>
      <c r="G125" s="233">
        <v>264382</v>
      </c>
      <c r="H125" s="166">
        <f t="shared" si="20"/>
        <v>23.7</v>
      </c>
      <c r="I125" s="27">
        <f>IFERROR(100/'Skjema total MA'!F125*G125,0)</f>
        <v>12.39477239221258</v>
      </c>
      <c r="J125" s="284">
        <f t="shared" si="18"/>
        <v>213656</v>
      </c>
      <c r="K125" s="44">
        <f t="shared" si="18"/>
        <v>264382</v>
      </c>
      <c r="L125" s="253">
        <f t="shared" si="19"/>
        <v>23.7</v>
      </c>
      <c r="M125" s="27">
        <f>IFERROR(100/'Skjema total MA'!I125*K125,0)</f>
        <v>12.374141617377775</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861" priority="139">
      <formula>kvartal &lt; 4</formula>
    </cfRule>
  </conditionalFormatting>
  <conditionalFormatting sqref="B69">
    <cfRule type="expression" dxfId="1860" priority="107">
      <formula>kvartal &lt; 4</formula>
    </cfRule>
  </conditionalFormatting>
  <conditionalFormatting sqref="C69">
    <cfRule type="expression" dxfId="1859" priority="106">
      <formula>kvartal &lt; 4</formula>
    </cfRule>
  </conditionalFormatting>
  <conditionalFormatting sqref="B72">
    <cfRule type="expression" dxfId="1858" priority="105">
      <formula>kvartal &lt; 4</formula>
    </cfRule>
  </conditionalFormatting>
  <conditionalFormatting sqref="C72">
    <cfRule type="expression" dxfId="1857" priority="104">
      <formula>kvartal &lt; 4</formula>
    </cfRule>
  </conditionalFormatting>
  <conditionalFormatting sqref="B80">
    <cfRule type="expression" dxfId="1856" priority="103">
      <formula>kvartal &lt; 4</formula>
    </cfRule>
  </conditionalFormatting>
  <conditionalFormatting sqref="C80">
    <cfRule type="expression" dxfId="1855" priority="102">
      <formula>kvartal &lt; 4</formula>
    </cfRule>
  </conditionalFormatting>
  <conditionalFormatting sqref="B83">
    <cfRule type="expression" dxfId="1854" priority="101">
      <formula>kvartal &lt; 4</formula>
    </cfRule>
  </conditionalFormatting>
  <conditionalFormatting sqref="C83">
    <cfRule type="expression" dxfId="1853" priority="100">
      <formula>kvartal &lt; 4</formula>
    </cfRule>
  </conditionalFormatting>
  <conditionalFormatting sqref="B90">
    <cfRule type="expression" dxfId="1852" priority="91">
      <formula>kvartal &lt; 4</formula>
    </cfRule>
  </conditionalFormatting>
  <conditionalFormatting sqref="C90">
    <cfRule type="expression" dxfId="1851" priority="90">
      <formula>kvartal &lt; 4</formula>
    </cfRule>
  </conditionalFormatting>
  <conditionalFormatting sqref="B93">
    <cfRule type="expression" dxfId="1850" priority="89">
      <formula>kvartal &lt; 4</formula>
    </cfRule>
  </conditionalFormatting>
  <conditionalFormatting sqref="C93">
    <cfRule type="expression" dxfId="1849" priority="88">
      <formula>kvartal &lt; 4</formula>
    </cfRule>
  </conditionalFormatting>
  <conditionalFormatting sqref="B101">
    <cfRule type="expression" dxfId="1848" priority="87">
      <formula>kvartal &lt; 4</formula>
    </cfRule>
  </conditionalFormatting>
  <conditionalFormatting sqref="C101">
    <cfRule type="expression" dxfId="1847" priority="86">
      <formula>kvartal &lt; 4</formula>
    </cfRule>
  </conditionalFormatting>
  <conditionalFormatting sqref="B104">
    <cfRule type="expression" dxfId="1846" priority="85">
      <formula>kvartal &lt; 4</formula>
    </cfRule>
  </conditionalFormatting>
  <conditionalFormatting sqref="C104">
    <cfRule type="expression" dxfId="1845" priority="84">
      <formula>kvartal &lt; 4</formula>
    </cfRule>
  </conditionalFormatting>
  <conditionalFormatting sqref="B115">
    <cfRule type="expression" dxfId="1844" priority="83">
      <formula>kvartal &lt; 4</formula>
    </cfRule>
  </conditionalFormatting>
  <conditionalFormatting sqref="C115">
    <cfRule type="expression" dxfId="1843" priority="82">
      <formula>kvartal &lt; 4</formula>
    </cfRule>
  </conditionalFormatting>
  <conditionalFormatting sqref="B123">
    <cfRule type="expression" dxfId="1842" priority="81">
      <formula>kvartal &lt; 4</formula>
    </cfRule>
  </conditionalFormatting>
  <conditionalFormatting sqref="C123">
    <cfRule type="expression" dxfId="1841" priority="80">
      <formula>kvartal &lt; 4</formula>
    </cfRule>
  </conditionalFormatting>
  <conditionalFormatting sqref="F70">
    <cfRule type="expression" dxfId="1840" priority="79">
      <formula>kvartal &lt; 4</formula>
    </cfRule>
  </conditionalFormatting>
  <conditionalFormatting sqref="G70">
    <cfRule type="expression" dxfId="1839" priority="78">
      <formula>kvartal &lt; 4</formula>
    </cfRule>
  </conditionalFormatting>
  <conditionalFormatting sqref="F71:G71">
    <cfRule type="expression" dxfId="1838" priority="77">
      <formula>kvartal &lt; 4</formula>
    </cfRule>
  </conditionalFormatting>
  <conditionalFormatting sqref="F73:G74">
    <cfRule type="expression" dxfId="1837" priority="76">
      <formula>kvartal &lt; 4</formula>
    </cfRule>
  </conditionalFormatting>
  <conditionalFormatting sqref="F81:G82">
    <cfRule type="expression" dxfId="1836" priority="75">
      <formula>kvartal &lt; 4</formula>
    </cfRule>
  </conditionalFormatting>
  <conditionalFormatting sqref="F84:G85">
    <cfRule type="expression" dxfId="1835" priority="74">
      <formula>kvartal &lt; 4</formula>
    </cfRule>
  </conditionalFormatting>
  <conditionalFormatting sqref="F91:G92">
    <cfRule type="expression" dxfId="1834" priority="69">
      <formula>kvartal &lt; 4</formula>
    </cfRule>
  </conditionalFormatting>
  <conditionalFormatting sqref="F94:G95">
    <cfRule type="expression" dxfId="1833" priority="68">
      <formula>kvartal &lt; 4</formula>
    </cfRule>
  </conditionalFormatting>
  <conditionalFormatting sqref="F102:G103">
    <cfRule type="expression" dxfId="1832" priority="67">
      <formula>kvartal &lt; 4</formula>
    </cfRule>
  </conditionalFormatting>
  <conditionalFormatting sqref="F105:G106">
    <cfRule type="expression" dxfId="1831" priority="66">
      <formula>kvartal &lt; 4</formula>
    </cfRule>
  </conditionalFormatting>
  <conditionalFormatting sqref="F115">
    <cfRule type="expression" dxfId="1830" priority="65">
      <formula>kvartal &lt; 4</formula>
    </cfRule>
  </conditionalFormatting>
  <conditionalFormatting sqref="G115">
    <cfRule type="expression" dxfId="1829" priority="64">
      <formula>kvartal &lt; 4</formula>
    </cfRule>
  </conditionalFormatting>
  <conditionalFormatting sqref="F123:G123">
    <cfRule type="expression" dxfId="1828" priority="63">
      <formula>kvartal &lt; 4</formula>
    </cfRule>
  </conditionalFormatting>
  <conditionalFormatting sqref="F69:G69">
    <cfRule type="expression" dxfId="1827" priority="62">
      <formula>kvartal &lt; 4</formula>
    </cfRule>
  </conditionalFormatting>
  <conditionalFormatting sqref="F72:G72">
    <cfRule type="expression" dxfId="1826" priority="61">
      <formula>kvartal &lt; 4</formula>
    </cfRule>
  </conditionalFormatting>
  <conditionalFormatting sqref="F80:G80">
    <cfRule type="expression" dxfId="1825" priority="60">
      <formula>kvartal &lt; 4</formula>
    </cfRule>
  </conditionalFormatting>
  <conditionalFormatting sqref="F83:G83">
    <cfRule type="expression" dxfId="1824" priority="59">
      <formula>kvartal &lt; 4</formula>
    </cfRule>
  </conditionalFormatting>
  <conditionalFormatting sqref="F90:G90">
    <cfRule type="expression" dxfId="1823" priority="53">
      <formula>kvartal &lt; 4</formula>
    </cfRule>
  </conditionalFormatting>
  <conditionalFormatting sqref="F93">
    <cfRule type="expression" dxfId="1822" priority="52">
      <formula>kvartal &lt; 4</formula>
    </cfRule>
  </conditionalFormatting>
  <conditionalFormatting sqref="G93">
    <cfRule type="expression" dxfId="1821" priority="51">
      <formula>kvartal &lt; 4</formula>
    </cfRule>
  </conditionalFormatting>
  <conditionalFormatting sqref="F101">
    <cfRule type="expression" dxfId="1820" priority="50">
      <formula>kvartal &lt; 4</formula>
    </cfRule>
  </conditionalFormatting>
  <conditionalFormatting sqref="G101">
    <cfRule type="expression" dxfId="1819" priority="49">
      <formula>kvartal &lt; 4</formula>
    </cfRule>
  </conditionalFormatting>
  <conditionalFormatting sqref="G104">
    <cfRule type="expression" dxfId="1818" priority="48">
      <formula>kvartal &lt; 4</formula>
    </cfRule>
  </conditionalFormatting>
  <conditionalFormatting sqref="F104">
    <cfRule type="expression" dxfId="1817" priority="47">
      <formula>kvartal &lt; 4</formula>
    </cfRule>
  </conditionalFormatting>
  <conditionalFormatting sqref="J69">
    <cfRule type="expression" dxfId="1816" priority="46">
      <formula>kvartal &lt; 4</formula>
    </cfRule>
  </conditionalFormatting>
  <conditionalFormatting sqref="A50:A52">
    <cfRule type="expression" dxfId="1815" priority="19">
      <formula>kvartal &lt; 4</formula>
    </cfRule>
  </conditionalFormatting>
  <conditionalFormatting sqref="A69:A74">
    <cfRule type="expression" dxfId="1814" priority="17">
      <formula>kvartal &lt; 4</formula>
    </cfRule>
  </conditionalFormatting>
  <conditionalFormatting sqref="A80:A85">
    <cfRule type="expression" dxfId="1813" priority="16">
      <formula>kvartal &lt; 4</formula>
    </cfRule>
  </conditionalFormatting>
  <conditionalFormatting sqref="A90:A95">
    <cfRule type="expression" dxfId="1812" priority="13">
      <formula>kvartal &lt; 4</formula>
    </cfRule>
  </conditionalFormatting>
  <conditionalFormatting sqref="A101:A106">
    <cfRule type="expression" dxfId="1811" priority="12">
      <formula>kvartal &lt; 4</formula>
    </cfRule>
  </conditionalFormatting>
  <conditionalFormatting sqref="A115">
    <cfRule type="expression" dxfId="1810" priority="11">
      <formula>kvartal &lt; 4</formula>
    </cfRule>
  </conditionalFormatting>
  <conditionalFormatting sqref="A123">
    <cfRule type="expression" dxfId="1809" priority="10">
      <formula>kvartal &lt; 4</formula>
    </cfRule>
  </conditionalFormatting>
  <conditionalFormatting sqref="J70:J74">
    <cfRule type="expression" dxfId="1808" priority="7">
      <formula>kvartal &lt; 4</formula>
    </cfRule>
  </conditionalFormatting>
  <conditionalFormatting sqref="K69:K74">
    <cfRule type="expression" dxfId="1807" priority="6">
      <formula>kvartal &lt; 4</formula>
    </cfRule>
  </conditionalFormatting>
  <conditionalFormatting sqref="J80:K85">
    <cfRule type="expression" dxfId="1806" priority="5">
      <formula>kvartal &lt; 4</formula>
    </cfRule>
  </conditionalFormatting>
  <conditionalFormatting sqref="J90:K95">
    <cfRule type="expression" dxfId="1805" priority="4">
      <formula>kvartal &lt; 4</formula>
    </cfRule>
  </conditionalFormatting>
  <conditionalFormatting sqref="J101:K106">
    <cfRule type="expression" dxfId="1804" priority="3">
      <formula>kvartal &lt; 4</formula>
    </cfRule>
  </conditionalFormatting>
  <conditionalFormatting sqref="J115:K115">
    <cfRule type="expression" dxfId="1803" priority="2">
      <formula>kvartal &lt; 4</formula>
    </cfRule>
  </conditionalFormatting>
  <conditionalFormatting sqref="J123:K123">
    <cfRule type="expression" dxfId="1802" priority="1">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94</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37120</v>
      </c>
      <c r="C7" s="304">
        <v>35346</v>
      </c>
      <c r="D7" s="347">
        <f>IF(B7=0, "    ---- ", IF(ABS(ROUND(100/B7*C7-100,1))&lt;999,ROUND(100/B7*C7-100,1),IF(ROUND(100/B7*C7-100,1)&gt;999,999,-999)))</f>
        <v>-4.8</v>
      </c>
      <c r="E7" s="11">
        <f>IFERROR(100/'Skjema total MA'!C7*C7,0)</f>
        <v>0.77703698174401936</v>
      </c>
      <c r="F7" s="303"/>
      <c r="G7" s="304"/>
      <c r="H7" s="347"/>
      <c r="I7" s="160"/>
      <c r="J7" s="305">
        <f t="shared" ref="J7:K10" si="0">SUM(B7,F7)</f>
        <v>37120</v>
      </c>
      <c r="K7" s="306">
        <f t="shared" si="0"/>
        <v>35346</v>
      </c>
      <c r="L7" s="422">
        <f>IF(J7=0, "    ---- ", IF(ABS(ROUND(100/J7*K7-100,1))&lt;999,ROUND(100/J7*K7-100,1),IF(ROUND(100/J7*K7-100,1)&gt;999,999,-999)))</f>
        <v>-4.8</v>
      </c>
      <c r="M7" s="11">
        <f>IFERROR(100/'Skjema total MA'!I7*K7,0)</f>
        <v>0.30097709611938189</v>
      </c>
      <c r="O7" s="148"/>
    </row>
    <row r="8" spans="1:15" ht="15.75" x14ac:dyDescent="0.2">
      <c r="A8" s="21" t="s">
        <v>25</v>
      </c>
      <c r="B8" s="278">
        <v>22712</v>
      </c>
      <c r="C8" s="279">
        <v>21980</v>
      </c>
      <c r="D8" s="166">
        <f t="shared" ref="D8:D10" si="1">IF(B8=0, "    ---- ", IF(ABS(ROUND(100/B8*C8-100,1))&lt;999,ROUND(100/B8*C8-100,1),IF(ROUND(100/B8*C8-100,1)&gt;999,999,-999)))</f>
        <v>-3.2</v>
      </c>
      <c r="E8" s="27">
        <f>IFERROR(100/'Skjema total MA'!C8*C8,0)</f>
        <v>0.83279038308836539</v>
      </c>
      <c r="F8" s="282"/>
      <c r="G8" s="283"/>
      <c r="H8" s="166"/>
      <c r="I8" s="175"/>
      <c r="J8" s="233">
        <f t="shared" si="0"/>
        <v>22712</v>
      </c>
      <c r="K8" s="284">
        <f t="shared" si="0"/>
        <v>21980</v>
      </c>
      <c r="L8" s="166">
        <f t="shared" ref="L8:L9" si="2">IF(J8=0, "    ---- ", IF(ABS(ROUND(100/J8*K8-100,1))&lt;999,ROUND(100/J8*K8-100,1),IF(ROUND(100/J8*K8-100,1)&gt;999,999,-999)))</f>
        <v>-3.2</v>
      </c>
      <c r="M8" s="27">
        <f>IFERROR(100/'Skjema total MA'!I8*K8,0)</f>
        <v>0.83279038308836539</v>
      </c>
      <c r="O8" s="148"/>
    </row>
    <row r="9" spans="1:15" ht="15.75" x14ac:dyDescent="0.2">
      <c r="A9" s="21" t="s">
        <v>24</v>
      </c>
      <c r="B9" s="278">
        <v>13875</v>
      </c>
      <c r="C9" s="279">
        <v>13366</v>
      </c>
      <c r="D9" s="166">
        <f t="shared" si="1"/>
        <v>-3.7</v>
      </c>
      <c r="E9" s="27">
        <f>IFERROR(100/'Skjema total MA'!C9*C9,0)</f>
        <v>1.3657637435170262</v>
      </c>
      <c r="F9" s="282"/>
      <c r="G9" s="283"/>
      <c r="H9" s="166"/>
      <c r="I9" s="175"/>
      <c r="J9" s="233">
        <f t="shared" si="0"/>
        <v>13875</v>
      </c>
      <c r="K9" s="284">
        <f t="shared" si="0"/>
        <v>13366</v>
      </c>
      <c r="L9" s="166">
        <f t="shared" si="2"/>
        <v>-3.7</v>
      </c>
      <c r="M9" s="27">
        <f>IFERROR(100/'Skjema total MA'!I9*K9,0)</f>
        <v>1.3657637435170262</v>
      </c>
      <c r="O9" s="148"/>
    </row>
    <row r="10" spans="1:15" ht="15.75" x14ac:dyDescent="0.2">
      <c r="A10" s="13" t="s">
        <v>456</v>
      </c>
      <c r="B10" s="307">
        <v>24042</v>
      </c>
      <c r="C10" s="308">
        <v>20967</v>
      </c>
      <c r="D10" s="171">
        <f t="shared" si="1"/>
        <v>-12.8</v>
      </c>
      <c r="E10" s="11">
        <f>IFERROR(100/'Skjema total MA'!C10*C10,0)</f>
        <v>9.3351510806705368E-2</v>
      </c>
      <c r="F10" s="307"/>
      <c r="G10" s="308"/>
      <c r="H10" s="171"/>
      <c r="I10" s="160"/>
      <c r="J10" s="305">
        <f t="shared" si="0"/>
        <v>24042</v>
      </c>
      <c r="K10" s="306">
        <f t="shared" si="0"/>
        <v>20967</v>
      </c>
      <c r="L10" s="423">
        <f t="shared" ref="L10" si="3">IF(J10=0, "    ---- ", IF(ABS(ROUND(100/J10*K10-100,1))&lt;999,ROUND(100/J10*K10-100,1),IF(ROUND(100/J10*K10-100,1)&gt;999,999,-999)))</f>
        <v>-12.8</v>
      </c>
      <c r="M10" s="11">
        <f>IFERROR(100/'Skjema total MA'!I10*K10,0)</f>
        <v>3.2693697674437527E-2</v>
      </c>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v>242</v>
      </c>
      <c r="C22" s="313">
        <v>217</v>
      </c>
      <c r="D22" s="347">
        <f t="shared" ref="D22:D31" si="4">IF(B22=0, "    ---- ", IF(ABS(ROUND(100/B22*C22-100,1))&lt;999,ROUND(100/B22*C22-100,1),IF(ROUND(100/B22*C22-100,1)&gt;999,999,-999)))</f>
        <v>-10.3</v>
      </c>
      <c r="E22" s="11">
        <f>IFERROR(100/'Skjema total MA'!C22*C22,0)</f>
        <v>1.3720718915298746E-2</v>
      </c>
      <c r="F22" s="315"/>
      <c r="G22" s="315"/>
      <c r="H22" s="347"/>
      <c r="I22" s="11"/>
      <c r="J22" s="313">
        <f t="shared" ref="J22:K29" si="5">SUM(B22,F22)</f>
        <v>242</v>
      </c>
      <c r="K22" s="313">
        <f t="shared" si="5"/>
        <v>217</v>
      </c>
      <c r="L22" s="422">
        <f t="shared" ref="L22:L31" si="6">IF(J22=0, "    ---- ", IF(ABS(ROUND(100/J22*K22-100,1))&lt;999,ROUND(100/J22*K22-100,1),IF(ROUND(100/J22*K22-100,1)&gt;999,999,-999)))</f>
        <v>-10.3</v>
      </c>
      <c r="M22" s="24">
        <f>IFERROR(100/'Skjema total MA'!I22*K22,0)</f>
        <v>7.6040730669232086E-3</v>
      </c>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v>242</v>
      </c>
      <c r="C24" s="278">
        <v>217</v>
      </c>
      <c r="D24" s="166">
        <f t="shared" si="4"/>
        <v>-10.3</v>
      </c>
      <c r="E24" s="11">
        <f>IFERROR(100/'Skjema total MA'!C24*C24,0)</f>
        <v>1.4122527023261471</v>
      </c>
      <c r="F24" s="287"/>
      <c r="G24" s="287"/>
      <c r="H24" s="166"/>
      <c r="I24" s="412"/>
      <c r="J24" s="287">
        <f t="shared" ref="J24" si="7">SUM(B24,F24)</f>
        <v>242</v>
      </c>
      <c r="K24" s="287">
        <f t="shared" ref="K24" si="8">SUM(C24,G24)</f>
        <v>217</v>
      </c>
      <c r="L24" s="166">
        <f t="shared" si="6"/>
        <v>-10.3</v>
      </c>
      <c r="M24" s="23">
        <f>IFERROR(100/'Skjema total MA'!I24*K24,0)</f>
        <v>1.4030529397094886</v>
      </c>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v>242</v>
      </c>
      <c r="C28" s="44">
        <v>217</v>
      </c>
      <c r="D28" s="166">
        <f t="shared" si="4"/>
        <v>-10.3</v>
      </c>
      <c r="E28" s="11">
        <f>IFERROR(100/'Skjema total MA'!C28*C28,0)</f>
        <v>1.2169599181964724E-2</v>
      </c>
      <c r="F28" s="233"/>
      <c r="G28" s="284"/>
      <c r="H28" s="166"/>
      <c r="I28" s="27"/>
      <c r="J28" s="44">
        <f t="shared" si="5"/>
        <v>242</v>
      </c>
      <c r="K28" s="44">
        <f t="shared" si="5"/>
        <v>217</v>
      </c>
      <c r="L28" s="253">
        <f t="shared" si="6"/>
        <v>-10.3</v>
      </c>
      <c r="M28" s="23">
        <f>IFERROR(100/'Skjema total MA'!I28*K28,0)</f>
        <v>1.2169599181964724E-2</v>
      </c>
      <c r="O28" s="148"/>
    </row>
    <row r="29" spans="1:15" s="3" customFormat="1" ht="15.75" x14ac:dyDescent="0.2">
      <c r="A29" s="13" t="s">
        <v>456</v>
      </c>
      <c r="B29" s="235">
        <v>2332</v>
      </c>
      <c r="C29" s="235">
        <v>2088</v>
      </c>
      <c r="D29" s="171">
        <f t="shared" si="4"/>
        <v>-10.5</v>
      </c>
      <c r="E29" s="11">
        <f>IFERROR(100/'Skjema total MA'!C29*C29,0)</f>
        <v>4.3582699610649495E-3</v>
      </c>
      <c r="F29" s="305"/>
      <c r="G29" s="305"/>
      <c r="H29" s="171"/>
      <c r="I29" s="11"/>
      <c r="J29" s="235">
        <f t="shared" si="5"/>
        <v>2332</v>
      </c>
      <c r="K29" s="235">
        <f t="shared" si="5"/>
        <v>2088</v>
      </c>
      <c r="L29" s="423">
        <f t="shared" si="6"/>
        <v>-10.5</v>
      </c>
      <c r="M29" s="24">
        <f>IFERROR(100/'Skjema total MA'!I29*K29,0)</f>
        <v>3.115880460633008E-3</v>
      </c>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v>2332</v>
      </c>
      <c r="C31" s="278">
        <v>2088</v>
      </c>
      <c r="D31" s="166">
        <f t="shared" si="4"/>
        <v>-10.5</v>
      </c>
      <c r="E31" s="11">
        <f>IFERROR(100/'Skjema total MA'!C31*C31,0)</f>
        <v>6.2194752967497761E-3</v>
      </c>
      <c r="F31" s="287"/>
      <c r="G31" s="287"/>
      <c r="H31" s="166"/>
      <c r="I31" s="412"/>
      <c r="J31" s="287">
        <f t="shared" ref="J31" si="9">SUM(B31,F31)</f>
        <v>2332</v>
      </c>
      <c r="K31" s="287">
        <f t="shared" ref="K31" si="10">SUM(C31,G31)</f>
        <v>2088</v>
      </c>
      <c r="L31" s="166">
        <f t="shared" si="6"/>
        <v>-10.5</v>
      </c>
      <c r="M31" s="23">
        <f>IFERROR(100/'Skjema total MA'!I31*K31,0)</f>
        <v>4.866545160701825E-3</v>
      </c>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c r="D47" s="422"/>
      <c r="E47" s="11"/>
      <c r="F47" s="145"/>
      <c r="G47" s="33"/>
      <c r="H47" s="159"/>
      <c r="I47" s="159"/>
      <c r="J47" s="37"/>
      <c r="K47" s="37"/>
      <c r="L47" s="159"/>
      <c r="M47" s="159"/>
      <c r="N47" s="148"/>
      <c r="O47" s="148"/>
    </row>
    <row r="48" spans="1:15" s="3" customFormat="1" ht="15.75" x14ac:dyDescent="0.2">
      <c r="A48" s="38" t="s">
        <v>467</v>
      </c>
      <c r="B48" s="278"/>
      <c r="C48" s="279"/>
      <c r="D48" s="253"/>
      <c r="E48" s="27"/>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801" priority="139">
      <formula>kvartal &lt; 4</formula>
    </cfRule>
  </conditionalFormatting>
  <conditionalFormatting sqref="B69">
    <cfRule type="expression" dxfId="1800" priority="107">
      <formula>kvartal &lt; 4</formula>
    </cfRule>
  </conditionalFormatting>
  <conditionalFormatting sqref="C69">
    <cfRule type="expression" dxfId="1799" priority="106">
      <formula>kvartal &lt; 4</formula>
    </cfRule>
  </conditionalFormatting>
  <conditionalFormatting sqref="B72">
    <cfRule type="expression" dxfId="1798" priority="105">
      <formula>kvartal &lt; 4</formula>
    </cfRule>
  </conditionalFormatting>
  <conditionalFormatting sqref="C72">
    <cfRule type="expression" dxfId="1797" priority="104">
      <formula>kvartal &lt; 4</formula>
    </cfRule>
  </conditionalFormatting>
  <conditionalFormatting sqref="B80">
    <cfRule type="expression" dxfId="1796" priority="103">
      <formula>kvartal &lt; 4</formula>
    </cfRule>
  </conditionalFormatting>
  <conditionalFormatting sqref="C80">
    <cfRule type="expression" dxfId="1795" priority="102">
      <formula>kvartal &lt; 4</formula>
    </cfRule>
  </conditionalFormatting>
  <conditionalFormatting sqref="B83">
    <cfRule type="expression" dxfId="1794" priority="101">
      <formula>kvartal &lt; 4</formula>
    </cfRule>
  </conditionalFormatting>
  <conditionalFormatting sqref="C83">
    <cfRule type="expression" dxfId="1793" priority="100">
      <formula>kvartal &lt; 4</formula>
    </cfRule>
  </conditionalFormatting>
  <conditionalFormatting sqref="B90">
    <cfRule type="expression" dxfId="1792" priority="91">
      <formula>kvartal &lt; 4</formula>
    </cfRule>
  </conditionalFormatting>
  <conditionalFormatting sqref="C90">
    <cfRule type="expression" dxfId="1791" priority="90">
      <formula>kvartal &lt; 4</formula>
    </cfRule>
  </conditionalFormatting>
  <conditionalFormatting sqref="B93">
    <cfRule type="expression" dxfId="1790" priority="89">
      <formula>kvartal &lt; 4</formula>
    </cfRule>
  </conditionalFormatting>
  <conditionalFormatting sqref="C93">
    <cfRule type="expression" dxfId="1789" priority="88">
      <formula>kvartal &lt; 4</formula>
    </cfRule>
  </conditionalFormatting>
  <conditionalFormatting sqref="B101">
    <cfRule type="expression" dxfId="1788" priority="87">
      <formula>kvartal &lt; 4</formula>
    </cfRule>
  </conditionalFormatting>
  <conditionalFormatting sqref="C101">
    <cfRule type="expression" dxfId="1787" priority="86">
      <formula>kvartal &lt; 4</formula>
    </cfRule>
  </conditionalFormatting>
  <conditionalFormatting sqref="B104">
    <cfRule type="expression" dxfId="1786" priority="85">
      <formula>kvartal &lt; 4</formula>
    </cfRule>
  </conditionalFormatting>
  <conditionalFormatting sqref="C104">
    <cfRule type="expression" dxfId="1785" priority="84">
      <formula>kvartal &lt; 4</formula>
    </cfRule>
  </conditionalFormatting>
  <conditionalFormatting sqref="B115">
    <cfRule type="expression" dxfId="1784" priority="83">
      <formula>kvartal &lt; 4</formula>
    </cfRule>
  </conditionalFormatting>
  <conditionalFormatting sqref="C115">
    <cfRule type="expression" dxfId="1783" priority="82">
      <formula>kvartal &lt; 4</formula>
    </cfRule>
  </conditionalFormatting>
  <conditionalFormatting sqref="B123">
    <cfRule type="expression" dxfId="1782" priority="81">
      <formula>kvartal &lt; 4</formula>
    </cfRule>
  </conditionalFormatting>
  <conditionalFormatting sqref="C123">
    <cfRule type="expression" dxfId="1781" priority="80">
      <formula>kvartal &lt; 4</formula>
    </cfRule>
  </conditionalFormatting>
  <conditionalFormatting sqref="F70">
    <cfRule type="expression" dxfId="1780" priority="79">
      <formula>kvartal &lt; 4</formula>
    </cfRule>
  </conditionalFormatting>
  <conditionalFormatting sqref="G70">
    <cfRule type="expression" dxfId="1779" priority="78">
      <formula>kvartal &lt; 4</formula>
    </cfRule>
  </conditionalFormatting>
  <conditionalFormatting sqref="F71:G71">
    <cfRule type="expression" dxfId="1778" priority="77">
      <formula>kvartal &lt; 4</formula>
    </cfRule>
  </conditionalFormatting>
  <conditionalFormatting sqref="F73:G74">
    <cfRule type="expression" dxfId="1777" priority="76">
      <formula>kvartal &lt; 4</formula>
    </cfRule>
  </conditionalFormatting>
  <conditionalFormatting sqref="F81:G82">
    <cfRule type="expression" dxfId="1776" priority="75">
      <formula>kvartal &lt; 4</formula>
    </cfRule>
  </conditionalFormatting>
  <conditionalFormatting sqref="F84:G85">
    <cfRule type="expression" dxfId="1775" priority="74">
      <formula>kvartal &lt; 4</formula>
    </cfRule>
  </conditionalFormatting>
  <conditionalFormatting sqref="F91:G92">
    <cfRule type="expression" dxfId="1774" priority="69">
      <formula>kvartal &lt; 4</formula>
    </cfRule>
  </conditionalFormatting>
  <conditionalFormatting sqref="F94:G95">
    <cfRule type="expression" dxfId="1773" priority="68">
      <formula>kvartal &lt; 4</formula>
    </cfRule>
  </conditionalFormatting>
  <conditionalFormatting sqref="F102:G103">
    <cfRule type="expression" dxfId="1772" priority="67">
      <formula>kvartal &lt; 4</formula>
    </cfRule>
  </conditionalFormatting>
  <conditionalFormatting sqref="F105:G106">
    <cfRule type="expression" dxfId="1771" priority="66">
      <formula>kvartal &lt; 4</formula>
    </cfRule>
  </conditionalFormatting>
  <conditionalFormatting sqref="F115">
    <cfRule type="expression" dxfId="1770" priority="65">
      <formula>kvartal &lt; 4</formula>
    </cfRule>
  </conditionalFormatting>
  <conditionalFormatting sqref="G115">
    <cfRule type="expression" dxfId="1769" priority="64">
      <formula>kvartal &lt; 4</formula>
    </cfRule>
  </conditionalFormatting>
  <conditionalFormatting sqref="F123:G123">
    <cfRule type="expression" dxfId="1768" priority="63">
      <formula>kvartal &lt; 4</formula>
    </cfRule>
  </conditionalFormatting>
  <conditionalFormatting sqref="F69:G69">
    <cfRule type="expression" dxfId="1767" priority="62">
      <formula>kvartal &lt; 4</formula>
    </cfRule>
  </conditionalFormatting>
  <conditionalFormatting sqref="F72:G72">
    <cfRule type="expression" dxfId="1766" priority="61">
      <formula>kvartal &lt; 4</formula>
    </cfRule>
  </conditionalFormatting>
  <conditionalFormatting sqref="F80:G80">
    <cfRule type="expression" dxfId="1765" priority="60">
      <formula>kvartal &lt; 4</formula>
    </cfRule>
  </conditionalFormatting>
  <conditionalFormatting sqref="F83:G83">
    <cfRule type="expression" dxfId="1764" priority="59">
      <formula>kvartal &lt; 4</formula>
    </cfRule>
  </conditionalFormatting>
  <conditionalFormatting sqref="F90:G90">
    <cfRule type="expression" dxfId="1763" priority="53">
      <formula>kvartal &lt; 4</formula>
    </cfRule>
  </conditionalFormatting>
  <conditionalFormatting sqref="F93">
    <cfRule type="expression" dxfId="1762" priority="52">
      <formula>kvartal &lt; 4</formula>
    </cfRule>
  </conditionalFormatting>
  <conditionalFormatting sqref="G93">
    <cfRule type="expression" dxfId="1761" priority="51">
      <formula>kvartal &lt; 4</formula>
    </cfRule>
  </conditionalFormatting>
  <conditionalFormatting sqref="F101">
    <cfRule type="expression" dxfId="1760" priority="50">
      <formula>kvartal &lt; 4</formula>
    </cfRule>
  </conditionalFormatting>
  <conditionalFormatting sqref="G101">
    <cfRule type="expression" dxfId="1759" priority="49">
      <formula>kvartal &lt; 4</formula>
    </cfRule>
  </conditionalFormatting>
  <conditionalFormatting sqref="G104">
    <cfRule type="expression" dxfId="1758" priority="48">
      <formula>kvartal &lt; 4</formula>
    </cfRule>
  </conditionalFormatting>
  <conditionalFormatting sqref="F104">
    <cfRule type="expression" dxfId="1757" priority="47">
      <formula>kvartal &lt; 4</formula>
    </cfRule>
  </conditionalFormatting>
  <conditionalFormatting sqref="J69">
    <cfRule type="expression" dxfId="1756" priority="46">
      <formula>kvartal &lt; 4</formula>
    </cfRule>
  </conditionalFormatting>
  <conditionalFormatting sqref="A50:A52">
    <cfRule type="expression" dxfId="1755" priority="19">
      <formula>kvartal &lt; 4</formula>
    </cfRule>
  </conditionalFormatting>
  <conditionalFormatting sqref="A69:A74">
    <cfRule type="expression" dxfId="1754" priority="17">
      <formula>kvartal &lt; 4</formula>
    </cfRule>
  </conditionalFormatting>
  <conditionalFormatting sqref="A80:A85">
    <cfRule type="expression" dxfId="1753" priority="16">
      <formula>kvartal &lt; 4</formula>
    </cfRule>
  </conditionalFormatting>
  <conditionalFormatting sqref="A90:A95">
    <cfRule type="expression" dxfId="1752" priority="13">
      <formula>kvartal &lt; 4</formula>
    </cfRule>
  </conditionalFormatting>
  <conditionalFormatting sqref="A101:A106">
    <cfRule type="expression" dxfId="1751" priority="12">
      <formula>kvartal &lt; 4</formula>
    </cfRule>
  </conditionalFormatting>
  <conditionalFormatting sqref="A115">
    <cfRule type="expression" dxfId="1750" priority="11">
      <formula>kvartal &lt; 4</formula>
    </cfRule>
  </conditionalFormatting>
  <conditionalFormatting sqref="A123">
    <cfRule type="expression" dxfId="1749" priority="10">
      <formula>kvartal &lt; 4</formula>
    </cfRule>
  </conditionalFormatting>
  <conditionalFormatting sqref="J70:J74">
    <cfRule type="expression" dxfId="1748" priority="7">
      <formula>kvartal &lt; 4</formula>
    </cfRule>
  </conditionalFormatting>
  <conditionalFormatting sqref="K69:K74">
    <cfRule type="expression" dxfId="1747" priority="6">
      <formula>kvartal &lt; 4</formula>
    </cfRule>
  </conditionalFormatting>
  <conditionalFormatting sqref="J80:K85">
    <cfRule type="expression" dxfId="1746" priority="5">
      <formula>kvartal &lt; 4</formula>
    </cfRule>
  </conditionalFormatting>
  <conditionalFormatting sqref="J90:K95">
    <cfRule type="expression" dxfId="1745" priority="4">
      <formula>kvartal &lt; 4</formula>
    </cfRule>
  </conditionalFormatting>
  <conditionalFormatting sqref="J101:K106">
    <cfRule type="expression" dxfId="1744" priority="3">
      <formula>kvartal &lt; 4</formula>
    </cfRule>
  </conditionalFormatting>
  <conditionalFormatting sqref="J115:K115">
    <cfRule type="expression" dxfId="1743" priority="2">
      <formula>kvartal &lt; 4</formula>
    </cfRule>
  </conditionalFormatting>
  <conditionalFormatting sqref="J123:K123">
    <cfRule type="expression" dxfId="1742"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136</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312560</v>
      </c>
      <c r="C7" s="304">
        <v>325690</v>
      </c>
      <c r="D7" s="347">
        <f>IF(B7=0, "    ---- ", IF(ABS(ROUND(100/B7*C7-100,1))&lt;999,ROUND(100/B7*C7-100,1),IF(ROUND(100/B7*C7-100,1)&gt;999,999,-999)))</f>
        <v>4.2</v>
      </c>
      <c r="E7" s="11">
        <f>IFERROR(100/'Skjema total MA'!C7*C7,0)</f>
        <v>7.1598815872859642</v>
      </c>
      <c r="F7" s="303"/>
      <c r="G7" s="304"/>
      <c r="H7" s="347"/>
      <c r="I7" s="160"/>
      <c r="J7" s="305">
        <f t="shared" ref="J7:K10" si="0">SUM(B7,F7)</f>
        <v>312560</v>
      </c>
      <c r="K7" s="306">
        <f t="shared" si="0"/>
        <v>325690</v>
      </c>
      <c r="L7" s="422">
        <f>IF(J7=0, "    ---- ", IF(ABS(ROUND(100/J7*K7-100,1))&lt;999,ROUND(100/J7*K7-100,1),IF(ROUND(100/J7*K7-100,1)&gt;999,999,-999)))</f>
        <v>4.2</v>
      </c>
      <c r="M7" s="11">
        <f>IFERROR(100/'Skjema total MA'!I7*K7,0)</f>
        <v>2.7733047709817655</v>
      </c>
      <c r="O7" s="148"/>
    </row>
    <row r="8" spans="1:15" ht="15.75" x14ac:dyDescent="0.2">
      <c r="A8" s="21" t="s">
        <v>25</v>
      </c>
      <c r="B8" s="278">
        <v>197276</v>
      </c>
      <c r="C8" s="279">
        <v>211348</v>
      </c>
      <c r="D8" s="166">
        <f t="shared" ref="D8:D10" si="1">IF(B8=0, "    ---- ", IF(ABS(ROUND(100/B8*C8-100,1))&lt;999,ROUND(100/B8*C8-100,1),IF(ROUND(100/B8*C8-100,1)&gt;999,999,-999)))</f>
        <v>7.1</v>
      </c>
      <c r="E8" s="27">
        <f>IFERROR(100/'Skjema total MA'!C8*C8,0)</f>
        <v>8.0076697854849801</v>
      </c>
      <c r="F8" s="282"/>
      <c r="G8" s="283"/>
      <c r="H8" s="166"/>
      <c r="I8" s="175"/>
      <c r="J8" s="233">
        <f t="shared" si="0"/>
        <v>197276</v>
      </c>
      <c r="K8" s="284">
        <f t="shared" si="0"/>
        <v>211348</v>
      </c>
      <c r="L8" s="166">
        <f t="shared" ref="L8:L9" si="2">IF(J8=0, "    ---- ", IF(ABS(ROUND(100/J8*K8-100,1))&lt;999,ROUND(100/J8*K8-100,1),IF(ROUND(100/J8*K8-100,1)&gt;999,999,-999)))</f>
        <v>7.1</v>
      </c>
      <c r="M8" s="27">
        <f>IFERROR(100/'Skjema total MA'!I8*K8,0)</f>
        <v>8.0076697854849801</v>
      </c>
      <c r="O8" s="148"/>
    </row>
    <row r="9" spans="1:15" ht="15.75" x14ac:dyDescent="0.2">
      <c r="A9" s="21" t="s">
        <v>24</v>
      </c>
      <c r="B9" s="278">
        <v>115284</v>
      </c>
      <c r="C9" s="279">
        <v>114342</v>
      </c>
      <c r="D9" s="166">
        <f t="shared" si="1"/>
        <v>-0.8</v>
      </c>
      <c r="E9" s="27">
        <f>IFERROR(100/'Skjema total MA'!C9*C9,0)</f>
        <v>11.683686814396514</v>
      </c>
      <c r="F9" s="282"/>
      <c r="G9" s="283"/>
      <c r="H9" s="166"/>
      <c r="I9" s="175"/>
      <c r="J9" s="233">
        <f t="shared" si="0"/>
        <v>115284</v>
      </c>
      <c r="K9" s="284">
        <f t="shared" si="0"/>
        <v>114342</v>
      </c>
      <c r="L9" s="166">
        <f t="shared" si="2"/>
        <v>-0.8</v>
      </c>
      <c r="M9" s="27">
        <f>IFERROR(100/'Skjema total MA'!I9*K9,0)</f>
        <v>11.683686814396514</v>
      </c>
      <c r="O9" s="148"/>
    </row>
    <row r="10" spans="1:15" ht="15.75" x14ac:dyDescent="0.2">
      <c r="A10" s="13" t="s">
        <v>456</v>
      </c>
      <c r="B10" s="307">
        <v>416284</v>
      </c>
      <c r="C10" s="308">
        <v>453992</v>
      </c>
      <c r="D10" s="171">
        <f t="shared" si="1"/>
        <v>9.1</v>
      </c>
      <c r="E10" s="11">
        <f>IFERROR(100/'Skjema total MA'!C10*C10,0)</f>
        <v>2.0213115416682301</v>
      </c>
      <c r="F10" s="307"/>
      <c r="G10" s="308"/>
      <c r="H10" s="171"/>
      <c r="I10" s="160"/>
      <c r="J10" s="305">
        <f t="shared" si="0"/>
        <v>416284</v>
      </c>
      <c r="K10" s="306">
        <f t="shared" si="0"/>
        <v>453992</v>
      </c>
      <c r="L10" s="423">
        <f t="shared" ref="L10" si="3">IF(J10=0, "    ---- ", IF(ABS(ROUND(100/J10*K10-100,1))&lt;999,ROUND(100/J10*K10-100,1),IF(ROUND(100/J10*K10-100,1)&gt;999,999,-999)))</f>
        <v>9.1</v>
      </c>
      <c r="M10" s="11">
        <f>IFERROR(100/'Skjema total MA'!I10*K10,0)</f>
        <v>0.70790657674503954</v>
      </c>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c r="C22" s="313"/>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v>115772</v>
      </c>
      <c r="C28" s="284">
        <v>130511</v>
      </c>
      <c r="D28" s="166">
        <f t="shared" ref="D28" si="4">IF(B28=0, "    ---- ", IF(ABS(ROUND(100/B28*C28-100,1))&lt;999,ROUND(100/B28*C28-100,1),IF(ROUND(100/B28*C28-100,1)&gt;999,999,-999)))</f>
        <v>12.7</v>
      </c>
      <c r="E28" s="11">
        <f>IFERROR(100/'Skjema total MA'!C28*C28,0)</f>
        <v>7.3192007319695769</v>
      </c>
      <c r="F28" s="233"/>
      <c r="G28" s="284"/>
      <c r="H28" s="166"/>
      <c r="I28" s="27"/>
      <c r="J28" s="44">
        <f t="shared" ref="J28:K28" si="5">SUM(B28,F28)</f>
        <v>115772</v>
      </c>
      <c r="K28" s="44">
        <f t="shared" si="5"/>
        <v>130511</v>
      </c>
      <c r="L28" s="253">
        <f t="shared" ref="L28" si="6">IF(J28=0, "    ---- ", IF(ABS(ROUND(100/J28*K28-100,1))&lt;999,ROUND(100/J28*K28-100,1),IF(ROUND(100/J28*K28-100,1)&gt;999,999,-999)))</f>
        <v>12.7</v>
      </c>
      <c r="M28" s="23">
        <f>IFERROR(100/'Skjema total MA'!I28*K28,0)</f>
        <v>7.3192007319695769</v>
      </c>
      <c r="O28" s="148"/>
    </row>
    <row r="29" spans="1:15" s="3" customFormat="1" ht="15.75" x14ac:dyDescent="0.2">
      <c r="A29" s="13" t="s">
        <v>456</v>
      </c>
      <c r="B29" s="278"/>
      <c r="C29" s="278"/>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124345</v>
      </c>
      <c r="C47" s="308">
        <v>121876</v>
      </c>
      <c r="D47" s="422">
        <f t="shared" ref="D47:D57" si="7">IF(B47=0, "    ---- ", IF(ABS(ROUND(100/B47*C47-100,1))&lt;999,ROUND(100/B47*C47-100,1),IF(ROUND(100/B47*C47-100,1)&gt;999,999,-999)))</f>
        <v>-2</v>
      </c>
      <c r="E47" s="11">
        <f>IFERROR(100/'Skjema total MA'!C47*C47,0)</f>
        <v>2.90336513044186</v>
      </c>
      <c r="F47" s="145"/>
      <c r="G47" s="33"/>
      <c r="H47" s="159"/>
      <c r="I47" s="159"/>
      <c r="J47" s="37"/>
      <c r="K47" s="37"/>
      <c r="L47" s="159"/>
      <c r="M47" s="159"/>
      <c r="N47" s="148"/>
      <c r="O47" s="148"/>
    </row>
    <row r="48" spans="1:15" s="3" customFormat="1" ht="15.75" x14ac:dyDescent="0.2">
      <c r="A48" s="38" t="s">
        <v>467</v>
      </c>
      <c r="B48" s="278">
        <v>124345</v>
      </c>
      <c r="C48" s="279">
        <v>121876</v>
      </c>
      <c r="D48" s="253">
        <f t="shared" si="7"/>
        <v>-2</v>
      </c>
      <c r="E48" s="27">
        <f>IFERROR(100/'Skjema total MA'!C48*C48,0)</f>
        <v>5.2125591000053912</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v>7299.1329999999998</v>
      </c>
      <c r="C53" s="308">
        <v>2655.3040000000001</v>
      </c>
      <c r="D53" s="423">
        <f t="shared" si="7"/>
        <v>-63.6</v>
      </c>
      <c r="E53" s="11">
        <f>IFERROR(100/'Skjema total MA'!C53*C53,0)</f>
        <v>2.3539162803139955</v>
      </c>
      <c r="F53" s="145"/>
      <c r="G53" s="33"/>
      <c r="H53" s="145"/>
      <c r="I53" s="145"/>
      <c r="J53" s="33"/>
      <c r="K53" s="33"/>
      <c r="L53" s="159"/>
      <c r="M53" s="159"/>
      <c r="N53" s="148"/>
      <c r="O53" s="148"/>
    </row>
    <row r="54" spans="1:15" s="3" customFormat="1" ht="15.75" x14ac:dyDescent="0.2">
      <c r="A54" s="38" t="s">
        <v>467</v>
      </c>
      <c r="B54" s="278">
        <v>7299.1329999999998</v>
      </c>
      <c r="C54" s="279">
        <v>2655.3040000000001</v>
      </c>
      <c r="D54" s="253">
        <f t="shared" si="7"/>
        <v>-63.6</v>
      </c>
      <c r="E54" s="27">
        <f>IFERROR(100/'Skjema total MA'!C54*C54,0)</f>
        <v>2.3539162803139955</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1615.6790000000001</v>
      </c>
      <c r="C56" s="308">
        <v>3010.7170000000001</v>
      </c>
      <c r="D56" s="423">
        <f t="shared" si="7"/>
        <v>86.3</v>
      </c>
      <c r="E56" s="11">
        <f>IFERROR(100/'Skjema total MA'!C56*C56,0)</f>
        <v>2.5202895894914525</v>
      </c>
      <c r="F56" s="145"/>
      <c r="G56" s="33"/>
      <c r="H56" s="145"/>
      <c r="I56" s="145"/>
      <c r="J56" s="33"/>
      <c r="K56" s="33"/>
      <c r="L56" s="159"/>
      <c r="M56" s="159"/>
      <c r="N56" s="148"/>
      <c r="O56" s="148"/>
    </row>
    <row r="57" spans="1:15" s="3" customFormat="1" ht="15.75" x14ac:dyDescent="0.2">
      <c r="A57" s="38" t="s">
        <v>467</v>
      </c>
      <c r="B57" s="278">
        <v>1615.6790000000001</v>
      </c>
      <c r="C57" s="279">
        <v>3010.7170000000001</v>
      </c>
      <c r="D57" s="253">
        <f t="shared" si="7"/>
        <v>86.3</v>
      </c>
      <c r="E57" s="27">
        <f>IFERROR(100/'Skjema total MA'!C57*C57,0)</f>
        <v>2.5202895894914525</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741" priority="139">
      <formula>kvartal &lt; 4</formula>
    </cfRule>
  </conditionalFormatting>
  <conditionalFormatting sqref="B69">
    <cfRule type="expression" dxfId="1740" priority="107">
      <formula>kvartal &lt; 4</formula>
    </cfRule>
  </conditionalFormatting>
  <conditionalFormatting sqref="C69">
    <cfRule type="expression" dxfId="1739" priority="106">
      <formula>kvartal &lt; 4</formula>
    </cfRule>
  </conditionalFormatting>
  <conditionalFormatting sqref="B72">
    <cfRule type="expression" dxfId="1738" priority="105">
      <formula>kvartal &lt; 4</formula>
    </cfRule>
  </conditionalFormatting>
  <conditionalFormatting sqref="C72">
    <cfRule type="expression" dxfId="1737" priority="104">
      <formula>kvartal &lt; 4</formula>
    </cfRule>
  </conditionalFormatting>
  <conditionalFormatting sqref="B80">
    <cfRule type="expression" dxfId="1736" priority="103">
      <formula>kvartal &lt; 4</formula>
    </cfRule>
  </conditionalFormatting>
  <conditionalFormatting sqref="C80">
    <cfRule type="expression" dxfId="1735" priority="102">
      <formula>kvartal &lt; 4</formula>
    </cfRule>
  </conditionalFormatting>
  <conditionalFormatting sqref="B83">
    <cfRule type="expression" dxfId="1734" priority="101">
      <formula>kvartal &lt; 4</formula>
    </cfRule>
  </conditionalFormatting>
  <conditionalFormatting sqref="C83">
    <cfRule type="expression" dxfId="1733" priority="100">
      <formula>kvartal &lt; 4</formula>
    </cfRule>
  </conditionalFormatting>
  <conditionalFormatting sqref="B90">
    <cfRule type="expression" dxfId="1732" priority="91">
      <formula>kvartal &lt; 4</formula>
    </cfRule>
  </conditionalFormatting>
  <conditionalFormatting sqref="C90">
    <cfRule type="expression" dxfId="1731" priority="90">
      <formula>kvartal &lt; 4</formula>
    </cfRule>
  </conditionalFormatting>
  <conditionalFormatting sqref="B93">
    <cfRule type="expression" dxfId="1730" priority="89">
      <formula>kvartal &lt; 4</formula>
    </cfRule>
  </conditionalFormatting>
  <conditionalFormatting sqref="C93">
    <cfRule type="expression" dxfId="1729" priority="88">
      <formula>kvartal &lt; 4</formula>
    </cfRule>
  </conditionalFormatting>
  <conditionalFormatting sqref="B101">
    <cfRule type="expression" dxfId="1728" priority="87">
      <formula>kvartal &lt; 4</formula>
    </cfRule>
  </conditionalFormatting>
  <conditionalFormatting sqref="C101">
    <cfRule type="expression" dxfId="1727" priority="86">
      <formula>kvartal &lt; 4</formula>
    </cfRule>
  </conditionalFormatting>
  <conditionalFormatting sqref="B104">
    <cfRule type="expression" dxfId="1726" priority="85">
      <formula>kvartal &lt; 4</formula>
    </cfRule>
  </conditionalFormatting>
  <conditionalFormatting sqref="C104">
    <cfRule type="expression" dxfId="1725" priority="84">
      <formula>kvartal &lt; 4</formula>
    </cfRule>
  </conditionalFormatting>
  <conditionalFormatting sqref="B115">
    <cfRule type="expression" dxfId="1724" priority="83">
      <formula>kvartal &lt; 4</formula>
    </cfRule>
  </conditionalFormatting>
  <conditionalFormatting sqref="C115">
    <cfRule type="expression" dxfId="1723" priority="82">
      <formula>kvartal &lt; 4</formula>
    </cfRule>
  </conditionalFormatting>
  <conditionalFormatting sqref="B123">
    <cfRule type="expression" dxfId="1722" priority="81">
      <formula>kvartal &lt; 4</formula>
    </cfRule>
  </conditionalFormatting>
  <conditionalFormatting sqref="C123">
    <cfRule type="expression" dxfId="1721" priority="80">
      <formula>kvartal &lt; 4</formula>
    </cfRule>
  </conditionalFormatting>
  <conditionalFormatting sqref="F70">
    <cfRule type="expression" dxfId="1720" priority="79">
      <formula>kvartal &lt; 4</formula>
    </cfRule>
  </conditionalFormatting>
  <conditionalFormatting sqref="G70">
    <cfRule type="expression" dxfId="1719" priority="78">
      <formula>kvartal &lt; 4</formula>
    </cfRule>
  </conditionalFormatting>
  <conditionalFormatting sqref="F71:G71">
    <cfRule type="expression" dxfId="1718" priority="77">
      <formula>kvartal &lt; 4</formula>
    </cfRule>
  </conditionalFormatting>
  <conditionalFormatting sqref="F73:G74">
    <cfRule type="expression" dxfId="1717" priority="76">
      <formula>kvartal &lt; 4</formula>
    </cfRule>
  </conditionalFormatting>
  <conditionalFormatting sqref="F81:G82">
    <cfRule type="expression" dxfId="1716" priority="75">
      <formula>kvartal &lt; 4</formula>
    </cfRule>
  </conditionalFormatting>
  <conditionalFormatting sqref="F84:G85">
    <cfRule type="expression" dxfId="1715" priority="74">
      <formula>kvartal &lt; 4</formula>
    </cfRule>
  </conditionalFormatting>
  <conditionalFormatting sqref="F91:G92">
    <cfRule type="expression" dxfId="1714" priority="69">
      <formula>kvartal &lt; 4</formula>
    </cfRule>
  </conditionalFormatting>
  <conditionalFormatting sqref="F94:G95">
    <cfRule type="expression" dxfId="1713" priority="68">
      <formula>kvartal &lt; 4</formula>
    </cfRule>
  </conditionalFormatting>
  <conditionalFormatting sqref="F102:G103">
    <cfRule type="expression" dxfId="1712" priority="67">
      <formula>kvartal &lt; 4</formula>
    </cfRule>
  </conditionalFormatting>
  <conditionalFormatting sqref="F105:G106">
    <cfRule type="expression" dxfId="1711" priority="66">
      <formula>kvartal &lt; 4</formula>
    </cfRule>
  </conditionalFormatting>
  <conditionalFormatting sqref="F115">
    <cfRule type="expression" dxfId="1710" priority="65">
      <formula>kvartal &lt; 4</formula>
    </cfRule>
  </conditionalFormatting>
  <conditionalFormatting sqref="G115">
    <cfRule type="expression" dxfId="1709" priority="64">
      <formula>kvartal &lt; 4</formula>
    </cfRule>
  </conditionalFormatting>
  <conditionalFormatting sqref="F123:G123">
    <cfRule type="expression" dxfId="1708" priority="63">
      <formula>kvartal &lt; 4</formula>
    </cfRule>
  </conditionalFormatting>
  <conditionalFormatting sqref="F69:G69">
    <cfRule type="expression" dxfId="1707" priority="62">
      <formula>kvartal &lt; 4</formula>
    </cfRule>
  </conditionalFormatting>
  <conditionalFormatting sqref="F72:G72">
    <cfRule type="expression" dxfId="1706" priority="61">
      <formula>kvartal &lt; 4</formula>
    </cfRule>
  </conditionalFormatting>
  <conditionalFormatting sqref="F80:G80">
    <cfRule type="expression" dxfId="1705" priority="60">
      <formula>kvartal &lt; 4</formula>
    </cfRule>
  </conditionalFormatting>
  <conditionalFormatting sqref="F83:G83">
    <cfRule type="expression" dxfId="1704" priority="59">
      <formula>kvartal &lt; 4</formula>
    </cfRule>
  </conditionalFormatting>
  <conditionalFormatting sqref="F90:G90">
    <cfRule type="expression" dxfId="1703" priority="53">
      <formula>kvartal &lt; 4</formula>
    </cfRule>
  </conditionalFormatting>
  <conditionalFormatting sqref="F93">
    <cfRule type="expression" dxfId="1702" priority="52">
      <formula>kvartal &lt; 4</formula>
    </cfRule>
  </conditionalFormatting>
  <conditionalFormatting sqref="G93">
    <cfRule type="expression" dxfId="1701" priority="51">
      <formula>kvartal &lt; 4</formula>
    </cfRule>
  </conditionalFormatting>
  <conditionalFormatting sqref="F101">
    <cfRule type="expression" dxfId="1700" priority="50">
      <formula>kvartal &lt; 4</formula>
    </cfRule>
  </conditionalFormatting>
  <conditionalFormatting sqref="G101">
    <cfRule type="expression" dxfId="1699" priority="49">
      <formula>kvartal &lt; 4</formula>
    </cfRule>
  </conditionalFormatting>
  <conditionalFormatting sqref="G104">
    <cfRule type="expression" dxfId="1698" priority="48">
      <formula>kvartal &lt; 4</formula>
    </cfRule>
  </conditionalFormatting>
  <conditionalFormatting sqref="F104">
    <cfRule type="expression" dxfId="1697" priority="47">
      <formula>kvartal &lt; 4</formula>
    </cfRule>
  </conditionalFormatting>
  <conditionalFormatting sqref="J69">
    <cfRule type="expression" dxfId="1696" priority="46">
      <formula>kvartal &lt; 4</formula>
    </cfRule>
  </conditionalFormatting>
  <conditionalFormatting sqref="A50:A52">
    <cfRule type="expression" dxfId="1695" priority="19">
      <formula>kvartal &lt; 4</formula>
    </cfRule>
  </conditionalFormatting>
  <conditionalFormatting sqref="A69:A74">
    <cfRule type="expression" dxfId="1694" priority="17">
      <formula>kvartal &lt; 4</formula>
    </cfRule>
  </conditionalFormatting>
  <conditionalFormatting sqref="A80:A85">
    <cfRule type="expression" dxfId="1693" priority="16">
      <formula>kvartal &lt; 4</formula>
    </cfRule>
  </conditionalFormatting>
  <conditionalFormatting sqref="A90:A95">
    <cfRule type="expression" dxfId="1692" priority="13">
      <formula>kvartal &lt; 4</formula>
    </cfRule>
  </conditionalFormatting>
  <conditionalFormatting sqref="A101:A106">
    <cfRule type="expression" dxfId="1691" priority="12">
      <formula>kvartal &lt; 4</formula>
    </cfRule>
  </conditionalFormatting>
  <conditionalFormatting sqref="A115">
    <cfRule type="expression" dxfId="1690" priority="11">
      <formula>kvartal &lt; 4</formula>
    </cfRule>
  </conditionalFormatting>
  <conditionalFormatting sqref="A123">
    <cfRule type="expression" dxfId="1689" priority="10">
      <formula>kvartal &lt; 4</formula>
    </cfRule>
  </conditionalFormatting>
  <conditionalFormatting sqref="J70:J74">
    <cfRule type="expression" dxfId="1688" priority="7">
      <formula>kvartal &lt; 4</formula>
    </cfRule>
  </conditionalFormatting>
  <conditionalFormatting sqref="K69:K74">
    <cfRule type="expression" dxfId="1687" priority="6">
      <formula>kvartal &lt; 4</formula>
    </cfRule>
  </conditionalFormatting>
  <conditionalFormatting sqref="J80:K85">
    <cfRule type="expression" dxfId="1686" priority="5">
      <formula>kvartal &lt; 4</formula>
    </cfRule>
  </conditionalFormatting>
  <conditionalFormatting sqref="J90:K95">
    <cfRule type="expression" dxfId="1685" priority="4">
      <formula>kvartal &lt; 4</formula>
    </cfRule>
  </conditionalFormatting>
  <conditionalFormatting sqref="J101:K106">
    <cfRule type="expression" dxfId="1684" priority="3">
      <formula>kvartal &lt; 4</formula>
    </cfRule>
  </conditionalFormatting>
  <conditionalFormatting sqref="J115:K115">
    <cfRule type="expression" dxfId="1683" priority="2">
      <formula>kvartal &lt; 4</formula>
    </cfRule>
  </conditionalFormatting>
  <conditionalFormatting sqref="J123:K123">
    <cfRule type="expression" dxfId="1682"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O144"/>
  <sheetViews>
    <sheetView showGridLines="0" topLeftCell="A10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64</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c r="C22" s="313"/>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78"/>
      <c r="C29" s="278"/>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3224.4585299999999</v>
      </c>
      <c r="C47" s="308">
        <v>3152.8185600000002</v>
      </c>
      <c r="D47" s="422">
        <f t="shared" ref="D47:D48" si="0">IF(B47=0, "    ---- ", IF(ABS(ROUND(100/B47*C47-100,1))&lt;999,ROUND(100/B47*C47-100,1),IF(ROUND(100/B47*C47-100,1)&gt;999,999,-999)))</f>
        <v>-2.2000000000000002</v>
      </c>
      <c r="E47" s="11">
        <f>IFERROR(100/'Skjema total MA'!C47*C47,0)</f>
        <v>7.5107350665544637E-2</v>
      </c>
      <c r="F47" s="145"/>
      <c r="G47" s="33"/>
      <c r="H47" s="159"/>
      <c r="I47" s="159"/>
      <c r="J47" s="37"/>
      <c r="K47" s="37"/>
      <c r="L47" s="159"/>
      <c r="M47" s="159"/>
      <c r="N47" s="148"/>
      <c r="O47" s="148"/>
    </row>
    <row r="48" spans="1:15" s="3" customFormat="1" ht="15.75" x14ac:dyDescent="0.2">
      <c r="A48" s="38" t="s">
        <v>467</v>
      </c>
      <c r="B48" s="278">
        <v>795.50834999999995</v>
      </c>
      <c r="C48" s="279">
        <v>944.41548</v>
      </c>
      <c r="D48" s="253">
        <f t="shared" si="0"/>
        <v>18.7</v>
      </c>
      <c r="E48" s="27">
        <f>IFERROR(100/'Skjema total MA'!C48*C48,0)</f>
        <v>4.0392050153106103E-2</v>
      </c>
      <c r="F48" s="145"/>
      <c r="G48" s="33"/>
      <c r="H48" s="145"/>
      <c r="I48" s="145"/>
      <c r="J48" s="33"/>
      <c r="K48" s="33"/>
      <c r="L48" s="159"/>
      <c r="M48" s="159"/>
      <c r="N48" s="148"/>
      <c r="O48" s="148"/>
    </row>
    <row r="49" spans="1:15" s="3" customFormat="1" ht="15.75" x14ac:dyDescent="0.2">
      <c r="A49" s="38" t="s">
        <v>468</v>
      </c>
      <c r="B49" s="44">
        <v>2428.9501799999998</v>
      </c>
      <c r="C49" s="284">
        <v>2208.40308</v>
      </c>
      <c r="D49" s="253">
        <f>IF(B49=0, "    ---- ", IF(ABS(ROUND(100/B49*C49-100,1))&lt;999,ROUND(100/B49*C49-100,1),IF(ROUND(100/B49*C49-100,1)&gt;999,999,-999)))</f>
        <v>-9.1</v>
      </c>
      <c r="E49" s="27">
        <f>IFERROR(100/'Skjema total MA'!C49*C49,0)</f>
        <v>0.11875513180870924</v>
      </c>
      <c r="F49" s="145"/>
      <c r="G49" s="33"/>
      <c r="H49" s="145"/>
      <c r="I49" s="145"/>
      <c r="J49" s="37"/>
      <c r="K49" s="37"/>
      <c r="L49" s="159"/>
      <c r="M49" s="159"/>
      <c r="N49" s="148"/>
      <c r="O49" s="148"/>
    </row>
    <row r="50" spans="1:15" s="3" customFormat="1" x14ac:dyDescent="0.2">
      <c r="A50" s="293" t="s">
        <v>6</v>
      </c>
      <c r="B50" s="287">
        <v>2428.9501799999998</v>
      </c>
      <c r="C50" s="288">
        <v>2208.40308</v>
      </c>
      <c r="D50" s="253">
        <f t="shared" ref="D50" si="1">IF(B50=0, "    ---- ", IF(ABS(ROUND(100/B50*C50-100,1))&lt;999,ROUND(100/B50*C50-100,1),IF(ROUND(100/B50*C50-100,1)&gt;999,999,-999)))</f>
        <v>-9.1</v>
      </c>
      <c r="E50" s="27">
        <f>IFERROR(100/'Skjema total MA'!C50*C50,0)</f>
        <v>98.027512010528511</v>
      </c>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v>31989029.321430001</v>
      </c>
      <c r="C134" s="306">
        <v>38572354.59426</v>
      </c>
      <c r="D134" s="347">
        <f t="shared" ref="D134:D137" si="2">IF(B134=0, "    ---- ", IF(ABS(ROUND(100/B134*C134-100,1))&lt;999,ROUND(100/B134*C134-100,1),IF(ROUND(100/B134*C134-100,1)&gt;999,999,-999)))</f>
        <v>20.6</v>
      </c>
      <c r="E134" s="11">
        <f>IFERROR(100/'Skjema total MA'!C134*C134,0)</f>
        <v>88.453458785370898</v>
      </c>
      <c r="F134" s="313">
        <v>130226.34600000001</v>
      </c>
      <c r="G134" s="314">
        <v>148957.79199999999</v>
      </c>
      <c r="H134" s="426">
        <f t="shared" ref="H134:H137" si="3">IF(F134=0, "    ---- ", IF(ABS(ROUND(100/F134*G134-100,1))&lt;999,ROUND(100/F134*G134-100,1),IF(ROUND(100/F134*G134-100,1)&gt;999,999,-999)))</f>
        <v>14.4</v>
      </c>
      <c r="I134" s="24">
        <f>IFERROR(100/'Skjema total MA'!F134*G134,0)</f>
        <v>100</v>
      </c>
      <c r="J134" s="315">
        <f t="shared" ref="J134:K137" si="4">SUM(B134,F134)</f>
        <v>32119255.667430002</v>
      </c>
      <c r="K134" s="315">
        <f t="shared" si="4"/>
        <v>38721312.386260003</v>
      </c>
      <c r="L134" s="422">
        <f t="shared" ref="L134:L137" si="5">IF(J134=0, "    ---- ", IF(ABS(ROUND(100/J134*K134-100,1))&lt;999,ROUND(100/J134*K134-100,1),IF(ROUND(100/J134*K134-100,1)&gt;999,999,-999)))</f>
        <v>20.6</v>
      </c>
      <c r="M134" s="11">
        <f>IFERROR(100/'Skjema total MA'!I134*K134,0)</f>
        <v>88.492766051394256</v>
      </c>
      <c r="N134" s="148"/>
      <c r="O134" s="148"/>
    </row>
    <row r="135" spans="1:15" s="3" customFormat="1" ht="15.75" x14ac:dyDescent="0.2">
      <c r="A135" s="13" t="s">
        <v>485</v>
      </c>
      <c r="B135" s="235">
        <v>444493649.38739997</v>
      </c>
      <c r="C135" s="306">
        <v>471726467.24905998</v>
      </c>
      <c r="D135" s="171">
        <f t="shared" si="2"/>
        <v>6.1</v>
      </c>
      <c r="E135" s="11">
        <f>IFERROR(100/'Skjema total MA'!C135*C135,0)</f>
        <v>85.878738304653453</v>
      </c>
      <c r="F135" s="235">
        <v>2373955.5961500001</v>
      </c>
      <c r="G135" s="306">
        <v>2418695.24015</v>
      </c>
      <c r="H135" s="427">
        <f t="shared" si="3"/>
        <v>1.9</v>
      </c>
      <c r="I135" s="24">
        <f>IFERROR(100/'Skjema total MA'!F135*G135,0)</f>
        <v>100</v>
      </c>
      <c r="J135" s="305">
        <f t="shared" si="4"/>
        <v>446867604.98354995</v>
      </c>
      <c r="K135" s="305">
        <f t="shared" si="4"/>
        <v>474145162.48920995</v>
      </c>
      <c r="L135" s="423">
        <f t="shared" si="5"/>
        <v>6.1</v>
      </c>
      <c r="M135" s="11">
        <f>IFERROR(100/'Skjema total MA'!I135*K135,0)</f>
        <v>85.940645615494276</v>
      </c>
      <c r="N135" s="148"/>
      <c r="O135" s="148"/>
    </row>
    <row r="136" spans="1:15" s="3" customFormat="1" ht="15.75" x14ac:dyDescent="0.2">
      <c r="A136" s="13" t="s">
        <v>482</v>
      </c>
      <c r="B136" s="235">
        <v>272334.42499999999</v>
      </c>
      <c r="C136" s="306">
        <v>4522.9160000000002</v>
      </c>
      <c r="D136" s="171">
        <f t="shared" si="2"/>
        <v>-98.3</v>
      </c>
      <c r="E136" s="11">
        <f>IFERROR(100/'Skjema total MA'!C136*C136,0)</f>
        <v>1.4219030505294312</v>
      </c>
      <c r="F136" s="235">
        <v>25235.127</v>
      </c>
      <c r="G136" s="306">
        <v>-10.804</v>
      </c>
      <c r="H136" s="427">
        <f t="shared" si="3"/>
        <v>-100</v>
      </c>
      <c r="I136" s="24">
        <f>IFERROR(100/'Skjema total MA'!F136*G136,0)</f>
        <v>100</v>
      </c>
      <c r="J136" s="305">
        <f t="shared" si="4"/>
        <v>297569.55199999997</v>
      </c>
      <c r="K136" s="305">
        <f t="shared" si="4"/>
        <v>4512.1120000000001</v>
      </c>
      <c r="L136" s="423">
        <f t="shared" si="5"/>
        <v>-98.5</v>
      </c>
      <c r="M136" s="11">
        <f>IFERROR(100/'Skjema total MA'!I136*K136,0)</f>
        <v>1.4185546976586683</v>
      </c>
      <c r="N136" s="148"/>
      <c r="O136" s="148"/>
    </row>
    <row r="137" spans="1:15" s="3" customFormat="1" ht="15.75" x14ac:dyDescent="0.2">
      <c r="A137" s="41" t="s">
        <v>483</v>
      </c>
      <c r="B137" s="273">
        <v>212098.32</v>
      </c>
      <c r="C137" s="312">
        <v>496739.50099999999</v>
      </c>
      <c r="D137" s="169">
        <f t="shared" si="2"/>
        <v>134.19999999999999</v>
      </c>
      <c r="E137" s="9">
        <f>IFERROR(100/'Skjema total MA'!C137*C137,0)</f>
        <v>100</v>
      </c>
      <c r="F137" s="273">
        <v>0</v>
      </c>
      <c r="G137" s="312">
        <v>0</v>
      </c>
      <c r="H137" s="428" t="str">
        <f t="shared" si="3"/>
        <v xml:space="preserve">    ---- </v>
      </c>
      <c r="I137" s="36">
        <f>IFERROR(100/'Skjema total MA'!F137*G137,0)</f>
        <v>0</v>
      </c>
      <c r="J137" s="311">
        <f t="shared" si="4"/>
        <v>212098.32</v>
      </c>
      <c r="K137" s="311">
        <f t="shared" si="4"/>
        <v>496739.50099999999</v>
      </c>
      <c r="L137" s="424">
        <f t="shared" si="5"/>
        <v>134.19999999999999</v>
      </c>
      <c r="M137" s="36">
        <f>IFERROR(100/'Skjema total MA'!I137*K137,0)</f>
        <v>100</v>
      </c>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681" priority="139">
      <formula>kvartal &lt; 4</formula>
    </cfRule>
  </conditionalFormatting>
  <conditionalFormatting sqref="B69">
    <cfRule type="expression" dxfId="1680" priority="107">
      <formula>kvartal &lt; 4</formula>
    </cfRule>
  </conditionalFormatting>
  <conditionalFormatting sqref="C69">
    <cfRule type="expression" dxfId="1679" priority="106">
      <formula>kvartal &lt; 4</formula>
    </cfRule>
  </conditionalFormatting>
  <conditionalFormatting sqref="B72">
    <cfRule type="expression" dxfId="1678" priority="105">
      <formula>kvartal &lt; 4</formula>
    </cfRule>
  </conditionalFormatting>
  <conditionalFormatting sqref="C72">
    <cfRule type="expression" dxfId="1677" priority="104">
      <formula>kvartal &lt; 4</formula>
    </cfRule>
  </conditionalFormatting>
  <conditionalFormatting sqref="B80">
    <cfRule type="expression" dxfId="1676" priority="103">
      <formula>kvartal &lt; 4</formula>
    </cfRule>
  </conditionalFormatting>
  <conditionalFormatting sqref="C80">
    <cfRule type="expression" dxfId="1675" priority="102">
      <formula>kvartal &lt; 4</formula>
    </cfRule>
  </conditionalFormatting>
  <conditionalFormatting sqref="B83">
    <cfRule type="expression" dxfId="1674" priority="101">
      <formula>kvartal &lt; 4</formula>
    </cfRule>
  </conditionalFormatting>
  <conditionalFormatting sqref="C83">
    <cfRule type="expression" dxfId="1673" priority="100">
      <formula>kvartal &lt; 4</formula>
    </cfRule>
  </conditionalFormatting>
  <conditionalFormatting sqref="B90">
    <cfRule type="expression" dxfId="1672" priority="91">
      <formula>kvartal &lt; 4</formula>
    </cfRule>
  </conditionalFormatting>
  <conditionalFormatting sqref="C90">
    <cfRule type="expression" dxfId="1671" priority="90">
      <formula>kvartal &lt; 4</formula>
    </cfRule>
  </conditionalFormatting>
  <conditionalFormatting sqref="B93">
    <cfRule type="expression" dxfId="1670" priority="89">
      <formula>kvartal &lt; 4</formula>
    </cfRule>
  </conditionalFormatting>
  <conditionalFormatting sqref="C93">
    <cfRule type="expression" dxfId="1669" priority="88">
      <formula>kvartal &lt; 4</formula>
    </cfRule>
  </conditionalFormatting>
  <conditionalFormatting sqref="B101">
    <cfRule type="expression" dxfId="1668" priority="87">
      <formula>kvartal &lt; 4</formula>
    </cfRule>
  </conditionalFormatting>
  <conditionalFormatting sqref="C101">
    <cfRule type="expression" dxfId="1667" priority="86">
      <formula>kvartal &lt; 4</formula>
    </cfRule>
  </conditionalFormatting>
  <conditionalFormatting sqref="B104">
    <cfRule type="expression" dxfId="1666" priority="85">
      <formula>kvartal &lt; 4</formula>
    </cfRule>
  </conditionalFormatting>
  <conditionalFormatting sqref="C104">
    <cfRule type="expression" dxfId="1665" priority="84">
      <formula>kvartal &lt; 4</formula>
    </cfRule>
  </conditionalFormatting>
  <conditionalFormatting sqref="B115">
    <cfRule type="expression" dxfId="1664" priority="83">
      <formula>kvartal &lt; 4</formula>
    </cfRule>
  </conditionalFormatting>
  <conditionalFormatting sqref="C115">
    <cfRule type="expression" dxfId="1663" priority="82">
      <formula>kvartal &lt; 4</formula>
    </cfRule>
  </conditionalFormatting>
  <conditionalFormatting sqref="B123">
    <cfRule type="expression" dxfId="1662" priority="81">
      <formula>kvartal &lt; 4</formula>
    </cfRule>
  </conditionalFormatting>
  <conditionalFormatting sqref="C123">
    <cfRule type="expression" dxfId="1661" priority="80">
      <formula>kvartal &lt; 4</formula>
    </cfRule>
  </conditionalFormatting>
  <conditionalFormatting sqref="F70">
    <cfRule type="expression" dxfId="1660" priority="79">
      <formula>kvartal &lt; 4</formula>
    </cfRule>
  </conditionalFormatting>
  <conditionalFormatting sqref="G70">
    <cfRule type="expression" dxfId="1659" priority="78">
      <formula>kvartal &lt; 4</formula>
    </cfRule>
  </conditionalFormatting>
  <conditionalFormatting sqref="F71:G71">
    <cfRule type="expression" dxfId="1658" priority="77">
      <formula>kvartal &lt; 4</formula>
    </cfRule>
  </conditionalFormatting>
  <conditionalFormatting sqref="F73:G74">
    <cfRule type="expression" dxfId="1657" priority="76">
      <formula>kvartal &lt; 4</formula>
    </cfRule>
  </conditionalFormatting>
  <conditionalFormatting sqref="F81:G82">
    <cfRule type="expression" dxfId="1656" priority="75">
      <formula>kvartal &lt; 4</formula>
    </cfRule>
  </conditionalFormatting>
  <conditionalFormatting sqref="F84:G85">
    <cfRule type="expression" dxfId="1655" priority="74">
      <formula>kvartal &lt; 4</formula>
    </cfRule>
  </conditionalFormatting>
  <conditionalFormatting sqref="F91:G92">
    <cfRule type="expression" dxfId="1654" priority="69">
      <formula>kvartal &lt; 4</formula>
    </cfRule>
  </conditionalFormatting>
  <conditionalFormatting sqref="F94:G95">
    <cfRule type="expression" dxfId="1653" priority="68">
      <formula>kvartal &lt; 4</formula>
    </cfRule>
  </conditionalFormatting>
  <conditionalFormatting sqref="F102:G103">
    <cfRule type="expression" dxfId="1652" priority="67">
      <formula>kvartal &lt; 4</formula>
    </cfRule>
  </conditionalFormatting>
  <conditionalFormatting sqref="F105:G106">
    <cfRule type="expression" dxfId="1651" priority="66">
      <formula>kvartal &lt; 4</formula>
    </cfRule>
  </conditionalFormatting>
  <conditionalFormatting sqref="F115">
    <cfRule type="expression" dxfId="1650" priority="65">
      <formula>kvartal &lt; 4</formula>
    </cfRule>
  </conditionalFormatting>
  <conditionalFormatting sqref="G115">
    <cfRule type="expression" dxfId="1649" priority="64">
      <formula>kvartal &lt; 4</formula>
    </cfRule>
  </conditionalFormatting>
  <conditionalFormatting sqref="F123:G123">
    <cfRule type="expression" dxfId="1648" priority="63">
      <formula>kvartal &lt; 4</formula>
    </cfRule>
  </conditionalFormatting>
  <conditionalFormatting sqref="F69:G69">
    <cfRule type="expression" dxfId="1647" priority="62">
      <formula>kvartal &lt; 4</formula>
    </cfRule>
  </conditionalFormatting>
  <conditionalFormatting sqref="F72:G72">
    <cfRule type="expression" dxfId="1646" priority="61">
      <formula>kvartal &lt; 4</formula>
    </cfRule>
  </conditionalFormatting>
  <conditionalFormatting sqref="F80:G80">
    <cfRule type="expression" dxfId="1645" priority="60">
      <formula>kvartal &lt; 4</formula>
    </cfRule>
  </conditionalFormatting>
  <conditionalFormatting sqref="F83:G83">
    <cfRule type="expression" dxfId="1644" priority="59">
      <formula>kvartal &lt; 4</formula>
    </cfRule>
  </conditionalFormatting>
  <conditionalFormatting sqref="F90:G90">
    <cfRule type="expression" dxfId="1643" priority="53">
      <formula>kvartal &lt; 4</formula>
    </cfRule>
  </conditionalFormatting>
  <conditionalFormatting sqref="F93">
    <cfRule type="expression" dxfId="1642" priority="52">
      <formula>kvartal &lt; 4</formula>
    </cfRule>
  </conditionalFormatting>
  <conditionalFormatting sqref="G93">
    <cfRule type="expression" dxfId="1641" priority="51">
      <formula>kvartal &lt; 4</formula>
    </cfRule>
  </conditionalFormatting>
  <conditionalFormatting sqref="F101">
    <cfRule type="expression" dxfId="1640" priority="50">
      <formula>kvartal &lt; 4</formula>
    </cfRule>
  </conditionalFormatting>
  <conditionalFormatting sqref="G101">
    <cfRule type="expression" dxfId="1639" priority="49">
      <formula>kvartal &lt; 4</formula>
    </cfRule>
  </conditionalFormatting>
  <conditionalFormatting sqref="G104">
    <cfRule type="expression" dxfId="1638" priority="48">
      <formula>kvartal &lt; 4</formula>
    </cfRule>
  </conditionalFormatting>
  <conditionalFormatting sqref="F104">
    <cfRule type="expression" dxfId="1637" priority="47">
      <formula>kvartal &lt; 4</formula>
    </cfRule>
  </conditionalFormatting>
  <conditionalFormatting sqref="J69">
    <cfRule type="expression" dxfId="1636" priority="46">
      <formula>kvartal &lt; 4</formula>
    </cfRule>
  </conditionalFormatting>
  <conditionalFormatting sqref="A50:A52">
    <cfRule type="expression" dxfId="1635" priority="19">
      <formula>kvartal &lt; 4</formula>
    </cfRule>
  </conditionalFormatting>
  <conditionalFormatting sqref="A69:A74">
    <cfRule type="expression" dxfId="1634" priority="17">
      <formula>kvartal &lt; 4</formula>
    </cfRule>
  </conditionalFormatting>
  <conditionalFormatting sqref="A80:A85">
    <cfRule type="expression" dxfId="1633" priority="16">
      <formula>kvartal &lt; 4</formula>
    </cfRule>
  </conditionalFormatting>
  <conditionalFormatting sqref="A90:A95">
    <cfRule type="expression" dxfId="1632" priority="13">
      <formula>kvartal &lt; 4</formula>
    </cfRule>
  </conditionalFormatting>
  <conditionalFormatting sqref="A101:A106">
    <cfRule type="expression" dxfId="1631" priority="12">
      <formula>kvartal &lt; 4</formula>
    </cfRule>
  </conditionalFormatting>
  <conditionalFormatting sqref="A115">
    <cfRule type="expression" dxfId="1630" priority="11">
      <formula>kvartal &lt; 4</formula>
    </cfRule>
  </conditionalFormatting>
  <conditionalFormatting sqref="A123">
    <cfRule type="expression" dxfId="1629" priority="10">
      <formula>kvartal &lt; 4</formula>
    </cfRule>
  </conditionalFormatting>
  <conditionalFormatting sqref="J70:J74">
    <cfRule type="expression" dxfId="1628" priority="7">
      <formula>kvartal &lt; 4</formula>
    </cfRule>
  </conditionalFormatting>
  <conditionalFormatting sqref="K69:K74">
    <cfRule type="expression" dxfId="1627" priority="6">
      <formula>kvartal &lt; 4</formula>
    </cfRule>
  </conditionalFormatting>
  <conditionalFormatting sqref="J80:K85">
    <cfRule type="expression" dxfId="1626" priority="5">
      <formula>kvartal &lt; 4</formula>
    </cfRule>
  </conditionalFormatting>
  <conditionalFormatting sqref="J90:K95">
    <cfRule type="expression" dxfId="1625" priority="4">
      <formula>kvartal &lt; 4</formula>
    </cfRule>
  </conditionalFormatting>
  <conditionalFormatting sqref="J101:K106">
    <cfRule type="expression" dxfId="1624" priority="3">
      <formula>kvartal &lt; 4</formula>
    </cfRule>
  </conditionalFormatting>
  <conditionalFormatting sqref="J115:K115">
    <cfRule type="expression" dxfId="1623" priority="2">
      <formula>kvartal &lt; 4</formula>
    </cfRule>
  </conditionalFormatting>
  <conditionalFormatting sqref="J123:K123">
    <cfRule type="expression" dxfId="1622"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96</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278"/>
      <c r="C22" s="278"/>
      <c r="D22" s="347"/>
      <c r="E22" s="11"/>
      <c r="F22" s="278"/>
      <c r="G22" s="278"/>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78"/>
      <c r="C29" s="278"/>
      <c r="D29" s="171"/>
      <c r="E29" s="11"/>
      <c r="F29" s="278"/>
      <c r="G29" s="278"/>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c r="D47" s="422"/>
      <c r="E47" s="11"/>
      <c r="F47" s="145"/>
      <c r="G47" s="33"/>
      <c r="H47" s="159"/>
      <c r="I47" s="159"/>
      <c r="J47" s="37"/>
      <c r="K47" s="37"/>
      <c r="L47" s="159"/>
      <c r="M47" s="159"/>
      <c r="N47" s="148"/>
      <c r="O47" s="148"/>
    </row>
    <row r="48" spans="1:15" s="3" customFormat="1" ht="15.75" x14ac:dyDescent="0.2">
      <c r="A48" s="38" t="s">
        <v>467</v>
      </c>
      <c r="B48" s="278"/>
      <c r="C48" s="279"/>
      <c r="D48" s="253"/>
      <c r="E48" s="27"/>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97233</v>
      </c>
      <c r="C66" s="350">
        <v>89195</v>
      </c>
      <c r="D66" s="347">
        <f t="shared" ref="D66:D111" si="0">IF(B66=0, "    ---- ", IF(ABS(ROUND(100/B66*C66-100,1))&lt;999,ROUND(100/B66*C66-100,1),IF(ROUND(100/B66*C66-100,1)&gt;999,999,-999)))</f>
        <v>-8.3000000000000007</v>
      </c>
      <c r="E66" s="11">
        <f>IFERROR(100/'Skjema total MA'!C66*C66,0)</f>
        <v>1.0103672060670992</v>
      </c>
      <c r="F66" s="349">
        <v>356633</v>
      </c>
      <c r="G66" s="349">
        <v>432767</v>
      </c>
      <c r="H66" s="347">
        <f t="shared" ref="H66:H111" si="1">IF(F66=0, "    ---- ", IF(ABS(ROUND(100/F66*G66-100,1))&lt;999,ROUND(100/F66*G66-100,1),IF(ROUND(100/F66*G66-100,1)&gt;999,999,-999)))</f>
        <v>21.3</v>
      </c>
      <c r="I66" s="11">
        <f>IFERROR(100/'Skjema total MA'!F66*G66,0)</f>
        <v>1.4946368674972195</v>
      </c>
      <c r="J66" s="306">
        <f t="shared" ref="J66:K85" si="2">SUM(B66,F66)</f>
        <v>453866</v>
      </c>
      <c r="K66" s="313">
        <f t="shared" si="2"/>
        <v>521962</v>
      </c>
      <c r="L66" s="423">
        <f t="shared" ref="L66:L111" si="3">IF(J66=0, "    ---- ", IF(ABS(ROUND(100/J66*K66-100,1))&lt;999,ROUND(100/J66*K66-100,1),IF(ROUND(100/J66*K66-100,1)&gt;999,999,-999)))</f>
        <v>15</v>
      </c>
      <c r="M66" s="11">
        <f>IFERROR(100/'Skjema total MA'!I66*K66,0)</f>
        <v>1.3814864228751895</v>
      </c>
      <c r="O66" s="148"/>
    </row>
    <row r="67" spans="1:15" x14ac:dyDescent="0.2">
      <c r="A67" s="414" t="s">
        <v>9</v>
      </c>
      <c r="B67" s="44">
        <v>97233</v>
      </c>
      <c r="C67" s="145">
        <v>89195</v>
      </c>
      <c r="D67" s="166">
        <f t="shared" si="0"/>
        <v>-8.3000000000000007</v>
      </c>
      <c r="E67" s="27">
        <f>IFERROR(100/'Skjema total MA'!C67*C67,0)</f>
        <v>1.2671161780160192</v>
      </c>
      <c r="F67" s="233"/>
      <c r="G67" s="145"/>
      <c r="H67" s="166"/>
      <c r="I67" s="27"/>
      <c r="J67" s="284">
        <f t="shared" si="2"/>
        <v>97233</v>
      </c>
      <c r="K67" s="44">
        <f t="shared" si="2"/>
        <v>89195</v>
      </c>
      <c r="L67" s="253">
        <f t="shared" si="3"/>
        <v>-8.3000000000000007</v>
      </c>
      <c r="M67" s="27">
        <f>IFERROR(100/'Skjema total MA'!I67*K67,0)</f>
        <v>1.2671161780160192</v>
      </c>
      <c r="O67" s="148"/>
    </row>
    <row r="68" spans="1:15" x14ac:dyDescent="0.2">
      <c r="A68" s="21" t="s">
        <v>10</v>
      </c>
      <c r="B68" s="289"/>
      <c r="C68" s="290"/>
      <c r="D68" s="166"/>
      <c r="E68" s="27"/>
      <c r="F68" s="289">
        <v>356633</v>
      </c>
      <c r="G68" s="290">
        <v>432767</v>
      </c>
      <c r="H68" s="166">
        <f t="shared" si="1"/>
        <v>21.3</v>
      </c>
      <c r="I68" s="27">
        <f>IFERROR(100/'Skjema total MA'!F68*G68,0)</f>
        <v>1.51591446093874</v>
      </c>
      <c r="J68" s="284">
        <f t="shared" si="2"/>
        <v>356633</v>
      </c>
      <c r="K68" s="44">
        <f t="shared" si="2"/>
        <v>432767</v>
      </c>
      <c r="L68" s="253">
        <f t="shared" si="3"/>
        <v>21.3</v>
      </c>
      <c r="M68" s="27">
        <f>IFERROR(100/'Skjema total MA'!I68*K68,0)</f>
        <v>1.5080395140810716</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v>356633</v>
      </c>
      <c r="G72" s="278">
        <v>432767</v>
      </c>
      <c r="H72" s="253"/>
      <c r="I72" s="27">
        <f>IFERROR(100/'Skjema total MA'!F72*G72,0)</f>
        <v>1.516121573740703</v>
      </c>
      <c r="J72" s="287">
        <f t="shared" ref="J72:J74" si="4">SUM(B72,F72)</f>
        <v>356633</v>
      </c>
      <c r="K72" s="287">
        <f t="shared" si="2"/>
        <v>432767</v>
      </c>
      <c r="L72" s="253">
        <f t="shared" si="3"/>
        <v>21.3</v>
      </c>
      <c r="M72" s="23">
        <f>IFERROR(100/'Skjema total MA'!I72*K72,0)</f>
        <v>1.5090706624775114</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356633</v>
      </c>
      <c r="G74" s="278">
        <v>432767</v>
      </c>
      <c r="H74" s="253"/>
      <c r="I74" s="27">
        <f>IFERROR(100/'Skjema total MA'!F74*G74,0)</f>
        <v>1.5321074473410146</v>
      </c>
      <c r="J74" s="287">
        <f t="shared" si="4"/>
        <v>356633</v>
      </c>
      <c r="K74" s="287">
        <f t="shared" si="2"/>
        <v>432767</v>
      </c>
      <c r="L74" s="253">
        <f t="shared" si="3"/>
        <v>21.3</v>
      </c>
      <c r="M74" s="23">
        <f>IFERROR(100/'Skjema total MA'!I74*K74,0)</f>
        <v>1.5321074473410146</v>
      </c>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v>97233</v>
      </c>
      <c r="C77" s="233">
        <v>89195</v>
      </c>
      <c r="D77" s="166">
        <f t="shared" si="0"/>
        <v>-8.3000000000000007</v>
      </c>
      <c r="E77" s="27">
        <f>IFERROR(100/'Skjema total MA'!C77*C77,0)</f>
        <v>1.2625919538902064</v>
      </c>
      <c r="F77" s="233">
        <v>356633</v>
      </c>
      <c r="G77" s="145">
        <v>432767</v>
      </c>
      <c r="H77" s="166">
        <f t="shared" si="1"/>
        <v>21.3</v>
      </c>
      <c r="I77" s="27">
        <f>IFERROR(100/'Skjema total MA'!F77*G77,0)</f>
        <v>1.5165764286215335</v>
      </c>
      <c r="J77" s="284">
        <f t="shared" si="2"/>
        <v>453866</v>
      </c>
      <c r="K77" s="44">
        <f t="shared" si="2"/>
        <v>521962</v>
      </c>
      <c r="L77" s="253">
        <f t="shared" si="3"/>
        <v>15</v>
      </c>
      <c r="M77" s="27">
        <f>IFERROR(100/'Skjema total MA'!I77*K77,0)</f>
        <v>1.4661762633574187</v>
      </c>
      <c r="O77" s="148"/>
    </row>
    <row r="78" spans="1:15" x14ac:dyDescent="0.2">
      <c r="A78" s="21" t="s">
        <v>9</v>
      </c>
      <c r="B78" s="233">
        <v>97233</v>
      </c>
      <c r="C78" s="145">
        <v>89195</v>
      </c>
      <c r="D78" s="166">
        <f t="shared" si="0"/>
        <v>-8.3000000000000007</v>
      </c>
      <c r="E78" s="27">
        <f>IFERROR(100/'Skjema total MA'!C78*C78,0)</f>
        <v>1.289082339133703</v>
      </c>
      <c r="F78" s="233"/>
      <c r="G78" s="145"/>
      <c r="H78" s="166"/>
      <c r="I78" s="27"/>
      <c r="J78" s="284">
        <f t="shared" si="2"/>
        <v>97233</v>
      </c>
      <c r="K78" s="44">
        <f t="shared" si="2"/>
        <v>89195</v>
      </c>
      <c r="L78" s="253">
        <f t="shared" si="3"/>
        <v>-8.3000000000000007</v>
      </c>
      <c r="M78" s="27">
        <f>IFERROR(100/'Skjema total MA'!I78*K78,0)</f>
        <v>1.289082339133703</v>
      </c>
      <c r="O78" s="148"/>
    </row>
    <row r="79" spans="1:15" x14ac:dyDescent="0.2">
      <c r="A79" s="21" t="s">
        <v>10</v>
      </c>
      <c r="B79" s="289"/>
      <c r="C79" s="290"/>
      <c r="D79" s="166"/>
      <c r="E79" s="27"/>
      <c r="F79" s="289">
        <v>356633</v>
      </c>
      <c r="G79" s="290">
        <v>432767</v>
      </c>
      <c r="H79" s="166">
        <f t="shared" si="1"/>
        <v>21.3</v>
      </c>
      <c r="I79" s="27">
        <f>IFERROR(100/'Skjema total MA'!F79*G79,0)</f>
        <v>1.5165764286215335</v>
      </c>
      <c r="J79" s="284">
        <f t="shared" si="2"/>
        <v>356633</v>
      </c>
      <c r="K79" s="44">
        <f t="shared" si="2"/>
        <v>432767</v>
      </c>
      <c r="L79" s="253">
        <f t="shared" si="3"/>
        <v>21.3</v>
      </c>
      <c r="M79" s="27">
        <f>IFERROR(100/'Skjema total MA'!I79*K79,0)</f>
        <v>1.5089000612789931</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v>356633</v>
      </c>
      <c r="G83" s="278">
        <v>432767</v>
      </c>
      <c r="H83" s="253">
        <f t="shared" si="1"/>
        <v>21.3</v>
      </c>
      <c r="I83" s="412">
        <f>IFERROR(100/'Skjema total MA'!F83*G83,0)</f>
        <v>1.5165764286215335</v>
      </c>
      <c r="J83" s="287">
        <f t="shared" si="2"/>
        <v>356633</v>
      </c>
      <c r="K83" s="287">
        <f t="shared" si="2"/>
        <v>432767</v>
      </c>
      <c r="L83" s="253">
        <f t="shared" si="3"/>
        <v>21.3</v>
      </c>
      <c r="M83" s="23">
        <f>IFERROR(100/'Skjema total MA'!I83*K83,0)</f>
        <v>1.5089000612789931</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v>356633</v>
      </c>
      <c r="G85" s="278">
        <v>432767</v>
      </c>
      <c r="H85" s="253">
        <f t="shared" si="1"/>
        <v>21.3</v>
      </c>
      <c r="I85" s="412">
        <f>IFERROR(100/'Skjema total MA'!F85*G85,0)</f>
        <v>1.5325685814448975</v>
      </c>
      <c r="J85" s="287">
        <f t="shared" si="2"/>
        <v>356633</v>
      </c>
      <c r="K85" s="287">
        <f t="shared" si="2"/>
        <v>432767</v>
      </c>
      <c r="L85" s="253">
        <f t="shared" si="3"/>
        <v>21.3</v>
      </c>
      <c r="M85" s="23">
        <f>IFERROR(100/'Skjema total MA'!I85*K85,0)</f>
        <v>1.5325685814448975</v>
      </c>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v>1613262</v>
      </c>
      <c r="C87" s="350">
        <v>1675894</v>
      </c>
      <c r="D87" s="171">
        <f t="shared" si="0"/>
        <v>3.9</v>
      </c>
      <c r="E87" s="11">
        <f>IFERROR(100/'Skjema total MA'!C87*C87,0)</f>
        <v>0.43383158591715626</v>
      </c>
      <c r="F87" s="349">
        <v>2683785</v>
      </c>
      <c r="G87" s="349">
        <v>3376787</v>
      </c>
      <c r="H87" s="171">
        <f t="shared" si="1"/>
        <v>25.8</v>
      </c>
      <c r="I87" s="11">
        <f>IFERROR(100/'Skjema total MA'!F87*G87,0)</f>
        <v>1.3709493216894577</v>
      </c>
      <c r="J87" s="306">
        <f t="shared" ref="J87:K111" si="5">SUM(B87,F87)</f>
        <v>4297047</v>
      </c>
      <c r="K87" s="235">
        <f t="shared" si="5"/>
        <v>5052681</v>
      </c>
      <c r="L87" s="423">
        <f t="shared" si="3"/>
        <v>17.600000000000001</v>
      </c>
      <c r="M87" s="11">
        <f>IFERROR(100/'Skjema total MA'!I87*K87,0)</f>
        <v>0.79870302999797338</v>
      </c>
      <c r="O87" s="148"/>
    </row>
    <row r="88" spans="1:15" x14ac:dyDescent="0.2">
      <c r="A88" s="21" t="s">
        <v>9</v>
      </c>
      <c r="B88" s="233">
        <v>1613262</v>
      </c>
      <c r="C88" s="145">
        <v>1675894</v>
      </c>
      <c r="D88" s="166">
        <f t="shared" si="0"/>
        <v>3.9</v>
      </c>
      <c r="E88" s="27">
        <f>IFERROR(100/'Skjema total MA'!C88*C88,0)</f>
        <v>0.44416440464518264</v>
      </c>
      <c r="F88" s="233"/>
      <c r="G88" s="145"/>
      <c r="H88" s="166"/>
      <c r="I88" s="27"/>
      <c r="J88" s="284">
        <f t="shared" si="5"/>
        <v>1613262</v>
      </c>
      <c r="K88" s="44">
        <f t="shared" si="5"/>
        <v>1675894</v>
      </c>
      <c r="L88" s="253">
        <f t="shared" si="3"/>
        <v>3.9</v>
      </c>
      <c r="M88" s="27">
        <f>IFERROR(100/'Skjema total MA'!I88*K88,0)</f>
        <v>0.44416440464518264</v>
      </c>
      <c r="O88" s="148"/>
    </row>
    <row r="89" spans="1:15" x14ac:dyDescent="0.2">
      <c r="A89" s="21" t="s">
        <v>10</v>
      </c>
      <c r="B89" s="233"/>
      <c r="C89" s="145"/>
      <c r="D89" s="166"/>
      <c r="E89" s="27"/>
      <c r="F89" s="233">
        <v>2683785</v>
      </c>
      <c r="G89" s="145">
        <v>3376787</v>
      </c>
      <c r="H89" s="166">
        <f t="shared" si="1"/>
        <v>25.8</v>
      </c>
      <c r="I89" s="27">
        <f>IFERROR(100/'Skjema total MA'!F89*G89,0)</f>
        <v>1.3765996771879148</v>
      </c>
      <c r="J89" s="284">
        <f t="shared" si="5"/>
        <v>2683785</v>
      </c>
      <c r="K89" s="44">
        <f t="shared" si="5"/>
        <v>3376787</v>
      </c>
      <c r="L89" s="253">
        <f t="shared" si="3"/>
        <v>25.8</v>
      </c>
      <c r="M89" s="27">
        <f>IFERROR(100/'Skjema total MA'!I89*K89,0)</f>
        <v>1.3615034095690177</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v>2683785</v>
      </c>
      <c r="G93" s="278">
        <v>3376787</v>
      </c>
      <c r="H93" s="253">
        <f t="shared" si="1"/>
        <v>25.8</v>
      </c>
      <c r="I93" s="412">
        <f>IFERROR(100/'Skjema total MA'!F93*G93,0)</f>
        <v>1.3773438139064273</v>
      </c>
      <c r="J93" s="287">
        <f t="shared" si="5"/>
        <v>2683785</v>
      </c>
      <c r="K93" s="287">
        <f t="shared" si="5"/>
        <v>3376787</v>
      </c>
      <c r="L93" s="253">
        <f t="shared" si="3"/>
        <v>25.8</v>
      </c>
      <c r="M93" s="23">
        <f>IFERROR(100/'Skjema total MA'!I93*K93,0)</f>
        <v>1.3622313105423245</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2683785</v>
      </c>
      <c r="G95" s="278">
        <v>3376787</v>
      </c>
      <c r="H95" s="253">
        <f t="shared" si="1"/>
        <v>25.8</v>
      </c>
      <c r="I95" s="412">
        <f>IFERROR(100/'Skjema total MA'!F95*G95,0)</f>
        <v>1.3950830933714771</v>
      </c>
      <c r="J95" s="287">
        <f t="shared" si="5"/>
        <v>2683785</v>
      </c>
      <c r="K95" s="287">
        <f t="shared" si="5"/>
        <v>3376787</v>
      </c>
      <c r="L95" s="253">
        <f t="shared" si="3"/>
        <v>25.8</v>
      </c>
      <c r="M95" s="23">
        <f>IFERROR(100/'Skjema total MA'!I95*K95,0)</f>
        <v>1.3950830933714771</v>
      </c>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v>1613262</v>
      </c>
      <c r="C98" s="233">
        <v>1675894</v>
      </c>
      <c r="D98" s="166">
        <f t="shared" si="0"/>
        <v>3.9</v>
      </c>
      <c r="E98" s="27">
        <f>IFERROR(100/'Skjema total MA'!C98*C98,0)</f>
        <v>0.44676189334728778</v>
      </c>
      <c r="F98" s="289">
        <v>2683785</v>
      </c>
      <c r="G98" s="289">
        <v>3376787</v>
      </c>
      <c r="H98" s="166">
        <f t="shared" si="1"/>
        <v>25.8</v>
      </c>
      <c r="I98" s="27">
        <f>IFERROR(100/'Skjema total MA'!F98*G98,0)</f>
        <v>1.3804282733018911</v>
      </c>
      <c r="J98" s="284">
        <f t="shared" si="5"/>
        <v>4297047</v>
      </c>
      <c r="K98" s="44">
        <f t="shared" si="5"/>
        <v>5052681</v>
      </c>
      <c r="L98" s="253">
        <f t="shared" si="3"/>
        <v>17.600000000000001</v>
      </c>
      <c r="M98" s="27">
        <f>IFERROR(100/'Skjema total MA'!I98*K98,0)</f>
        <v>0.81529179901456506</v>
      </c>
      <c r="O98" s="148"/>
    </row>
    <row r="99" spans="1:15" x14ac:dyDescent="0.2">
      <c r="A99" s="21" t="s">
        <v>9</v>
      </c>
      <c r="B99" s="289">
        <v>1613262</v>
      </c>
      <c r="C99" s="290">
        <v>1675894</v>
      </c>
      <c r="D99" s="166">
        <f t="shared" si="0"/>
        <v>3.9</v>
      </c>
      <c r="E99" s="27">
        <f>IFERROR(100/'Skjema total MA'!C99*C99,0)</f>
        <v>0.45002486229704275</v>
      </c>
      <c r="F99" s="233"/>
      <c r="G99" s="145"/>
      <c r="H99" s="166"/>
      <c r="I99" s="27"/>
      <c r="J99" s="284">
        <f t="shared" si="5"/>
        <v>1613262</v>
      </c>
      <c r="K99" s="44">
        <f t="shared" si="5"/>
        <v>1675894</v>
      </c>
      <c r="L99" s="253">
        <f t="shared" si="3"/>
        <v>3.9</v>
      </c>
      <c r="M99" s="27">
        <f>IFERROR(100/'Skjema total MA'!I99*K99,0)</f>
        <v>0.45002486229704275</v>
      </c>
      <c r="O99" s="148"/>
    </row>
    <row r="100" spans="1:15" x14ac:dyDescent="0.2">
      <c r="A100" s="21" t="s">
        <v>10</v>
      </c>
      <c r="B100" s="289"/>
      <c r="C100" s="290"/>
      <c r="D100" s="166"/>
      <c r="E100" s="27"/>
      <c r="F100" s="233">
        <v>2683785</v>
      </c>
      <c r="G100" s="233">
        <v>3376787</v>
      </c>
      <c r="H100" s="166">
        <f t="shared" si="1"/>
        <v>25.8</v>
      </c>
      <c r="I100" s="27">
        <f>IFERROR(100/'Skjema total MA'!F100*G100,0)</f>
        <v>1.3804282733018911</v>
      </c>
      <c r="J100" s="284">
        <f t="shared" si="5"/>
        <v>2683785</v>
      </c>
      <c r="K100" s="44">
        <f t="shared" si="5"/>
        <v>3376787</v>
      </c>
      <c r="L100" s="253">
        <f t="shared" si="3"/>
        <v>25.8</v>
      </c>
      <c r="M100" s="27">
        <f>IFERROR(100/'Skjema total MA'!I100*K100,0)</f>
        <v>1.365248380477522</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v>2683785</v>
      </c>
      <c r="G104" s="278">
        <v>3376787</v>
      </c>
      <c r="H104" s="253">
        <f t="shared" si="1"/>
        <v>25.8</v>
      </c>
      <c r="I104" s="412">
        <f>IFERROR(100/'Skjema total MA'!F104*G104,0)</f>
        <v>1.3804282733018911</v>
      </c>
      <c r="J104" s="287">
        <f t="shared" si="5"/>
        <v>2683785</v>
      </c>
      <c r="K104" s="287">
        <f t="shared" si="5"/>
        <v>3376787</v>
      </c>
      <c r="L104" s="253">
        <f t="shared" si="3"/>
        <v>25.8</v>
      </c>
      <c r="M104" s="23">
        <f>IFERROR(100/'Skjema total MA'!I104*K104,0)</f>
        <v>1.365248380477522</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2683785</v>
      </c>
      <c r="G106" s="278">
        <v>3376787</v>
      </c>
      <c r="H106" s="253">
        <f t="shared" si="1"/>
        <v>25.8</v>
      </c>
      <c r="I106" s="412">
        <f>IFERROR(100/'Skjema total MA'!F106*G106,0)</f>
        <v>1.3954492878595199</v>
      </c>
      <c r="J106" s="287">
        <f t="shared" si="5"/>
        <v>2683785</v>
      </c>
      <c r="K106" s="287">
        <f t="shared" si="5"/>
        <v>3376787</v>
      </c>
      <c r="L106" s="253">
        <f t="shared" si="3"/>
        <v>25.8</v>
      </c>
      <c r="M106" s="23">
        <f>IFERROR(100/'Skjema total MA'!I106*K106,0)</f>
        <v>1.3954492878595199</v>
      </c>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v>910466</v>
      </c>
      <c r="C108" s="233">
        <v>932197</v>
      </c>
      <c r="D108" s="166">
        <f t="shared" si="0"/>
        <v>2.4</v>
      </c>
      <c r="E108" s="27">
        <f>IFERROR(100/'Skjema total MA'!C108*C108,0)</f>
        <v>0.29961564934303736</v>
      </c>
      <c r="F108" s="233"/>
      <c r="G108" s="233"/>
      <c r="H108" s="166"/>
      <c r="I108" s="27"/>
      <c r="J108" s="284">
        <f t="shared" si="5"/>
        <v>910466</v>
      </c>
      <c r="K108" s="44">
        <f t="shared" si="5"/>
        <v>932197</v>
      </c>
      <c r="L108" s="253">
        <f t="shared" si="3"/>
        <v>2.4</v>
      </c>
      <c r="M108" s="27">
        <f>IFERROR(100/'Skjema total MA'!I108*K108,0)</f>
        <v>0.28577046636489056</v>
      </c>
      <c r="O108" s="148"/>
    </row>
    <row r="109" spans="1:15" ht="15.75" x14ac:dyDescent="0.2">
      <c r="A109" s="21" t="s">
        <v>476</v>
      </c>
      <c r="B109" s="233"/>
      <c r="C109" s="233"/>
      <c r="D109" s="166"/>
      <c r="E109" s="27"/>
      <c r="F109" s="233">
        <v>1088852</v>
      </c>
      <c r="G109" s="233">
        <v>1421191</v>
      </c>
      <c r="H109" s="166">
        <f t="shared" si="1"/>
        <v>30.5</v>
      </c>
      <c r="I109" s="27">
        <f>IFERROR(100/'Skjema total MA'!F109*G109,0)</f>
        <v>1.7653368662943782</v>
      </c>
      <c r="J109" s="284">
        <f t="shared" si="5"/>
        <v>1088852</v>
      </c>
      <c r="K109" s="44">
        <f t="shared" si="5"/>
        <v>1421191</v>
      </c>
      <c r="L109" s="253">
        <f t="shared" si="3"/>
        <v>30.5</v>
      </c>
      <c r="M109" s="27">
        <f>IFERROR(100/'Skjema total MA'!I109*K109,0)</f>
        <v>1.7461312799184852</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v>1373</v>
      </c>
      <c r="C111" s="159">
        <v>4154</v>
      </c>
      <c r="D111" s="171">
        <f t="shared" si="0"/>
        <v>202.5</v>
      </c>
      <c r="E111" s="11">
        <f>IFERROR(100/'Skjema total MA'!C111*C111,0)</f>
        <v>0.76947466129359665</v>
      </c>
      <c r="F111" s="305">
        <v>541695</v>
      </c>
      <c r="G111" s="159">
        <v>515452</v>
      </c>
      <c r="H111" s="171">
        <f t="shared" si="1"/>
        <v>-4.8</v>
      </c>
      <c r="I111" s="11">
        <f>IFERROR(100/'Skjema total MA'!F111*G111,0)</f>
        <v>4.1246154265261445</v>
      </c>
      <c r="J111" s="306">
        <f t="shared" si="5"/>
        <v>543068</v>
      </c>
      <c r="K111" s="235">
        <f t="shared" si="5"/>
        <v>519606</v>
      </c>
      <c r="L111" s="423">
        <f t="shared" si="3"/>
        <v>-4.3</v>
      </c>
      <c r="M111" s="11">
        <f>IFERROR(100/'Skjema total MA'!I111*K111,0)</f>
        <v>3.9856805607095485</v>
      </c>
      <c r="O111" s="148"/>
    </row>
    <row r="112" spans="1:15" x14ac:dyDescent="0.2">
      <c r="A112" s="21" t="s">
        <v>9</v>
      </c>
      <c r="B112" s="233">
        <v>1373</v>
      </c>
      <c r="C112" s="145">
        <v>4154</v>
      </c>
      <c r="D112" s="166">
        <f t="shared" ref="D112:D120" si="6">IF(B112=0, "    ---- ", IF(ABS(ROUND(100/B112*C112-100,1))&lt;999,ROUND(100/B112*C112-100,1),IF(ROUND(100/B112*C112-100,1)&gt;999,999,-999)))</f>
        <v>202.5</v>
      </c>
      <c r="E112" s="27">
        <f>IFERROR(100/'Skjema total MA'!C112*C112,0)</f>
        <v>0.87065747718085174</v>
      </c>
      <c r="F112" s="233"/>
      <c r="G112" s="145"/>
      <c r="H112" s="166"/>
      <c r="I112" s="27"/>
      <c r="J112" s="284">
        <f t="shared" ref="J112:K125" si="7">SUM(B112,F112)</f>
        <v>1373</v>
      </c>
      <c r="K112" s="44">
        <f t="shared" si="7"/>
        <v>4154</v>
      </c>
      <c r="L112" s="253">
        <f t="shared" ref="L112:L125" si="8">IF(J112=0, "    ---- ", IF(ABS(ROUND(100/J112*K112-100,1))&lt;999,ROUND(100/J112*K112-100,1),IF(ROUND(100/J112*K112-100,1)&gt;999,999,-999)))</f>
        <v>202.5</v>
      </c>
      <c r="M112" s="27">
        <f>IFERROR(100/'Skjema total MA'!I112*K112,0)</f>
        <v>0.86542503092747192</v>
      </c>
      <c r="O112" s="148"/>
    </row>
    <row r="113" spans="1:15" x14ac:dyDescent="0.2">
      <c r="A113" s="21" t="s">
        <v>10</v>
      </c>
      <c r="B113" s="233"/>
      <c r="C113" s="145"/>
      <c r="D113" s="166"/>
      <c r="E113" s="27"/>
      <c r="F113" s="233">
        <v>541695</v>
      </c>
      <c r="G113" s="145">
        <v>515452</v>
      </c>
      <c r="H113" s="166">
        <f t="shared" ref="H113:H125" si="9">IF(F113=0, "    ---- ", IF(ABS(ROUND(100/F113*G113-100,1))&lt;999,ROUND(100/F113*G113-100,1),IF(ROUND(100/F113*G113-100,1)&gt;999,999,-999)))</f>
        <v>-4.8</v>
      </c>
      <c r="I113" s="27">
        <f>IFERROR(100/'Skjema total MA'!F113*G113,0)</f>
        <v>4.1385571652883817</v>
      </c>
      <c r="J113" s="284">
        <f t="shared" si="7"/>
        <v>541695</v>
      </c>
      <c r="K113" s="44">
        <f t="shared" si="7"/>
        <v>515452</v>
      </c>
      <c r="L113" s="253">
        <f t="shared" si="8"/>
        <v>-4.8</v>
      </c>
      <c r="M113" s="27">
        <f>IFERROR(100/'Skjema total MA'!I113*K113,0)</f>
        <v>4.137787589624347</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v>541695</v>
      </c>
      <c r="G115" s="278">
        <v>515452</v>
      </c>
      <c r="H115" s="253">
        <f t="shared" si="9"/>
        <v>-4.8</v>
      </c>
      <c r="I115" s="412">
        <f>IFERROR(100/'Skjema total MA'!F115*G115,0)</f>
        <v>100</v>
      </c>
      <c r="J115" s="287">
        <f t="shared" si="7"/>
        <v>541695</v>
      </c>
      <c r="K115" s="287">
        <f t="shared" si="7"/>
        <v>515452</v>
      </c>
      <c r="L115" s="253">
        <f t="shared" si="8"/>
        <v>-4.8</v>
      </c>
      <c r="M115" s="23">
        <f>IFERROR(100/'Skjema total MA'!I115*K115,0)</f>
        <v>99.42698490173963</v>
      </c>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v>423413</v>
      </c>
      <c r="G117" s="233">
        <v>284920</v>
      </c>
      <c r="H117" s="166">
        <f t="shared" si="9"/>
        <v>-32.700000000000003</v>
      </c>
      <c r="I117" s="27">
        <f>IFERROR(100/'Skjema total MA'!F117*G117,0)</f>
        <v>12.886300144661313</v>
      </c>
      <c r="J117" s="284">
        <f t="shared" si="7"/>
        <v>423413</v>
      </c>
      <c r="K117" s="44">
        <f t="shared" si="7"/>
        <v>284920</v>
      </c>
      <c r="L117" s="253">
        <f t="shared" si="8"/>
        <v>-32.700000000000003</v>
      </c>
      <c r="M117" s="27">
        <f>IFERROR(100/'Skjema total MA'!I117*K117,0)</f>
        <v>12.886300144661313</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14886</v>
      </c>
      <c r="C119" s="159">
        <v>1059</v>
      </c>
      <c r="D119" s="171">
        <f t="shared" si="6"/>
        <v>-92.9</v>
      </c>
      <c r="E119" s="11">
        <f>IFERROR(100/'Skjema total MA'!C119*C119,0)</f>
        <v>0.17626399188036562</v>
      </c>
      <c r="F119" s="305">
        <v>110133</v>
      </c>
      <c r="G119" s="159">
        <v>71420</v>
      </c>
      <c r="H119" s="171">
        <f t="shared" si="9"/>
        <v>-35.200000000000003</v>
      </c>
      <c r="I119" s="11">
        <f>IFERROR(100/'Skjema total MA'!F119*G119,0)</f>
        <v>0.5598807483131808</v>
      </c>
      <c r="J119" s="306">
        <f t="shared" si="7"/>
        <v>125019</v>
      </c>
      <c r="K119" s="235">
        <f t="shared" si="7"/>
        <v>72479</v>
      </c>
      <c r="L119" s="423">
        <f t="shared" si="8"/>
        <v>-42</v>
      </c>
      <c r="M119" s="11">
        <f>IFERROR(100/'Skjema total MA'!I119*K119,0)</f>
        <v>0.54262562628304833</v>
      </c>
      <c r="O119" s="148"/>
    </row>
    <row r="120" spans="1:15" x14ac:dyDescent="0.2">
      <c r="A120" s="21" t="s">
        <v>9</v>
      </c>
      <c r="B120" s="233">
        <v>14886</v>
      </c>
      <c r="C120" s="145">
        <v>1059</v>
      </c>
      <c r="D120" s="166">
        <f t="shared" si="6"/>
        <v>-92.9</v>
      </c>
      <c r="E120" s="27">
        <f>IFERROR(100/'Skjema total MA'!C120*C120,0)</f>
        <v>0.23401299469996392</v>
      </c>
      <c r="F120" s="233"/>
      <c r="G120" s="145"/>
      <c r="H120" s="166"/>
      <c r="I120" s="27"/>
      <c r="J120" s="284">
        <f t="shared" si="7"/>
        <v>14886</v>
      </c>
      <c r="K120" s="44">
        <f t="shared" si="7"/>
        <v>1059</v>
      </c>
      <c r="L120" s="253">
        <f t="shared" si="8"/>
        <v>-92.9</v>
      </c>
      <c r="M120" s="27">
        <f>IFERROR(100/'Skjema total MA'!I120*K120,0)</f>
        <v>0.23401299469996392</v>
      </c>
      <c r="O120" s="148"/>
    </row>
    <row r="121" spans="1:15" x14ac:dyDescent="0.2">
      <c r="A121" s="21" t="s">
        <v>10</v>
      </c>
      <c r="B121" s="233"/>
      <c r="C121" s="145"/>
      <c r="D121" s="166"/>
      <c r="E121" s="27"/>
      <c r="F121" s="233">
        <v>110133</v>
      </c>
      <c r="G121" s="145">
        <v>71420</v>
      </c>
      <c r="H121" s="166">
        <f t="shared" si="9"/>
        <v>-35.200000000000003</v>
      </c>
      <c r="I121" s="27">
        <f>IFERROR(100/'Skjema total MA'!F121*G121,0)</f>
        <v>0.5598807483131808</v>
      </c>
      <c r="J121" s="284">
        <f t="shared" si="7"/>
        <v>110133</v>
      </c>
      <c r="K121" s="44">
        <f t="shared" si="7"/>
        <v>71420</v>
      </c>
      <c r="L121" s="253">
        <f t="shared" si="8"/>
        <v>-35.200000000000003</v>
      </c>
      <c r="M121" s="27">
        <f>IFERROR(100/'Skjema total MA'!I121*K121,0)</f>
        <v>0.55832935119283134</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v>12303</v>
      </c>
      <c r="G125" s="233">
        <v>28717</v>
      </c>
      <c r="H125" s="166">
        <f t="shared" si="9"/>
        <v>133.4</v>
      </c>
      <c r="I125" s="27">
        <f>IFERROR(100/'Skjema total MA'!F125*G125,0)</f>
        <v>1.3463120741471382</v>
      </c>
      <c r="J125" s="284">
        <f t="shared" si="7"/>
        <v>12303</v>
      </c>
      <c r="K125" s="44">
        <f t="shared" si="7"/>
        <v>28717</v>
      </c>
      <c r="L125" s="253">
        <f t="shared" si="8"/>
        <v>133.4</v>
      </c>
      <c r="M125" s="27">
        <f>IFERROR(100/'Skjema total MA'!I125*K125,0)</f>
        <v>1.3440711728719714</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621" priority="139">
      <formula>kvartal &lt; 4</formula>
    </cfRule>
  </conditionalFormatting>
  <conditionalFormatting sqref="B69">
    <cfRule type="expression" dxfId="1620" priority="107">
      <formula>kvartal &lt; 4</formula>
    </cfRule>
  </conditionalFormatting>
  <conditionalFormatting sqref="C69">
    <cfRule type="expression" dxfId="1619" priority="106">
      <formula>kvartal &lt; 4</formula>
    </cfRule>
  </conditionalFormatting>
  <conditionalFormatting sqref="B72">
    <cfRule type="expression" dxfId="1618" priority="105">
      <formula>kvartal &lt; 4</formula>
    </cfRule>
  </conditionalFormatting>
  <conditionalFormatting sqref="C72">
    <cfRule type="expression" dxfId="1617" priority="104">
      <formula>kvartal &lt; 4</formula>
    </cfRule>
  </conditionalFormatting>
  <conditionalFormatting sqref="B80">
    <cfRule type="expression" dxfId="1616" priority="103">
      <formula>kvartal &lt; 4</formula>
    </cfRule>
  </conditionalFormatting>
  <conditionalFormatting sqref="C80">
    <cfRule type="expression" dxfId="1615" priority="102">
      <formula>kvartal &lt; 4</formula>
    </cfRule>
  </conditionalFormatting>
  <conditionalFormatting sqref="B83">
    <cfRule type="expression" dxfId="1614" priority="101">
      <formula>kvartal &lt; 4</formula>
    </cfRule>
  </conditionalFormatting>
  <conditionalFormatting sqref="C83">
    <cfRule type="expression" dxfId="1613" priority="100">
      <formula>kvartal &lt; 4</formula>
    </cfRule>
  </conditionalFormatting>
  <conditionalFormatting sqref="B90">
    <cfRule type="expression" dxfId="1612" priority="91">
      <formula>kvartal &lt; 4</formula>
    </cfRule>
  </conditionalFormatting>
  <conditionalFormatting sqref="C90">
    <cfRule type="expression" dxfId="1611" priority="90">
      <formula>kvartal &lt; 4</formula>
    </cfRule>
  </conditionalFormatting>
  <conditionalFormatting sqref="B93">
    <cfRule type="expression" dxfId="1610" priority="89">
      <formula>kvartal &lt; 4</formula>
    </cfRule>
  </conditionalFormatting>
  <conditionalFormatting sqref="C93">
    <cfRule type="expression" dxfId="1609" priority="88">
      <formula>kvartal &lt; 4</formula>
    </cfRule>
  </conditionalFormatting>
  <conditionalFormatting sqref="B101">
    <cfRule type="expression" dxfId="1608" priority="87">
      <formula>kvartal &lt; 4</formula>
    </cfRule>
  </conditionalFormatting>
  <conditionalFormatting sqref="C101">
    <cfRule type="expression" dxfId="1607" priority="86">
      <formula>kvartal &lt; 4</formula>
    </cfRule>
  </conditionalFormatting>
  <conditionalFormatting sqref="B104">
    <cfRule type="expression" dxfId="1606" priority="85">
      <formula>kvartal &lt; 4</formula>
    </cfRule>
  </conditionalFormatting>
  <conditionalFormatting sqref="C104">
    <cfRule type="expression" dxfId="1605" priority="84">
      <formula>kvartal &lt; 4</formula>
    </cfRule>
  </conditionalFormatting>
  <conditionalFormatting sqref="B115">
    <cfRule type="expression" dxfId="1604" priority="83">
      <formula>kvartal &lt; 4</formula>
    </cfRule>
  </conditionalFormatting>
  <conditionalFormatting sqref="C115">
    <cfRule type="expression" dxfId="1603" priority="82">
      <formula>kvartal &lt; 4</formula>
    </cfRule>
  </conditionalFormatting>
  <conditionalFormatting sqref="B123">
    <cfRule type="expression" dxfId="1602" priority="81">
      <formula>kvartal &lt; 4</formula>
    </cfRule>
  </conditionalFormatting>
  <conditionalFormatting sqref="C123">
    <cfRule type="expression" dxfId="1601" priority="80">
      <formula>kvartal &lt; 4</formula>
    </cfRule>
  </conditionalFormatting>
  <conditionalFormatting sqref="F70">
    <cfRule type="expression" dxfId="1600" priority="79">
      <formula>kvartal &lt; 4</formula>
    </cfRule>
  </conditionalFormatting>
  <conditionalFormatting sqref="G70">
    <cfRule type="expression" dxfId="1599" priority="78">
      <formula>kvartal &lt; 4</formula>
    </cfRule>
  </conditionalFormatting>
  <conditionalFormatting sqref="F71:G71">
    <cfRule type="expression" dxfId="1598" priority="77">
      <formula>kvartal &lt; 4</formula>
    </cfRule>
  </conditionalFormatting>
  <conditionalFormatting sqref="F73:G74">
    <cfRule type="expression" dxfId="1597" priority="76">
      <formula>kvartal &lt; 4</formula>
    </cfRule>
  </conditionalFormatting>
  <conditionalFormatting sqref="F81:G82">
    <cfRule type="expression" dxfId="1596" priority="75">
      <formula>kvartal &lt; 4</formula>
    </cfRule>
  </conditionalFormatting>
  <conditionalFormatting sqref="F84:G85">
    <cfRule type="expression" dxfId="1595" priority="74">
      <formula>kvartal &lt; 4</formula>
    </cfRule>
  </conditionalFormatting>
  <conditionalFormatting sqref="F91:G92">
    <cfRule type="expression" dxfId="1594" priority="69">
      <formula>kvartal &lt; 4</formula>
    </cfRule>
  </conditionalFormatting>
  <conditionalFormatting sqref="F94:G95">
    <cfRule type="expression" dxfId="1593" priority="68">
      <formula>kvartal &lt; 4</formula>
    </cfRule>
  </conditionalFormatting>
  <conditionalFormatting sqref="F102:G103">
    <cfRule type="expression" dxfId="1592" priority="67">
      <formula>kvartal &lt; 4</formula>
    </cfRule>
  </conditionalFormatting>
  <conditionalFormatting sqref="F105:G106">
    <cfRule type="expression" dxfId="1591" priority="66">
      <formula>kvartal &lt; 4</formula>
    </cfRule>
  </conditionalFormatting>
  <conditionalFormatting sqref="F115">
    <cfRule type="expression" dxfId="1590" priority="65">
      <formula>kvartal &lt; 4</formula>
    </cfRule>
  </conditionalFormatting>
  <conditionalFormatting sqref="G115">
    <cfRule type="expression" dxfId="1589" priority="64">
      <formula>kvartal &lt; 4</formula>
    </cfRule>
  </conditionalFormatting>
  <conditionalFormatting sqref="F123:G123">
    <cfRule type="expression" dxfId="1588" priority="63">
      <formula>kvartal &lt; 4</formula>
    </cfRule>
  </conditionalFormatting>
  <conditionalFormatting sqref="F69:G69">
    <cfRule type="expression" dxfId="1587" priority="62">
      <formula>kvartal &lt; 4</formula>
    </cfRule>
  </conditionalFormatting>
  <conditionalFormatting sqref="F72:G72">
    <cfRule type="expression" dxfId="1586" priority="61">
      <formula>kvartal &lt; 4</formula>
    </cfRule>
  </conditionalFormatting>
  <conditionalFormatting sqref="F80:G80">
    <cfRule type="expression" dxfId="1585" priority="60">
      <formula>kvartal &lt; 4</formula>
    </cfRule>
  </conditionalFormatting>
  <conditionalFormatting sqref="F83:G83">
    <cfRule type="expression" dxfId="1584" priority="59">
      <formula>kvartal &lt; 4</formula>
    </cfRule>
  </conditionalFormatting>
  <conditionalFormatting sqref="F90:G90">
    <cfRule type="expression" dxfId="1583" priority="53">
      <formula>kvartal &lt; 4</formula>
    </cfRule>
  </conditionalFormatting>
  <conditionalFormatting sqref="F93">
    <cfRule type="expression" dxfId="1582" priority="52">
      <formula>kvartal &lt; 4</formula>
    </cfRule>
  </conditionalFormatting>
  <conditionalFormatting sqref="G93">
    <cfRule type="expression" dxfId="1581" priority="51">
      <formula>kvartal &lt; 4</formula>
    </cfRule>
  </conditionalFormatting>
  <conditionalFormatting sqref="F101">
    <cfRule type="expression" dxfId="1580" priority="50">
      <formula>kvartal &lt; 4</formula>
    </cfRule>
  </conditionalFormatting>
  <conditionalFormatting sqref="G101">
    <cfRule type="expression" dxfId="1579" priority="49">
      <formula>kvartal &lt; 4</formula>
    </cfRule>
  </conditionalFormatting>
  <conditionalFormatting sqref="G104">
    <cfRule type="expression" dxfId="1578" priority="48">
      <formula>kvartal &lt; 4</formula>
    </cfRule>
  </conditionalFormatting>
  <conditionalFormatting sqref="F104">
    <cfRule type="expression" dxfId="1577" priority="47">
      <formula>kvartal &lt; 4</formula>
    </cfRule>
  </conditionalFormatting>
  <conditionalFormatting sqref="J69">
    <cfRule type="expression" dxfId="1576" priority="46">
      <formula>kvartal &lt; 4</formula>
    </cfRule>
  </conditionalFormatting>
  <conditionalFormatting sqref="A50:A52">
    <cfRule type="expression" dxfId="1575" priority="19">
      <formula>kvartal &lt; 4</formula>
    </cfRule>
  </conditionalFormatting>
  <conditionalFormatting sqref="A69:A74">
    <cfRule type="expression" dxfId="1574" priority="17">
      <formula>kvartal &lt; 4</formula>
    </cfRule>
  </conditionalFormatting>
  <conditionalFormatting sqref="A80:A85">
    <cfRule type="expression" dxfId="1573" priority="16">
      <formula>kvartal &lt; 4</formula>
    </cfRule>
  </conditionalFormatting>
  <conditionalFormatting sqref="A90:A95">
    <cfRule type="expression" dxfId="1572" priority="13">
      <formula>kvartal &lt; 4</formula>
    </cfRule>
  </conditionalFormatting>
  <conditionalFormatting sqref="A101:A106">
    <cfRule type="expression" dxfId="1571" priority="12">
      <formula>kvartal &lt; 4</formula>
    </cfRule>
  </conditionalFormatting>
  <conditionalFormatting sqref="A115">
    <cfRule type="expression" dxfId="1570" priority="11">
      <formula>kvartal &lt; 4</formula>
    </cfRule>
  </conditionalFormatting>
  <conditionalFormatting sqref="A123">
    <cfRule type="expression" dxfId="1569" priority="10">
      <formula>kvartal &lt; 4</formula>
    </cfRule>
  </conditionalFormatting>
  <conditionalFormatting sqref="J70:J74">
    <cfRule type="expression" dxfId="1568" priority="7">
      <formula>kvartal &lt; 4</formula>
    </cfRule>
  </conditionalFormatting>
  <conditionalFormatting sqref="K69:K74">
    <cfRule type="expression" dxfId="1567" priority="6">
      <formula>kvartal &lt; 4</formula>
    </cfRule>
  </conditionalFormatting>
  <conditionalFormatting sqref="J80:K85">
    <cfRule type="expression" dxfId="1566" priority="5">
      <formula>kvartal &lt; 4</formula>
    </cfRule>
  </conditionalFormatting>
  <conditionalFormatting sqref="J90:K95">
    <cfRule type="expression" dxfId="1565" priority="4">
      <formula>kvartal &lt; 4</formula>
    </cfRule>
  </conditionalFormatting>
  <conditionalFormatting sqref="J101:K106">
    <cfRule type="expression" dxfId="1564" priority="3">
      <formula>kvartal &lt; 4</formula>
    </cfRule>
  </conditionalFormatting>
  <conditionalFormatting sqref="J115:K115">
    <cfRule type="expression" dxfId="1563" priority="2">
      <formula>kvartal &lt; 4</formula>
    </cfRule>
  </conditionalFormatting>
  <conditionalFormatting sqref="J123:K123">
    <cfRule type="expression" dxfId="1562" priority="1">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6" sqref="A6"/>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2"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952"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952"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952" t="s">
        <v>47</v>
      </c>
      <c r="C16" s="70" t="s">
        <v>48</v>
      </c>
      <c r="D16" s="69"/>
      <c r="E16" s="69"/>
      <c r="F16" s="69"/>
      <c r="G16" s="69"/>
      <c r="H16" s="69"/>
      <c r="I16" s="69"/>
      <c r="J16" s="69"/>
      <c r="K16" s="69"/>
      <c r="L16" s="69"/>
      <c r="M16" s="69"/>
      <c r="N16" s="69"/>
    </row>
    <row r="17" spans="1:14" ht="20.100000000000001" customHeight="1" x14ac:dyDescent="0.35">
      <c r="A17" s="70"/>
      <c r="B17" s="952" t="s">
        <v>49</v>
      </c>
      <c r="C17" s="70" t="s">
        <v>50</v>
      </c>
      <c r="D17" s="69"/>
      <c r="E17" s="69"/>
      <c r="F17" s="69"/>
      <c r="G17" s="69"/>
      <c r="H17" s="69"/>
      <c r="I17" s="69"/>
      <c r="J17" s="69"/>
      <c r="K17" s="69"/>
      <c r="L17" s="69"/>
      <c r="M17" s="69"/>
      <c r="N17" s="69"/>
    </row>
    <row r="18" spans="1:14" ht="20.100000000000001" customHeight="1" x14ac:dyDescent="0.35">
      <c r="A18" s="70"/>
      <c r="B18" s="952" t="s">
        <v>348</v>
      </c>
      <c r="C18" s="70" t="s">
        <v>349</v>
      </c>
      <c r="D18" s="69"/>
      <c r="E18" s="69"/>
      <c r="F18" s="69"/>
      <c r="G18" s="69"/>
      <c r="H18" s="69"/>
      <c r="I18" s="69"/>
      <c r="J18" s="69"/>
      <c r="K18" s="69"/>
      <c r="L18" s="69"/>
      <c r="M18" s="69"/>
      <c r="N18" s="69"/>
    </row>
    <row r="19" spans="1:14" ht="20.100000000000001" customHeight="1" x14ac:dyDescent="0.35">
      <c r="A19" s="70"/>
      <c r="B19" s="952" t="s">
        <v>350</v>
      </c>
      <c r="C19" s="70" t="s">
        <v>278</v>
      </c>
      <c r="D19" s="69"/>
      <c r="E19" s="69"/>
      <c r="F19" s="69"/>
      <c r="G19" s="69"/>
      <c r="H19" s="69"/>
      <c r="I19" s="69"/>
      <c r="J19" s="69"/>
      <c r="K19" s="69"/>
      <c r="L19" s="69"/>
      <c r="M19" s="69"/>
      <c r="N19" s="69"/>
    </row>
    <row r="20" spans="1:14" s="345" customFormat="1" ht="20.100000000000001" customHeight="1" x14ac:dyDescent="0.35">
      <c r="A20" s="343"/>
      <c r="B20" s="70" t="s">
        <v>352</v>
      </c>
      <c r="C20" s="343" t="s">
        <v>351</v>
      </c>
      <c r="D20" s="344"/>
      <c r="E20" s="344"/>
      <c r="F20" s="344"/>
      <c r="G20" s="344"/>
      <c r="H20" s="344"/>
      <c r="I20" s="344"/>
      <c r="J20" s="344"/>
      <c r="K20" s="344"/>
      <c r="L20" s="344"/>
      <c r="M20" s="344"/>
      <c r="N20" s="344"/>
    </row>
    <row r="21" spans="1:14" ht="20.100000000000001" customHeight="1" x14ac:dyDescent="0.35">
      <c r="A21" s="70"/>
      <c r="B21" s="70"/>
      <c r="C21" s="70"/>
    </row>
    <row r="22" spans="1:14" ht="18.75" customHeight="1" x14ac:dyDescent="0.35">
      <c r="A22" s="70"/>
      <c r="B22" s="343" t="s">
        <v>264</v>
      </c>
      <c r="C22" s="343"/>
    </row>
    <row r="23" spans="1:14" ht="20.100000000000001" customHeight="1" x14ac:dyDescent="0.35">
      <c r="A23" s="70"/>
      <c r="B23" s="952" t="s">
        <v>265</v>
      </c>
      <c r="C23" s="343" t="s">
        <v>266</v>
      </c>
    </row>
    <row r="24" spans="1:14" ht="20.100000000000001" customHeight="1" x14ac:dyDescent="0.35">
      <c r="A24" s="70"/>
      <c r="B24" s="952" t="s">
        <v>267</v>
      </c>
      <c r="C24" s="343" t="s">
        <v>268</v>
      </c>
    </row>
    <row r="25" spans="1:14" ht="20.100000000000001" customHeight="1" x14ac:dyDescent="0.35">
      <c r="A25" s="70"/>
      <c r="B25" s="952" t="s">
        <v>269</v>
      </c>
      <c r="C25" s="343" t="s">
        <v>270</v>
      </c>
    </row>
    <row r="26" spans="1:14" ht="20.100000000000001" customHeight="1" x14ac:dyDescent="0.35">
      <c r="A26" s="70"/>
      <c r="B26" s="952" t="s">
        <v>271</v>
      </c>
      <c r="C26" s="343" t="s">
        <v>272</v>
      </c>
    </row>
    <row r="27" spans="1:14" ht="20.100000000000001" customHeight="1" x14ac:dyDescent="0.35">
      <c r="A27" s="70"/>
      <c r="B27" s="952" t="s">
        <v>181</v>
      </c>
      <c r="C27" s="343" t="s">
        <v>273</v>
      </c>
    </row>
    <row r="28" spans="1:14" ht="20.100000000000001" customHeight="1" x14ac:dyDescent="0.35">
      <c r="A28" s="70"/>
      <c r="B28" s="952" t="s">
        <v>274</v>
      </c>
      <c r="C28" s="343" t="s">
        <v>504</v>
      </c>
    </row>
    <row r="29" spans="1:14" ht="20.100000000000001" customHeight="1" x14ac:dyDescent="0.35">
      <c r="A29" s="70"/>
      <c r="B29" s="952" t="s">
        <v>275</v>
      </c>
      <c r="C29" s="343" t="s">
        <v>505</v>
      </c>
    </row>
    <row r="30" spans="1:14" ht="18.75" customHeight="1" x14ac:dyDescent="0.35">
      <c r="A30" s="70"/>
      <c r="B30" s="952" t="s">
        <v>276</v>
      </c>
      <c r="C30" s="343" t="s">
        <v>277</v>
      </c>
    </row>
    <row r="31" spans="1:14" ht="18.75" customHeight="1" x14ac:dyDescent="0.35">
      <c r="A31" s="70"/>
      <c r="B31" s="346"/>
      <c r="C31" s="343"/>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1"/>
      <c r="D36" s="342"/>
    </row>
    <row r="37" spans="1:14" ht="26.25" x14ac:dyDescent="0.4">
      <c r="C37" s="72"/>
    </row>
    <row r="38" spans="1:14" ht="26.25" x14ac:dyDescent="0.4">
      <c r="C38" s="72"/>
    </row>
    <row r="39" spans="1:14" ht="26.25" x14ac:dyDescent="0.4">
      <c r="C39" s="341"/>
      <c r="D39" s="345"/>
      <c r="E39" s="345"/>
      <c r="F39" s="345"/>
      <c r="G39" s="345"/>
      <c r="H39" s="345"/>
      <c r="I39" s="345"/>
      <c r="J39" s="345"/>
      <c r="K39" s="345"/>
      <c r="L39" s="345"/>
      <c r="M39" s="345"/>
      <c r="N39" s="345"/>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A33" location="'Noter og kommentarer'!A1" display="NOTER OG KOMMENTARER" xr:uid="{00000000-0004-0000-0100-000004000000}"/>
    <hyperlink ref="B16" location="'Tabel 1.1'!A1" display="Tabell 1.1" xr:uid="{131AF49F-B51B-4C14-8401-C23640A4725F}"/>
    <hyperlink ref="B17" location="'Tabell 1.2'!A1" display="Tabell 1.2" xr:uid="{2DFE9BAA-F0C7-4F8B-BD70-AB5D0338C373}"/>
    <hyperlink ref="B18" location="'Tabell 1.3'!A1" display="Tabell 1.3" xr:uid="{257D73F6-7982-4017-8B01-C7474B8B3167}"/>
    <hyperlink ref="B19" location="'Skjema total MA'!A1" display="Skjema total MA" xr:uid="{A4238051-1038-47D4-AF3C-9BACF6490E85}"/>
    <hyperlink ref="B29" location="'Tabell 7b'!A1" display="Tabell 7b" xr:uid="{00000000-0004-0000-0100-00000C000000}"/>
    <hyperlink ref="B28" location="'Tabell 7a'!A1" display="Tabell 7a" xr:uid="{00000000-0004-0000-0100-00000B000000}"/>
    <hyperlink ref="B26" location="'Tabell 5.3'!A1" display="Tabell 5.3" xr:uid="{00000000-0004-0000-0100-00000A000000}"/>
    <hyperlink ref="B25" location="'Tabell 5.2'!A1" display="Tabell 5.2" xr:uid="{00000000-0004-0000-0100-000009000000}"/>
    <hyperlink ref="B24" location="'Tabell 5.1'!A1" display="Tabell 5.1" xr:uid="{00000000-0004-0000-0100-000008000000}"/>
    <hyperlink ref="B30" location="'Tabell 8'!A1" display="Tabell 8" xr:uid="{1CFE4014-409A-478A-A1BB-0BCA31D16CC0}"/>
    <hyperlink ref="B27" location="'Tabell 6'!A1" display="Tabell 6" xr:uid="{03459D92-CA16-4E51-8543-002146125985}"/>
    <hyperlink ref="B23" location="'Tabell 4'!A1" display="Tabell 4" xr:uid="{0EC185C9-5CC8-4AF1-B81B-EF45E141E7D0}"/>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O144"/>
  <sheetViews>
    <sheetView showGridLines="0" zoomScaleNormal="100" workbookViewId="0">
      <selection activeCell="C17" sqref="C17"/>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142</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2771</v>
      </c>
      <c r="C7" s="304">
        <v>6494.3419999999996</v>
      </c>
      <c r="D7" s="347">
        <f>IF(B7=0, "    ---- ", IF(ABS(ROUND(100/B7*C7-100,1))&lt;999,ROUND(100/B7*C7-100,1),IF(ROUND(100/B7*C7-100,1)&gt;999,999,-999)))</f>
        <v>134.4</v>
      </c>
      <c r="E7" s="11">
        <f>IFERROR(100/'Skjema total MA'!C7*C7,0)</f>
        <v>0.14276987229370844</v>
      </c>
      <c r="F7" s="303"/>
      <c r="G7" s="304"/>
      <c r="H7" s="347"/>
      <c r="I7" s="160"/>
      <c r="J7" s="305">
        <f t="shared" ref="J7:K10" si="0">SUM(B7,F7)</f>
        <v>2771</v>
      </c>
      <c r="K7" s="306">
        <f t="shared" si="0"/>
        <v>6494.3419999999996</v>
      </c>
      <c r="L7" s="422">
        <f>IF(J7=0, "    ---- ", IF(ABS(ROUND(100/J7*K7-100,1))&lt;999,ROUND(100/J7*K7-100,1),IF(ROUND(100/J7*K7-100,1)&gt;999,999,-999)))</f>
        <v>134.4</v>
      </c>
      <c r="M7" s="11">
        <f>IFERROR(100/'Skjema total MA'!I7*K7,0)</f>
        <v>5.5300407298312079E-2</v>
      </c>
      <c r="O7" s="148"/>
    </row>
    <row r="8" spans="1:15" ht="15.75" x14ac:dyDescent="0.2">
      <c r="A8" s="21" t="s">
        <v>25</v>
      </c>
      <c r="B8" s="278">
        <v>2582</v>
      </c>
      <c r="C8" s="279">
        <v>6085.7839999999997</v>
      </c>
      <c r="D8" s="166">
        <f t="shared" ref="D8:D10" si="1">IF(B8=0, "    ---- ", IF(ABS(ROUND(100/B8*C8-100,1))&lt;999,ROUND(100/B8*C8-100,1),IF(ROUND(100/B8*C8-100,1)&gt;999,999,-999)))</f>
        <v>135.69999999999999</v>
      </c>
      <c r="E8" s="27">
        <f>IFERROR(100/'Skjema total MA'!C8*C8,0)</f>
        <v>0.23058154634909211</v>
      </c>
      <c r="F8" s="282"/>
      <c r="G8" s="283"/>
      <c r="H8" s="166"/>
      <c r="I8" s="175"/>
      <c r="J8" s="233">
        <f t="shared" si="0"/>
        <v>2582</v>
      </c>
      <c r="K8" s="284">
        <f t="shared" si="0"/>
        <v>6085.7839999999997</v>
      </c>
      <c r="L8" s="166">
        <f t="shared" ref="L8:L9" si="2">IF(J8=0, "    ---- ", IF(ABS(ROUND(100/J8*K8-100,1))&lt;999,ROUND(100/J8*K8-100,1),IF(ROUND(100/J8*K8-100,1)&gt;999,999,-999)))</f>
        <v>135.69999999999999</v>
      </c>
      <c r="M8" s="27">
        <f>IFERROR(100/'Skjema total MA'!I8*K8,0)</f>
        <v>0.23058154634909211</v>
      </c>
      <c r="O8" s="148"/>
    </row>
    <row r="9" spans="1:15" ht="15.75" x14ac:dyDescent="0.2">
      <c r="A9" s="21" t="s">
        <v>24</v>
      </c>
      <c r="B9" s="278">
        <v>189</v>
      </c>
      <c r="C9" s="279">
        <v>408.55799999999999</v>
      </c>
      <c r="D9" s="166">
        <f t="shared" si="1"/>
        <v>116.2</v>
      </c>
      <c r="E9" s="27">
        <f>IFERROR(100/'Skjema total MA'!C9*C9,0)</f>
        <v>4.1747247009114856E-2</v>
      </c>
      <c r="F9" s="282"/>
      <c r="G9" s="283"/>
      <c r="H9" s="166"/>
      <c r="I9" s="175"/>
      <c r="J9" s="233">
        <f t="shared" si="0"/>
        <v>189</v>
      </c>
      <c r="K9" s="284">
        <f t="shared" si="0"/>
        <v>408.55799999999999</v>
      </c>
      <c r="L9" s="166">
        <f t="shared" si="2"/>
        <v>116.2</v>
      </c>
      <c r="M9" s="27">
        <f>IFERROR(100/'Skjema total MA'!I9*K9,0)</f>
        <v>4.1747247009114856E-2</v>
      </c>
      <c r="O9" s="148"/>
    </row>
    <row r="10" spans="1:15" ht="15.75" x14ac:dyDescent="0.2">
      <c r="A10" s="13" t="s">
        <v>456</v>
      </c>
      <c r="B10" s="307">
        <v>9767</v>
      </c>
      <c r="C10" s="308">
        <v>22247</v>
      </c>
      <c r="D10" s="171">
        <f t="shared" si="1"/>
        <v>127.8</v>
      </c>
      <c r="E10" s="11">
        <f>IFERROR(100/'Skjema total MA'!C10*C10,0)</f>
        <v>9.9050463152419249E-2</v>
      </c>
      <c r="F10" s="307"/>
      <c r="G10" s="308"/>
      <c r="H10" s="171"/>
      <c r="I10" s="160"/>
      <c r="J10" s="305">
        <f t="shared" si="0"/>
        <v>9767</v>
      </c>
      <c r="K10" s="306">
        <f t="shared" si="0"/>
        <v>22247</v>
      </c>
      <c r="L10" s="423">
        <f t="shared" ref="L10" si="3">IF(J10=0, "    ---- ", IF(ABS(ROUND(100/J10*K10-100,1))&lt;999,ROUND(100/J10*K10-100,1),IF(ROUND(100/J10*K10-100,1)&gt;999,999,-999)))</f>
        <v>127.8</v>
      </c>
      <c r="M10" s="11">
        <f>IFERROR(100/'Skjema total MA'!I10*K10,0)</f>
        <v>3.4689592796452125E-2</v>
      </c>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v>4908</v>
      </c>
      <c r="C22" s="313">
        <v>7978.0510000000004</v>
      </c>
      <c r="D22" s="347">
        <f t="shared" ref="D22:D28" si="4">IF(B22=0, "    ---- ", IF(ABS(ROUND(100/B22*C22-100,1))&lt;999,ROUND(100/B22*C22-100,1),IF(ROUND(100/B22*C22-100,1)&gt;999,999,-999)))</f>
        <v>62.6</v>
      </c>
      <c r="E22" s="11">
        <f>IFERROR(100/'Skjema total MA'!C22*C22,0)</f>
        <v>0.504445139460452</v>
      </c>
      <c r="F22" s="315"/>
      <c r="G22" s="315"/>
      <c r="H22" s="347"/>
      <c r="I22" s="11"/>
      <c r="J22" s="313">
        <f t="shared" ref="J22:K28" si="5">SUM(B22,F22)</f>
        <v>4908</v>
      </c>
      <c r="K22" s="313">
        <f t="shared" si="5"/>
        <v>7978.0510000000004</v>
      </c>
      <c r="L22" s="422">
        <f t="shared" ref="L22:L28" si="6">IF(J22=0, "    ---- ", IF(ABS(ROUND(100/J22*K22-100,1))&lt;999,ROUND(100/J22*K22-100,1),IF(ROUND(100/J22*K22-100,1)&gt;999,999,-999)))</f>
        <v>62.6</v>
      </c>
      <c r="M22" s="24">
        <f>IFERROR(100/'Skjema total MA'!I22*K22,0)</f>
        <v>0.27956535822875472</v>
      </c>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v>4908</v>
      </c>
      <c r="C28" s="44">
        <v>7978.0510000000004</v>
      </c>
      <c r="D28" s="166">
        <f t="shared" si="4"/>
        <v>62.6</v>
      </c>
      <c r="E28" s="27">
        <f>IFERROR(100/'Skjema total MA'!C28*C28,0)</f>
        <v>0.44741789365563528</v>
      </c>
      <c r="F28" s="233"/>
      <c r="G28" s="284"/>
      <c r="H28" s="166"/>
      <c r="I28" s="27"/>
      <c r="J28" s="44">
        <f t="shared" si="5"/>
        <v>4908</v>
      </c>
      <c r="K28" s="44">
        <f t="shared" si="5"/>
        <v>7978.0510000000004</v>
      </c>
      <c r="L28" s="253">
        <f t="shared" si="6"/>
        <v>62.6</v>
      </c>
      <c r="M28" s="23">
        <f>IFERROR(100/'Skjema total MA'!I28*K28,0)</f>
        <v>0.44741789365563528</v>
      </c>
      <c r="O28" s="148"/>
    </row>
    <row r="29" spans="1:15" s="3" customFormat="1" ht="15.75" x14ac:dyDescent="0.2">
      <c r="A29" s="13" t="s">
        <v>456</v>
      </c>
      <c r="B29" s="235"/>
      <c r="C29" s="235"/>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135061</v>
      </c>
      <c r="C47" s="308">
        <v>119758.159</v>
      </c>
      <c r="D47" s="422">
        <f t="shared" ref="D47:D48" si="7">IF(B47=0, "    ---- ", IF(ABS(ROUND(100/B47*C47-100,1))&lt;999,ROUND(100/B47*C47-100,1),IF(ROUND(100/B47*C47-100,1)&gt;999,999,-999)))</f>
        <v>-11.3</v>
      </c>
      <c r="E47" s="11">
        <f>IFERROR(100/'Skjema total MA'!C47*C47,0)</f>
        <v>2.8529133129288131</v>
      </c>
      <c r="F47" s="145"/>
      <c r="G47" s="33"/>
      <c r="H47" s="159"/>
      <c r="I47" s="159"/>
      <c r="J47" s="37"/>
      <c r="K47" s="37"/>
      <c r="L47" s="159"/>
      <c r="M47" s="159"/>
      <c r="N47" s="148"/>
      <c r="O47" s="148"/>
    </row>
    <row r="48" spans="1:15" s="3" customFormat="1" ht="15.75" x14ac:dyDescent="0.2">
      <c r="A48" s="38" t="s">
        <v>467</v>
      </c>
      <c r="B48" s="278">
        <v>135061</v>
      </c>
      <c r="C48" s="279">
        <v>119758.159</v>
      </c>
      <c r="D48" s="253">
        <f t="shared" si="7"/>
        <v>-11.3</v>
      </c>
      <c r="E48" s="27">
        <f>IFERROR(100/'Skjema total MA'!C48*C48,0)</f>
        <v>5.1219803857637478</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561" priority="139">
      <formula>kvartal &lt; 4</formula>
    </cfRule>
  </conditionalFormatting>
  <conditionalFormatting sqref="B69">
    <cfRule type="expression" dxfId="1560" priority="107">
      <formula>kvartal &lt; 4</formula>
    </cfRule>
  </conditionalFormatting>
  <conditionalFormatting sqref="C69">
    <cfRule type="expression" dxfId="1559" priority="106">
      <formula>kvartal &lt; 4</formula>
    </cfRule>
  </conditionalFormatting>
  <conditionalFormatting sqref="B72">
    <cfRule type="expression" dxfId="1558" priority="105">
      <formula>kvartal &lt; 4</formula>
    </cfRule>
  </conditionalFormatting>
  <conditionalFormatting sqref="C72">
    <cfRule type="expression" dxfId="1557" priority="104">
      <formula>kvartal &lt; 4</formula>
    </cfRule>
  </conditionalFormatting>
  <conditionalFormatting sqref="B80">
    <cfRule type="expression" dxfId="1556" priority="103">
      <formula>kvartal &lt; 4</formula>
    </cfRule>
  </conditionalFormatting>
  <conditionalFormatting sqref="C80">
    <cfRule type="expression" dxfId="1555" priority="102">
      <formula>kvartal &lt; 4</formula>
    </cfRule>
  </conditionalFormatting>
  <conditionalFormatting sqref="B83">
    <cfRule type="expression" dxfId="1554" priority="101">
      <formula>kvartal &lt; 4</formula>
    </cfRule>
  </conditionalFormatting>
  <conditionalFormatting sqref="C83">
    <cfRule type="expression" dxfId="1553" priority="100">
      <formula>kvartal &lt; 4</formula>
    </cfRule>
  </conditionalFormatting>
  <conditionalFormatting sqref="B90">
    <cfRule type="expression" dxfId="1552" priority="91">
      <formula>kvartal &lt; 4</formula>
    </cfRule>
  </conditionalFormatting>
  <conditionalFormatting sqref="C90">
    <cfRule type="expression" dxfId="1551" priority="90">
      <formula>kvartal &lt; 4</formula>
    </cfRule>
  </conditionalFormatting>
  <conditionalFormatting sqref="B93">
    <cfRule type="expression" dxfId="1550" priority="89">
      <formula>kvartal &lt; 4</formula>
    </cfRule>
  </conditionalFormatting>
  <conditionalFormatting sqref="C93">
    <cfRule type="expression" dxfId="1549" priority="88">
      <formula>kvartal &lt; 4</formula>
    </cfRule>
  </conditionalFormatting>
  <conditionalFormatting sqref="B101">
    <cfRule type="expression" dxfId="1548" priority="87">
      <formula>kvartal &lt; 4</formula>
    </cfRule>
  </conditionalFormatting>
  <conditionalFormatting sqref="C101">
    <cfRule type="expression" dxfId="1547" priority="86">
      <formula>kvartal &lt; 4</formula>
    </cfRule>
  </conditionalFormatting>
  <conditionalFormatting sqref="B104">
    <cfRule type="expression" dxfId="1546" priority="85">
      <formula>kvartal &lt; 4</formula>
    </cfRule>
  </conditionalFormatting>
  <conditionalFormatting sqref="C104">
    <cfRule type="expression" dxfId="1545" priority="84">
      <formula>kvartal &lt; 4</formula>
    </cfRule>
  </conditionalFormatting>
  <conditionalFormatting sqref="B115">
    <cfRule type="expression" dxfId="1544" priority="83">
      <formula>kvartal &lt; 4</formula>
    </cfRule>
  </conditionalFormatting>
  <conditionalFormatting sqref="C115">
    <cfRule type="expression" dxfId="1543" priority="82">
      <formula>kvartal &lt; 4</formula>
    </cfRule>
  </conditionalFormatting>
  <conditionalFormatting sqref="B123">
    <cfRule type="expression" dxfId="1542" priority="81">
      <formula>kvartal &lt; 4</formula>
    </cfRule>
  </conditionalFormatting>
  <conditionalFormatting sqref="C123">
    <cfRule type="expression" dxfId="1541" priority="80">
      <formula>kvartal &lt; 4</formula>
    </cfRule>
  </conditionalFormatting>
  <conditionalFormatting sqref="F70">
    <cfRule type="expression" dxfId="1540" priority="79">
      <formula>kvartal &lt; 4</formula>
    </cfRule>
  </conditionalFormatting>
  <conditionalFormatting sqref="G70">
    <cfRule type="expression" dxfId="1539" priority="78">
      <formula>kvartal &lt; 4</formula>
    </cfRule>
  </conditionalFormatting>
  <conditionalFormatting sqref="F71:G71">
    <cfRule type="expression" dxfId="1538" priority="77">
      <formula>kvartal &lt; 4</formula>
    </cfRule>
  </conditionalFormatting>
  <conditionalFormatting sqref="F73:G74">
    <cfRule type="expression" dxfId="1537" priority="76">
      <formula>kvartal &lt; 4</formula>
    </cfRule>
  </conditionalFormatting>
  <conditionalFormatting sqref="F81:G82">
    <cfRule type="expression" dxfId="1536" priority="75">
      <formula>kvartal &lt; 4</formula>
    </cfRule>
  </conditionalFormatting>
  <conditionalFormatting sqref="F84:G85">
    <cfRule type="expression" dxfId="1535" priority="74">
      <formula>kvartal &lt; 4</formula>
    </cfRule>
  </conditionalFormatting>
  <conditionalFormatting sqref="F91:G92">
    <cfRule type="expression" dxfId="1534" priority="69">
      <formula>kvartal &lt; 4</formula>
    </cfRule>
  </conditionalFormatting>
  <conditionalFormatting sqref="F94:G95">
    <cfRule type="expression" dxfId="1533" priority="68">
      <formula>kvartal &lt; 4</formula>
    </cfRule>
  </conditionalFormatting>
  <conditionalFormatting sqref="F102:G103">
    <cfRule type="expression" dxfId="1532" priority="67">
      <formula>kvartal &lt; 4</formula>
    </cfRule>
  </conditionalFormatting>
  <conditionalFormatting sqref="F105:G106">
    <cfRule type="expression" dxfId="1531" priority="66">
      <formula>kvartal &lt; 4</formula>
    </cfRule>
  </conditionalFormatting>
  <conditionalFormatting sqref="F115">
    <cfRule type="expression" dxfId="1530" priority="65">
      <formula>kvartal &lt; 4</formula>
    </cfRule>
  </conditionalFormatting>
  <conditionalFormatting sqref="G115">
    <cfRule type="expression" dxfId="1529" priority="64">
      <formula>kvartal &lt; 4</formula>
    </cfRule>
  </conditionalFormatting>
  <conditionalFormatting sqref="F123:G123">
    <cfRule type="expression" dxfId="1528" priority="63">
      <formula>kvartal &lt; 4</formula>
    </cfRule>
  </conditionalFormatting>
  <conditionalFormatting sqref="F69:G69">
    <cfRule type="expression" dxfId="1527" priority="62">
      <formula>kvartal &lt; 4</formula>
    </cfRule>
  </conditionalFormatting>
  <conditionalFormatting sqref="F72:G72">
    <cfRule type="expression" dxfId="1526" priority="61">
      <formula>kvartal &lt; 4</formula>
    </cfRule>
  </conditionalFormatting>
  <conditionalFormatting sqref="F80:G80">
    <cfRule type="expression" dxfId="1525" priority="60">
      <formula>kvartal &lt; 4</formula>
    </cfRule>
  </conditionalFormatting>
  <conditionalFormatting sqref="F83:G83">
    <cfRule type="expression" dxfId="1524" priority="59">
      <formula>kvartal &lt; 4</formula>
    </cfRule>
  </conditionalFormatting>
  <conditionalFormatting sqref="F90:G90">
    <cfRule type="expression" dxfId="1523" priority="53">
      <formula>kvartal &lt; 4</formula>
    </cfRule>
  </conditionalFormatting>
  <conditionalFormatting sqref="F93">
    <cfRule type="expression" dxfId="1522" priority="52">
      <formula>kvartal &lt; 4</formula>
    </cfRule>
  </conditionalFormatting>
  <conditionalFormatting sqref="G93">
    <cfRule type="expression" dxfId="1521" priority="51">
      <formula>kvartal &lt; 4</formula>
    </cfRule>
  </conditionalFormatting>
  <conditionalFormatting sqref="F101">
    <cfRule type="expression" dxfId="1520" priority="50">
      <formula>kvartal &lt; 4</formula>
    </cfRule>
  </conditionalFormatting>
  <conditionalFormatting sqref="G101">
    <cfRule type="expression" dxfId="1519" priority="49">
      <formula>kvartal &lt; 4</formula>
    </cfRule>
  </conditionalFormatting>
  <conditionalFormatting sqref="G104">
    <cfRule type="expression" dxfId="1518" priority="48">
      <formula>kvartal &lt; 4</formula>
    </cfRule>
  </conditionalFormatting>
  <conditionalFormatting sqref="F104">
    <cfRule type="expression" dxfId="1517" priority="47">
      <formula>kvartal &lt; 4</formula>
    </cfRule>
  </conditionalFormatting>
  <conditionalFormatting sqref="J69">
    <cfRule type="expression" dxfId="1516" priority="46">
      <formula>kvartal &lt; 4</formula>
    </cfRule>
  </conditionalFormatting>
  <conditionalFormatting sqref="A50:A52">
    <cfRule type="expression" dxfId="1515" priority="19">
      <formula>kvartal &lt; 4</formula>
    </cfRule>
  </conditionalFormatting>
  <conditionalFormatting sqref="A69:A74">
    <cfRule type="expression" dxfId="1514" priority="17">
      <formula>kvartal &lt; 4</formula>
    </cfRule>
  </conditionalFormatting>
  <conditionalFormatting sqref="A80:A85">
    <cfRule type="expression" dxfId="1513" priority="16">
      <formula>kvartal &lt; 4</formula>
    </cfRule>
  </conditionalFormatting>
  <conditionalFormatting sqref="A90:A95">
    <cfRule type="expression" dxfId="1512" priority="13">
      <formula>kvartal &lt; 4</formula>
    </cfRule>
  </conditionalFormatting>
  <conditionalFormatting sqref="A101:A106">
    <cfRule type="expression" dxfId="1511" priority="12">
      <formula>kvartal &lt; 4</formula>
    </cfRule>
  </conditionalFormatting>
  <conditionalFormatting sqref="A115">
    <cfRule type="expression" dxfId="1510" priority="11">
      <formula>kvartal &lt; 4</formula>
    </cfRule>
  </conditionalFormatting>
  <conditionalFormatting sqref="A123">
    <cfRule type="expression" dxfId="1509" priority="10">
      <formula>kvartal &lt; 4</formula>
    </cfRule>
  </conditionalFormatting>
  <conditionalFormatting sqref="J70:J74">
    <cfRule type="expression" dxfId="1508" priority="7">
      <formula>kvartal &lt; 4</formula>
    </cfRule>
  </conditionalFormatting>
  <conditionalFormatting sqref="K69:K74">
    <cfRule type="expression" dxfId="1507" priority="6">
      <formula>kvartal &lt; 4</formula>
    </cfRule>
  </conditionalFormatting>
  <conditionalFormatting sqref="J80:K85">
    <cfRule type="expression" dxfId="1506" priority="5">
      <formula>kvartal &lt; 4</formula>
    </cfRule>
  </conditionalFormatting>
  <conditionalFormatting sqref="J90:K95">
    <cfRule type="expression" dxfId="1505" priority="4">
      <formula>kvartal &lt; 4</formula>
    </cfRule>
  </conditionalFormatting>
  <conditionalFormatting sqref="J101:K106">
    <cfRule type="expression" dxfId="1504" priority="3">
      <formula>kvartal &lt; 4</formula>
    </cfRule>
  </conditionalFormatting>
  <conditionalFormatting sqref="J115:K115">
    <cfRule type="expression" dxfId="1503" priority="2">
      <formula>kvartal &lt; 4</formula>
    </cfRule>
  </conditionalFormatting>
  <conditionalFormatting sqref="J123:K123">
    <cfRule type="expression" dxfId="1502"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502</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278"/>
      <c r="C22" s="278"/>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78"/>
      <c r="C29" s="278"/>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79056</v>
      </c>
      <c r="C47" s="308">
        <v>75514</v>
      </c>
      <c r="D47" s="422">
        <f t="shared" ref="D47:D57" si="0">IF(B47=0, "    ---- ", IF(ABS(ROUND(100/B47*C47-100,1))&lt;999,ROUND(100/B47*C47-100,1),IF(ROUND(100/B47*C47-100,1)&gt;999,999,-999)))</f>
        <v>-4.5</v>
      </c>
      <c r="E47" s="11">
        <f>IFERROR(100/'Skjema total MA'!C47*C47,0)</f>
        <v>1.7989162301042585</v>
      </c>
      <c r="F47" s="145"/>
      <c r="G47" s="33"/>
      <c r="H47" s="159"/>
      <c r="I47" s="159"/>
      <c r="J47" s="37"/>
      <c r="K47" s="37"/>
      <c r="L47" s="159"/>
      <c r="M47" s="159"/>
      <c r="N47" s="148"/>
      <c r="O47" s="148"/>
    </row>
    <row r="48" spans="1:15" s="3" customFormat="1" ht="15.75" x14ac:dyDescent="0.2">
      <c r="A48" s="38" t="s">
        <v>467</v>
      </c>
      <c r="B48" s="278">
        <v>79056</v>
      </c>
      <c r="C48" s="279">
        <v>75514</v>
      </c>
      <c r="D48" s="253">
        <f t="shared" si="0"/>
        <v>-4.5</v>
      </c>
      <c r="E48" s="27">
        <f>IFERROR(100/'Skjema total MA'!C48*C48,0)</f>
        <v>3.2296858108061235</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v>0</v>
      </c>
      <c r="C53" s="308">
        <v>2644</v>
      </c>
      <c r="D53" s="423" t="str">
        <f t="shared" si="0"/>
        <v xml:space="preserve">    ---- </v>
      </c>
      <c r="E53" s="11">
        <f>IFERROR(100/'Skjema total MA'!C53*C53,0)</f>
        <v>2.3438953299321676</v>
      </c>
      <c r="F53" s="145"/>
      <c r="G53" s="33"/>
      <c r="H53" s="145"/>
      <c r="I53" s="145"/>
      <c r="J53" s="33"/>
      <c r="K53" s="33"/>
      <c r="L53" s="159"/>
      <c r="M53" s="159"/>
      <c r="N53" s="148"/>
      <c r="O53" s="148"/>
    </row>
    <row r="54" spans="1:15" s="3" customFormat="1" ht="15.75" x14ac:dyDescent="0.2">
      <c r="A54" s="38" t="s">
        <v>467</v>
      </c>
      <c r="B54" s="278">
        <v>0</v>
      </c>
      <c r="C54" s="279">
        <v>2644</v>
      </c>
      <c r="D54" s="253" t="str">
        <f t="shared" si="0"/>
        <v xml:space="preserve">    ---- </v>
      </c>
      <c r="E54" s="27">
        <f>IFERROR(100/'Skjema total MA'!C54*C54,0)</f>
        <v>2.3438953299321676</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645</v>
      </c>
      <c r="C56" s="308">
        <v>536</v>
      </c>
      <c r="D56" s="423">
        <f t="shared" si="0"/>
        <v>-16.899999999999999</v>
      </c>
      <c r="E56" s="11">
        <f>IFERROR(100/'Skjema total MA'!C56*C56,0)</f>
        <v>0.4486888737690784</v>
      </c>
      <c r="F56" s="145"/>
      <c r="G56" s="33"/>
      <c r="H56" s="145"/>
      <c r="I56" s="145"/>
      <c r="J56" s="33"/>
      <c r="K56" s="33"/>
      <c r="L56" s="159"/>
      <c r="M56" s="159"/>
      <c r="N56" s="148"/>
      <c r="O56" s="148"/>
    </row>
    <row r="57" spans="1:15" s="3" customFormat="1" ht="15.75" x14ac:dyDescent="0.2">
      <c r="A57" s="38" t="s">
        <v>467</v>
      </c>
      <c r="B57" s="278">
        <v>645</v>
      </c>
      <c r="C57" s="279">
        <v>536</v>
      </c>
      <c r="D57" s="253">
        <f t="shared" si="0"/>
        <v>-16.899999999999999</v>
      </c>
      <c r="E57" s="27">
        <f>IFERROR(100/'Skjema total MA'!C57*C57,0)</f>
        <v>0.4486888737690784</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501" priority="139">
      <formula>kvartal &lt; 4</formula>
    </cfRule>
  </conditionalFormatting>
  <conditionalFormatting sqref="B69">
    <cfRule type="expression" dxfId="1500" priority="107">
      <formula>kvartal &lt; 4</formula>
    </cfRule>
  </conditionalFormatting>
  <conditionalFormatting sqref="C69">
    <cfRule type="expression" dxfId="1499" priority="106">
      <formula>kvartal &lt; 4</formula>
    </cfRule>
  </conditionalFormatting>
  <conditionalFormatting sqref="B72">
    <cfRule type="expression" dxfId="1498" priority="105">
      <formula>kvartal &lt; 4</formula>
    </cfRule>
  </conditionalFormatting>
  <conditionalFormatting sqref="C72">
    <cfRule type="expression" dxfId="1497" priority="104">
      <formula>kvartal &lt; 4</formula>
    </cfRule>
  </conditionalFormatting>
  <conditionalFormatting sqref="B80">
    <cfRule type="expression" dxfId="1496" priority="103">
      <formula>kvartal &lt; 4</formula>
    </cfRule>
  </conditionalFormatting>
  <conditionalFormatting sqref="C80">
    <cfRule type="expression" dxfId="1495" priority="102">
      <formula>kvartal &lt; 4</formula>
    </cfRule>
  </conditionalFormatting>
  <conditionalFormatting sqref="B83">
    <cfRule type="expression" dxfId="1494" priority="101">
      <formula>kvartal &lt; 4</formula>
    </cfRule>
  </conditionalFormatting>
  <conditionalFormatting sqref="C83">
    <cfRule type="expression" dxfId="1493" priority="100">
      <formula>kvartal &lt; 4</formula>
    </cfRule>
  </conditionalFormatting>
  <conditionalFormatting sqref="B90">
    <cfRule type="expression" dxfId="1492" priority="91">
      <formula>kvartal &lt; 4</formula>
    </cfRule>
  </conditionalFormatting>
  <conditionalFormatting sqref="C90">
    <cfRule type="expression" dxfId="1491" priority="90">
      <formula>kvartal &lt; 4</formula>
    </cfRule>
  </conditionalFormatting>
  <conditionalFormatting sqref="B93">
    <cfRule type="expression" dxfId="1490" priority="89">
      <formula>kvartal &lt; 4</formula>
    </cfRule>
  </conditionalFormatting>
  <conditionalFormatting sqref="C93">
    <cfRule type="expression" dxfId="1489" priority="88">
      <formula>kvartal &lt; 4</formula>
    </cfRule>
  </conditionalFormatting>
  <conditionalFormatting sqref="B101">
    <cfRule type="expression" dxfId="1488" priority="87">
      <formula>kvartal &lt; 4</formula>
    </cfRule>
  </conditionalFormatting>
  <conditionalFormatting sqref="C101">
    <cfRule type="expression" dxfId="1487" priority="86">
      <formula>kvartal &lt; 4</formula>
    </cfRule>
  </conditionalFormatting>
  <conditionalFormatting sqref="B104">
    <cfRule type="expression" dxfId="1486" priority="85">
      <formula>kvartal &lt; 4</formula>
    </cfRule>
  </conditionalFormatting>
  <conditionalFormatting sqref="C104">
    <cfRule type="expression" dxfId="1485" priority="84">
      <formula>kvartal &lt; 4</formula>
    </cfRule>
  </conditionalFormatting>
  <conditionalFormatting sqref="B115">
    <cfRule type="expression" dxfId="1484" priority="83">
      <formula>kvartal &lt; 4</formula>
    </cfRule>
  </conditionalFormatting>
  <conditionalFormatting sqref="C115">
    <cfRule type="expression" dxfId="1483" priority="82">
      <formula>kvartal &lt; 4</formula>
    </cfRule>
  </conditionalFormatting>
  <conditionalFormatting sqref="B123">
    <cfRule type="expression" dxfId="1482" priority="81">
      <formula>kvartal &lt; 4</formula>
    </cfRule>
  </conditionalFormatting>
  <conditionalFormatting sqref="C123">
    <cfRule type="expression" dxfId="1481" priority="80">
      <formula>kvartal &lt; 4</formula>
    </cfRule>
  </conditionalFormatting>
  <conditionalFormatting sqref="F70">
    <cfRule type="expression" dxfId="1480" priority="79">
      <formula>kvartal &lt; 4</formula>
    </cfRule>
  </conditionalFormatting>
  <conditionalFormatting sqref="G70">
    <cfRule type="expression" dxfId="1479" priority="78">
      <formula>kvartal &lt; 4</formula>
    </cfRule>
  </conditionalFormatting>
  <conditionalFormatting sqref="F71:G71">
    <cfRule type="expression" dxfId="1478" priority="77">
      <formula>kvartal &lt; 4</formula>
    </cfRule>
  </conditionalFormatting>
  <conditionalFormatting sqref="F73:G74">
    <cfRule type="expression" dxfId="1477" priority="76">
      <formula>kvartal &lt; 4</formula>
    </cfRule>
  </conditionalFormatting>
  <conditionalFormatting sqref="F81:G82">
    <cfRule type="expression" dxfId="1476" priority="75">
      <formula>kvartal &lt; 4</formula>
    </cfRule>
  </conditionalFormatting>
  <conditionalFormatting sqref="F84:G85">
    <cfRule type="expression" dxfId="1475" priority="74">
      <formula>kvartal &lt; 4</formula>
    </cfRule>
  </conditionalFormatting>
  <conditionalFormatting sqref="F91:G92">
    <cfRule type="expression" dxfId="1474" priority="69">
      <formula>kvartal &lt; 4</formula>
    </cfRule>
  </conditionalFormatting>
  <conditionalFormatting sqref="F94:G95">
    <cfRule type="expression" dxfId="1473" priority="68">
      <formula>kvartal &lt; 4</formula>
    </cfRule>
  </conditionalFormatting>
  <conditionalFormatting sqref="F102:G103">
    <cfRule type="expression" dxfId="1472" priority="67">
      <formula>kvartal &lt; 4</formula>
    </cfRule>
  </conditionalFormatting>
  <conditionalFormatting sqref="F105:G106">
    <cfRule type="expression" dxfId="1471" priority="66">
      <formula>kvartal &lt; 4</formula>
    </cfRule>
  </conditionalFormatting>
  <conditionalFormatting sqref="F115">
    <cfRule type="expression" dxfId="1470" priority="65">
      <formula>kvartal &lt; 4</formula>
    </cfRule>
  </conditionalFormatting>
  <conditionalFormatting sqref="G115">
    <cfRule type="expression" dxfId="1469" priority="64">
      <formula>kvartal &lt; 4</formula>
    </cfRule>
  </conditionalFormatting>
  <conditionalFormatting sqref="F123:G123">
    <cfRule type="expression" dxfId="1468" priority="63">
      <formula>kvartal &lt; 4</formula>
    </cfRule>
  </conditionalFormatting>
  <conditionalFormatting sqref="F69:G69">
    <cfRule type="expression" dxfId="1467" priority="62">
      <formula>kvartal &lt; 4</formula>
    </cfRule>
  </conditionalFormatting>
  <conditionalFormatting sqref="F72:G72">
    <cfRule type="expression" dxfId="1466" priority="61">
      <formula>kvartal &lt; 4</formula>
    </cfRule>
  </conditionalFormatting>
  <conditionalFormatting sqref="F80:G80">
    <cfRule type="expression" dxfId="1465" priority="60">
      <formula>kvartal &lt; 4</formula>
    </cfRule>
  </conditionalFormatting>
  <conditionalFormatting sqref="F83:G83">
    <cfRule type="expression" dxfId="1464" priority="59">
      <formula>kvartal &lt; 4</formula>
    </cfRule>
  </conditionalFormatting>
  <conditionalFormatting sqref="F90:G90">
    <cfRule type="expression" dxfId="1463" priority="53">
      <formula>kvartal &lt; 4</formula>
    </cfRule>
  </conditionalFormatting>
  <conditionalFormatting sqref="F93">
    <cfRule type="expression" dxfId="1462" priority="52">
      <formula>kvartal &lt; 4</formula>
    </cfRule>
  </conditionalFormatting>
  <conditionalFormatting sqref="G93">
    <cfRule type="expression" dxfId="1461" priority="51">
      <formula>kvartal &lt; 4</formula>
    </cfRule>
  </conditionalFormatting>
  <conditionalFormatting sqref="F101">
    <cfRule type="expression" dxfId="1460" priority="50">
      <formula>kvartal &lt; 4</formula>
    </cfRule>
  </conditionalFormatting>
  <conditionalFormatting sqref="G101">
    <cfRule type="expression" dxfId="1459" priority="49">
      <formula>kvartal &lt; 4</formula>
    </cfRule>
  </conditionalFormatting>
  <conditionalFormatting sqref="G104">
    <cfRule type="expression" dxfId="1458" priority="48">
      <formula>kvartal &lt; 4</formula>
    </cfRule>
  </conditionalFormatting>
  <conditionalFormatting sqref="F104">
    <cfRule type="expression" dxfId="1457" priority="47">
      <formula>kvartal &lt; 4</formula>
    </cfRule>
  </conditionalFormatting>
  <conditionalFormatting sqref="J69">
    <cfRule type="expression" dxfId="1456" priority="46">
      <formula>kvartal &lt; 4</formula>
    </cfRule>
  </conditionalFormatting>
  <conditionalFormatting sqref="A50:A52">
    <cfRule type="expression" dxfId="1455" priority="19">
      <formula>kvartal &lt; 4</formula>
    </cfRule>
  </conditionalFormatting>
  <conditionalFormatting sqref="A69:A74">
    <cfRule type="expression" dxfId="1454" priority="17">
      <formula>kvartal &lt; 4</formula>
    </cfRule>
  </conditionalFormatting>
  <conditionalFormatting sqref="A80:A85">
    <cfRule type="expression" dxfId="1453" priority="16">
      <formula>kvartal &lt; 4</formula>
    </cfRule>
  </conditionalFormatting>
  <conditionalFormatting sqref="A90:A95">
    <cfRule type="expression" dxfId="1452" priority="13">
      <formula>kvartal &lt; 4</formula>
    </cfRule>
  </conditionalFormatting>
  <conditionalFormatting sqref="A101:A106">
    <cfRule type="expression" dxfId="1451" priority="12">
      <formula>kvartal &lt; 4</formula>
    </cfRule>
  </conditionalFormatting>
  <conditionalFormatting sqref="A115">
    <cfRule type="expression" dxfId="1450" priority="11">
      <formula>kvartal &lt; 4</formula>
    </cfRule>
  </conditionalFormatting>
  <conditionalFormatting sqref="A123">
    <cfRule type="expression" dxfId="1449" priority="10">
      <formula>kvartal &lt; 4</formula>
    </cfRule>
  </conditionalFormatting>
  <conditionalFormatting sqref="J70:J74">
    <cfRule type="expression" dxfId="1448" priority="7">
      <formula>kvartal &lt; 4</formula>
    </cfRule>
  </conditionalFormatting>
  <conditionalFormatting sqref="K69:K74">
    <cfRule type="expression" dxfId="1447" priority="6">
      <formula>kvartal &lt; 4</formula>
    </cfRule>
  </conditionalFormatting>
  <conditionalFormatting sqref="J80:K85">
    <cfRule type="expression" dxfId="1446" priority="5">
      <formula>kvartal &lt; 4</formula>
    </cfRule>
  </conditionalFormatting>
  <conditionalFormatting sqref="J90:K95">
    <cfRule type="expression" dxfId="1445" priority="4">
      <formula>kvartal &lt; 4</formula>
    </cfRule>
  </conditionalFormatting>
  <conditionalFormatting sqref="J101:K106">
    <cfRule type="expression" dxfId="1444" priority="3">
      <formula>kvartal &lt; 4</formula>
    </cfRule>
  </conditionalFormatting>
  <conditionalFormatting sqref="J115:K115">
    <cfRule type="expression" dxfId="1443" priority="2">
      <formula>kvartal &lt; 4</formula>
    </cfRule>
  </conditionalFormatting>
  <conditionalFormatting sqref="J123:K123">
    <cfRule type="expression" dxfId="1442"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137</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278"/>
      <c r="C22" s="278"/>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78"/>
      <c r="C29" s="278"/>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1147</v>
      </c>
      <c r="C47" s="308">
        <v>1788</v>
      </c>
      <c r="D47" s="422">
        <f t="shared" ref="D47:D57" si="0">IF(B47=0, "    ---- ", IF(ABS(ROUND(100/B47*C47-100,1))&lt;999,ROUND(100/B47*C47-100,1),IF(ROUND(100/B47*C47-100,1)&gt;999,999,-999)))</f>
        <v>55.9</v>
      </c>
      <c r="E47" s="11">
        <f>IFERROR(100/'Skjema total MA'!C47*C47,0)</f>
        <v>4.2594250330089976E-2</v>
      </c>
      <c r="F47" s="145"/>
      <c r="G47" s="33"/>
      <c r="H47" s="159"/>
      <c r="I47" s="159"/>
      <c r="J47" s="37"/>
      <c r="K47" s="37"/>
      <c r="L47" s="159"/>
      <c r="M47" s="159"/>
      <c r="N47" s="148"/>
      <c r="O47" s="148"/>
    </row>
    <row r="48" spans="1:15" s="3" customFormat="1" ht="15.75" x14ac:dyDescent="0.2">
      <c r="A48" s="38" t="s">
        <v>467</v>
      </c>
      <c r="B48" s="278">
        <v>1147</v>
      </c>
      <c r="C48" s="279">
        <v>1788</v>
      </c>
      <c r="D48" s="253">
        <f t="shared" si="0"/>
        <v>55.9</v>
      </c>
      <c r="E48" s="27">
        <f>IFERROR(100/'Skjema total MA'!C48*C48,0)</f>
        <v>7.6471624198444652E-2</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v>181</v>
      </c>
      <c r="C53" s="308">
        <v>1721</v>
      </c>
      <c r="D53" s="423">
        <f t="shared" si="0"/>
        <v>850.8</v>
      </c>
      <c r="E53" s="11">
        <f>IFERROR(100/'Skjema total MA'!C53*C53,0)</f>
        <v>1.5256595547705221</v>
      </c>
      <c r="F53" s="145"/>
      <c r="G53" s="33"/>
      <c r="H53" s="145"/>
      <c r="I53" s="145"/>
      <c r="J53" s="33"/>
      <c r="K53" s="33"/>
      <c r="L53" s="159"/>
      <c r="M53" s="159"/>
      <c r="N53" s="148"/>
      <c r="O53" s="148"/>
    </row>
    <row r="54" spans="1:15" s="3" customFormat="1" ht="15.75" x14ac:dyDescent="0.2">
      <c r="A54" s="38" t="s">
        <v>467</v>
      </c>
      <c r="B54" s="278">
        <v>181</v>
      </c>
      <c r="C54" s="279">
        <v>1721</v>
      </c>
      <c r="D54" s="253">
        <f t="shared" si="0"/>
        <v>850.8</v>
      </c>
      <c r="E54" s="27">
        <f>IFERROR(100/'Skjema total MA'!C54*C54,0)</f>
        <v>1.5256595547705221</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1507</v>
      </c>
      <c r="C56" s="308">
        <v>707</v>
      </c>
      <c r="D56" s="423">
        <f t="shared" si="0"/>
        <v>-53.1</v>
      </c>
      <c r="E56" s="11">
        <f>IFERROR(100/'Skjema total MA'!C56*C56,0)</f>
        <v>0.59183401819913883</v>
      </c>
      <c r="F56" s="145"/>
      <c r="G56" s="33"/>
      <c r="H56" s="145"/>
      <c r="I56" s="145"/>
      <c r="J56" s="33"/>
      <c r="K56" s="33"/>
      <c r="L56" s="159"/>
      <c r="M56" s="159"/>
      <c r="N56" s="148"/>
      <c r="O56" s="148"/>
    </row>
    <row r="57" spans="1:15" s="3" customFormat="1" ht="15.75" x14ac:dyDescent="0.2">
      <c r="A57" s="38" t="s">
        <v>467</v>
      </c>
      <c r="B57" s="278">
        <v>1507</v>
      </c>
      <c r="C57" s="279">
        <v>707</v>
      </c>
      <c r="D57" s="253">
        <f t="shared" si="0"/>
        <v>-53.1</v>
      </c>
      <c r="E57" s="27">
        <f>IFERROR(100/'Skjema total MA'!C57*C57,0)</f>
        <v>0.59183401819913883</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441" priority="139">
      <formula>kvartal &lt; 4</formula>
    </cfRule>
  </conditionalFormatting>
  <conditionalFormatting sqref="B69">
    <cfRule type="expression" dxfId="1440" priority="107">
      <formula>kvartal &lt; 4</formula>
    </cfRule>
  </conditionalFormatting>
  <conditionalFormatting sqref="C69">
    <cfRule type="expression" dxfId="1439" priority="106">
      <formula>kvartal &lt; 4</formula>
    </cfRule>
  </conditionalFormatting>
  <conditionalFormatting sqref="B72">
    <cfRule type="expression" dxfId="1438" priority="105">
      <formula>kvartal &lt; 4</formula>
    </cfRule>
  </conditionalFormatting>
  <conditionalFormatting sqref="C72">
    <cfRule type="expression" dxfId="1437" priority="104">
      <formula>kvartal &lt; 4</formula>
    </cfRule>
  </conditionalFormatting>
  <conditionalFormatting sqref="B80">
    <cfRule type="expression" dxfId="1436" priority="103">
      <formula>kvartal &lt; 4</formula>
    </cfRule>
  </conditionalFormatting>
  <conditionalFormatting sqref="C80">
    <cfRule type="expression" dxfId="1435" priority="102">
      <formula>kvartal &lt; 4</formula>
    </cfRule>
  </conditionalFormatting>
  <conditionalFormatting sqref="B83">
    <cfRule type="expression" dxfId="1434" priority="101">
      <formula>kvartal &lt; 4</formula>
    </cfRule>
  </conditionalFormatting>
  <conditionalFormatting sqref="C83">
    <cfRule type="expression" dxfId="1433" priority="100">
      <formula>kvartal &lt; 4</formula>
    </cfRule>
  </conditionalFormatting>
  <conditionalFormatting sqref="B90">
    <cfRule type="expression" dxfId="1432" priority="91">
      <formula>kvartal &lt; 4</formula>
    </cfRule>
  </conditionalFormatting>
  <conditionalFormatting sqref="C90">
    <cfRule type="expression" dxfId="1431" priority="90">
      <formula>kvartal &lt; 4</formula>
    </cfRule>
  </conditionalFormatting>
  <conditionalFormatting sqref="B93">
    <cfRule type="expression" dxfId="1430" priority="89">
      <formula>kvartal &lt; 4</formula>
    </cfRule>
  </conditionalFormatting>
  <conditionalFormatting sqref="C93">
    <cfRule type="expression" dxfId="1429" priority="88">
      <formula>kvartal &lt; 4</formula>
    </cfRule>
  </conditionalFormatting>
  <conditionalFormatting sqref="B101">
    <cfRule type="expression" dxfId="1428" priority="87">
      <formula>kvartal &lt; 4</formula>
    </cfRule>
  </conditionalFormatting>
  <conditionalFormatting sqref="C101">
    <cfRule type="expression" dxfId="1427" priority="86">
      <formula>kvartal &lt; 4</formula>
    </cfRule>
  </conditionalFormatting>
  <conditionalFormatting sqref="B104">
    <cfRule type="expression" dxfId="1426" priority="85">
      <formula>kvartal &lt; 4</formula>
    </cfRule>
  </conditionalFormatting>
  <conditionalFormatting sqref="C104">
    <cfRule type="expression" dxfId="1425" priority="84">
      <formula>kvartal &lt; 4</formula>
    </cfRule>
  </conditionalFormatting>
  <conditionalFormatting sqref="B115">
    <cfRule type="expression" dxfId="1424" priority="83">
      <formula>kvartal &lt; 4</formula>
    </cfRule>
  </conditionalFormatting>
  <conditionalFormatting sqref="C115">
    <cfRule type="expression" dxfId="1423" priority="82">
      <formula>kvartal &lt; 4</formula>
    </cfRule>
  </conditionalFormatting>
  <conditionalFormatting sqref="B123">
    <cfRule type="expression" dxfId="1422" priority="81">
      <formula>kvartal &lt; 4</formula>
    </cfRule>
  </conditionalFormatting>
  <conditionalFormatting sqref="C123">
    <cfRule type="expression" dxfId="1421" priority="80">
      <formula>kvartal &lt; 4</formula>
    </cfRule>
  </conditionalFormatting>
  <conditionalFormatting sqref="F70">
    <cfRule type="expression" dxfId="1420" priority="79">
      <formula>kvartal &lt; 4</formula>
    </cfRule>
  </conditionalFormatting>
  <conditionalFormatting sqref="G70">
    <cfRule type="expression" dxfId="1419" priority="78">
      <formula>kvartal &lt; 4</formula>
    </cfRule>
  </conditionalFormatting>
  <conditionalFormatting sqref="F71:G71">
    <cfRule type="expression" dxfId="1418" priority="77">
      <formula>kvartal &lt; 4</formula>
    </cfRule>
  </conditionalFormatting>
  <conditionalFormatting sqref="F73:G74">
    <cfRule type="expression" dxfId="1417" priority="76">
      <formula>kvartal &lt; 4</formula>
    </cfRule>
  </conditionalFormatting>
  <conditionalFormatting sqref="F81:G82">
    <cfRule type="expression" dxfId="1416" priority="75">
      <formula>kvartal &lt; 4</formula>
    </cfRule>
  </conditionalFormatting>
  <conditionalFormatting sqref="F84:G85">
    <cfRule type="expression" dxfId="1415" priority="74">
      <formula>kvartal &lt; 4</formula>
    </cfRule>
  </conditionalFormatting>
  <conditionalFormatting sqref="F91:G92">
    <cfRule type="expression" dxfId="1414" priority="69">
      <formula>kvartal &lt; 4</formula>
    </cfRule>
  </conditionalFormatting>
  <conditionalFormatting sqref="F94:G95">
    <cfRule type="expression" dxfId="1413" priority="68">
      <formula>kvartal &lt; 4</formula>
    </cfRule>
  </conditionalFormatting>
  <conditionalFormatting sqref="F102:G103">
    <cfRule type="expression" dxfId="1412" priority="67">
      <formula>kvartal &lt; 4</formula>
    </cfRule>
  </conditionalFormatting>
  <conditionalFormatting sqref="F105:G106">
    <cfRule type="expression" dxfId="1411" priority="66">
      <formula>kvartal &lt; 4</formula>
    </cfRule>
  </conditionalFormatting>
  <conditionalFormatting sqref="F115">
    <cfRule type="expression" dxfId="1410" priority="65">
      <formula>kvartal &lt; 4</formula>
    </cfRule>
  </conditionalFormatting>
  <conditionalFormatting sqref="G115">
    <cfRule type="expression" dxfId="1409" priority="64">
      <formula>kvartal &lt; 4</formula>
    </cfRule>
  </conditionalFormatting>
  <conditionalFormatting sqref="F123:G123">
    <cfRule type="expression" dxfId="1408" priority="63">
      <formula>kvartal &lt; 4</formula>
    </cfRule>
  </conditionalFormatting>
  <conditionalFormatting sqref="F69:G69">
    <cfRule type="expression" dxfId="1407" priority="62">
      <formula>kvartal &lt; 4</formula>
    </cfRule>
  </conditionalFormatting>
  <conditionalFormatting sqref="F72:G72">
    <cfRule type="expression" dxfId="1406" priority="61">
      <formula>kvartal &lt; 4</formula>
    </cfRule>
  </conditionalFormatting>
  <conditionalFormatting sqref="F80:G80">
    <cfRule type="expression" dxfId="1405" priority="60">
      <formula>kvartal &lt; 4</formula>
    </cfRule>
  </conditionalFormatting>
  <conditionalFormatting sqref="F83:G83">
    <cfRule type="expression" dxfId="1404" priority="59">
      <formula>kvartal &lt; 4</formula>
    </cfRule>
  </conditionalFormatting>
  <conditionalFormatting sqref="F90:G90">
    <cfRule type="expression" dxfId="1403" priority="53">
      <formula>kvartal &lt; 4</formula>
    </cfRule>
  </conditionalFormatting>
  <conditionalFormatting sqref="F93">
    <cfRule type="expression" dxfId="1402" priority="52">
      <formula>kvartal &lt; 4</formula>
    </cfRule>
  </conditionalFormatting>
  <conditionalFormatting sqref="G93">
    <cfRule type="expression" dxfId="1401" priority="51">
      <formula>kvartal &lt; 4</formula>
    </cfRule>
  </conditionalFormatting>
  <conditionalFormatting sqref="F101">
    <cfRule type="expression" dxfId="1400" priority="50">
      <formula>kvartal &lt; 4</formula>
    </cfRule>
  </conditionalFormatting>
  <conditionalFormatting sqref="G101">
    <cfRule type="expression" dxfId="1399" priority="49">
      <formula>kvartal &lt; 4</formula>
    </cfRule>
  </conditionalFormatting>
  <conditionalFormatting sqref="G104">
    <cfRule type="expression" dxfId="1398" priority="48">
      <formula>kvartal &lt; 4</formula>
    </cfRule>
  </conditionalFormatting>
  <conditionalFormatting sqref="F104">
    <cfRule type="expression" dxfId="1397" priority="47">
      <formula>kvartal &lt; 4</formula>
    </cfRule>
  </conditionalFormatting>
  <conditionalFormatting sqref="J69">
    <cfRule type="expression" dxfId="1396" priority="46">
      <formula>kvartal &lt; 4</formula>
    </cfRule>
  </conditionalFormatting>
  <conditionalFormatting sqref="A50:A52">
    <cfRule type="expression" dxfId="1395" priority="19">
      <formula>kvartal &lt; 4</formula>
    </cfRule>
  </conditionalFormatting>
  <conditionalFormatting sqref="A69:A74">
    <cfRule type="expression" dxfId="1394" priority="17">
      <formula>kvartal &lt; 4</formula>
    </cfRule>
  </conditionalFormatting>
  <conditionalFormatting sqref="A80:A85">
    <cfRule type="expression" dxfId="1393" priority="16">
      <formula>kvartal &lt; 4</formula>
    </cfRule>
  </conditionalFormatting>
  <conditionalFormatting sqref="A90:A95">
    <cfRule type="expression" dxfId="1392" priority="13">
      <formula>kvartal &lt; 4</formula>
    </cfRule>
  </conditionalFormatting>
  <conditionalFormatting sqref="A101:A106">
    <cfRule type="expression" dxfId="1391" priority="12">
      <formula>kvartal &lt; 4</formula>
    </cfRule>
  </conditionalFormatting>
  <conditionalFormatting sqref="A115">
    <cfRule type="expression" dxfId="1390" priority="11">
      <formula>kvartal &lt; 4</formula>
    </cfRule>
  </conditionalFormatting>
  <conditionalFormatting sqref="A123">
    <cfRule type="expression" dxfId="1389" priority="10">
      <formula>kvartal &lt; 4</formula>
    </cfRule>
  </conditionalFormatting>
  <conditionalFormatting sqref="J70:J74">
    <cfRule type="expression" dxfId="1388" priority="7">
      <formula>kvartal &lt; 4</formula>
    </cfRule>
  </conditionalFormatting>
  <conditionalFormatting sqref="K69:K74">
    <cfRule type="expression" dxfId="1387" priority="6">
      <formula>kvartal &lt; 4</formula>
    </cfRule>
  </conditionalFormatting>
  <conditionalFormatting sqref="J80:K85">
    <cfRule type="expression" dxfId="1386" priority="5">
      <formula>kvartal &lt; 4</formula>
    </cfRule>
  </conditionalFormatting>
  <conditionalFormatting sqref="J90:K95">
    <cfRule type="expression" dxfId="1385" priority="4">
      <formula>kvartal &lt; 4</formula>
    </cfRule>
  </conditionalFormatting>
  <conditionalFormatting sqref="J101:K106">
    <cfRule type="expression" dxfId="1384" priority="3">
      <formula>kvartal &lt; 4</formula>
    </cfRule>
  </conditionalFormatting>
  <conditionalFormatting sqref="J115:K115">
    <cfRule type="expression" dxfId="1383" priority="2">
      <formula>kvartal &lt; 4</formula>
    </cfRule>
  </conditionalFormatting>
  <conditionalFormatting sqref="J123:K123">
    <cfRule type="expression" dxfId="1382"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O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138</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458283.514009242</v>
      </c>
      <c r="C7" s="304">
        <v>462986.98343646002</v>
      </c>
      <c r="D7" s="347">
        <f>IF(B7=0, "    ---- ", IF(ABS(ROUND(100/B7*C7-100,1))&lt;999,ROUND(100/B7*C7-100,1),IF(ROUND(100/B7*C7-100,1)&gt;999,999,-999)))</f>
        <v>1</v>
      </c>
      <c r="E7" s="11">
        <f>IFERROR(100/'Skjema total MA'!C7*C7,0)</f>
        <v>10.178181638551328</v>
      </c>
      <c r="F7" s="303">
        <v>5539894.4457099997</v>
      </c>
      <c r="G7" s="304">
        <v>4250977.8025599997</v>
      </c>
      <c r="H7" s="347">
        <f>IF(F7=0, "    ---- ", IF(ABS(ROUND(100/F7*G7-100,1))&lt;999,ROUND(100/F7*G7-100,1),IF(ROUND(100/F7*G7-100,1)&gt;999,999,-999)))</f>
        <v>-23.3</v>
      </c>
      <c r="I7" s="160">
        <f>IFERROR(100/'Skjema total MA'!F7*G7,0)</f>
        <v>59.082942008772925</v>
      </c>
      <c r="J7" s="305">
        <f t="shared" ref="J7:K12" si="0">SUM(B7,F7)</f>
        <v>5998177.9597192416</v>
      </c>
      <c r="K7" s="306">
        <f t="shared" si="0"/>
        <v>4713964.7859964594</v>
      </c>
      <c r="L7" s="422">
        <f>IF(J7=0, "    ---- ", IF(ABS(ROUND(100/J7*K7-100,1))&lt;999,ROUND(100/J7*K7-100,1),IF(ROUND(100/J7*K7-100,1)&gt;999,999,-999)))</f>
        <v>-21.4</v>
      </c>
      <c r="M7" s="11">
        <f>IFERROR(100/'Skjema total MA'!I7*K7,0)</f>
        <v>40.140197829973346</v>
      </c>
      <c r="O7" s="148"/>
    </row>
    <row r="8" spans="1:15" ht="15.75" x14ac:dyDescent="0.2">
      <c r="A8" s="21" t="s">
        <v>25</v>
      </c>
      <c r="B8" s="278">
        <v>359711.32363467698</v>
      </c>
      <c r="C8" s="279">
        <v>374562.22441898601</v>
      </c>
      <c r="D8" s="166">
        <f t="shared" ref="D8:D10" si="1">IF(B8=0, "    ---- ", IF(ABS(ROUND(100/B8*C8-100,1))&lt;999,ROUND(100/B8*C8-100,1),IF(ROUND(100/B8*C8-100,1)&gt;999,999,-999)))</f>
        <v>4.0999999999999996</v>
      </c>
      <c r="E8" s="27">
        <f>IFERROR(100/'Skjema total MA'!C8*C8,0)</f>
        <v>14.191620489732378</v>
      </c>
      <c r="F8" s="282"/>
      <c r="G8" s="283"/>
      <c r="H8" s="166"/>
      <c r="I8" s="175"/>
      <c r="J8" s="233">
        <f t="shared" si="0"/>
        <v>359711.32363467698</v>
      </c>
      <c r="K8" s="284">
        <f t="shared" si="0"/>
        <v>374562.22441898601</v>
      </c>
      <c r="L8" s="166">
        <f t="shared" ref="L8:L9" si="2">IF(J8=0, "    ---- ", IF(ABS(ROUND(100/J8*K8-100,1))&lt;999,ROUND(100/J8*K8-100,1),IF(ROUND(100/J8*K8-100,1)&gt;999,999,-999)))</f>
        <v>4.0999999999999996</v>
      </c>
      <c r="M8" s="27">
        <f>IFERROR(100/'Skjema total MA'!I8*K8,0)</f>
        <v>14.191620489732378</v>
      </c>
      <c r="O8" s="148"/>
    </row>
    <row r="9" spans="1:15" ht="15.75" x14ac:dyDescent="0.2">
      <c r="A9" s="21" t="s">
        <v>24</v>
      </c>
      <c r="B9" s="278">
        <v>84281.823916295907</v>
      </c>
      <c r="C9" s="279">
        <v>80491.194448649097</v>
      </c>
      <c r="D9" s="166">
        <f t="shared" si="1"/>
        <v>-4.5</v>
      </c>
      <c r="E9" s="27">
        <f>IFERROR(100/'Skjema total MA'!C9*C9,0)</f>
        <v>8.2247460010731608</v>
      </c>
      <c r="F9" s="282"/>
      <c r="G9" s="283"/>
      <c r="H9" s="166"/>
      <c r="I9" s="175"/>
      <c r="J9" s="233">
        <f t="shared" si="0"/>
        <v>84281.823916295907</v>
      </c>
      <c r="K9" s="284">
        <f t="shared" si="0"/>
        <v>80491.194448649097</v>
      </c>
      <c r="L9" s="166">
        <f t="shared" si="2"/>
        <v>-4.5</v>
      </c>
      <c r="M9" s="27">
        <f>IFERROR(100/'Skjema total MA'!I9*K9,0)</f>
        <v>8.2247460010731608</v>
      </c>
      <c r="O9" s="148"/>
    </row>
    <row r="10" spans="1:15" ht="15.75" x14ac:dyDescent="0.2">
      <c r="A10" s="13" t="s">
        <v>456</v>
      </c>
      <c r="B10" s="307">
        <v>762902.65237989498</v>
      </c>
      <c r="C10" s="308">
        <v>849842.88617726602</v>
      </c>
      <c r="D10" s="171">
        <f t="shared" si="1"/>
        <v>11.4</v>
      </c>
      <c r="E10" s="11">
        <f>IFERROR(100/'Skjema total MA'!C10*C10,0)</f>
        <v>3.7837610231782675</v>
      </c>
      <c r="F10" s="307">
        <v>23826179.1763524</v>
      </c>
      <c r="G10" s="308">
        <v>23672755.0552844</v>
      </c>
      <c r="H10" s="171">
        <f t="shared" ref="H10:H12" si="3">IF(F10=0, "    ---- ", IF(ABS(ROUND(100/F10*G10-100,1))&lt;999,ROUND(100/F10*G10-100,1),IF(ROUND(100/F10*G10-100,1)&gt;999,999,-999)))</f>
        <v>-0.6</v>
      </c>
      <c r="I10" s="160">
        <f>IFERROR(100/'Skjema total MA'!F10*G10,0)</f>
        <v>56.808216357378221</v>
      </c>
      <c r="J10" s="305">
        <f t="shared" si="0"/>
        <v>24589081.828732297</v>
      </c>
      <c r="K10" s="306">
        <f t="shared" si="0"/>
        <v>24522597.941461667</v>
      </c>
      <c r="L10" s="423">
        <f t="shared" ref="L10:L12" si="4">IF(J10=0, "    ---- ", IF(ABS(ROUND(100/J10*K10-100,1))&lt;999,ROUND(100/J10*K10-100,1),IF(ROUND(100/J10*K10-100,1)&gt;999,999,-999)))</f>
        <v>-0.3</v>
      </c>
      <c r="M10" s="11">
        <f>IFERROR(100/'Skjema total MA'!I10*K10,0)</f>
        <v>38.23791688319416</v>
      </c>
      <c r="O10" s="148"/>
    </row>
    <row r="11" spans="1:15" s="43" customFormat="1" ht="15.75" x14ac:dyDescent="0.2">
      <c r="A11" s="13" t="s">
        <v>457</v>
      </c>
      <c r="B11" s="307"/>
      <c r="C11" s="308"/>
      <c r="D11" s="171"/>
      <c r="E11" s="11"/>
      <c r="F11" s="307">
        <v>115458.05710000001</v>
      </c>
      <c r="G11" s="308">
        <v>135610.49960000001</v>
      </c>
      <c r="H11" s="171">
        <f t="shared" si="3"/>
        <v>17.5</v>
      </c>
      <c r="I11" s="160">
        <f>IFERROR(100/'Skjema total MA'!F11*G11,0)</f>
        <v>46.582698308674352</v>
      </c>
      <c r="J11" s="305">
        <f t="shared" si="0"/>
        <v>115458.05710000001</v>
      </c>
      <c r="K11" s="306">
        <f t="shared" si="0"/>
        <v>135610.49960000001</v>
      </c>
      <c r="L11" s="423">
        <f t="shared" si="4"/>
        <v>17.5</v>
      </c>
      <c r="M11" s="11">
        <f>IFERROR(100/'Skjema total MA'!I11*K11,0)</f>
        <v>42.882994910930222</v>
      </c>
      <c r="N11" s="143"/>
      <c r="O11" s="148"/>
    </row>
    <row r="12" spans="1:15" s="43" customFormat="1" ht="15.75" x14ac:dyDescent="0.2">
      <c r="A12" s="41" t="s">
        <v>458</v>
      </c>
      <c r="B12" s="309"/>
      <c r="C12" s="310"/>
      <c r="D12" s="169"/>
      <c r="E12" s="36"/>
      <c r="F12" s="309">
        <v>66234.180699999997</v>
      </c>
      <c r="G12" s="310">
        <v>109491.38119</v>
      </c>
      <c r="H12" s="169">
        <f t="shared" si="3"/>
        <v>65.3</v>
      </c>
      <c r="I12" s="169">
        <f>IFERROR(100/'Skjema total MA'!F12*G12,0)</f>
        <v>44.660647644143168</v>
      </c>
      <c r="J12" s="311">
        <f t="shared" si="0"/>
        <v>66234.180699999997</v>
      </c>
      <c r="K12" s="312">
        <f t="shared" si="0"/>
        <v>109491.38119</v>
      </c>
      <c r="L12" s="424">
        <f t="shared" si="4"/>
        <v>65.3</v>
      </c>
      <c r="M12" s="36">
        <f>IFERROR(100/'Skjema total MA'!I12*K12,0)</f>
        <v>44.162572826431024</v>
      </c>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v>141341.832536314</v>
      </c>
      <c r="C22" s="307">
        <v>143588.25914979901</v>
      </c>
      <c r="D22" s="347">
        <f t="shared" ref="D22:D34" si="5">IF(B22=0, "    ---- ", IF(ABS(ROUND(100/B22*C22-100,1))&lt;999,ROUND(100/B22*C22-100,1),IF(ROUND(100/B22*C22-100,1)&gt;999,999,-999)))</f>
        <v>1.6</v>
      </c>
      <c r="E22" s="11">
        <f>IFERROR(100/'Skjema total MA'!C22*C22,0)</f>
        <v>9.0789591858592882</v>
      </c>
      <c r="F22" s="307">
        <v>286116.89798000001</v>
      </c>
      <c r="G22" s="307">
        <v>295802.59531</v>
      </c>
      <c r="H22" s="347">
        <f t="shared" ref="H22:H35" si="6">IF(F22=0, "    ---- ", IF(ABS(ROUND(100/F22*G22-100,1))&lt;999,ROUND(100/F22*G22-100,1),IF(ROUND(100/F22*G22-100,1)&gt;999,999,-999)))</f>
        <v>3.4</v>
      </c>
      <c r="I22" s="11">
        <f>IFERROR(100/'Skjema total MA'!F22*G22,0)</f>
        <v>23.251558030776796</v>
      </c>
      <c r="J22" s="313">
        <f t="shared" ref="J22:K35" si="7">SUM(B22,F22)</f>
        <v>427458.73051631404</v>
      </c>
      <c r="K22" s="313">
        <f t="shared" si="7"/>
        <v>439390.85445979901</v>
      </c>
      <c r="L22" s="422">
        <f t="shared" ref="L22:L35" si="8">IF(J22=0, "    ---- ", IF(ABS(ROUND(100/J22*K22-100,1))&lt;999,ROUND(100/J22*K22-100,1),IF(ROUND(100/J22*K22-100,1)&gt;999,999,-999)))</f>
        <v>2.8</v>
      </c>
      <c r="M22" s="24">
        <f>IFERROR(100/'Skjema total MA'!I22*K22,0)</f>
        <v>15.397051438940705</v>
      </c>
      <c r="O22" s="148"/>
    </row>
    <row r="23" spans="1:15" ht="15.75" x14ac:dyDescent="0.2">
      <c r="A23" s="834" t="s">
        <v>459</v>
      </c>
      <c r="B23" s="278">
        <v>140202.90553631401</v>
      </c>
      <c r="C23" s="278">
        <v>143027.24814979901</v>
      </c>
      <c r="D23" s="166">
        <f t="shared" si="5"/>
        <v>2</v>
      </c>
      <c r="E23" s="11">
        <f>IFERROR(100/'Skjema total MA'!C23*C23,0)</f>
        <v>9.4287731984138556</v>
      </c>
      <c r="F23" s="278">
        <v>5323.4126100000003</v>
      </c>
      <c r="G23" s="278">
        <v>4559.7420000000002</v>
      </c>
      <c r="H23" s="166">
        <f t="shared" si="6"/>
        <v>-14.3</v>
      </c>
      <c r="I23" s="412">
        <f>IFERROR(100/'Skjema total MA'!F23*G23,0)</f>
        <v>2.7466201412651565</v>
      </c>
      <c r="J23" s="287">
        <f t="shared" ref="J23:J27" si="9">SUM(B23,F23)</f>
        <v>145526.31814631401</v>
      </c>
      <c r="K23" s="287">
        <f t="shared" ref="K23:K27" si="10">SUM(C23,G23)</f>
        <v>147586.99014979901</v>
      </c>
      <c r="L23" s="166">
        <f t="shared" si="8"/>
        <v>1.4</v>
      </c>
      <c r="M23" s="23">
        <f>IFERROR(100/'Skjema total MA'!I23*K23,0)</f>
        <v>8.7696137546038031</v>
      </c>
      <c r="O23" s="148"/>
    </row>
    <row r="24" spans="1:15" ht="15.75" x14ac:dyDescent="0.2">
      <c r="A24" s="834" t="s">
        <v>460</v>
      </c>
      <c r="B24" s="278">
        <v>1133.9269999999999</v>
      </c>
      <c r="C24" s="278">
        <v>558.46100000000001</v>
      </c>
      <c r="D24" s="166">
        <f t="shared" si="5"/>
        <v>-50.7</v>
      </c>
      <c r="E24" s="11">
        <f>IFERROR(100/'Skjema total MA'!C24*C24,0)</f>
        <v>3.6345071723214861</v>
      </c>
      <c r="F24" s="278">
        <v>190.61909</v>
      </c>
      <c r="G24" s="278">
        <v>0</v>
      </c>
      <c r="H24" s="166">
        <f t="shared" si="6"/>
        <v>-100</v>
      </c>
      <c r="I24" s="412">
        <f>IFERROR(100/'Skjema total MA'!F24*G24,0)</f>
        <v>0</v>
      </c>
      <c r="J24" s="287">
        <f t="shared" si="9"/>
        <v>1324.5460899999998</v>
      </c>
      <c r="K24" s="287">
        <f t="shared" si="10"/>
        <v>558.46100000000001</v>
      </c>
      <c r="L24" s="166">
        <f t="shared" si="8"/>
        <v>-57.8</v>
      </c>
      <c r="M24" s="23">
        <f>IFERROR(100/'Skjema total MA'!I24*K24,0)</f>
        <v>3.6108310956824918</v>
      </c>
      <c r="O24" s="148"/>
    </row>
    <row r="25" spans="1:15" ht="15.75" x14ac:dyDescent="0.2">
      <c r="A25" s="834" t="s">
        <v>461</v>
      </c>
      <c r="B25" s="278">
        <v>5</v>
      </c>
      <c r="C25" s="278">
        <v>2.5499999999999998</v>
      </c>
      <c r="D25" s="166">
        <f t="shared" si="5"/>
        <v>-49</v>
      </c>
      <c r="E25" s="11">
        <f>IFERROR(100/'Skjema total MA'!C25*C25,0)</f>
        <v>1.01502839094117E-2</v>
      </c>
      <c r="F25" s="278">
        <v>137392.84664999999</v>
      </c>
      <c r="G25" s="278">
        <v>65053.774890000001</v>
      </c>
      <c r="H25" s="166">
        <f t="shared" si="6"/>
        <v>-52.7</v>
      </c>
      <c r="I25" s="412">
        <f>IFERROR(100/'Skjema total MA'!F25*G25,0)</f>
        <v>66.812924351927492</v>
      </c>
      <c r="J25" s="287">
        <f t="shared" si="9"/>
        <v>137397.84664999999</v>
      </c>
      <c r="K25" s="287">
        <f t="shared" si="10"/>
        <v>65056.324890000004</v>
      </c>
      <c r="L25" s="166">
        <f t="shared" si="8"/>
        <v>-52.7</v>
      </c>
      <c r="M25" s="23">
        <f>IFERROR(100/'Skjema total MA'!I25*K25,0)</f>
        <v>53.111755500192622</v>
      </c>
      <c r="O25" s="148"/>
    </row>
    <row r="26" spans="1:15" ht="15.75" x14ac:dyDescent="0.2">
      <c r="A26" s="834" t="s">
        <v>462</v>
      </c>
      <c r="B26" s="278"/>
      <c r="C26" s="278"/>
      <c r="D26" s="166"/>
      <c r="E26" s="11"/>
      <c r="F26" s="278">
        <v>143210.01963</v>
      </c>
      <c r="G26" s="278">
        <v>226189.07842000001</v>
      </c>
      <c r="H26" s="166">
        <f t="shared" si="6"/>
        <v>57.9</v>
      </c>
      <c r="I26" s="412">
        <f>IFERROR(100/'Skjema total MA'!F26*G26,0)</f>
        <v>22.423746445668105</v>
      </c>
      <c r="J26" s="287">
        <f t="shared" si="9"/>
        <v>143210.01963</v>
      </c>
      <c r="K26" s="287">
        <f t="shared" si="10"/>
        <v>226189.07842000001</v>
      </c>
      <c r="L26" s="166">
        <f t="shared" si="8"/>
        <v>57.9</v>
      </c>
      <c r="M26" s="23">
        <f>IFERROR(100/'Skjema total MA'!I26*K26,0)</f>
        <v>22.423746445668105</v>
      </c>
      <c r="O26" s="148"/>
    </row>
    <row r="27" spans="1:15" x14ac:dyDescent="0.2">
      <c r="A27" s="834" t="s">
        <v>11</v>
      </c>
      <c r="B27" s="278">
        <v>73.589250000000007</v>
      </c>
      <c r="C27" s="278">
        <v>0</v>
      </c>
      <c r="D27" s="166">
        <f t="shared" si="5"/>
        <v>-100</v>
      </c>
      <c r="E27" s="11">
        <f>IFERROR(100/'Skjema total MA'!C27*C27,0)</f>
        <v>0</v>
      </c>
      <c r="F27" s="278"/>
      <c r="G27" s="278"/>
      <c r="H27" s="166"/>
      <c r="I27" s="412"/>
      <c r="J27" s="287">
        <f t="shared" si="9"/>
        <v>73.589250000000007</v>
      </c>
      <c r="K27" s="287">
        <f t="shared" si="10"/>
        <v>0</v>
      </c>
      <c r="L27" s="166">
        <f t="shared" si="8"/>
        <v>-100</v>
      </c>
      <c r="M27" s="23">
        <f>IFERROR(100/'Skjema total MA'!I27*K27,0)</f>
        <v>0</v>
      </c>
      <c r="O27" s="148"/>
    </row>
    <row r="28" spans="1:15" ht="15.75" x14ac:dyDescent="0.2">
      <c r="A28" s="49" t="s">
        <v>283</v>
      </c>
      <c r="B28" s="44">
        <v>143447.436508849</v>
      </c>
      <c r="C28" s="284">
        <v>147381.08796388801</v>
      </c>
      <c r="D28" s="166">
        <f t="shared" si="5"/>
        <v>2.7</v>
      </c>
      <c r="E28" s="11">
        <f>IFERROR(100/'Skjema total MA'!C28*C28,0)</f>
        <v>8.2652938595502423</v>
      </c>
      <c r="F28" s="233"/>
      <c r="G28" s="284"/>
      <c r="H28" s="166"/>
      <c r="I28" s="27"/>
      <c r="J28" s="44">
        <f t="shared" si="7"/>
        <v>143447.436508849</v>
      </c>
      <c r="K28" s="44">
        <f t="shared" si="7"/>
        <v>147381.08796388801</v>
      </c>
      <c r="L28" s="253">
        <f t="shared" si="8"/>
        <v>2.7</v>
      </c>
      <c r="M28" s="23">
        <f>IFERROR(100/'Skjema total MA'!I28*K28,0)</f>
        <v>8.2652938595502423</v>
      </c>
      <c r="O28" s="148"/>
    </row>
    <row r="29" spans="1:15" s="3" customFormat="1" ht="15.75" x14ac:dyDescent="0.2">
      <c r="A29" s="13" t="s">
        <v>456</v>
      </c>
      <c r="B29" s="307">
        <v>4017399.27</v>
      </c>
      <c r="C29" s="307">
        <v>3880923.42</v>
      </c>
      <c r="D29" s="171">
        <f t="shared" si="5"/>
        <v>-3.4</v>
      </c>
      <c r="E29" s="11">
        <f>IFERROR(100/'Skjema total MA'!C29*C29,0)</f>
        <v>8.1006283345687038</v>
      </c>
      <c r="F29" s="307">
        <v>3613146.48</v>
      </c>
      <c r="G29" s="307">
        <v>3231146.09</v>
      </c>
      <c r="H29" s="171">
        <f t="shared" si="6"/>
        <v>-10.6</v>
      </c>
      <c r="I29" s="11">
        <f>IFERROR(100/'Skjema total MA'!F29*G29,0)</f>
        <v>16.914658857920422</v>
      </c>
      <c r="J29" s="235">
        <f t="shared" si="7"/>
        <v>7630545.75</v>
      </c>
      <c r="K29" s="235">
        <f t="shared" si="7"/>
        <v>7112069.5099999998</v>
      </c>
      <c r="L29" s="423">
        <f t="shared" si="8"/>
        <v>-6.8</v>
      </c>
      <c r="M29" s="24">
        <f>IFERROR(100/'Skjema total MA'!I29*K29,0)</f>
        <v>10.613198477429487</v>
      </c>
      <c r="N29" s="148"/>
      <c r="O29" s="148"/>
    </row>
    <row r="30" spans="1:15" s="3" customFormat="1" ht="15.75" x14ac:dyDescent="0.2">
      <c r="A30" s="834" t="s">
        <v>459</v>
      </c>
      <c r="B30" s="278">
        <v>985631.04385384906</v>
      </c>
      <c r="C30" s="278">
        <v>798902.32</v>
      </c>
      <c r="D30" s="166">
        <f t="shared" si="5"/>
        <v>-18.899999999999999</v>
      </c>
      <c r="E30" s="11">
        <f>IFERROR(100/'Skjema total MA'!C30*C30,0)</f>
        <v>6.1823852209883192</v>
      </c>
      <c r="F30" s="278">
        <v>510321.48800000001</v>
      </c>
      <c r="G30" s="278">
        <v>463217.223</v>
      </c>
      <c r="H30" s="166">
        <f t="shared" si="6"/>
        <v>-9.1999999999999993</v>
      </c>
      <c r="I30" s="412">
        <f>IFERROR(100/'Skjema total MA'!F30*G30,0)</f>
        <v>11.477699921505536</v>
      </c>
      <c r="J30" s="287">
        <f t="shared" ref="J30:J33" si="11">SUM(B30,F30)</f>
        <v>1495952.5318538491</v>
      </c>
      <c r="K30" s="287">
        <f t="shared" ref="K30:K33" si="12">SUM(C30,G30)</f>
        <v>1262119.5430000001</v>
      </c>
      <c r="L30" s="166">
        <f t="shared" si="8"/>
        <v>-15.6</v>
      </c>
      <c r="M30" s="23">
        <f>IFERROR(100/'Skjema total MA'!I30*K30,0)</f>
        <v>7.4426042843084836</v>
      </c>
      <c r="N30" s="148"/>
      <c r="O30" s="148"/>
    </row>
    <row r="31" spans="1:15" s="3" customFormat="1" ht="15.75" x14ac:dyDescent="0.2">
      <c r="A31" s="834" t="s">
        <v>460</v>
      </c>
      <c r="B31" s="278">
        <v>2756318.2601461499</v>
      </c>
      <c r="C31" s="278">
        <v>2784671.36</v>
      </c>
      <c r="D31" s="166">
        <f t="shared" si="5"/>
        <v>1</v>
      </c>
      <c r="E31" s="11">
        <f>IFERROR(100/'Skjema total MA'!C31*C31,0)</f>
        <v>8.2946334928575691</v>
      </c>
      <c r="F31" s="278">
        <v>1001168.632</v>
      </c>
      <c r="G31" s="278">
        <v>564732.17700000003</v>
      </c>
      <c r="H31" s="166">
        <f t="shared" si="6"/>
        <v>-43.6</v>
      </c>
      <c r="I31" s="412">
        <f>IFERROR(100/'Skjema total MA'!F31*G31,0)</f>
        <v>6.0507773641809051</v>
      </c>
      <c r="J31" s="287">
        <f t="shared" si="11"/>
        <v>3757486.8921461497</v>
      </c>
      <c r="K31" s="287">
        <f t="shared" si="12"/>
        <v>3349403.537</v>
      </c>
      <c r="L31" s="166">
        <f t="shared" si="8"/>
        <v>-10.9</v>
      </c>
      <c r="M31" s="23">
        <f>IFERROR(100/'Skjema total MA'!I31*K31,0)</f>
        <v>7.8065247002992937</v>
      </c>
      <c r="N31" s="148"/>
      <c r="O31" s="148"/>
    </row>
    <row r="32" spans="1:15" ht="15.75" x14ac:dyDescent="0.2">
      <c r="A32" s="834" t="s">
        <v>461</v>
      </c>
      <c r="B32" s="278">
        <v>275449.96600000001</v>
      </c>
      <c r="C32" s="278">
        <v>297349.74</v>
      </c>
      <c r="D32" s="166">
        <f t="shared" si="5"/>
        <v>8</v>
      </c>
      <c r="E32" s="11">
        <f>IFERROR(100/'Skjema total MA'!C32*C32,0)</f>
        <v>23.057456984293218</v>
      </c>
      <c r="F32" s="278">
        <v>1905443.79</v>
      </c>
      <c r="G32" s="278">
        <v>1763864.61</v>
      </c>
      <c r="H32" s="166">
        <f t="shared" si="6"/>
        <v>-7.4</v>
      </c>
      <c r="I32" s="412">
        <f>IFERROR(100/'Skjema total MA'!F32*G32,0)</f>
        <v>44.534511531376594</v>
      </c>
      <c r="J32" s="287">
        <f t="shared" si="11"/>
        <v>2180893.7560000001</v>
      </c>
      <c r="K32" s="287">
        <f t="shared" si="12"/>
        <v>2061214.35</v>
      </c>
      <c r="L32" s="166">
        <f t="shared" si="8"/>
        <v>-5.5</v>
      </c>
      <c r="M32" s="23">
        <f>IFERROR(100/'Skjema total MA'!I32*K32,0)</f>
        <v>39.259188728919476</v>
      </c>
      <c r="O32" s="148"/>
    </row>
    <row r="33" spans="1:15" ht="15.75" x14ac:dyDescent="0.2">
      <c r="A33" s="834" t="s">
        <v>462</v>
      </c>
      <c r="B33" s="278"/>
      <c r="C33" s="278"/>
      <c r="D33" s="166"/>
      <c r="E33" s="11"/>
      <c r="F33" s="287">
        <v>196212.57</v>
      </c>
      <c r="G33" s="287">
        <v>439332.08</v>
      </c>
      <c r="H33" s="166">
        <f t="shared" si="6"/>
        <v>123.9</v>
      </c>
      <c r="I33" s="412">
        <f>IFERROR(100/'Skjema total MA'!F34*G33,0)</f>
        <v>579.01857817037171</v>
      </c>
      <c r="J33" s="287">
        <f t="shared" si="11"/>
        <v>196212.57</v>
      </c>
      <c r="K33" s="287">
        <f t="shared" si="12"/>
        <v>439332.08</v>
      </c>
      <c r="L33" s="166">
        <f t="shared" si="8"/>
        <v>123.9</v>
      </c>
      <c r="M33" s="23">
        <f>IFERROR(100/'Skjema total MA'!I34*K33,0)</f>
        <v>422.44043648214665</v>
      </c>
      <c r="O33" s="148"/>
    </row>
    <row r="34" spans="1:15" ht="15.75" x14ac:dyDescent="0.2">
      <c r="A34" s="13" t="s">
        <v>457</v>
      </c>
      <c r="B34" s="235">
        <v>2958.3442</v>
      </c>
      <c r="C34" s="306">
        <v>1506.04241</v>
      </c>
      <c r="D34" s="171">
        <f t="shared" si="5"/>
        <v>-49.1</v>
      </c>
      <c r="E34" s="11">
        <f>IFERROR(100/'Skjema total MA'!C34*C34,0)</f>
        <v>5.3551437340711567</v>
      </c>
      <c r="F34" s="305">
        <v>13461.356879999999</v>
      </c>
      <c r="G34" s="306">
        <v>8095.3934799999997</v>
      </c>
      <c r="H34" s="171">
        <f t="shared" si="6"/>
        <v>-39.9</v>
      </c>
      <c r="I34" s="11">
        <f>IFERROR(100/'Skjema total MA'!F34*G34,0)</f>
        <v>10.669339745277187</v>
      </c>
      <c r="J34" s="235">
        <f t="shared" si="7"/>
        <v>16419.701079999999</v>
      </c>
      <c r="K34" s="235">
        <f t="shared" si="7"/>
        <v>9601.4358900000007</v>
      </c>
      <c r="L34" s="423">
        <f t="shared" si="8"/>
        <v>-41.5</v>
      </c>
      <c r="M34" s="24">
        <f>IFERROR(100/'Skjema total MA'!I34*K34,0)</f>
        <v>9.2322754309836608</v>
      </c>
      <c r="O34" s="148"/>
    </row>
    <row r="35" spans="1:15" ht="15.75" x14ac:dyDescent="0.2">
      <c r="A35" s="13" t="s">
        <v>458</v>
      </c>
      <c r="B35" s="235"/>
      <c r="C35" s="306"/>
      <c r="D35" s="171"/>
      <c r="E35" s="11"/>
      <c r="F35" s="305">
        <v>5037.0151100000003</v>
      </c>
      <c r="G35" s="306">
        <v>23997.255740000001</v>
      </c>
      <c r="H35" s="171">
        <f t="shared" si="6"/>
        <v>376.4</v>
      </c>
      <c r="I35" s="11">
        <f>IFERROR(100/'Skjema total MA'!F35*G35,0)</f>
        <v>20.945512470926428</v>
      </c>
      <c r="J35" s="235">
        <f t="shared" si="7"/>
        <v>5037.0151100000003</v>
      </c>
      <c r="K35" s="235">
        <f t="shared" si="7"/>
        <v>23997.255740000001</v>
      </c>
      <c r="L35" s="423">
        <f t="shared" si="8"/>
        <v>376.4</v>
      </c>
      <c r="M35" s="24">
        <f>IFERROR(100/'Skjema total MA'!I35*K35,0)</f>
        <v>28.141278570588725</v>
      </c>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c r="D47" s="422"/>
      <c r="E47" s="11"/>
      <c r="F47" s="145"/>
      <c r="G47" s="33"/>
      <c r="H47" s="159"/>
      <c r="I47" s="159"/>
      <c r="J47" s="37"/>
      <c r="K47" s="37"/>
      <c r="L47" s="159"/>
      <c r="M47" s="159"/>
      <c r="N47" s="148"/>
      <c r="O47" s="148"/>
    </row>
    <row r="48" spans="1:15" s="3" customFormat="1" ht="15.75" x14ac:dyDescent="0.2">
      <c r="A48" s="38" t="s">
        <v>467</v>
      </c>
      <c r="B48" s="278"/>
      <c r="C48" s="279"/>
      <c r="D48" s="253"/>
      <c r="E48" s="27"/>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1089665</v>
      </c>
      <c r="C66" s="350">
        <v>940394</v>
      </c>
      <c r="D66" s="347">
        <f t="shared" ref="D66:D111" si="13">IF(B66=0, "    ---- ", IF(ABS(ROUND(100/B66*C66-100,1))&lt;999,ROUND(100/B66*C66-100,1),IF(ROUND(100/B66*C66-100,1)&gt;999,999,-999)))</f>
        <v>-13.7</v>
      </c>
      <c r="E66" s="11">
        <f>IFERROR(100/'Skjema total MA'!C66*C66,0)</f>
        <v>10.652427360079193</v>
      </c>
      <c r="F66" s="349">
        <v>3560452.5890000002</v>
      </c>
      <c r="G66" s="349">
        <v>3635377.3399277199</v>
      </c>
      <c r="H66" s="347">
        <f t="shared" ref="H66:H111" si="14">IF(F66=0, "    ---- ", IF(ABS(ROUND(100/F66*G66-100,1))&lt;999,ROUND(100/F66*G66-100,1),IF(ROUND(100/F66*G66-100,1)&gt;999,999,-999)))</f>
        <v>2.1</v>
      </c>
      <c r="I66" s="11">
        <f>IFERROR(100/'Skjema total MA'!F66*G66,0)</f>
        <v>12.555414344254395</v>
      </c>
      <c r="J66" s="306">
        <f t="shared" ref="J66:K86" si="15">SUM(B66,F66)</f>
        <v>4650117.5889999997</v>
      </c>
      <c r="K66" s="313">
        <f t="shared" si="15"/>
        <v>4575771.3399277199</v>
      </c>
      <c r="L66" s="423">
        <f t="shared" ref="L66:L111" si="16">IF(J66=0, "    ---- ", IF(ABS(ROUND(100/J66*K66-100,1))&lt;999,ROUND(100/J66*K66-100,1),IF(ROUND(100/J66*K66-100,1)&gt;999,999,-999)))</f>
        <v>-1.6</v>
      </c>
      <c r="M66" s="11">
        <f>IFERROR(100/'Skjema total MA'!I66*K66,0)</f>
        <v>12.110778141496045</v>
      </c>
      <c r="O66" s="148"/>
    </row>
    <row r="67" spans="1:15" x14ac:dyDescent="0.2">
      <c r="A67" s="414" t="s">
        <v>9</v>
      </c>
      <c r="B67" s="44">
        <v>819501</v>
      </c>
      <c r="C67" s="145">
        <v>695384.24300000002</v>
      </c>
      <c r="D67" s="166">
        <f t="shared" si="13"/>
        <v>-15.1</v>
      </c>
      <c r="E67" s="27">
        <f>IFERROR(100/'Skjema total MA'!C67*C67,0)</f>
        <v>9.8787221732465138</v>
      </c>
      <c r="F67" s="233"/>
      <c r="G67" s="145"/>
      <c r="H67" s="166"/>
      <c r="I67" s="27"/>
      <c r="J67" s="284">
        <f t="shared" si="15"/>
        <v>819501</v>
      </c>
      <c r="K67" s="44">
        <f t="shared" si="15"/>
        <v>695384.24300000002</v>
      </c>
      <c r="L67" s="253">
        <f t="shared" si="16"/>
        <v>-15.1</v>
      </c>
      <c r="M67" s="27">
        <f>IFERROR(100/'Skjema total MA'!I67*K67,0)</f>
        <v>9.8787221732465138</v>
      </c>
      <c r="O67" s="148"/>
    </row>
    <row r="68" spans="1:15" x14ac:dyDescent="0.2">
      <c r="A68" s="21" t="s">
        <v>10</v>
      </c>
      <c r="B68" s="289">
        <v>24550</v>
      </c>
      <c r="C68" s="290">
        <v>22138</v>
      </c>
      <c r="D68" s="166">
        <f t="shared" si="13"/>
        <v>-9.8000000000000007</v>
      </c>
      <c r="E68" s="27">
        <f>IFERROR(100/'Skjema total MA'!C68*C68,0)</f>
        <v>14.849917181247852</v>
      </c>
      <c r="F68" s="289">
        <v>3560452.5890000002</v>
      </c>
      <c r="G68" s="290">
        <v>3635377.3399277199</v>
      </c>
      <c r="H68" s="166">
        <f t="shared" si="14"/>
        <v>2.1</v>
      </c>
      <c r="I68" s="27">
        <f>IFERROR(100/'Skjema total MA'!F68*G68,0)</f>
        <v>12.734152744006451</v>
      </c>
      <c r="J68" s="284">
        <f t="shared" si="15"/>
        <v>3585002.5890000002</v>
      </c>
      <c r="K68" s="44">
        <f t="shared" si="15"/>
        <v>3657515.3399277199</v>
      </c>
      <c r="L68" s="253">
        <f t="shared" si="16"/>
        <v>2</v>
      </c>
      <c r="M68" s="27">
        <f>IFERROR(100/'Skjema total MA'!I68*K68,0)</f>
        <v>12.74514382096755</v>
      </c>
      <c r="O68" s="148"/>
    </row>
    <row r="69" spans="1:15" ht="15.75" x14ac:dyDescent="0.2">
      <c r="A69" s="293" t="s">
        <v>471</v>
      </c>
      <c r="B69" s="278">
        <v>18248</v>
      </c>
      <c r="C69" s="278">
        <v>15709</v>
      </c>
      <c r="D69" s="253"/>
      <c r="E69" s="27"/>
      <c r="F69" s="278">
        <v>3977.589000000004</v>
      </c>
      <c r="G69" s="278">
        <v>3899.8900000000003</v>
      </c>
      <c r="H69" s="166">
        <f t="shared" si="14"/>
        <v>-2</v>
      </c>
      <c r="I69" s="27">
        <f>IFERROR(100/'Skjema total MA'!F69*G69,0)</f>
        <v>100</v>
      </c>
      <c r="J69" s="287">
        <f>SUM(B69,F69)</f>
        <v>22225.589000000004</v>
      </c>
      <c r="K69" s="287">
        <f t="shared" si="15"/>
        <v>19608.89</v>
      </c>
      <c r="L69" s="253">
        <f t="shared" si="16"/>
        <v>-11.8</v>
      </c>
      <c r="M69" s="23">
        <f>IFERROR(100/'Skjema total MA'!I69*K69,0)</f>
        <v>100</v>
      </c>
      <c r="O69" s="148"/>
    </row>
    <row r="70" spans="1:15" x14ac:dyDescent="0.2">
      <c r="A70" s="293" t="s">
        <v>12</v>
      </c>
      <c r="B70" s="291"/>
      <c r="C70" s="292"/>
      <c r="D70" s="253"/>
      <c r="E70" s="27"/>
      <c r="F70" s="278">
        <v>371.81614052858401</v>
      </c>
      <c r="G70" s="278">
        <v>319.77999999999997</v>
      </c>
      <c r="H70" s="166">
        <f t="shared" si="14"/>
        <v>-14</v>
      </c>
      <c r="I70" s="27">
        <f>IFERROR(100/'Skjema total MA'!F70*G70,0)</f>
        <v>100</v>
      </c>
      <c r="J70" s="287">
        <f t="shared" ref="J70:J74" si="17">SUM(B70,F70)</f>
        <v>371.81614052858401</v>
      </c>
      <c r="K70" s="287">
        <f t="shared" si="15"/>
        <v>319.77999999999997</v>
      </c>
      <c r="L70" s="253">
        <f t="shared" si="16"/>
        <v>-14</v>
      </c>
      <c r="M70" s="23">
        <f>IFERROR(100/'Skjema total MA'!I70*K70,0)</f>
        <v>100</v>
      </c>
      <c r="O70" s="148"/>
    </row>
    <row r="71" spans="1:15" x14ac:dyDescent="0.2">
      <c r="A71" s="293" t="s">
        <v>13</v>
      </c>
      <c r="B71" s="234"/>
      <c r="C71" s="286"/>
      <c r="D71" s="253"/>
      <c r="E71" s="27"/>
      <c r="F71" s="278">
        <v>3605.7728594714199</v>
      </c>
      <c r="G71" s="278">
        <v>3580.11</v>
      </c>
      <c r="H71" s="166">
        <f t="shared" si="14"/>
        <v>-0.7</v>
      </c>
      <c r="I71" s="27">
        <f>IFERROR(100/'Skjema total MA'!F71*G71,0)</f>
        <v>100</v>
      </c>
      <c r="J71" s="287">
        <f t="shared" si="17"/>
        <v>3605.7728594714199</v>
      </c>
      <c r="K71" s="287">
        <f t="shared" si="15"/>
        <v>3580.11</v>
      </c>
      <c r="L71" s="253">
        <f t="shared" si="16"/>
        <v>-0.7</v>
      </c>
      <c r="M71" s="23">
        <f>IFERROR(100/'Skjema total MA'!I71*K71,0)</f>
        <v>100</v>
      </c>
      <c r="O71" s="148"/>
    </row>
    <row r="72" spans="1:15" ht="15.75" x14ac:dyDescent="0.2">
      <c r="A72" s="293" t="s">
        <v>472</v>
      </c>
      <c r="B72" s="278">
        <v>6302</v>
      </c>
      <c r="C72" s="278">
        <v>6429</v>
      </c>
      <c r="D72" s="166">
        <f t="shared" ref="D72" si="18">IF(B72=0, "    ---- ", IF(ABS(ROUND(100/B72*C72-100,1))&lt;999,ROUND(100/B72*C72-100,1),IF(ROUND(100/B72*C72-100,1)&gt;999,999,-999)))</f>
        <v>2</v>
      </c>
      <c r="E72" s="27">
        <f>IFERROR(100/'Skjema total MA'!B72*C72,0)</f>
        <v>4.5617684528872298</v>
      </c>
      <c r="F72" s="278">
        <v>3556475</v>
      </c>
      <c r="G72" s="278">
        <v>3631477.4499277198</v>
      </c>
      <c r="H72" s="166">
        <f t="shared" si="14"/>
        <v>2.1</v>
      </c>
      <c r="I72" s="27">
        <f>IFERROR(100/'Skjema total MA'!F72*G72,0)</f>
        <v>12.722229990706985</v>
      </c>
      <c r="J72" s="287">
        <f t="shared" si="17"/>
        <v>3562777</v>
      </c>
      <c r="K72" s="287">
        <f t="shared" si="15"/>
        <v>3637906.4499277198</v>
      </c>
      <c r="L72" s="253">
        <f t="shared" si="16"/>
        <v>2.1</v>
      </c>
      <c r="M72" s="23">
        <f>IFERROR(100/'Skjema total MA'!I72*K72,0)</f>
        <v>12.68548178678974</v>
      </c>
      <c r="O72" s="148"/>
    </row>
    <row r="73" spans="1:15" x14ac:dyDescent="0.2">
      <c r="A73" s="293" t="s">
        <v>12</v>
      </c>
      <c r="B73" s="234"/>
      <c r="C73" s="286"/>
      <c r="D73" s="253"/>
      <c r="E73" s="27"/>
      <c r="F73" s="278">
        <v>332451.34386343003</v>
      </c>
      <c r="G73" s="278">
        <v>297767.19</v>
      </c>
      <c r="H73" s="166">
        <f t="shared" si="14"/>
        <v>-10.4</v>
      </c>
      <c r="I73" s="27">
        <f>IFERROR(100/'Skjema total MA'!F73*G73,0)</f>
        <v>99.979182698646824</v>
      </c>
      <c r="J73" s="287">
        <f t="shared" si="17"/>
        <v>332451.34386343003</v>
      </c>
      <c r="K73" s="287">
        <f t="shared" si="15"/>
        <v>297767.19</v>
      </c>
      <c r="L73" s="253">
        <f t="shared" si="16"/>
        <v>-10.4</v>
      </c>
      <c r="M73" s="23">
        <f>IFERROR(100/'Skjema total MA'!I73*K73,0)</f>
        <v>99.979182698646824</v>
      </c>
      <c r="O73" s="148"/>
    </row>
    <row r="74" spans="1:15" s="3" customFormat="1" x14ac:dyDescent="0.2">
      <c r="A74" s="293" t="s">
        <v>13</v>
      </c>
      <c r="B74" s="234"/>
      <c r="C74" s="286"/>
      <c r="D74" s="253"/>
      <c r="E74" s="27"/>
      <c r="F74" s="278">
        <v>3224023.65613657</v>
      </c>
      <c r="G74" s="278">
        <v>3333710.2599277198</v>
      </c>
      <c r="H74" s="166">
        <f t="shared" si="14"/>
        <v>3.4</v>
      </c>
      <c r="I74" s="27">
        <f>IFERROR(100/'Skjema total MA'!F74*G74,0)</f>
        <v>11.802199142985506</v>
      </c>
      <c r="J74" s="287">
        <f t="shared" si="17"/>
        <v>3224023.65613657</v>
      </c>
      <c r="K74" s="287">
        <f t="shared" si="15"/>
        <v>3333710.2599277198</v>
      </c>
      <c r="L74" s="253">
        <f t="shared" si="16"/>
        <v>3.4</v>
      </c>
      <c r="M74" s="23">
        <f>IFERROR(100/'Skjema total MA'!I74*K74,0)</f>
        <v>11.802199142985506</v>
      </c>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v>245614.62100000001</v>
      </c>
      <c r="C76" s="145">
        <v>222871.75700000001</v>
      </c>
      <c r="D76" s="166">
        <f t="shared" ref="D76" si="19">IF(B76=0, "    ---- ", IF(ABS(ROUND(100/B76*C76-100,1))&lt;999,ROUND(100/B76*C76-100,1),IF(ROUND(100/B76*C76-100,1)&gt;999,999,-999)))</f>
        <v>-9.3000000000000007</v>
      </c>
      <c r="E76" s="27">
        <f>IFERROR(100/'Skjema total MA'!C77*C76,0)</f>
        <v>3.1548414948996393</v>
      </c>
      <c r="F76" s="233"/>
      <c r="G76" s="145"/>
      <c r="H76" s="166"/>
      <c r="I76" s="27"/>
      <c r="J76" s="284">
        <f t="shared" ref="J76" si="20">SUM(B76,F76)</f>
        <v>245614.62100000001</v>
      </c>
      <c r="K76" s="44">
        <f t="shared" ref="K76" si="21">SUM(C76,G76)</f>
        <v>222871.75700000001</v>
      </c>
      <c r="L76" s="253">
        <f t="shared" ref="L76" si="22">IF(J76=0, "    ---- ", IF(ABS(ROUND(100/J76*K76-100,1))&lt;999,ROUND(100/J76*K76-100,1),IF(ROUND(100/J76*K76-100,1)&gt;999,999,-999)))</f>
        <v>-9.3000000000000007</v>
      </c>
      <c r="M76" s="27">
        <f>IFERROR(100/'Skjema total MA'!I77*K76,0)</f>
        <v>0.62604036287347098</v>
      </c>
      <c r="N76" s="148"/>
      <c r="O76" s="148"/>
    </row>
    <row r="77" spans="1:15" ht="15.75" x14ac:dyDescent="0.2">
      <c r="A77" s="21" t="s">
        <v>473</v>
      </c>
      <c r="B77" s="233">
        <v>830230</v>
      </c>
      <c r="C77" s="233">
        <v>705091.19900000002</v>
      </c>
      <c r="D77" s="166">
        <f t="shared" si="13"/>
        <v>-15.1</v>
      </c>
      <c r="E77" s="27">
        <f>IFERROR(100/'Skjema total MA'!C77*C77,0)</f>
        <v>9.9808562656673399</v>
      </c>
      <c r="F77" s="233">
        <v>3556475</v>
      </c>
      <c r="G77" s="145">
        <v>3631477.4539999999</v>
      </c>
      <c r="H77" s="166">
        <f t="shared" si="14"/>
        <v>2.1</v>
      </c>
      <c r="I77" s="27">
        <f>IFERROR(100/'Skjema total MA'!F77*G77,0)</f>
        <v>12.726046828447961</v>
      </c>
      <c r="J77" s="284">
        <f t="shared" si="15"/>
        <v>4386705</v>
      </c>
      <c r="K77" s="44">
        <f t="shared" si="15"/>
        <v>4336568.6529999999</v>
      </c>
      <c r="L77" s="253">
        <f t="shared" si="16"/>
        <v>-1.1000000000000001</v>
      </c>
      <c r="M77" s="27">
        <f>IFERROR(100/'Skjema total MA'!I77*K77,0)</f>
        <v>12.181296767673613</v>
      </c>
      <c r="O77" s="148"/>
    </row>
    <row r="78" spans="1:15" x14ac:dyDescent="0.2">
      <c r="A78" s="21" t="s">
        <v>9</v>
      </c>
      <c r="B78" s="233">
        <v>809659</v>
      </c>
      <c r="C78" s="145">
        <v>686858.72</v>
      </c>
      <c r="D78" s="166">
        <f t="shared" si="13"/>
        <v>-15.2</v>
      </c>
      <c r="E78" s="27">
        <f>IFERROR(100/'Skjema total MA'!C78*C78,0)</f>
        <v>9.9267609779918278</v>
      </c>
      <c r="F78" s="233"/>
      <c r="G78" s="145"/>
      <c r="H78" s="166"/>
      <c r="I78" s="27"/>
      <c r="J78" s="284">
        <f t="shared" si="15"/>
        <v>809659</v>
      </c>
      <c r="K78" s="44">
        <f t="shared" si="15"/>
        <v>686858.72</v>
      </c>
      <c r="L78" s="253">
        <f t="shared" si="16"/>
        <v>-15.2</v>
      </c>
      <c r="M78" s="27">
        <f>IFERROR(100/'Skjema total MA'!I78*K78,0)</f>
        <v>9.9267609779918278</v>
      </c>
      <c r="O78" s="148"/>
    </row>
    <row r="79" spans="1:15" x14ac:dyDescent="0.2">
      <c r="A79" s="21" t="s">
        <v>10</v>
      </c>
      <c r="B79" s="289">
        <v>20571.819</v>
      </c>
      <c r="C79" s="290">
        <v>18232.478999999999</v>
      </c>
      <c r="D79" s="166">
        <f t="shared" si="13"/>
        <v>-11.4</v>
      </c>
      <c r="E79" s="27">
        <f>IFERROR(100/'Skjema total MA'!C79*C79,0)</f>
        <v>12.559160595131322</v>
      </c>
      <c r="F79" s="289">
        <v>3556475</v>
      </c>
      <c r="G79" s="290">
        <v>3631477.4539999999</v>
      </c>
      <c r="H79" s="166">
        <f t="shared" si="14"/>
        <v>2.1</v>
      </c>
      <c r="I79" s="27">
        <f>IFERROR(100/'Skjema total MA'!F79*G79,0)</f>
        <v>12.726046828447961</v>
      </c>
      <c r="J79" s="284">
        <f t="shared" si="15"/>
        <v>3577046.8190000001</v>
      </c>
      <c r="K79" s="44">
        <f t="shared" si="15"/>
        <v>3649709.9329999997</v>
      </c>
      <c r="L79" s="253">
        <f t="shared" si="16"/>
        <v>2</v>
      </c>
      <c r="M79" s="27">
        <f>IFERROR(100/'Skjema total MA'!I79*K79,0)</f>
        <v>12.725202110036692</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v>20571.819</v>
      </c>
      <c r="C83" s="278">
        <v>18232.478999999999</v>
      </c>
      <c r="D83" s="253">
        <f t="shared" ref="D83" si="23">IF(B83=0, "    ---- ", IF(ABS(ROUND(100/B83*C83-100,1))&lt;999,ROUND(100/B83*C83-100,1),IF(ROUND(100/B83*C83-100,1)&gt;999,999,-999)))</f>
        <v>-11.4</v>
      </c>
      <c r="E83" s="27">
        <f>IFERROR(100/'Skjema total MA'!C83*C83,0)</f>
        <v>12.559160595131322</v>
      </c>
      <c r="F83" s="278">
        <v>3556475</v>
      </c>
      <c r="G83" s="278">
        <v>3631477.4539999999</v>
      </c>
      <c r="H83" s="253">
        <f t="shared" si="14"/>
        <v>2.1</v>
      </c>
      <c r="I83" s="412">
        <f>IFERROR(100/'Skjema total MA'!F83*G83,0)</f>
        <v>12.726046828447961</v>
      </c>
      <c r="J83" s="287">
        <f t="shared" si="15"/>
        <v>3577046.8190000001</v>
      </c>
      <c r="K83" s="287">
        <f t="shared" si="15"/>
        <v>3649709.9329999997</v>
      </c>
      <c r="L83" s="253">
        <f t="shared" si="16"/>
        <v>2</v>
      </c>
      <c r="M83" s="23">
        <f>IFERROR(100/'Skjema total MA'!I83*K83,0)</f>
        <v>12.725202110036692</v>
      </c>
      <c r="O83" s="148"/>
    </row>
    <row r="84" spans="1:15" x14ac:dyDescent="0.2">
      <c r="A84" s="293" t="s">
        <v>12</v>
      </c>
      <c r="B84" s="234"/>
      <c r="C84" s="286"/>
      <c r="D84" s="166"/>
      <c r="E84" s="27"/>
      <c r="F84" s="278">
        <v>332451.34386343003</v>
      </c>
      <c r="G84" s="278">
        <v>297767.19407228002</v>
      </c>
      <c r="H84" s="253">
        <f t="shared" si="14"/>
        <v>-10.4</v>
      </c>
      <c r="I84" s="412">
        <f>IFERROR(100/'Skjema total MA'!F84*G84,0)</f>
        <v>99.999999999999986</v>
      </c>
      <c r="J84" s="287">
        <f t="shared" si="15"/>
        <v>332451.34386343003</v>
      </c>
      <c r="K84" s="287">
        <f t="shared" si="15"/>
        <v>297767.19407228002</v>
      </c>
      <c r="L84" s="253">
        <f t="shared" si="16"/>
        <v>-10.4</v>
      </c>
      <c r="M84" s="23">
        <f>IFERROR(100/'Skjema total MA'!I84*K84,0)</f>
        <v>99.999999999999986</v>
      </c>
      <c r="O84" s="148"/>
    </row>
    <row r="85" spans="1:15" x14ac:dyDescent="0.2">
      <c r="A85" s="293" t="s">
        <v>13</v>
      </c>
      <c r="B85" s="234"/>
      <c r="C85" s="286"/>
      <c r="D85" s="166"/>
      <c r="E85" s="27"/>
      <c r="F85" s="278">
        <v>3224023.65613657</v>
      </c>
      <c r="G85" s="278">
        <v>3333710.2599277198</v>
      </c>
      <c r="H85" s="253">
        <f t="shared" si="14"/>
        <v>3.4</v>
      </c>
      <c r="I85" s="412">
        <f>IFERROR(100/'Skjema total MA'!F85*G85,0)</f>
        <v>11.805751371998619</v>
      </c>
      <c r="J85" s="287">
        <f t="shared" si="15"/>
        <v>3224023.65613657</v>
      </c>
      <c r="K85" s="287">
        <f t="shared" si="15"/>
        <v>3333710.2599277198</v>
      </c>
      <c r="L85" s="253">
        <f t="shared" si="16"/>
        <v>3.4</v>
      </c>
      <c r="M85" s="23">
        <f>IFERROR(100/'Skjema total MA'!I85*K85,0)</f>
        <v>11.805751371998619</v>
      </c>
      <c r="O85" s="148"/>
    </row>
    <row r="86" spans="1:15" ht="15.75" x14ac:dyDescent="0.2">
      <c r="A86" s="21" t="s">
        <v>474</v>
      </c>
      <c r="B86" s="233">
        <v>13820.192999999999</v>
      </c>
      <c r="C86" s="145">
        <v>12431.044</v>
      </c>
      <c r="D86" s="166">
        <f t="shared" si="13"/>
        <v>-10.1</v>
      </c>
      <c r="E86" s="27">
        <f>IFERROR(100/'Skjema total MA'!C86*C86,0)</f>
        <v>10.036789616756261</v>
      </c>
      <c r="F86" s="233">
        <v>3977.5889999999999</v>
      </c>
      <c r="G86" s="145">
        <v>3899.8879999999999</v>
      </c>
      <c r="H86" s="166">
        <f t="shared" si="14"/>
        <v>-2</v>
      </c>
      <c r="I86" s="27">
        <f>IFERROR(100/'Skjema total MA'!F86*G86,0)</f>
        <v>31.296814482548484</v>
      </c>
      <c r="J86" s="284">
        <f t="shared" si="15"/>
        <v>17797.781999999999</v>
      </c>
      <c r="K86" s="44">
        <f t="shared" si="15"/>
        <v>16330.932000000001</v>
      </c>
      <c r="L86" s="253">
        <f t="shared" si="16"/>
        <v>-8.1999999999999993</v>
      </c>
      <c r="M86" s="27">
        <f>IFERROR(100/'Skjema total MA'!I86*K86,0)</f>
        <v>11.980223216347174</v>
      </c>
      <c r="O86" s="148"/>
    </row>
    <row r="87" spans="1:15" ht="15.75" x14ac:dyDescent="0.2">
      <c r="A87" s="13" t="s">
        <v>456</v>
      </c>
      <c r="B87" s="350">
        <v>44782819.630100697</v>
      </c>
      <c r="C87" s="350">
        <v>45319479.785622202</v>
      </c>
      <c r="D87" s="171">
        <f t="shared" si="13"/>
        <v>1.2</v>
      </c>
      <c r="E87" s="11">
        <f>IFERROR(100/'Skjema total MA'!C87*C87,0)</f>
        <v>11.731661900058706</v>
      </c>
      <c r="F87" s="349">
        <v>31206814.343647581</v>
      </c>
      <c r="G87" s="349">
        <v>32133848.854715649</v>
      </c>
      <c r="H87" s="171">
        <f t="shared" si="14"/>
        <v>3</v>
      </c>
      <c r="I87" s="11">
        <f>IFERROR(100/'Skjema total MA'!F87*G87,0)</f>
        <v>13.046093310192196</v>
      </c>
      <c r="J87" s="306">
        <f t="shared" ref="J87:K111" si="24">SUM(B87,F87)</f>
        <v>75989633.973748282</v>
      </c>
      <c r="K87" s="235">
        <f t="shared" si="24"/>
        <v>77453328.640337855</v>
      </c>
      <c r="L87" s="423">
        <f t="shared" si="16"/>
        <v>1.9</v>
      </c>
      <c r="M87" s="11">
        <f>IFERROR(100/'Skjema total MA'!I87*K87,0)</f>
        <v>12.243442296964059</v>
      </c>
      <c r="O87" s="148"/>
    </row>
    <row r="88" spans="1:15" x14ac:dyDescent="0.2">
      <c r="A88" s="21" t="s">
        <v>9</v>
      </c>
      <c r="B88" s="233">
        <v>43685368.524100699</v>
      </c>
      <c r="C88" s="145">
        <v>44137553.0236222</v>
      </c>
      <c r="D88" s="166">
        <f t="shared" si="13"/>
        <v>1</v>
      </c>
      <c r="E88" s="27">
        <f>IFERROR(100/'Skjema total MA'!C88*C88,0)</f>
        <v>11.697834088094078</v>
      </c>
      <c r="F88" s="233"/>
      <c r="G88" s="145"/>
      <c r="H88" s="166"/>
      <c r="I88" s="27"/>
      <c r="J88" s="284">
        <f t="shared" si="24"/>
        <v>43685368.524100699</v>
      </c>
      <c r="K88" s="44">
        <f t="shared" si="24"/>
        <v>44137553.0236222</v>
      </c>
      <c r="L88" s="253">
        <f t="shared" si="16"/>
        <v>1</v>
      </c>
      <c r="M88" s="27">
        <f>IFERROR(100/'Skjema total MA'!I88*K88,0)</f>
        <v>11.697834088094078</v>
      </c>
      <c r="O88" s="148"/>
    </row>
    <row r="89" spans="1:15" x14ac:dyDescent="0.2">
      <c r="A89" s="21" t="s">
        <v>10</v>
      </c>
      <c r="B89" s="233">
        <v>1066258.655</v>
      </c>
      <c r="C89" s="145">
        <v>1061688.3899999999</v>
      </c>
      <c r="D89" s="166">
        <f t="shared" si="13"/>
        <v>-0.4</v>
      </c>
      <c r="E89" s="27">
        <f>IFERROR(100/'Skjema total MA'!C89*C89,0)</f>
        <v>39.034642971478966</v>
      </c>
      <c r="F89" s="233">
        <v>31206814.343647581</v>
      </c>
      <c r="G89" s="145">
        <v>32133848.854715649</v>
      </c>
      <c r="H89" s="166">
        <f t="shared" si="14"/>
        <v>3</v>
      </c>
      <c r="I89" s="27">
        <f>IFERROR(100/'Skjema total MA'!F89*G89,0)</f>
        <v>13.099862668331408</v>
      </c>
      <c r="J89" s="284">
        <f t="shared" si="24"/>
        <v>32273072.998647582</v>
      </c>
      <c r="K89" s="44">
        <f t="shared" si="24"/>
        <v>33195537.24471565</v>
      </c>
      <c r="L89" s="253">
        <f t="shared" si="16"/>
        <v>2.9</v>
      </c>
      <c r="M89" s="27">
        <f>IFERROR(100/'Skjema total MA'!I89*K89,0)</f>
        <v>13.384272428540999</v>
      </c>
      <c r="O89" s="148"/>
    </row>
    <row r="90" spans="1:15" ht="15.75" x14ac:dyDescent="0.2">
      <c r="A90" s="293" t="s">
        <v>471</v>
      </c>
      <c r="B90" s="278"/>
      <c r="C90" s="278"/>
      <c r="D90" s="253"/>
      <c r="E90" s="27"/>
      <c r="F90" s="278">
        <v>11954.122000000047</v>
      </c>
      <c r="G90" s="278">
        <v>20800.458999999963</v>
      </c>
      <c r="H90" s="253">
        <f t="shared" si="14"/>
        <v>74</v>
      </c>
      <c r="I90" s="412">
        <f>IFERROR(100/'Skjema total MA'!F90*G90,0)</f>
        <v>15.695188745306963</v>
      </c>
      <c r="J90" s="287">
        <f t="shared" si="24"/>
        <v>11954.122000000047</v>
      </c>
      <c r="K90" s="287">
        <f t="shared" si="24"/>
        <v>20800.458999999963</v>
      </c>
      <c r="L90" s="253">
        <f t="shared" si="16"/>
        <v>74</v>
      </c>
      <c r="M90" s="23">
        <f>IFERROR(100/'Skjema total MA'!I90*K90,0)</f>
        <v>15.695188745306963</v>
      </c>
      <c r="O90" s="148"/>
    </row>
    <row r="91" spans="1:15" x14ac:dyDescent="0.2">
      <c r="A91" s="293" t="s">
        <v>12</v>
      </c>
      <c r="B91" s="234"/>
      <c r="C91" s="286"/>
      <c r="D91" s="166"/>
      <c r="E91" s="27"/>
      <c r="F91" s="278">
        <v>195.73137516214501</v>
      </c>
      <c r="G91" s="278">
        <v>524.28477846126395</v>
      </c>
      <c r="H91" s="253">
        <f t="shared" si="14"/>
        <v>167.9</v>
      </c>
      <c r="I91" s="412">
        <f>IFERROR(100/'Skjema total MA'!F91*G91,0)</f>
        <v>0.46706285831755717</v>
      </c>
      <c r="J91" s="287">
        <f t="shared" si="24"/>
        <v>195.73137516214501</v>
      </c>
      <c r="K91" s="287">
        <f t="shared" si="24"/>
        <v>524.28477846126395</v>
      </c>
      <c r="L91" s="253">
        <f t="shared" si="16"/>
        <v>167.9</v>
      </c>
      <c r="M91" s="23">
        <f>IFERROR(100/'Skjema total MA'!I91*K91,0)</f>
        <v>0.46706285831755717</v>
      </c>
      <c r="O91" s="148"/>
    </row>
    <row r="92" spans="1:15" x14ac:dyDescent="0.2">
      <c r="A92" s="293" t="s">
        <v>13</v>
      </c>
      <c r="B92" s="234"/>
      <c r="C92" s="286"/>
      <c r="D92" s="166"/>
      <c r="E92" s="27"/>
      <c r="F92" s="278">
        <v>11758.390624837901</v>
      </c>
      <c r="G92" s="278">
        <v>20276.174221538698</v>
      </c>
      <c r="H92" s="253">
        <f t="shared" si="14"/>
        <v>72.400000000000006</v>
      </c>
      <c r="I92" s="412">
        <f>IFERROR(100/'Skjema total MA'!F92*G92,0)</f>
        <v>100</v>
      </c>
      <c r="J92" s="287">
        <f t="shared" si="24"/>
        <v>11758.390624837901</v>
      </c>
      <c r="K92" s="287">
        <f t="shared" si="24"/>
        <v>20276.174221538698</v>
      </c>
      <c r="L92" s="253">
        <f t="shared" si="16"/>
        <v>72.400000000000006</v>
      </c>
      <c r="M92" s="23">
        <f>IFERROR(100/'Skjema total MA'!I92*K92,0)</f>
        <v>100</v>
      </c>
      <c r="O92" s="148"/>
    </row>
    <row r="93" spans="1:15" ht="15.75" x14ac:dyDescent="0.2">
      <c r="A93" s="293" t="s">
        <v>472</v>
      </c>
      <c r="B93" s="278">
        <v>1066258.655</v>
      </c>
      <c r="C93" s="278">
        <v>1061688.3899999999</v>
      </c>
      <c r="D93" s="253">
        <f t="shared" ref="D93" si="25">IF(B93=0, "    ---- ", IF(ABS(ROUND(100/B93*C93-100,1))&lt;999,ROUND(100/B93*C93-100,1),IF(ROUND(100/B93*C93-100,1)&gt;999,999,-999)))</f>
        <v>-0.4</v>
      </c>
      <c r="E93" s="27">
        <f>IFERROR(100/'Skjema total MA'!C93*C93,0)</f>
        <v>39.034642971478966</v>
      </c>
      <c r="F93" s="278">
        <v>31194860.221647579</v>
      </c>
      <c r="G93" s="278">
        <v>32113048.39571565</v>
      </c>
      <c r="H93" s="253">
        <f t="shared" si="14"/>
        <v>2.9</v>
      </c>
      <c r="I93" s="412">
        <f>IFERROR(100/'Skjema total MA'!F93*G93,0)</f>
        <v>13.098459735102235</v>
      </c>
      <c r="J93" s="287">
        <f t="shared" si="24"/>
        <v>32261118.87664758</v>
      </c>
      <c r="K93" s="287">
        <f t="shared" si="24"/>
        <v>33174736.785715651</v>
      </c>
      <c r="L93" s="253">
        <f t="shared" si="16"/>
        <v>2.8</v>
      </c>
      <c r="M93" s="23">
        <f>IFERROR(100/'Skjema total MA'!I93*K93,0)</f>
        <v>13.383036942662386</v>
      </c>
      <c r="O93" s="148"/>
    </row>
    <row r="94" spans="1:15" x14ac:dyDescent="0.2">
      <c r="A94" s="293" t="s">
        <v>12</v>
      </c>
      <c r="B94" s="234"/>
      <c r="C94" s="286"/>
      <c r="D94" s="166"/>
      <c r="E94" s="27"/>
      <c r="F94" s="278">
        <v>2916025.8970802799</v>
      </c>
      <c r="G94" s="278">
        <v>2633146.5457308502</v>
      </c>
      <c r="H94" s="253">
        <f t="shared" si="14"/>
        <v>-9.6999999999999993</v>
      </c>
      <c r="I94" s="412">
        <f>IFERROR(100/'Skjema total MA'!F94*G94,0)</f>
        <v>84.465202131952296</v>
      </c>
      <c r="J94" s="287">
        <f t="shared" si="24"/>
        <v>2916025.8970802799</v>
      </c>
      <c r="K94" s="287">
        <f t="shared" si="24"/>
        <v>2633146.5457308502</v>
      </c>
      <c r="L94" s="253">
        <f t="shared" si="16"/>
        <v>-9.6999999999999993</v>
      </c>
      <c r="M94" s="23">
        <f>IFERROR(100/'Skjema total MA'!I94*K94,0)</f>
        <v>84.465202131952296</v>
      </c>
      <c r="O94" s="148"/>
    </row>
    <row r="95" spans="1:15" x14ac:dyDescent="0.2">
      <c r="A95" s="293" t="s">
        <v>13</v>
      </c>
      <c r="B95" s="234"/>
      <c r="C95" s="286"/>
      <c r="D95" s="166"/>
      <c r="E95" s="27"/>
      <c r="F95" s="278">
        <v>28278834.324567299</v>
      </c>
      <c r="G95" s="278">
        <v>29479901.849984799</v>
      </c>
      <c r="H95" s="253">
        <f t="shared" si="14"/>
        <v>4.2</v>
      </c>
      <c r="I95" s="412">
        <f>IFERROR(100/'Skjema total MA'!F95*G95,0)</f>
        <v>12.179303185295467</v>
      </c>
      <c r="J95" s="287">
        <f t="shared" si="24"/>
        <v>28278834.324567299</v>
      </c>
      <c r="K95" s="287">
        <f t="shared" si="24"/>
        <v>29479901.849984799</v>
      </c>
      <c r="L95" s="253">
        <f t="shared" si="16"/>
        <v>4.2</v>
      </c>
      <c r="M95" s="23">
        <f>IFERROR(100/'Skjema total MA'!I95*K95,0)</f>
        <v>12.179303185295467</v>
      </c>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v>31192.451000000001</v>
      </c>
      <c r="C97" s="145">
        <v>120238.372</v>
      </c>
      <c r="D97" s="166">
        <f t="shared" ref="D97" si="26">IF(B97=0, "    ---- ", IF(ABS(ROUND(100/B97*C97-100,1))&lt;999,ROUND(100/B97*C97-100,1),IF(ROUND(100/B97*C97-100,1)&gt;999,999,-999)))</f>
        <v>285.5</v>
      </c>
      <c r="E97" s="27">
        <f>IFERROR(100/'Skjema total MA'!C97*C97,0)</f>
        <v>2.2154946183427655</v>
      </c>
      <c r="F97" s="233"/>
      <c r="G97" s="145"/>
      <c r="H97" s="166"/>
      <c r="I97" s="27"/>
      <c r="J97" s="284">
        <f t="shared" ref="J97" si="27">SUM(B97,F97)</f>
        <v>31192.451000000001</v>
      </c>
      <c r="K97" s="44">
        <f t="shared" ref="K97" si="28">SUM(C97,G97)</f>
        <v>120238.372</v>
      </c>
      <c r="L97" s="253">
        <f t="shared" ref="L97" si="29">IF(J97=0, "    ---- ", IF(ABS(ROUND(100/J97*K97-100,1))&lt;999,ROUND(100/J97*K97-100,1),IF(ROUND(100/J97*K97-100,1)&gt;999,999,-999)))</f>
        <v>285.5</v>
      </c>
      <c r="M97" s="27">
        <f>IFERROR(100/'Skjema total MA'!I97*K97,0)</f>
        <v>2.2154946183427655</v>
      </c>
      <c r="O97" s="148"/>
    </row>
    <row r="98" spans="1:15" ht="15.75" x14ac:dyDescent="0.2">
      <c r="A98" s="21" t="s">
        <v>473</v>
      </c>
      <c r="B98" s="233">
        <v>44690730.480100699</v>
      </c>
      <c r="C98" s="233">
        <v>45183165.923622198</v>
      </c>
      <c r="D98" s="166">
        <f t="shared" si="13"/>
        <v>1.1000000000000001</v>
      </c>
      <c r="E98" s="27">
        <f>IFERROR(100/'Skjema total MA'!C98*C98,0)</f>
        <v>12.044984202737231</v>
      </c>
      <c r="F98" s="289">
        <v>31194860.221647579</v>
      </c>
      <c r="G98" s="289">
        <v>32113048.39571565</v>
      </c>
      <c r="H98" s="166">
        <f t="shared" si="14"/>
        <v>2.9</v>
      </c>
      <c r="I98" s="27">
        <f>IFERROR(100/'Skjema total MA'!F98*G98,0)</f>
        <v>13.127792764944257</v>
      </c>
      <c r="J98" s="284">
        <f t="shared" si="24"/>
        <v>75885590.701748282</v>
      </c>
      <c r="K98" s="44">
        <f t="shared" si="24"/>
        <v>77296214.319337845</v>
      </c>
      <c r="L98" s="253">
        <f t="shared" si="16"/>
        <v>1.9</v>
      </c>
      <c r="M98" s="27">
        <f>IFERROR(100/'Skjema total MA'!I98*K98,0)</f>
        <v>12.472382410333907</v>
      </c>
      <c r="O98" s="148"/>
    </row>
    <row r="99" spans="1:15" x14ac:dyDescent="0.2">
      <c r="A99" s="21" t="s">
        <v>9</v>
      </c>
      <c r="B99" s="289">
        <v>43624471.825100698</v>
      </c>
      <c r="C99" s="290">
        <v>44121477.533622198</v>
      </c>
      <c r="D99" s="166">
        <f t="shared" si="13"/>
        <v>1.1000000000000001</v>
      </c>
      <c r="E99" s="27">
        <f>IFERROR(100/'Skjema total MA'!C99*C99,0)</f>
        <v>11.847862604323659</v>
      </c>
      <c r="F99" s="233">
        <v>0</v>
      </c>
      <c r="G99" s="145">
        <v>0</v>
      </c>
      <c r="H99" s="166" t="str">
        <f t="shared" si="14"/>
        <v xml:space="preserve">    ---- </v>
      </c>
      <c r="I99" s="27">
        <f>IFERROR(100/'Skjema total MA'!F99*G99,0)</f>
        <v>0</v>
      </c>
      <c r="J99" s="284">
        <f t="shared" si="24"/>
        <v>43624471.825100698</v>
      </c>
      <c r="K99" s="44">
        <f t="shared" si="24"/>
        <v>44121477.533622198</v>
      </c>
      <c r="L99" s="253">
        <f t="shared" si="16"/>
        <v>1.1000000000000001</v>
      </c>
      <c r="M99" s="27">
        <f>IFERROR(100/'Skjema total MA'!I99*K99,0)</f>
        <v>11.847862604323659</v>
      </c>
      <c r="O99" s="148"/>
    </row>
    <row r="100" spans="1:15" x14ac:dyDescent="0.2">
      <c r="A100" s="21" t="s">
        <v>10</v>
      </c>
      <c r="B100" s="289">
        <v>1066258.655</v>
      </c>
      <c r="C100" s="290">
        <v>1061688.3899999999</v>
      </c>
      <c r="D100" s="166">
        <f t="shared" si="13"/>
        <v>-0.4</v>
      </c>
      <c r="E100" s="27">
        <f>IFERROR(100/'Skjema total MA'!C100*C100,0)</f>
        <v>39.034642971478966</v>
      </c>
      <c r="F100" s="233">
        <v>31194860.221647579</v>
      </c>
      <c r="G100" s="233">
        <v>32113048.39571565</v>
      </c>
      <c r="H100" s="166">
        <f t="shared" si="14"/>
        <v>2.9</v>
      </c>
      <c r="I100" s="27">
        <f>IFERROR(100/'Skjema total MA'!F100*G100,0)</f>
        <v>13.127792764944257</v>
      </c>
      <c r="J100" s="284">
        <f t="shared" si="24"/>
        <v>32261118.87664758</v>
      </c>
      <c r="K100" s="44">
        <f t="shared" si="24"/>
        <v>33174736.785715651</v>
      </c>
      <c r="L100" s="253">
        <f t="shared" si="16"/>
        <v>2.8</v>
      </c>
      <c r="M100" s="27">
        <f>IFERROR(100/'Skjema total MA'!I100*K100,0)</f>
        <v>13.412677693164053</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v>1066258.655</v>
      </c>
      <c r="C104" s="278">
        <v>1061688.3899999999</v>
      </c>
      <c r="D104" s="253">
        <f t="shared" ref="D104" si="30">IF(B104=0, "    ---- ", IF(ABS(ROUND(100/B104*C104-100,1))&lt;999,ROUND(100/B104*C104-100,1),IF(ROUND(100/B104*C104-100,1)&gt;999,999,-999)))</f>
        <v>-0.4</v>
      </c>
      <c r="E104" s="27">
        <f>IFERROR(100/'Skjema total MA'!C104*C104,0)</f>
        <v>39.034642971478966</v>
      </c>
      <c r="F104" s="278">
        <v>31194860.221647579</v>
      </c>
      <c r="G104" s="278">
        <v>32113048.39571565</v>
      </c>
      <c r="H104" s="253">
        <f t="shared" si="14"/>
        <v>2.9</v>
      </c>
      <c r="I104" s="412">
        <f>IFERROR(100/'Skjema total MA'!F104*G104,0)</f>
        <v>13.127792764944257</v>
      </c>
      <c r="J104" s="287">
        <f t="shared" si="24"/>
        <v>32261118.87664758</v>
      </c>
      <c r="K104" s="287">
        <f t="shared" si="24"/>
        <v>33174736.785715651</v>
      </c>
      <c r="L104" s="253">
        <f t="shared" si="16"/>
        <v>2.8</v>
      </c>
      <c r="M104" s="23">
        <f>IFERROR(100/'Skjema total MA'!I104*K104,0)</f>
        <v>13.412677693164053</v>
      </c>
      <c r="O104" s="148"/>
    </row>
    <row r="105" spans="1:15" x14ac:dyDescent="0.2">
      <c r="A105" s="293" t="s">
        <v>12</v>
      </c>
      <c r="B105" s="234"/>
      <c r="C105" s="286"/>
      <c r="D105" s="166"/>
      <c r="E105" s="27"/>
      <c r="F105" s="278">
        <v>2916025.8970802799</v>
      </c>
      <c r="G105" s="278">
        <v>2633146.5457308502</v>
      </c>
      <c r="H105" s="253">
        <f t="shared" si="14"/>
        <v>-9.6999999999999993</v>
      </c>
      <c r="I105" s="412">
        <f>IFERROR(100/'Skjema total MA'!F105*G105,0)</f>
        <v>100</v>
      </c>
      <c r="J105" s="287">
        <f t="shared" si="24"/>
        <v>2916025.8970802799</v>
      </c>
      <c r="K105" s="287">
        <f t="shared" si="24"/>
        <v>2633146.5457308502</v>
      </c>
      <c r="L105" s="253">
        <f t="shared" si="16"/>
        <v>-9.6999999999999993</v>
      </c>
      <c r="M105" s="23">
        <f>IFERROR(100/'Skjema total MA'!I105*K105,0)</f>
        <v>100</v>
      </c>
      <c r="O105" s="148"/>
    </row>
    <row r="106" spans="1:15" x14ac:dyDescent="0.2">
      <c r="A106" s="293" t="s">
        <v>13</v>
      </c>
      <c r="B106" s="234"/>
      <c r="C106" s="286"/>
      <c r="D106" s="166"/>
      <c r="E106" s="27"/>
      <c r="F106" s="278">
        <v>28278834.324567299</v>
      </c>
      <c r="G106" s="278">
        <v>29479901.849984799</v>
      </c>
      <c r="H106" s="253">
        <f t="shared" si="14"/>
        <v>4.2</v>
      </c>
      <c r="I106" s="412">
        <f>IFERROR(100/'Skjema total MA'!F106*G106,0)</f>
        <v>12.182500122965953</v>
      </c>
      <c r="J106" s="287">
        <f t="shared" si="24"/>
        <v>28278834.324567299</v>
      </c>
      <c r="K106" s="287">
        <f t="shared" si="24"/>
        <v>29479901.849984799</v>
      </c>
      <c r="L106" s="253">
        <f t="shared" si="16"/>
        <v>4.2</v>
      </c>
      <c r="M106" s="23">
        <f>IFERROR(100/'Skjema total MA'!I106*K106,0)</f>
        <v>12.182500122965953</v>
      </c>
      <c r="O106" s="148"/>
    </row>
    <row r="107" spans="1:15" ht="15.75" x14ac:dyDescent="0.2">
      <c r="A107" s="21" t="s">
        <v>474</v>
      </c>
      <c r="B107" s="233">
        <v>60896.699000000001</v>
      </c>
      <c r="C107" s="145">
        <v>16075.49</v>
      </c>
      <c r="D107" s="166">
        <f t="shared" si="13"/>
        <v>-73.599999999999994</v>
      </c>
      <c r="E107" s="27">
        <f>IFERROR(100/'Skjema total MA'!C107*C107,0)</f>
        <v>0.32716467121634552</v>
      </c>
      <c r="F107" s="233">
        <v>11954.121999999999</v>
      </c>
      <c r="G107" s="145">
        <v>20800.458999999999</v>
      </c>
      <c r="H107" s="166">
        <f t="shared" si="14"/>
        <v>74</v>
      </c>
      <c r="I107" s="27">
        <f>IFERROR(100/'Skjema total MA'!F107*G107,0)</f>
        <v>3.0573932652361213</v>
      </c>
      <c r="J107" s="284">
        <f t="shared" si="24"/>
        <v>72850.820999999996</v>
      </c>
      <c r="K107" s="44">
        <f t="shared" si="24"/>
        <v>36875.949000000001</v>
      </c>
      <c r="L107" s="253">
        <f t="shared" si="16"/>
        <v>-49.4</v>
      </c>
      <c r="M107" s="27">
        <f>IFERROR(100/'Skjema total MA'!I107*K107,0)</f>
        <v>0.65921590179197631</v>
      </c>
      <c r="O107" s="148"/>
    </row>
    <row r="108" spans="1:15" ht="15.75" x14ac:dyDescent="0.2">
      <c r="A108" s="21" t="s">
        <v>475</v>
      </c>
      <c r="B108" s="233">
        <v>33292468.6186269</v>
      </c>
      <c r="C108" s="233">
        <v>34758516.609994002</v>
      </c>
      <c r="D108" s="166">
        <f t="shared" si="13"/>
        <v>4.4000000000000004</v>
      </c>
      <c r="E108" s="27">
        <f>IFERROR(100/'Skjema total MA'!C108*C108,0)</f>
        <v>11.171668139142373</v>
      </c>
      <c r="F108" s="233"/>
      <c r="G108" s="233"/>
      <c r="H108" s="166"/>
      <c r="I108" s="27"/>
      <c r="J108" s="284">
        <f t="shared" si="24"/>
        <v>33292468.6186269</v>
      </c>
      <c r="K108" s="44">
        <f t="shared" si="24"/>
        <v>34758516.609994002</v>
      </c>
      <c r="L108" s="253">
        <f t="shared" si="16"/>
        <v>4.4000000000000004</v>
      </c>
      <c r="M108" s="27">
        <f>IFERROR(100/'Skjema total MA'!I108*K108,0)</f>
        <v>10.655427449122643</v>
      </c>
      <c r="O108" s="148"/>
    </row>
    <row r="109" spans="1:15" ht="15.75" x14ac:dyDescent="0.2">
      <c r="A109" s="21" t="s">
        <v>476</v>
      </c>
      <c r="B109" s="233">
        <v>389170.46100000001</v>
      </c>
      <c r="C109" s="233">
        <v>473791.04191715899</v>
      </c>
      <c r="D109" s="166">
        <f t="shared" si="13"/>
        <v>21.7</v>
      </c>
      <c r="E109" s="27">
        <f>IFERROR(100/'Skjema total MA'!C109*C109,0)</f>
        <v>53.507087042423507</v>
      </c>
      <c r="F109" s="233">
        <v>12705282.8606354</v>
      </c>
      <c r="G109" s="233">
        <v>13711786.726317</v>
      </c>
      <c r="H109" s="166">
        <f t="shared" si="14"/>
        <v>7.9</v>
      </c>
      <c r="I109" s="27">
        <f>IFERROR(100/'Skjema total MA'!F109*G109,0)</f>
        <v>17.032138967058827</v>
      </c>
      <c r="J109" s="284">
        <f t="shared" si="24"/>
        <v>13094453.321635399</v>
      </c>
      <c r="K109" s="44">
        <f t="shared" si="24"/>
        <v>14185577.768234158</v>
      </c>
      <c r="L109" s="253">
        <f t="shared" si="16"/>
        <v>8.3000000000000007</v>
      </c>
      <c r="M109" s="27">
        <f>IFERROR(100/'Skjema total MA'!I109*K109,0)</f>
        <v>17.4289599813325</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v>12147.332</v>
      </c>
      <c r="C111" s="159">
        <v>11838.325000000001</v>
      </c>
      <c r="D111" s="171">
        <f t="shared" si="13"/>
        <v>-2.5</v>
      </c>
      <c r="E111" s="11">
        <f>IFERROR(100/'Skjema total MA'!C111*C111,0)</f>
        <v>2.1928962733891471</v>
      </c>
      <c r="F111" s="305">
        <v>956574.95299999998</v>
      </c>
      <c r="G111" s="159">
        <v>2285949.7395100002</v>
      </c>
      <c r="H111" s="171">
        <f t="shared" si="14"/>
        <v>139</v>
      </c>
      <c r="I111" s="11">
        <f>IFERROR(100/'Skjema total MA'!F111*G111,0)</f>
        <v>18.292030217840594</v>
      </c>
      <c r="J111" s="306">
        <f t="shared" si="24"/>
        <v>968722.28500000003</v>
      </c>
      <c r="K111" s="235">
        <f t="shared" si="24"/>
        <v>2297788.0645100004</v>
      </c>
      <c r="L111" s="423">
        <f t="shared" si="16"/>
        <v>137.19999999999999</v>
      </c>
      <c r="M111" s="11">
        <f>IFERROR(100/'Skjema total MA'!I111*K111,0)</f>
        <v>17.625372342405452</v>
      </c>
      <c r="O111" s="148"/>
    </row>
    <row r="112" spans="1:15" x14ac:dyDescent="0.2">
      <c r="A112" s="21" t="s">
        <v>9</v>
      </c>
      <c r="B112" s="233">
        <v>12147.332</v>
      </c>
      <c r="C112" s="145">
        <v>11838.325000000001</v>
      </c>
      <c r="D112" s="166">
        <f t="shared" ref="D112:D120" si="31">IF(B112=0, "    ---- ", IF(ABS(ROUND(100/B112*C112-100,1))&lt;999,ROUND(100/B112*C112-100,1),IF(ROUND(100/B112*C112-100,1)&gt;999,999,-999)))</f>
        <v>-2.5</v>
      </c>
      <c r="E112" s="27">
        <f>IFERROR(100/'Skjema total MA'!C112*C112,0)</f>
        <v>2.4812532928615809</v>
      </c>
      <c r="F112" s="233"/>
      <c r="G112" s="145"/>
      <c r="H112" s="166"/>
      <c r="I112" s="27"/>
      <c r="J112" s="284">
        <f t="shared" ref="J112:K125" si="32">SUM(B112,F112)</f>
        <v>12147.332</v>
      </c>
      <c r="K112" s="44">
        <f t="shared" si="32"/>
        <v>11838.325000000001</v>
      </c>
      <c r="L112" s="253">
        <f t="shared" ref="L112:L125" si="33">IF(J112=0, "    ---- ", IF(ABS(ROUND(100/J112*K112-100,1))&lt;999,ROUND(100/J112*K112-100,1),IF(ROUND(100/J112*K112-100,1)&gt;999,999,-999)))</f>
        <v>-2.5</v>
      </c>
      <c r="M112" s="27">
        <f>IFERROR(100/'Skjema total MA'!I112*K112,0)</f>
        <v>2.4663415453188406</v>
      </c>
      <c r="O112" s="148"/>
    </row>
    <row r="113" spans="1:15" x14ac:dyDescent="0.2">
      <c r="A113" s="21" t="s">
        <v>10</v>
      </c>
      <c r="B113" s="233"/>
      <c r="C113" s="145"/>
      <c r="D113" s="166"/>
      <c r="E113" s="27"/>
      <c r="F113" s="233">
        <v>956574.95299999998</v>
      </c>
      <c r="G113" s="145">
        <v>2285949.7395100002</v>
      </c>
      <c r="H113" s="166">
        <f t="shared" ref="H113:H125" si="34">IF(F113=0, "    ---- ", IF(ABS(ROUND(100/F113*G113-100,1))&lt;999,ROUND(100/F113*G113-100,1),IF(ROUND(100/F113*G113-100,1)&gt;999,999,-999)))</f>
        <v>139</v>
      </c>
      <c r="I113" s="27">
        <f>IFERROR(100/'Skjema total MA'!F113*G113,0)</f>
        <v>18.353859668675689</v>
      </c>
      <c r="J113" s="284">
        <f t="shared" si="32"/>
        <v>956574.95299999998</v>
      </c>
      <c r="K113" s="44">
        <f t="shared" si="32"/>
        <v>2285949.7395100002</v>
      </c>
      <c r="L113" s="253">
        <f t="shared" si="33"/>
        <v>139</v>
      </c>
      <c r="M113" s="27">
        <f>IFERROR(100/'Skjema total MA'!I113*K113,0)</f>
        <v>18.35044671986817</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v>0</v>
      </c>
      <c r="C115" s="278">
        <v>2970.64</v>
      </c>
      <c r="D115" s="253" t="str">
        <f t="shared" si="31"/>
        <v xml:space="preserve">    ---- </v>
      </c>
      <c r="E115" s="27">
        <f>IFERROR(100/'Skjema total MA'!C115*C115,0)</f>
        <v>100</v>
      </c>
      <c r="F115" s="278"/>
      <c r="G115" s="278"/>
      <c r="H115" s="253"/>
      <c r="I115" s="412"/>
      <c r="J115" s="287">
        <f t="shared" si="32"/>
        <v>0</v>
      </c>
      <c r="K115" s="287">
        <f t="shared" si="32"/>
        <v>2970.64</v>
      </c>
      <c r="L115" s="253" t="str">
        <f t="shared" si="33"/>
        <v xml:space="preserve">    ---- </v>
      </c>
      <c r="M115" s="23">
        <f>IFERROR(100/'Skjema total MA'!I115*K115,0)</f>
        <v>0.57301509826036912</v>
      </c>
      <c r="O115" s="148"/>
    </row>
    <row r="116" spans="1:15" ht="15.75" x14ac:dyDescent="0.2">
      <c r="A116" s="21" t="s">
        <v>478</v>
      </c>
      <c r="B116" s="233">
        <v>4142.9719999999998</v>
      </c>
      <c r="C116" s="233">
        <v>2970.6379999999999</v>
      </c>
      <c r="D116" s="166">
        <f t="shared" si="31"/>
        <v>-28.3</v>
      </c>
      <c r="E116" s="27">
        <f>IFERROR(100/'Skjema total MA'!C116*C116,0)</f>
        <v>1.3711393472204705</v>
      </c>
      <c r="F116" s="233"/>
      <c r="G116" s="233"/>
      <c r="H116" s="166"/>
      <c r="I116" s="27"/>
      <c r="J116" s="284">
        <f t="shared" si="32"/>
        <v>4142.9719999999998</v>
      </c>
      <c r="K116" s="44">
        <f t="shared" si="32"/>
        <v>2970.6379999999999</v>
      </c>
      <c r="L116" s="253">
        <f t="shared" si="33"/>
        <v>-28.3</v>
      </c>
      <c r="M116" s="27">
        <f>IFERROR(100/'Skjema total MA'!I116*K116,0)</f>
        <v>1.3531231278733802</v>
      </c>
      <c r="O116" s="148"/>
    </row>
    <row r="117" spans="1:15" ht="15.75" x14ac:dyDescent="0.2">
      <c r="A117" s="21" t="s">
        <v>479</v>
      </c>
      <c r="B117" s="233"/>
      <c r="C117" s="233"/>
      <c r="D117" s="166"/>
      <c r="E117" s="27"/>
      <c r="F117" s="233">
        <v>244834.65299999999</v>
      </c>
      <c r="G117" s="233">
        <v>234287.43900000001</v>
      </c>
      <c r="H117" s="166">
        <f t="shared" si="34"/>
        <v>-4.3</v>
      </c>
      <c r="I117" s="27">
        <f>IFERROR(100/'Skjema total MA'!F117*G117,0)</f>
        <v>10.59630162529141</v>
      </c>
      <c r="J117" s="284">
        <f t="shared" si="32"/>
        <v>244834.65299999999</v>
      </c>
      <c r="K117" s="44">
        <f t="shared" si="32"/>
        <v>234287.43900000001</v>
      </c>
      <c r="L117" s="253">
        <f t="shared" si="33"/>
        <v>-4.3</v>
      </c>
      <c r="M117" s="27">
        <f>IFERROR(100/'Skjema total MA'!I117*K117,0)</f>
        <v>10.59630162529141</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97344.195189999897</v>
      </c>
      <c r="C119" s="159">
        <v>152178.98306999999</v>
      </c>
      <c r="D119" s="171">
        <f t="shared" si="31"/>
        <v>56.3</v>
      </c>
      <c r="E119" s="11">
        <f>IFERROR(100/'Skjema total MA'!C119*C119,0)</f>
        <v>25.329249325979958</v>
      </c>
      <c r="F119" s="305">
        <v>2103384.6090000002</v>
      </c>
      <c r="G119" s="159">
        <v>3357332.38</v>
      </c>
      <c r="H119" s="171">
        <f t="shared" si="34"/>
        <v>59.6</v>
      </c>
      <c r="I119" s="11">
        <f>IFERROR(100/'Skjema total MA'!F119*G119,0)</f>
        <v>26.319038998186393</v>
      </c>
      <c r="J119" s="306">
        <f t="shared" si="32"/>
        <v>2200728.8041900001</v>
      </c>
      <c r="K119" s="235">
        <f t="shared" si="32"/>
        <v>3509511.36307</v>
      </c>
      <c r="L119" s="423">
        <f t="shared" si="33"/>
        <v>59.5</v>
      </c>
      <c r="M119" s="11">
        <f>IFERROR(100/'Skjema total MA'!I119*K119,0)</f>
        <v>26.274518154683882</v>
      </c>
      <c r="O119" s="148"/>
    </row>
    <row r="120" spans="1:15" x14ac:dyDescent="0.2">
      <c r="A120" s="21" t="s">
        <v>9</v>
      </c>
      <c r="B120" s="233">
        <v>97344.195189999897</v>
      </c>
      <c r="C120" s="145">
        <v>152178.98306999999</v>
      </c>
      <c r="D120" s="166">
        <f t="shared" si="31"/>
        <v>56.3</v>
      </c>
      <c r="E120" s="27">
        <f>IFERROR(100/'Skjema total MA'!C120*C120,0)</f>
        <v>33.627818280081023</v>
      </c>
      <c r="F120" s="233"/>
      <c r="G120" s="145"/>
      <c r="H120" s="166"/>
      <c r="I120" s="27"/>
      <c r="J120" s="284">
        <f t="shared" si="32"/>
        <v>97344.195189999897</v>
      </c>
      <c r="K120" s="44">
        <f t="shared" si="32"/>
        <v>152178.98306999999</v>
      </c>
      <c r="L120" s="253">
        <f t="shared" si="33"/>
        <v>56.3</v>
      </c>
      <c r="M120" s="27">
        <f>IFERROR(100/'Skjema total MA'!I120*K120,0)</f>
        <v>33.627818280081023</v>
      </c>
      <c r="O120" s="148"/>
    </row>
    <row r="121" spans="1:15" x14ac:dyDescent="0.2">
      <c r="A121" s="21" t="s">
        <v>10</v>
      </c>
      <c r="B121" s="233"/>
      <c r="C121" s="145"/>
      <c r="D121" s="166"/>
      <c r="E121" s="27"/>
      <c r="F121" s="233">
        <v>2103384.6090000002</v>
      </c>
      <c r="G121" s="145">
        <v>3357332.38</v>
      </c>
      <c r="H121" s="166">
        <f t="shared" si="34"/>
        <v>59.6</v>
      </c>
      <c r="I121" s="27">
        <f>IFERROR(100/'Skjema total MA'!F121*G121,0)</f>
        <v>26.319038998186393</v>
      </c>
      <c r="J121" s="284">
        <f t="shared" si="32"/>
        <v>2103384.6090000002</v>
      </c>
      <c r="K121" s="44">
        <f t="shared" si="32"/>
        <v>3357332.38</v>
      </c>
      <c r="L121" s="253">
        <f t="shared" si="33"/>
        <v>59.6</v>
      </c>
      <c r="M121" s="27">
        <f>IFERROR(100/'Skjema total MA'!I121*K121,0)</f>
        <v>26.24611046575307</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v>234989.766</v>
      </c>
      <c r="G125" s="233">
        <v>291338.87900000002</v>
      </c>
      <c r="H125" s="166">
        <f t="shared" si="34"/>
        <v>24</v>
      </c>
      <c r="I125" s="27">
        <f>IFERROR(100/'Skjema total MA'!F125*G125,0)</f>
        <v>13.658566370658221</v>
      </c>
      <c r="J125" s="284">
        <f t="shared" si="32"/>
        <v>234989.766</v>
      </c>
      <c r="K125" s="44">
        <f t="shared" si="32"/>
        <v>291338.87900000002</v>
      </c>
      <c r="L125" s="253">
        <f t="shared" si="33"/>
        <v>24</v>
      </c>
      <c r="M125" s="27">
        <f>IFERROR(100/'Skjema total MA'!I125*K125,0)</f>
        <v>13.635832043762768</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81" priority="139">
      <formula>kvartal &lt; 4</formula>
    </cfRule>
  </conditionalFormatting>
  <conditionalFormatting sqref="B69">
    <cfRule type="expression" dxfId="1380" priority="107">
      <formula>kvartal &lt; 4</formula>
    </cfRule>
  </conditionalFormatting>
  <conditionalFormatting sqref="C69">
    <cfRule type="expression" dxfId="1379" priority="106">
      <formula>kvartal &lt; 4</formula>
    </cfRule>
  </conditionalFormatting>
  <conditionalFormatting sqref="B72">
    <cfRule type="expression" dxfId="1378" priority="105">
      <formula>kvartal &lt; 4</formula>
    </cfRule>
  </conditionalFormatting>
  <conditionalFormatting sqref="C72">
    <cfRule type="expression" dxfId="1377" priority="104">
      <formula>kvartal &lt; 4</formula>
    </cfRule>
  </conditionalFormatting>
  <conditionalFormatting sqref="B80">
    <cfRule type="expression" dxfId="1376" priority="103">
      <formula>kvartal &lt; 4</formula>
    </cfRule>
  </conditionalFormatting>
  <conditionalFormatting sqref="C80">
    <cfRule type="expression" dxfId="1375" priority="102">
      <formula>kvartal &lt; 4</formula>
    </cfRule>
  </conditionalFormatting>
  <conditionalFormatting sqref="B83">
    <cfRule type="expression" dxfId="1374" priority="101">
      <formula>kvartal &lt; 4</formula>
    </cfRule>
  </conditionalFormatting>
  <conditionalFormatting sqref="C83">
    <cfRule type="expression" dxfId="1373" priority="100">
      <formula>kvartal &lt; 4</formula>
    </cfRule>
  </conditionalFormatting>
  <conditionalFormatting sqref="B90">
    <cfRule type="expression" dxfId="1372" priority="91">
      <formula>kvartal &lt; 4</formula>
    </cfRule>
  </conditionalFormatting>
  <conditionalFormatting sqref="C90">
    <cfRule type="expression" dxfId="1371" priority="90">
      <formula>kvartal &lt; 4</formula>
    </cfRule>
  </conditionalFormatting>
  <conditionalFormatting sqref="B93">
    <cfRule type="expression" dxfId="1370" priority="89">
      <formula>kvartal &lt; 4</formula>
    </cfRule>
  </conditionalFormatting>
  <conditionalFormatting sqref="C93">
    <cfRule type="expression" dxfId="1369" priority="88">
      <formula>kvartal &lt; 4</formula>
    </cfRule>
  </conditionalFormatting>
  <conditionalFormatting sqref="B101">
    <cfRule type="expression" dxfId="1368" priority="87">
      <formula>kvartal &lt; 4</formula>
    </cfRule>
  </conditionalFormatting>
  <conditionalFormatting sqref="C101">
    <cfRule type="expression" dxfId="1367" priority="86">
      <formula>kvartal &lt; 4</formula>
    </cfRule>
  </conditionalFormatting>
  <conditionalFormatting sqref="B104">
    <cfRule type="expression" dxfId="1366" priority="85">
      <formula>kvartal &lt; 4</formula>
    </cfRule>
  </conditionalFormatting>
  <conditionalFormatting sqref="C104">
    <cfRule type="expression" dxfId="1365" priority="84">
      <formula>kvartal &lt; 4</formula>
    </cfRule>
  </conditionalFormatting>
  <conditionalFormatting sqref="B115">
    <cfRule type="expression" dxfId="1364" priority="83">
      <formula>kvartal &lt; 4</formula>
    </cfRule>
  </conditionalFormatting>
  <conditionalFormatting sqref="C115">
    <cfRule type="expression" dxfId="1363" priority="82">
      <formula>kvartal &lt; 4</formula>
    </cfRule>
  </conditionalFormatting>
  <conditionalFormatting sqref="B123">
    <cfRule type="expression" dxfId="1362" priority="81">
      <formula>kvartal &lt; 4</formula>
    </cfRule>
  </conditionalFormatting>
  <conditionalFormatting sqref="C123">
    <cfRule type="expression" dxfId="1361" priority="80">
      <formula>kvartal &lt; 4</formula>
    </cfRule>
  </conditionalFormatting>
  <conditionalFormatting sqref="F70">
    <cfRule type="expression" dxfId="1360" priority="79">
      <formula>kvartal &lt; 4</formula>
    </cfRule>
  </conditionalFormatting>
  <conditionalFormatting sqref="G70">
    <cfRule type="expression" dxfId="1359" priority="78">
      <formula>kvartal &lt; 4</formula>
    </cfRule>
  </conditionalFormatting>
  <conditionalFormatting sqref="F71:G71">
    <cfRule type="expression" dxfId="1358" priority="77">
      <formula>kvartal &lt; 4</formula>
    </cfRule>
  </conditionalFormatting>
  <conditionalFormatting sqref="F73:G74">
    <cfRule type="expression" dxfId="1357" priority="76">
      <formula>kvartal &lt; 4</formula>
    </cfRule>
  </conditionalFormatting>
  <conditionalFormatting sqref="F81:G82">
    <cfRule type="expression" dxfId="1356" priority="75">
      <formula>kvartal &lt; 4</formula>
    </cfRule>
  </conditionalFormatting>
  <conditionalFormatting sqref="F84:G85">
    <cfRule type="expression" dxfId="1355" priority="74">
      <formula>kvartal &lt; 4</formula>
    </cfRule>
  </conditionalFormatting>
  <conditionalFormatting sqref="F91:G92">
    <cfRule type="expression" dxfId="1354" priority="69">
      <formula>kvartal &lt; 4</formula>
    </cfRule>
  </conditionalFormatting>
  <conditionalFormatting sqref="F94:G95">
    <cfRule type="expression" dxfId="1353" priority="68">
      <formula>kvartal &lt; 4</formula>
    </cfRule>
  </conditionalFormatting>
  <conditionalFormatting sqref="F102:G103">
    <cfRule type="expression" dxfId="1352" priority="67">
      <formula>kvartal &lt; 4</formula>
    </cfRule>
  </conditionalFormatting>
  <conditionalFormatting sqref="F105:G106">
    <cfRule type="expression" dxfId="1351" priority="66">
      <formula>kvartal &lt; 4</formula>
    </cfRule>
  </conditionalFormatting>
  <conditionalFormatting sqref="F115">
    <cfRule type="expression" dxfId="1350" priority="65">
      <formula>kvartal &lt; 4</formula>
    </cfRule>
  </conditionalFormatting>
  <conditionalFormatting sqref="G115">
    <cfRule type="expression" dxfId="1349" priority="64">
      <formula>kvartal &lt; 4</formula>
    </cfRule>
  </conditionalFormatting>
  <conditionalFormatting sqref="F123:G123">
    <cfRule type="expression" dxfId="1348" priority="63">
      <formula>kvartal &lt; 4</formula>
    </cfRule>
  </conditionalFormatting>
  <conditionalFormatting sqref="F69:G69">
    <cfRule type="expression" dxfId="1347" priority="62">
      <formula>kvartal &lt; 4</formula>
    </cfRule>
  </conditionalFormatting>
  <conditionalFormatting sqref="F72:G72">
    <cfRule type="expression" dxfId="1346" priority="61">
      <formula>kvartal &lt; 4</formula>
    </cfRule>
  </conditionalFormatting>
  <conditionalFormatting sqref="F80:G80">
    <cfRule type="expression" dxfId="1345" priority="60">
      <formula>kvartal &lt; 4</formula>
    </cfRule>
  </conditionalFormatting>
  <conditionalFormatting sqref="F83:G83">
    <cfRule type="expression" dxfId="1344" priority="59">
      <formula>kvartal &lt; 4</formula>
    </cfRule>
  </conditionalFormatting>
  <conditionalFormatting sqref="F90:G90">
    <cfRule type="expression" dxfId="1343" priority="53">
      <formula>kvartal &lt; 4</formula>
    </cfRule>
  </conditionalFormatting>
  <conditionalFormatting sqref="F93">
    <cfRule type="expression" dxfId="1342" priority="52">
      <formula>kvartal &lt; 4</formula>
    </cfRule>
  </conditionalFormatting>
  <conditionalFormatting sqref="G93">
    <cfRule type="expression" dxfId="1341" priority="51">
      <formula>kvartal &lt; 4</formula>
    </cfRule>
  </conditionalFormatting>
  <conditionalFormatting sqref="F101">
    <cfRule type="expression" dxfId="1340" priority="50">
      <formula>kvartal &lt; 4</formula>
    </cfRule>
  </conditionalFormatting>
  <conditionalFormatting sqref="G101">
    <cfRule type="expression" dxfId="1339" priority="49">
      <formula>kvartal &lt; 4</formula>
    </cfRule>
  </conditionalFormatting>
  <conditionalFormatting sqref="G104">
    <cfRule type="expression" dxfId="1338" priority="48">
      <formula>kvartal &lt; 4</formula>
    </cfRule>
  </conditionalFormatting>
  <conditionalFormatting sqref="F104">
    <cfRule type="expression" dxfId="1337" priority="47">
      <formula>kvartal &lt; 4</formula>
    </cfRule>
  </conditionalFormatting>
  <conditionalFormatting sqref="J69">
    <cfRule type="expression" dxfId="1336" priority="46">
      <formula>kvartal &lt; 4</formula>
    </cfRule>
  </conditionalFormatting>
  <conditionalFormatting sqref="A50:A52">
    <cfRule type="expression" dxfId="1335" priority="19">
      <formula>kvartal &lt; 4</formula>
    </cfRule>
  </conditionalFormatting>
  <conditionalFormatting sqref="A69:A74">
    <cfRule type="expression" dxfId="1334" priority="17">
      <formula>kvartal &lt; 4</formula>
    </cfRule>
  </conditionalFormatting>
  <conditionalFormatting sqref="A80:A85">
    <cfRule type="expression" dxfId="1333" priority="16">
      <formula>kvartal &lt; 4</formula>
    </cfRule>
  </conditionalFormatting>
  <conditionalFormatting sqref="A90:A95">
    <cfRule type="expression" dxfId="1332" priority="13">
      <formula>kvartal &lt; 4</formula>
    </cfRule>
  </conditionalFormatting>
  <conditionalFormatting sqref="A101:A106">
    <cfRule type="expression" dxfId="1331" priority="12">
      <formula>kvartal &lt; 4</formula>
    </cfRule>
  </conditionalFormatting>
  <conditionalFormatting sqref="A115">
    <cfRule type="expression" dxfId="1330" priority="11">
      <formula>kvartal &lt; 4</formula>
    </cfRule>
  </conditionalFormatting>
  <conditionalFormatting sqref="A123">
    <cfRule type="expression" dxfId="1329" priority="10">
      <formula>kvartal &lt; 4</formula>
    </cfRule>
  </conditionalFormatting>
  <conditionalFormatting sqref="J70:J74">
    <cfRule type="expression" dxfId="1328" priority="7">
      <formula>kvartal &lt; 4</formula>
    </cfRule>
  </conditionalFormatting>
  <conditionalFormatting sqref="K69:K74">
    <cfRule type="expression" dxfId="1327" priority="6">
      <formula>kvartal &lt; 4</formula>
    </cfRule>
  </conditionalFormatting>
  <conditionalFormatting sqref="J80:K85">
    <cfRule type="expression" dxfId="1326" priority="5">
      <formula>kvartal &lt; 4</formula>
    </cfRule>
  </conditionalFormatting>
  <conditionalFormatting sqref="J90:K95">
    <cfRule type="expression" dxfId="1325" priority="4">
      <formula>kvartal &lt; 4</formula>
    </cfRule>
  </conditionalFormatting>
  <conditionalFormatting sqref="J101:K106">
    <cfRule type="expression" dxfId="1324" priority="3">
      <formula>kvartal &lt; 4</formula>
    </cfRule>
  </conditionalFormatting>
  <conditionalFormatting sqref="J115:K115">
    <cfRule type="expression" dxfId="1323" priority="2">
      <formula>kvartal &lt; 4</formula>
    </cfRule>
  </conditionalFormatting>
  <conditionalFormatting sqref="J123:K123">
    <cfRule type="expression" dxfId="1322" priority="1">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100</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c r="C22" s="307"/>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307"/>
      <c r="C29" s="307"/>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32800</v>
      </c>
      <c r="C47" s="308">
        <v>32000</v>
      </c>
      <c r="D47" s="422">
        <f t="shared" ref="D47:D48" si="0">IF(B47=0, "    ---- ", IF(ABS(ROUND(100/B47*C47-100,1))&lt;999,ROUND(100/B47*C47-100,1),IF(ROUND(100/B47*C47-100,1)&gt;999,999,-999)))</f>
        <v>-2.4</v>
      </c>
      <c r="E47" s="11">
        <f>IFERROR(100/'Skjema total MA'!C47*C47,0)</f>
        <v>0.76231320501279598</v>
      </c>
      <c r="F47" s="145"/>
      <c r="G47" s="33"/>
      <c r="H47" s="159"/>
      <c r="I47" s="159"/>
      <c r="J47" s="37"/>
      <c r="K47" s="37"/>
      <c r="L47" s="159"/>
      <c r="M47" s="159"/>
      <c r="N47" s="148"/>
      <c r="O47" s="148"/>
    </row>
    <row r="48" spans="1:15" s="3" customFormat="1" ht="15.75" x14ac:dyDescent="0.2">
      <c r="A48" s="38" t="s">
        <v>467</v>
      </c>
      <c r="B48" s="278">
        <v>32800</v>
      </c>
      <c r="C48" s="279">
        <v>32000</v>
      </c>
      <c r="D48" s="253">
        <f t="shared" si="0"/>
        <v>-2.4</v>
      </c>
      <c r="E48" s="27">
        <f>IFERROR(100/'Skjema total MA'!C48*C48,0)</f>
        <v>1.3686196724553852</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v>4116493</v>
      </c>
      <c r="C134" s="306">
        <v>4800000</v>
      </c>
      <c r="D134" s="347">
        <f t="shared" ref="D134:D136" si="1">IF(B134=0, "    ---- ", IF(ABS(ROUND(100/B134*C134-100,1))&lt;999,ROUND(100/B134*C134-100,1),IF(ROUND(100/B134*C134-100,1)&gt;999,999,-999)))</f>
        <v>16.600000000000001</v>
      </c>
      <c r="E134" s="11">
        <f>IFERROR(100/'Skjema total MA'!C134*C134,0)</f>
        <v>11.007277275029566</v>
      </c>
      <c r="F134" s="313"/>
      <c r="G134" s="314"/>
      <c r="H134" s="426"/>
      <c r="I134" s="24"/>
      <c r="J134" s="315">
        <f t="shared" ref="J134:K136" si="2">SUM(B134,F134)</f>
        <v>4116493</v>
      </c>
      <c r="K134" s="315">
        <f t="shared" si="2"/>
        <v>4800000</v>
      </c>
      <c r="L134" s="422">
        <f t="shared" ref="L134:L136" si="3">IF(J134=0, "    ---- ", IF(ABS(ROUND(100/J134*K134-100,1))&lt;999,ROUND(100/J134*K134-100,1),IF(ROUND(100/J134*K134-100,1)&gt;999,999,-999)))</f>
        <v>16.600000000000001</v>
      </c>
      <c r="M134" s="11">
        <f>IFERROR(100/'Skjema total MA'!I134*K134,0)</f>
        <v>10.969805796081889</v>
      </c>
      <c r="N134" s="148"/>
      <c r="O134" s="148"/>
    </row>
    <row r="135" spans="1:15" s="3" customFormat="1" ht="15.75" x14ac:dyDescent="0.2">
      <c r="A135" s="13" t="s">
        <v>485</v>
      </c>
      <c r="B135" s="235">
        <v>70125745</v>
      </c>
      <c r="C135" s="306">
        <v>74694000</v>
      </c>
      <c r="D135" s="171">
        <f t="shared" si="1"/>
        <v>6.5</v>
      </c>
      <c r="E135" s="11">
        <f>IFERROR(100/'Skjema total MA'!C135*C135,0)</f>
        <v>13.598190740357632</v>
      </c>
      <c r="F135" s="235"/>
      <c r="G135" s="306"/>
      <c r="H135" s="427"/>
      <c r="I135" s="24"/>
      <c r="J135" s="305">
        <f t="shared" si="2"/>
        <v>70125745</v>
      </c>
      <c r="K135" s="305">
        <f t="shared" si="2"/>
        <v>74694000</v>
      </c>
      <c r="L135" s="423">
        <f t="shared" si="3"/>
        <v>6.5</v>
      </c>
      <c r="M135" s="11">
        <f>IFERROR(100/'Skjema total MA'!I135*K135,0)</f>
        <v>13.538576561455082</v>
      </c>
      <c r="N135" s="148"/>
      <c r="O135" s="148"/>
    </row>
    <row r="136" spans="1:15" s="3" customFormat="1" ht="15.75" x14ac:dyDescent="0.2">
      <c r="A136" s="13" t="s">
        <v>482</v>
      </c>
      <c r="B136" s="235">
        <v>0</v>
      </c>
      <c r="C136" s="306">
        <v>313566</v>
      </c>
      <c r="D136" s="171" t="str">
        <f t="shared" si="1"/>
        <v xml:space="preserve">    ---- </v>
      </c>
      <c r="E136" s="11">
        <f>IFERROR(100/'Skjema total MA'!C136*C136,0)</f>
        <v>98.578096949470563</v>
      </c>
      <c r="F136" s="235"/>
      <c r="G136" s="306"/>
      <c r="H136" s="427"/>
      <c r="I136" s="24"/>
      <c r="J136" s="305">
        <f t="shared" si="2"/>
        <v>0</v>
      </c>
      <c r="K136" s="305">
        <f t="shared" si="2"/>
        <v>313566</v>
      </c>
      <c r="L136" s="423" t="str">
        <f t="shared" si="3"/>
        <v xml:space="preserve">    ---- </v>
      </c>
      <c r="M136" s="11">
        <f>IFERROR(100/'Skjema total MA'!I136*K136,0)</f>
        <v>98.581445302341336</v>
      </c>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21" priority="139">
      <formula>kvartal &lt; 4</formula>
    </cfRule>
  </conditionalFormatting>
  <conditionalFormatting sqref="B69">
    <cfRule type="expression" dxfId="1320" priority="107">
      <formula>kvartal &lt; 4</formula>
    </cfRule>
  </conditionalFormatting>
  <conditionalFormatting sqref="C69">
    <cfRule type="expression" dxfId="1319" priority="106">
      <formula>kvartal &lt; 4</formula>
    </cfRule>
  </conditionalFormatting>
  <conditionalFormatting sqref="B72">
    <cfRule type="expression" dxfId="1318" priority="105">
      <formula>kvartal &lt; 4</formula>
    </cfRule>
  </conditionalFormatting>
  <conditionalFormatting sqref="C72">
    <cfRule type="expression" dxfId="1317" priority="104">
      <formula>kvartal &lt; 4</formula>
    </cfRule>
  </conditionalFormatting>
  <conditionalFormatting sqref="B80">
    <cfRule type="expression" dxfId="1316" priority="103">
      <formula>kvartal &lt; 4</formula>
    </cfRule>
  </conditionalFormatting>
  <conditionalFormatting sqref="C80">
    <cfRule type="expression" dxfId="1315" priority="102">
      <formula>kvartal &lt; 4</formula>
    </cfRule>
  </conditionalFormatting>
  <conditionalFormatting sqref="B83">
    <cfRule type="expression" dxfId="1314" priority="101">
      <formula>kvartal &lt; 4</formula>
    </cfRule>
  </conditionalFormatting>
  <conditionalFormatting sqref="C83">
    <cfRule type="expression" dxfId="1313" priority="100">
      <formula>kvartal &lt; 4</formula>
    </cfRule>
  </conditionalFormatting>
  <conditionalFormatting sqref="B90">
    <cfRule type="expression" dxfId="1312" priority="91">
      <formula>kvartal &lt; 4</formula>
    </cfRule>
  </conditionalFormatting>
  <conditionalFormatting sqref="C90">
    <cfRule type="expression" dxfId="1311" priority="90">
      <formula>kvartal &lt; 4</formula>
    </cfRule>
  </conditionalFormatting>
  <conditionalFormatting sqref="B93">
    <cfRule type="expression" dxfId="1310" priority="89">
      <formula>kvartal &lt; 4</formula>
    </cfRule>
  </conditionalFormatting>
  <conditionalFormatting sqref="C93">
    <cfRule type="expression" dxfId="1309" priority="88">
      <formula>kvartal &lt; 4</formula>
    </cfRule>
  </conditionalFormatting>
  <conditionalFormatting sqref="B101">
    <cfRule type="expression" dxfId="1308" priority="87">
      <formula>kvartal &lt; 4</formula>
    </cfRule>
  </conditionalFormatting>
  <conditionalFormatting sqref="C101">
    <cfRule type="expression" dxfId="1307" priority="86">
      <formula>kvartal &lt; 4</formula>
    </cfRule>
  </conditionalFormatting>
  <conditionalFormatting sqref="B104">
    <cfRule type="expression" dxfId="1306" priority="85">
      <formula>kvartal &lt; 4</formula>
    </cfRule>
  </conditionalFormatting>
  <conditionalFormatting sqref="C104">
    <cfRule type="expression" dxfId="1305" priority="84">
      <formula>kvartal &lt; 4</formula>
    </cfRule>
  </conditionalFormatting>
  <conditionalFormatting sqref="B115">
    <cfRule type="expression" dxfId="1304" priority="83">
      <formula>kvartal &lt; 4</formula>
    </cfRule>
  </conditionalFormatting>
  <conditionalFormatting sqref="C115">
    <cfRule type="expression" dxfId="1303" priority="82">
      <formula>kvartal &lt; 4</formula>
    </cfRule>
  </conditionalFormatting>
  <conditionalFormatting sqref="B123">
    <cfRule type="expression" dxfId="1302" priority="81">
      <formula>kvartal &lt; 4</formula>
    </cfRule>
  </conditionalFormatting>
  <conditionalFormatting sqref="C123">
    <cfRule type="expression" dxfId="1301" priority="80">
      <formula>kvartal &lt; 4</formula>
    </cfRule>
  </conditionalFormatting>
  <conditionalFormatting sqref="F70">
    <cfRule type="expression" dxfId="1300" priority="79">
      <formula>kvartal &lt; 4</formula>
    </cfRule>
  </conditionalFormatting>
  <conditionalFormatting sqref="G70">
    <cfRule type="expression" dxfId="1299" priority="78">
      <formula>kvartal &lt; 4</formula>
    </cfRule>
  </conditionalFormatting>
  <conditionalFormatting sqref="F71:G71">
    <cfRule type="expression" dxfId="1298" priority="77">
      <formula>kvartal &lt; 4</formula>
    </cfRule>
  </conditionalFormatting>
  <conditionalFormatting sqref="F73:G74">
    <cfRule type="expression" dxfId="1297" priority="76">
      <formula>kvartal &lt; 4</formula>
    </cfRule>
  </conditionalFormatting>
  <conditionalFormatting sqref="F81:G82">
    <cfRule type="expression" dxfId="1296" priority="75">
      <formula>kvartal &lt; 4</formula>
    </cfRule>
  </conditionalFormatting>
  <conditionalFormatting sqref="F84:G85">
    <cfRule type="expression" dxfId="1295" priority="74">
      <formula>kvartal &lt; 4</formula>
    </cfRule>
  </conditionalFormatting>
  <conditionalFormatting sqref="F91:G92">
    <cfRule type="expression" dxfId="1294" priority="69">
      <formula>kvartal &lt; 4</formula>
    </cfRule>
  </conditionalFormatting>
  <conditionalFormatting sqref="F94:G95">
    <cfRule type="expression" dxfId="1293" priority="68">
      <formula>kvartal &lt; 4</formula>
    </cfRule>
  </conditionalFormatting>
  <conditionalFormatting sqref="F102:G103">
    <cfRule type="expression" dxfId="1292" priority="67">
      <formula>kvartal &lt; 4</formula>
    </cfRule>
  </conditionalFormatting>
  <conditionalFormatting sqref="F105:G106">
    <cfRule type="expression" dxfId="1291" priority="66">
      <formula>kvartal &lt; 4</formula>
    </cfRule>
  </conditionalFormatting>
  <conditionalFormatting sqref="F115">
    <cfRule type="expression" dxfId="1290" priority="65">
      <formula>kvartal &lt; 4</formula>
    </cfRule>
  </conditionalFormatting>
  <conditionalFormatting sqref="G115">
    <cfRule type="expression" dxfId="1289" priority="64">
      <formula>kvartal &lt; 4</formula>
    </cfRule>
  </conditionalFormatting>
  <conditionalFormatting sqref="F123:G123">
    <cfRule type="expression" dxfId="1288" priority="63">
      <formula>kvartal &lt; 4</formula>
    </cfRule>
  </conditionalFormatting>
  <conditionalFormatting sqref="F69:G69">
    <cfRule type="expression" dxfId="1287" priority="62">
      <formula>kvartal &lt; 4</formula>
    </cfRule>
  </conditionalFormatting>
  <conditionalFormatting sqref="F72:G72">
    <cfRule type="expression" dxfId="1286" priority="61">
      <formula>kvartal &lt; 4</formula>
    </cfRule>
  </conditionalFormatting>
  <conditionalFormatting sqref="F80:G80">
    <cfRule type="expression" dxfId="1285" priority="60">
      <formula>kvartal &lt; 4</formula>
    </cfRule>
  </conditionalFormatting>
  <conditionalFormatting sqref="F83:G83">
    <cfRule type="expression" dxfId="1284" priority="59">
      <formula>kvartal &lt; 4</formula>
    </cfRule>
  </conditionalFormatting>
  <conditionalFormatting sqref="F90:G90">
    <cfRule type="expression" dxfId="1283" priority="53">
      <formula>kvartal &lt; 4</formula>
    </cfRule>
  </conditionalFormatting>
  <conditionalFormatting sqref="F93">
    <cfRule type="expression" dxfId="1282" priority="52">
      <formula>kvartal &lt; 4</formula>
    </cfRule>
  </conditionalFormatting>
  <conditionalFormatting sqref="G93">
    <cfRule type="expression" dxfId="1281" priority="51">
      <formula>kvartal &lt; 4</formula>
    </cfRule>
  </conditionalFormatting>
  <conditionalFormatting sqref="F101">
    <cfRule type="expression" dxfId="1280" priority="50">
      <formula>kvartal &lt; 4</formula>
    </cfRule>
  </conditionalFormatting>
  <conditionalFormatting sqref="G101">
    <cfRule type="expression" dxfId="1279" priority="49">
      <formula>kvartal &lt; 4</formula>
    </cfRule>
  </conditionalFormatting>
  <conditionalFormatting sqref="G104">
    <cfRule type="expression" dxfId="1278" priority="48">
      <formula>kvartal &lt; 4</formula>
    </cfRule>
  </conditionalFormatting>
  <conditionalFormatting sqref="F104">
    <cfRule type="expression" dxfId="1277" priority="47">
      <formula>kvartal &lt; 4</formula>
    </cfRule>
  </conditionalFormatting>
  <conditionalFormatting sqref="J69">
    <cfRule type="expression" dxfId="1276" priority="46">
      <formula>kvartal &lt; 4</formula>
    </cfRule>
  </conditionalFormatting>
  <conditionalFormatting sqref="A50:A52">
    <cfRule type="expression" dxfId="1275" priority="19">
      <formula>kvartal &lt; 4</formula>
    </cfRule>
  </conditionalFormatting>
  <conditionalFormatting sqref="A69:A74">
    <cfRule type="expression" dxfId="1274" priority="17">
      <formula>kvartal &lt; 4</formula>
    </cfRule>
  </conditionalFormatting>
  <conditionalFormatting sqref="A80:A85">
    <cfRule type="expression" dxfId="1273" priority="16">
      <formula>kvartal &lt; 4</formula>
    </cfRule>
  </conditionalFormatting>
  <conditionalFormatting sqref="A90:A95">
    <cfRule type="expression" dxfId="1272" priority="13">
      <formula>kvartal &lt; 4</formula>
    </cfRule>
  </conditionalFormatting>
  <conditionalFormatting sqref="A101:A106">
    <cfRule type="expression" dxfId="1271" priority="12">
      <formula>kvartal &lt; 4</formula>
    </cfRule>
  </conditionalFormatting>
  <conditionalFormatting sqref="A115">
    <cfRule type="expression" dxfId="1270" priority="11">
      <formula>kvartal &lt; 4</formula>
    </cfRule>
  </conditionalFormatting>
  <conditionalFormatting sqref="A123">
    <cfRule type="expression" dxfId="1269" priority="10">
      <formula>kvartal &lt; 4</formula>
    </cfRule>
  </conditionalFormatting>
  <conditionalFormatting sqref="J70:J74">
    <cfRule type="expression" dxfId="1268" priority="7">
      <formula>kvartal &lt; 4</formula>
    </cfRule>
  </conditionalFormatting>
  <conditionalFormatting sqref="K69:K74">
    <cfRule type="expression" dxfId="1267" priority="6">
      <formula>kvartal &lt; 4</formula>
    </cfRule>
  </conditionalFormatting>
  <conditionalFormatting sqref="J80:K85">
    <cfRule type="expression" dxfId="1266" priority="5">
      <formula>kvartal &lt; 4</formula>
    </cfRule>
  </conditionalFormatting>
  <conditionalFormatting sqref="J90:K95">
    <cfRule type="expression" dxfId="1265" priority="4">
      <formula>kvartal &lt; 4</formula>
    </cfRule>
  </conditionalFormatting>
  <conditionalFormatting sqref="J101:K106">
    <cfRule type="expression" dxfId="1264" priority="3">
      <formula>kvartal &lt; 4</formula>
    </cfRule>
  </conditionalFormatting>
  <conditionalFormatting sqref="J115:K115">
    <cfRule type="expression" dxfId="1263" priority="2">
      <formula>kvartal &lt; 4</formula>
    </cfRule>
  </conditionalFormatting>
  <conditionalFormatting sqref="J123:K123">
    <cfRule type="expression" dxfId="1262" priority="1">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833" t="s">
        <v>455</v>
      </c>
      <c r="D1" s="26"/>
      <c r="E1" s="26"/>
      <c r="F1" s="26"/>
      <c r="G1" s="26"/>
      <c r="H1" s="26"/>
      <c r="I1" s="26"/>
      <c r="J1" s="26"/>
      <c r="K1" s="26"/>
      <c r="L1" s="26"/>
      <c r="M1" s="26"/>
      <c r="O1" s="421"/>
    </row>
    <row r="2" spans="1:15" ht="15.75" x14ac:dyDescent="0.25">
      <c r="A2" s="165" t="s">
        <v>28</v>
      </c>
      <c r="B2" s="978"/>
      <c r="C2" s="978"/>
      <c r="D2" s="978"/>
      <c r="E2" s="830"/>
      <c r="F2" s="978"/>
      <c r="G2" s="978"/>
      <c r="H2" s="978"/>
      <c r="I2" s="830"/>
      <c r="J2" s="978"/>
      <c r="K2" s="978"/>
      <c r="L2" s="978"/>
      <c r="M2" s="830"/>
      <c r="O2" s="148"/>
    </row>
    <row r="3" spans="1:15" ht="15.75" x14ac:dyDescent="0.25">
      <c r="A3" s="163"/>
      <c r="B3" s="830"/>
      <c r="C3" s="830"/>
      <c r="D3" s="830"/>
      <c r="E3" s="830"/>
      <c r="F3" s="830"/>
      <c r="G3" s="830"/>
      <c r="H3" s="830"/>
      <c r="I3" s="830"/>
      <c r="J3" s="830"/>
      <c r="K3" s="830"/>
      <c r="L3" s="830"/>
      <c r="M3" s="830"/>
      <c r="O3" s="148"/>
    </row>
    <row r="4" spans="1:15" x14ac:dyDescent="0.2">
      <c r="A4" s="144"/>
      <c r="B4" s="975" t="s">
        <v>0</v>
      </c>
      <c r="C4" s="976"/>
      <c r="D4" s="976"/>
      <c r="E4" s="828"/>
      <c r="F4" s="975" t="s">
        <v>1</v>
      </c>
      <c r="G4" s="976"/>
      <c r="H4" s="976"/>
      <c r="I4" s="829"/>
      <c r="J4" s="975" t="s">
        <v>2</v>
      </c>
      <c r="K4" s="976"/>
      <c r="L4" s="976"/>
      <c r="M4" s="829"/>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v>2912.8819322703798</v>
      </c>
      <c r="D7" s="347" t="str">
        <f>IF(B7=0, "    ---- ", IF(ABS(ROUND(100/B7*C7-100,1))&lt;999,ROUND(100/B7*C7-100,1),IF(ROUND(100/B7*C7-100,1)&gt;999,999,-999)))</f>
        <v xml:space="preserve">    ---- </v>
      </c>
      <c r="E7" s="11">
        <f>IFERROR(100/'Skjema total MA'!C7*C7,0)</f>
        <v>6.4036014961468435E-2</v>
      </c>
      <c r="F7" s="303"/>
      <c r="G7" s="304"/>
      <c r="H7" s="347"/>
      <c r="I7" s="160"/>
      <c r="J7" s="305"/>
      <c r="K7" s="306">
        <f t="shared" ref="K7:K9" si="0">SUM(C7,G7)</f>
        <v>2912.8819322703798</v>
      </c>
      <c r="L7" s="422" t="str">
        <f>IF(J7=0, "    ---- ", IF(ABS(ROUND(100/J7*K7-100,1))&lt;999,ROUND(100/J7*K7-100,1),IF(ROUND(100/J7*K7-100,1)&gt;999,999,-999)))</f>
        <v xml:space="preserve">    ---- </v>
      </c>
      <c r="M7" s="11">
        <f>IFERROR(100/'Skjema total MA'!I7*K7,0)</f>
        <v>2.4803676379600324E-2</v>
      </c>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v>2912.8819322703798</v>
      </c>
      <c r="D9" s="166" t="str">
        <f t="shared" ref="D9" si="1">IF(B9=0, "    ---- ", IF(ABS(ROUND(100/B9*C9-100,1))&lt;999,ROUND(100/B9*C9-100,1),IF(ROUND(100/B9*C9-100,1)&gt;999,999,-999)))</f>
        <v xml:space="preserve">    ---- </v>
      </c>
      <c r="E9" s="27">
        <f>IFERROR(100/'Skjema total MA'!C9*C9,0)</f>
        <v>0.29764391233283727</v>
      </c>
      <c r="F9" s="282"/>
      <c r="G9" s="283"/>
      <c r="H9" s="166"/>
      <c r="I9" s="175"/>
      <c r="J9" s="233"/>
      <c r="K9" s="284">
        <f t="shared" si="0"/>
        <v>2912.8819322703798</v>
      </c>
      <c r="L9" s="166" t="str">
        <f t="shared" ref="L9" si="2">IF(J9=0, "    ---- ", IF(ABS(ROUND(100/J9*K9-100,1))&lt;999,ROUND(100/J9*K9-100,1),IF(ROUND(100/J9*K9-100,1)&gt;999,999,-999)))</f>
        <v xml:space="preserve">    ---- </v>
      </c>
      <c r="M9" s="27">
        <f>IFERROR(100/'Skjema total MA'!I9*K9,0)</f>
        <v>0.29764391233283727</v>
      </c>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830"/>
      <c r="F18" s="979"/>
      <c r="G18" s="979"/>
      <c r="H18" s="979"/>
      <c r="I18" s="830"/>
      <c r="J18" s="979"/>
      <c r="K18" s="979"/>
      <c r="L18" s="979"/>
      <c r="M18" s="830"/>
      <c r="O18" s="148"/>
    </row>
    <row r="19" spans="1:15" x14ac:dyDescent="0.2">
      <c r="A19" s="144"/>
      <c r="B19" s="975" t="s">
        <v>0</v>
      </c>
      <c r="C19" s="976"/>
      <c r="D19" s="976"/>
      <c r="E19" s="828"/>
      <c r="F19" s="975" t="s">
        <v>1</v>
      </c>
      <c r="G19" s="976"/>
      <c r="H19" s="976"/>
      <c r="I19" s="829"/>
      <c r="J19" s="975" t="s">
        <v>2</v>
      </c>
      <c r="K19" s="976"/>
      <c r="L19" s="976"/>
      <c r="M19" s="829"/>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c r="C22" s="313"/>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35"/>
      <c r="C29" s="235"/>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832"/>
      <c r="O40" s="148"/>
    </row>
    <row r="41" spans="1:15" x14ac:dyDescent="0.2">
      <c r="A41" s="155"/>
      <c r="O41" s="148"/>
    </row>
    <row r="42" spans="1:15" ht="15.75" x14ac:dyDescent="0.25">
      <c r="A42" s="147" t="s">
        <v>280</v>
      </c>
      <c r="B42" s="978"/>
      <c r="C42" s="978"/>
      <c r="D42" s="978"/>
      <c r="E42" s="830"/>
      <c r="F42" s="981"/>
      <c r="G42" s="981"/>
      <c r="H42" s="981"/>
      <c r="I42" s="832"/>
      <c r="J42" s="981"/>
      <c r="K42" s="981"/>
      <c r="L42" s="981"/>
      <c r="M42" s="832"/>
      <c r="O42" s="148"/>
    </row>
    <row r="43" spans="1:15" ht="15.75" x14ac:dyDescent="0.25">
      <c r="A43" s="163"/>
      <c r="B43" s="831"/>
      <c r="C43" s="831"/>
      <c r="D43" s="831"/>
      <c r="E43" s="831"/>
      <c r="F43" s="832"/>
      <c r="G43" s="832"/>
      <c r="H43" s="832"/>
      <c r="I43" s="832"/>
      <c r="J43" s="832"/>
      <c r="K43" s="832"/>
      <c r="L43" s="832"/>
      <c r="M43" s="832"/>
      <c r="O43" s="148"/>
    </row>
    <row r="44" spans="1:15" ht="15.75" x14ac:dyDescent="0.25">
      <c r="A44" s="246"/>
      <c r="B44" s="975" t="s">
        <v>0</v>
      </c>
      <c r="C44" s="976"/>
      <c r="D44" s="976"/>
      <c r="E44" s="242"/>
      <c r="F44" s="832"/>
      <c r="G44" s="832"/>
      <c r="H44" s="832"/>
      <c r="I44" s="832"/>
      <c r="J44" s="832"/>
      <c r="K44" s="832"/>
      <c r="L44" s="832"/>
      <c r="M44" s="832"/>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v>319996.84784078301</v>
      </c>
      <c r="D47" s="422" t="str">
        <f t="shared" ref="D47:D48" si="3">IF(B47=0, "    ---- ", IF(ABS(ROUND(100/B47*C47-100,1))&lt;999,ROUND(100/B47*C47-100,1),IF(ROUND(100/B47*C47-100,1)&gt;999,999,-999)))</f>
        <v xml:space="preserve">    ---- </v>
      </c>
      <c r="E47" s="11">
        <f>IFERROR(100/'Skjema total MA'!C47*C47,0)</f>
        <v>7.6230569584843524</v>
      </c>
      <c r="F47" s="145"/>
      <c r="G47" s="33"/>
      <c r="H47" s="159"/>
      <c r="I47" s="159"/>
      <c r="J47" s="37"/>
      <c r="K47" s="37"/>
      <c r="L47" s="159"/>
      <c r="M47" s="159"/>
      <c r="N47" s="148"/>
      <c r="O47" s="148"/>
    </row>
    <row r="48" spans="1:15" s="3" customFormat="1" ht="15.75" x14ac:dyDescent="0.2">
      <c r="A48" s="38" t="s">
        <v>467</v>
      </c>
      <c r="B48" s="278"/>
      <c r="C48" s="279">
        <v>319996.84784078301</v>
      </c>
      <c r="D48" s="253" t="str">
        <f t="shared" si="3"/>
        <v xml:space="preserve">    ---- </v>
      </c>
      <c r="E48" s="27">
        <f>IFERROR(100/'Skjema total MA'!C48*C48,0)</f>
        <v>13.686061908706506</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830"/>
      <c r="F62" s="979"/>
      <c r="G62" s="979"/>
      <c r="H62" s="979"/>
      <c r="I62" s="830"/>
      <c r="J62" s="979"/>
      <c r="K62" s="979"/>
      <c r="L62" s="979"/>
      <c r="M62" s="830"/>
      <c r="O62" s="148"/>
    </row>
    <row r="63" spans="1:15" x14ac:dyDescent="0.2">
      <c r="A63" s="144"/>
      <c r="B63" s="975" t="s">
        <v>0</v>
      </c>
      <c r="C63" s="976"/>
      <c r="D63" s="977"/>
      <c r="E63" s="827"/>
      <c r="F63" s="976" t="s">
        <v>1</v>
      </c>
      <c r="G63" s="976"/>
      <c r="H63" s="976"/>
      <c r="I63" s="829"/>
      <c r="J63" s="975" t="s">
        <v>2</v>
      </c>
      <c r="K63" s="976"/>
      <c r="L63" s="976"/>
      <c r="M63" s="829"/>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830"/>
      <c r="F130" s="979"/>
      <c r="G130" s="979"/>
      <c r="H130" s="979"/>
      <c r="I130" s="830"/>
      <c r="J130" s="979"/>
      <c r="K130" s="979"/>
      <c r="L130" s="979"/>
      <c r="M130" s="830"/>
      <c r="O130" s="148"/>
    </row>
    <row r="131" spans="1:15" s="3" customFormat="1" x14ac:dyDescent="0.2">
      <c r="A131" s="144"/>
      <c r="B131" s="975" t="s">
        <v>0</v>
      </c>
      <c r="C131" s="976"/>
      <c r="D131" s="976"/>
      <c r="E131" s="828"/>
      <c r="F131" s="975" t="s">
        <v>1</v>
      </c>
      <c r="G131" s="976"/>
      <c r="H131" s="976"/>
      <c r="I131" s="829"/>
      <c r="J131" s="975" t="s">
        <v>2</v>
      </c>
      <c r="K131" s="976"/>
      <c r="L131" s="976"/>
      <c r="M131" s="829"/>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261" priority="89">
      <formula>kvartal &lt; 4</formula>
    </cfRule>
  </conditionalFormatting>
  <conditionalFormatting sqref="B69">
    <cfRule type="expression" dxfId="1260" priority="68">
      <formula>kvartal &lt; 4</formula>
    </cfRule>
  </conditionalFormatting>
  <conditionalFormatting sqref="C69">
    <cfRule type="expression" dxfId="1259" priority="67">
      <formula>kvartal &lt; 4</formula>
    </cfRule>
  </conditionalFormatting>
  <conditionalFormatting sqref="B72">
    <cfRule type="expression" dxfId="1258" priority="66">
      <formula>kvartal &lt; 4</formula>
    </cfRule>
  </conditionalFormatting>
  <conditionalFormatting sqref="C72">
    <cfRule type="expression" dxfId="1257" priority="65">
      <formula>kvartal &lt; 4</formula>
    </cfRule>
  </conditionalFormatting>
  <conditionalFormatting sqref="B80">
    <cfRule type="expression" dxfId="1256" priority="64">
      <formula>kvartal &lt; 4</formula>
    </cfRule>
  </conditionalFormatting>
  <conditionalFormatting sqref="C80">
    <cfRule type="expression" dxfId="1255" priority="63">
      <formula>kvartal &lt; 4</formula>
    </cfRule>
  </conditionalFormatting>
  <conditionalFormatting sqref="B83">
    <cfRule type="expression" dxfId="1254" priority="62">
      <formula>kvartal &lt; 4</formula>
    </cfRule>
  </conditionalFormatting>
  <conditionalFormatting sqref="C83">
    <cfRule type="expression" dxfId="1253" priority="61">
      <formula>kvartal &lt; 4</formula>
    </cfRule>
  </conditionalFormatting>
  <conditionalFormatting sqref="B90">
    <cfRule type="expression" dxfId="1252" priority="60">
      <formula>kvartal &lt; 4</formula>
    </cfRule>
  </conditionalFormatting>
  <conditionalFormatting sqref="C90">
    <cfRule type="expression" dxfId="1251" priority="59">
      <formula>kvartal &lt; 4</formula>
    </cfRule>
  </conditionalFormatting>
  <conditionalFormatting sqref="B93">
    <cfRule type="expression" dxfId="1250" priority="58">
      <formula>kvartal &lt; 4</formula>
    </cfRule>
  </conditionalFormatting>
  <conditionalFormatting sqref="C93">
    <cfRule type="expression" dxfId="1249" priority="57">
      <formula>kvartal &lt; 4</formula>
    </cfRule>
  </conditionalFormatting>
  <conditionalFormatting sqref="B101">
    <cfRule type="expression" dxfId="1248" priority="56">
      <formula>kvartal &lt; 4</formula>
    </cfRule>
  </conditionalFormatting>
  <conditionalFormatting sqref="C101">
    <cfRule type="expression" dxfId="1247" priority="55">
      <formula>kvartal &lt; 4</formula>
    </cfRule>
  </conditionalFormatting>
  <conditionalFormatting sqref="B104">
    <cfRule type="expression" dxfId="1246" priority="54">
      <formula>kvartal &lt; 4</formula>
    </cfRule>
  </conditionalFormatting>
  <conditionalFormatting sqref="C104">
    <cfRule type="expression" dxfId="1245" priority="53">
      <formula>kvartal &lt; 4</formula>
    </cfRule>
  </conditionalFormatting>
  <conditionalFormatting sqref="B115">
    <cfRule type="expression" dxfId="1244" priority="52">
      <formula>kvartal &lt; 4</formula>
    </cfRule>
  </conditionalFormatting>
  <conditionalFormatting sqref="C115">
    <cfRule type="expression" dxfId="1243" priority="51">
      <formula>kvartal &lt; 4</formula>
    </cfRule>
  </conditionalFormatting>
  <conditionalFormatting sqref="B123">
    <cfRule type="expression" dxfId="1242" priority="50">
      <formula>kvartal &lt; 4</formula>
    </cfRule>
  </conditionalFormatting>
  <conditionalFormatting sqref="C123">
    <cfRule type="expression" dxfId="1241" priority="49">
      <formula>kvartal &lt; 4</formula>
    </cfRule>
  </conditionalFormatting>
  <conditionalFormatting sqref="F70">
    <cfRule type="expression" dxfId="1240" priority="48">
      <formula>kvartal &lt; 4</formula>
    </cfRule>
  </conditionalFormatting>
  <conditionalFormatting sqref="G70">
    <cfRule type="expression" dxfId="1239" priority="47">
      <formula>kvartal &lt; 4</formula>
    </cfRule>
  </conditionalFormatting>
  <conditionalFormatting sqref="F71:G71">
    <cfRule type="expression" dxfId="1238" priority="46">
      <formula>kvartal &lt; 4</formula>
    </cfRule>
  </conditionalFormatting>
  <conditionalFormatting sqref="F73:G74">
    <cfRule type="expression" dxfId="1237" priority="45">
      <formula>kvartal &lt; 4</formula>
    </cfRule>
  </conditionalFormatting>
  <conditionalFormatting sqref="F81:G82">
    <cfRule type="expression" dxfId="1236" priority="44">
      <formula>kvartal &lt; 4</formula>
    </cfRule>
  </conditionalFormatting>
  <conditionalFormatting sqref="F84:G85">
    <cfRule type="expression" dxfId="1235" priority="43">
      <formula>kvartal &lt; 4</formula>
    </cfRule>
  </conditionalFormatting>
  <conditionalFormatting sqref="F91:G92">
    <cfRule type="expression" dxfId="1234" priority="42">
      <formula>kvartal &lt; 4</formula>
    </cfRule>
  </conditionalFormatting>
  <conditionalFormatting sqref="F94:G95">
    <cfRule type="expression" dxfId="1233" priority="41">
      <formula>kvartal &lt; 4</formula>
    </cfRule>
  </conditionalFormatting>
  <conditionalFormatting sqref="F102:G103">
    <cfRule type="expression" dxfId="1232" priority="40">
      <formula>kvartal &lt; 4</formula>
    </cfRule>
  </conditionalFormatting>
  <conditionalFormatting sqref="F105:G106">
    <cfRule type="expression" dxfId="1231" priority="39">
      <formula>kvartal &lt; 4</formula>
    </cfRule>
  </conditionalFormatting>
  <conditionalFormatting sqref="F115">
    <cfRule type="expression" dxfId="1230" priority="38">
      <formula>kvartal &lt; 4</formula>
    </cfRule>
  </conditionalFormatting>
  <conditionalFormatting sqref="G115">
    <cfRule type="expression" dxfId="1229" priority="37">
      <formula>kvartal &lt; 4</formula>
    </cfRule>
  </conditionalFormatting>
  <conditionalFormatting sqref="F123:G123">
    <cfRule type="expression" dxfId="1228" priority="36">
      <formula>kvartal &lt; 4</formula>
    </cfRule>
  </conditionalFormatting>
  <conditionalFormatting sqref="F69:G69">
    <cfRule type="expression" dxfId="1227" priority="35">
      <formula>kvartal &lt; 4</formula>
    </cfRule>
  </conditionalFormatting>
  <conditionalFormatting sqref="F72:G72">
    <cfRule type="expression" dxfId="1226" priority="34">
      <formula>kvartal &lt; 4</formula>
    </cfRule>
  </conditionalFormatting>
  <conditionalFormatting sqref="F80:G80">
    <cfRule type="expression" dxfId="1225" priority="33">
      <formula>kvartal &lt; 4</formula>
    </cfRule>
  </conditionalFormatting>
  <conditionalFormatting sqref="F83:G83">
    <cfRule type="expression" dxfId="1224" priority="32">
      <formula>kvartal &lt; 4</formula>
    </cfRule>
  </conditionalFormatting>
  <conditionalFormatting sqref="F90:G90">
    <cfRule type="expression" dxfId="1223" priority="31">
      <formula>kvartal &lt; 4</formula>
    </cfRule>
  </conditionalFormatting>
  <conditionalFormatting sqref="F93">
    <cfRule type="expression" dxfId="1222" priority="30">
      <formula>kvartal &lt; 4</formula>
    </cfRule>
  </conditionalFormatting>
  <conditionalFormatting sqref="G93">
    <cfRule type="expression" dxfId="1221" priority="29">
      <formula>kvartal &lt; 4</formula>
    </cfRule>
  </conditionalFormatting>
  <conditionalFormatting sqref="F101">
    <cfRule type="expression" dxfId="1220" priority="28">
      <formula>kvartal &lt; 4</formula>
    </cfRule>
  </conditionalFormatting>
  <conditionalFormatting sqref="G101">
    <cfRule type="expression" dxfId="1219" priority="27">
      <formula>kvartal &lt; 4</formula>
    </cfRule>
  </conditionalFormatting>
  <conditionalFormatting sqref="G104">
    <cfRule type="expression" dxfId="1218" priority="26">
      <formula>kvartal &lt; 4</formula>
    </cfRule>
  </conditionalFormatting>
  <conditionalFormatting sqref="F104">
    <cfRule type="expression" dxfId="1217" priority="25">
      <formula>kvartal &lt; 4</formula>
    </cfRule>
  </conditionalFormatting>
  <conditionalFormatting sqref="J69">
    <cfRule type="expression" dxfId="1216" priority="24">
      <formula>kvartal &lt; 4</formula>
    </cfRule>
  </conditionalFormatting>
  <conditionalFormatting sqref="A50:A52">
    <cfRule type="expression" dxfId="1215" priority="15">
      <formula>kvartal &lt; 4</formula>
    </cfRule>
  </conditionalFormatting>
  <conditionalFormatting sqref="A69:A74">
    <cfRule type="expression" dxfId="1214" priority="14">
      <formula>kvartal &lt; 4</formula>
    </cfRule>
  </conditionalFormatting>
  <conditionalFormatting sqref="A80:A85">
    <cfRule type="expression" dxfId="1213" priority="13">
      <formula>kvartal &lt; 4</formula>
    </cfRule>
  </conditionalFormatting>
  <conditionalFormatting sqref="A90:A95">
    <cfRule type="expression" dxfId="1212" priority="12">
      <formula>kvartal &lt; 4</formula>
    </cfRule>
  </conditionalFormatting>
  <conditionalFormatting sqref="A101:A106">
    <cfRule type="expression" dxfId="1211" priority="11">
      <formula>kvartal &lt; 4</formula>
    </cfRule>
  </conditionalFormatting>
  <conditionalFormatting sqref="A115">
    <cfRule type="expression" dxfId="1210" priority="10">
      <formula>kvartal &lt; 4</formula>
    </cfRule>
  </conditionalFormatting>
  <conditionalFormatting sqref="A123">
    <cfRule type="expression" dxfId="1209" priority="9">
      <formula>kvartal &lt; 4</formula>
    </cfRule>
  </conditionalFormatting>
  <conditionalFormatting sqref="J70:J74">
    <cfRule type="expression" dxfId="1208" priority="7">
      <formula>kvartal &lt; 4</formula>
    </cfRule>
  </conditionalFormatting>
  <conditionalFormatting sqref="K69:K74">
    <cfRule type="expression" dxfId="1207" priority="6">
      <formula>kvartal &lt; 4</formula>
    </cfRule>
  </conditionalFormatting>
  <conditionalFormatting sqref="J80:K85">
    <cfRule type="expression" dxfId="1206" priority="5">
      <formula>kvartal &lt; 4</formula>
    </cfRule>
  </conditionalFormatting>
  <conditionalFormatting sqref="J90:K95">
    <cfRule type="expression" dxfId="1205" priority="4">
      <formula>kvartal &lt; 4</formula>
    </cfRule>
  </conditionalFormatting>
  <conditionalFormatting sqref="J101:K106">
    <cfRule type="expression" dxfId="1204" priority="3">
      <formula>kvartal &lt; 4</formula>
    </cfRule>
  </conditionalFormatting>
  <conditionalFormatting sqref="J115:K115">
    <cfRule type="expression" dxfId="1203" priority="2">
      <formula>kvartal &lt; 4</formula>
    </cfRule>
  </conditionalFormatting>
  <conditionalFormatting sqref="J123:K123">
    <cfRule type="expression" dxfId="1202" priority="1">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74</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v>122667</v>
      </c>
      <c r="G7" s="304">
        <v>104029</v>
      </c>
      <c r="H7" s="347">
        <f>IF(F7=0, "    ---- ", IF(ABS(ROUND(100/F7*G7-100,1))&lt;999,ROUND(100/F7*G7-100,1),IF(ROUND(100/F7*G7-100,1)&gt;999,999,-999)))</f>
        <v>-15.2</v>
      </c>
      <c r="I7" s="160">
        <f>IFERROR(100/'Skjema total MA'!F7*G7,0)</f>
        <v>1.4458648479719713</v>
      </c>
      <c r="J7" s="305">
        <f t="shared" ref="J7:K12" si="0">SUM(B7,F7)</f>
        <v>122667</v>
      </c>
      <c r="K7" s="306">
        <f t="shared" si="0"/>
        <v>104029</v>
      </c>
      <c r="L7" s="422">
        <f>IF(J7=0, "    ---- ", IF(ABS(ROUND(100/J7*K7-100,1))&lt;999,ROUND(100/J7*K7-100,1),IF(ROUND(100/J7*K7-100,1)&gt;999,999,-999)))</f>
        <v>-15.2</v>
      </c>
      <c r="M7" s="11">
        <f>IFERROR(100/'Skjema total MA'!I7*K7,0)</f>
        <v>0.88582431766545522</v>
      </c>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v>785113</v>
      </c>
      <c r="G10" s="308">
        <v>780537</v>
      </c>
      <c r="H10" s="171">
        <f t="shared" ref="H10:H12" si="1">IF(F10=0, "    ---- ", IF(ABS(ROUND(100/F10*G10-100,1))&lt;999,ROUND(100/F10*G10-100,1),IF(ROUND(100/F10*G10-100,1)&gt;999,999,-999)))</f>
        <v>-0.6</v>
      </c>
      <c r="I10" s="160">
        <f>IFERROR(100/'Skjema total MA'!F10*G10,0)</f>
        <v>1.8730779187883682</v>
      </c>
      <c r="J10" s="305">
        <f t="shared" si="0"/>
        <v>785113</v>
      </c>
      <c r="K10" s="306">
        <f t="shared" si="0"/>
        <v>780537</v>
      </c>
      <c r="L10" s="423">
        <f t="shared" ref="L10:L12" si="2">IF(J10=0, "    ---- ", IF(ABS(ROUND(100/J10*K10-100,1))&lt;999,ROUND(100/J10*K10-100,1),IF(ROUND(100/J10*K10-100,1)&gt;999,999,-999)))</f>
        <v>-0.6</v>
      </c>
      <c r="M10" s="11">
        <f>IFERROR(100/'Skjema total MA'!I10*K10,0)</f>
        <v>1.2170859303530523</v>
      </c>
      <c r="O10" s="148"/>
    </row>
    <row r="11" spans="1:15" s="43" customFormat="1" ht="15.75" x14ac:dyDescent="0.2">
      <c r="A11" s="13" t="s">
        <v>457</v>
      </c>
      <c r="B11" s="307"/>
      <c r="C11" s="308"/>
      <c r="D11" s="171"/>
      <c r="E11" s="11"/>
      <c r="F11" s="307">
        <v>9549.5589999999993</v>
      </c>
      <c r="G11" s="308">
        <v>21603</v>
      </c>
      <c r="H11" s="171">
        <f t="shared" si="1"/>
        <v>126.2</v>
      </c>
      <c r="I11" s="160">
        <f>IFERROR(100/'Skjema total MA'!F11*G11,0)</f>
        <v>7.4207088280817155</v>
      </c>
      <c r="J11" s="305">
        <f t="shared" si="0"/>
        <v>9549.5589999999993</v>
      </c>
      <c r="K11" s="306">
        <f t="shared" si="0"/>
        <v>21603</v>
      </c>
      <c r="L11" s="423">
        <f t="shared" si="2"/>
        <v>126.2</v>
      </c>
      <c r="M11" s="11">
        <f>IFERROR(100/'Skjema total MA'!I11*K11,0)</f>
        <v>6.8313393269205642</v>
      </c>
      <c r="N11" s="143"/>
      <c r="O11" s="148"/>
    </row>
    <row r="12" spans="1:15" s="43" customFormat="1" ht="15.75" x14ac:dyDescent="0.2">
      <c r="A12" s="41" t="s">
        <v>458</v>
      </c>
      <c r="B12" s="309"/>
      <c r="C12" s="310"/>
      <c r="D12" s="169"/>
      <c r="E12" s="36"/>
      <c r="F12" s="309">
        <v>4202</v>
      </c>
      <c r="G12" s="310">
        <v>2063</v>
      </c>
      <c r="H12" s="169">
        <f t="shared" si="1"/>
        <v>-50.9</v>
      </c>
      <c r="I12" s="169">
        <f>IFERROR(100/'Skjema total MA'!F12*G12,0)</f>
        <v>0.84148099227998563</v>
      </c>
      <c r="J12" s="311">
        <f t="shared" si="0"/>
        <v>4202</v>
      </c>
      <c r="K12" s="312">
        <f t="shared" si="0"/>
        <v>2063</v>
      </c>
      <c r="L12" s="424">
        <f t="shared" si="2"/>
        <v>-50.9</v>
      </c>
      <c r="M12" s="36">
        <f>IFERROR(100/'Skjema total MA'!I12*K12,0)</f>
        <v>0.83209643307749381</v>
      </c>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13"/>
      <c r="C22" s="313"/>
      <c r="D22" s="347"/>
      <c r="E22" s="11"/>
      <c r="F22" s="307">
        <v>46219.92</v>
      </c>
      <c r="G22" s="307">
        <v>49796</v>
      </c>
      <c r="H22" s="347">
        <f t="shared" ref="H22:H35" si="3">IF(F22=0, "    ---- ", IF(ABS(ROUND(100/F22*G22-100,1))&lt;999,ROUND(100/F22*G22-100,1),IF(ROUND(100/F22*G22-100,1)&gt;999,999,-999)))</f>
        <v>7.7</v>
      </c>
      <c r="I22" s="11">
        <f>IFERROR(100/'Skjema total MA'!F22*G22,0)</f>
        <v>3.9142137427400021</v>
      </c>
      <c r="J22" s="313">
        <f t="shared" ref="J22:K35" si="4">SUM(B22,F22)</f>
        <v>46219.92</v>
      </c>
      <c r="K22" s="313">
        <f t="shared" si="4"/>
        <v>49796</v>
      </c>
      <c r="L22" s="422">
        <f t="shared" ref="L22:L35" si="5">IF(J22=0, "    ---- ", IF(ABS(ROUND(100/J22*K22-100,1))&lt;999,ROUND(100/J22*K22-100,1),IF(ROUND(100/J22*K22-100,1)&gt;999,999,-999)))</f>
        <v>7.7</v>
      </c>
      <c r="M22" s="24">
        <f>IFERROR(100/'Skjema total MA'!I22*K22,0)</f>
        <v>1.7449420388963506</v>
      </c>
      <c r="O22" s="148"/>
    </row>
    <row r="23" spans="1:15" ht="15.75" x14ac:dyDescent="0.2">
      <c r="A23" s="834" t="s">
        <v>459</v>
      </c>
      <c r="B23" s="278"/>
      <c r="C23" s="278"/>
      <c r="D23" s="166"/>
      <c r="E23" s="11"/>
      <c r="F23" s="278">
        <v>760</v>
      </c>
      <c r="G23" s="278">
        <v>464</v>
      </c>
      <c r="H23" s="166"/>
      <c r="I23" s="412">
        <f>IFERROR(100/'Skjema total MA'!F23*G23,0)</f>
        <v>0.27949645956877223</v>
      </c>
      <c r="J23" s="287">
        <f t="shared" ref="J23:J26" si="6">SUM(B23,F23)</f>
        <v>760</v>
      </c>
      <c r="K23" s="287">
        <f t="shared" ref="K23:K26" si="7">SUM(C23,G23)</f>
        <v>464</v>
      </c>
      <c r="L23" s="166"/>
      <c r="M23" s="23">
        <f>IFERROR(100/'Skjema total MA'!I23*K23,0)</f>
        <v>2.7570863651369792E-2</v>
      </c>
      <c r="O23" s="148"/>
    </row>
    <row r="24" spans="1:15" ht="15.75" x14ac:dyDescent="0.2">
      <c r="A24" s="834" t="s">
        <v>460</v>
      </c>
      <c r="B24" s="278"/>
      <c r="C24" s="278"/>
      <c r="D24" s="166"/>
      <c r="E24" s="11"/>
      <c r="F24" s="278"/>
      <c r="G24" s="278"/>
      <c r="H24" s="166"/>
      <c r="I24" s="412"/>
      <c r="J24" s="287"/>
      <c r="K24" s="287"/>
      <c r="L24" s="166"/>
      <c r="M24" s="23"/>
      <c r="O24" s="148"/>
    </row>
    <row r="25" spans="1:15" ht="15.75" x14ac:dyDescent="0.2">
      <c r="A25" s="834" t="s">
        <v>461</v>
      </c>
      <c r="B25" s="278"/>
      <c r="C25" s="278"/>
      <c r="D25" s="166"/>
      <c r="E25" s="11"/>
      <c r="F25" s="278"/>
      <c r="G25" s="278"/>
      <c r="H25" s="166"/>
      <c r="I25" s="412"/>
      <c r="J25" s="287"/>
      <c r="K25" s="287"/>
      <c r="L25" s="166"/>
      <c r="M25" s="23"/>
      <c r="O25" s="148"/>
    </row>
    <row r="26" spans="1:15" ht="15.75" x14ac:dyDescent="0.2">
      <c r="A26" s="834" t="s">
        <v>462</v>
      </c>
      <c r="B26" s="278"/>
      <c r="C26" s="278"/>
      <c r="D26" s="166"/>
      <c r="E26" s="11"/>
      <c r="F26" s="278">
        <v>45459.92</v>
      </c>
      <c r="G26" s="278">
        <v>49332</v>
      </c>
      <c r="H26" s="166"/>
      <c r="I26" s="412">
        <f>IFERROR(100/'Skjema total MA'!F26*G26,0)</f>
        <v>4.8906351596854387</v>
      </c>
      <c r="J26" s="287">
        <f t="shared" si="6"/>
        <v>45459.92</v>
      </c>
      <c r="K26" s="287">
        <f t="shared" si="7"/>
        <v>49332</v>
      </c>
      <c r="L26" s="166"/>
      <c r="M26" s="23">
        <f>IFERROR(100/'Skjema total MA'!I26*K26,0)</f>
        <v>4.8906351596854387</v>
      </c>
      <c r="O26" s="148"/>
    </row>
    <row r="27" spans="1:15" x14ac:dyDescent="0.2">
      <c r="A27" s="834" t="s">
        <v>11</v>
      </c>
      <c r="B27" s="278"/>
      <c r="C27" s="278"/>
      <c r="D27" s="166"/>
      <c r="E27" s="11"/>
      <c r="F27" s="278"/>
      <c r="G27" s="278"/>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235"/>
      <c r="C29" s="235"/>
      <c r="D29" s="171"/>
      <c r="E29" s="11"/>
      <c r="F29" s="307">
        <v>912522</v>
      </c>
      <c r="G29" s="307">
        <v>811686</v>
      </c>
      <c r="H29" s="171">
        <f t="shared" si="3"/>
        <v>-11.1</v>
      </c>
      <c r="I29" s="11">
        <f>IFERROR(100/'Skjema total MA'!F29*G29,0)</f>
        <v>4.2490780074106764</v>
      </c>
      <c r="J29" s="235">
        <f t="shared" si="4"/>
        <v>912522</v>
      </c>
      <c r="K29" s="235">
        <f t="shared" si="4"/>
        <v>811686</v>
      </c>
      <c r="L29" s="423">
        <f t="shared" si="5"/>
        <v>-11.1</v>
      </c>
      <c r="M29" s="24">
        <f>IFERROR(100/'Skjema total MA'!I29*K29,0)</f>
        <v>1.2112627143531436</v>
      </c>
      <c r="N29" s="148"/>
      <c r="O29" s="148"/>
    </row>
    <row r="30" spans="1:15" s="3" customFormat="1" ht="15.75" x14ac:dyDescent="0.2">
      <c r="A30" s="834" t="s">
        <v>459</v>
      </c>
      <c r="B30" s="278"/>
      <c r="C30" s="278"/>
      <c r="D30" s="166"/>
      <c r="E30" s="11"/>
      <c r="F30" s="287">
        <v>131692</v>
      </c>
      <c r="G30" s="287">
        <v>116190</v>
      </c>
      <c r="H30" s="166"/>
      <c r="I30" s="412">
        <f>IFERROR(100/'Skjema total MA'!F30*G30,0)</f>
        <v>2.8789817987396558</v>
      </c>
      <c r="J30" s="287">
        <f t="shared" ref="J30:J33" si="8">SUM(B30,F30)</f>
        <v>131692</v>
      </c>
      <c r="K30" s="287">
        <f t="shared" ref="K30:K33" si="9">SUM(C30,G30)</f>
        <v>116190</v>
      </c>
      <c r="L30" s="166"/>
      <c r="M30" s="23">
        <f>IFERROR(100/'Skjema total MA'!I30*K30,0)</f>
        <v>0.68516187439607912</v>
      </c>
      <c r="N30" s="148"/>
      <c r="O30" s="148"/>
    </row>
    <row r="31" spans="1:15" s="3" customFormat="1" ht="15.75" x14ac:dyDescent="0.2">
      <c r="A31" s="834" t="s">
        <v>460</v>
      </c>
      <c r="B31" s="278"/>
      <c r="C31" s="278"/>
      <c r="D31" s="166"/>
      <c r="E31" s="11"/>
      <c r="F31" s="287">
        <v>735124</v>
      </c>
      <c r="G31" s="287">
        <v>618157</v>
      </c>
      <c r="H31" s="166"/>
      <c r="I31" s="412">
        <f>IFERROR(100/'Skjema total MA'!F31*G31,0)</f>
        <v>6.623193321442308</v>
      </c>
      <c r="J31" s="287">
        <f t="shared" si="8"/>
        <v>735124</v>
      </c>
      <c r="K31" s="287">
        <f t="shared" si="9"/>
        <v>618157</v>
      </c>
      <c r="L31" s="166"/>
      <c r="M31" s="23">
        <f>IFERROR(100/'Skjema total MA'!I31*K31,0)</f>
        <v>1.4407514161417423</v>
      </c>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v>45706</v>
      </c>
      <c r="G33" s="287">
        <v>77339</v>
      </c>
      <c r="H33" s="166"/>
      <c r="I33" s="412">
        <f>IFERROR(100/'Skjema total MA'!F34*G33,0)</f>
        <v>101.92908702937963</v>
      </c>
      <c r="J33" s="287">
        <f t="shared" si="8"/>
        <v>45706</v>
      </c>
      <c r="K33" s="287">
        <f t="shared" si="9"/>
        <v>77339</v>
      </c>
      <c r="L33" s="166"/>
      <c r="M33" s="23">
        <f>IFERROR(100/'Skjema total MA'!I34*K33,0)</f>
        <v>74.365434268066053</v>
      </c>
      <c r="O33" s="148"/>
    </row>
    <row r="34" spans="1:15" ht="15.75" x14ac:dyDescent="0.2">
      <c r="A34" s="13" t="s">
        <v>457</v>
      </c>
      <c r="B34" s="235"/>
      <c r="C34" s="306"/>
      <c r="D34" s="171"/>
      <c r="E34" s="11"/>
      <c r="F34" s="305">
        <v>7776.2539999999999</v>
      </c>
      <c r="G34" s="306">
        <v>8016</v>
      </c>
      <c r="H34" s="171">
        <f t="shared" si="3"/>
        <v>3.1</v>
      </c>
      <c r="I34" s="11">
        <f>IFERROR(100/'Skjema total MA'!F34*G34,0)</f>
        <v>10.564702952294535</v>
      </c>
      <c r="J34" s="235">
        <f t="shared" si="4"/>
        <v>7776.2539999999999</v>
      </c>
      <c r="K34" s="235">
        <f t="shared" si="4"/>
        <v>8016</v>
      </c>
      <c r="L34" s="423">
        <f t="shared" si="5"/>
        <v>3.1</v>
      </c>
      <c r="M34" s="24">
        <f>IFERROR(100/'Skjema total MA'!I34*K34,0)</f>
        <v>7.7077971152047162</v>
      </c>
      <c r="O34" s="148"/>
    </row>
    <row r="35" spans="1:15" ht="15.75" x14ac:dyDescent="0.2">
      <c r="A35" s="13" t="s">
        <v>458</v>
      </c>
      <c r="B35" s="235"/>
      <c r="C35" s="306"/>
      <c r="D35" s="171"/>
      <c r="E35" s="11"/>
      <c r="F35" s="305">
        <v>18739</v>
      </c>
      <c r="G35" s="306">
        <v>6914</v>
      </c>
      <c r="H35" s="171">
        <f t="shared" si="3"/>
        <v>-63.1</v>
      </c>
      <c r="I35" s="11">
        <f>IFERROR(100/'Skjema total MA'!F35*G35,0)</f>
        <v>6.0347430886689093</v>
      </c>
      <c r="J35" s="235">
        <f t="shared" si="4"/>
        <v>18739</v>
      </c>
      <c r="K35" s="235">
        <f t="shared" si="4"/>
        <v>6914</v>
      </c>
      <c r="L35" s="423">
        <f t="shared" si="5"/>
        <v>-63.1</v>
      </c>
      <c r="M35" s="24">
        <f>IFERROR(100/'Skjema total MA'!I35*K35,0)</f>
        <v>8.1079604328561636</v>
      </c>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c r="C47" s="308"/>
      <c r="D47" s="422"/>
      <c r="E47" s="11"/>
      <c r="F47" s="145"/>
      <c r="G47" s="33"/>
      <c r="H47" s="159"/>
      <c r="I47" s="159"/>
      <c r="J47" s="37"/>
      <c r="K47" s="37"/>
      <c r="L47" s="159"/>
      <c r="M47" s="159"/>
      <c r="N47" s="148"/>
      <c r="O47" s="148"/>
    </row>
    <row r="48" spans="1:15" s="3" customFormat="1" ht="15.75" x14ac:dyDescent="0.2">
      <c r="A48" s="38" t="s">
        <v>467</v>
      </c>
      <c r="B48" s="278"/>
      <c r="C48" s="279"/>
      <c r="D48" s="253"/>
      <c r="E48" s="27"/>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v>176</v>
      </c>
      <c r="G66" s="349">
        <v>62</v>
      </c>
      <c r="H66" s="347">
        <f t="shared" ref="H66:H111" si="10">IF(F66=0, "    ---- ", IF(ABS(ROUND(100/F66*G66-100,1))&lt;999,ROUND(100/F66*G66-100,1),IF(ROUND(100/F66*G66-100,1)&gt;999,999,-999)))</f>
        <v>-64.8</v>
      </c>
      <c r="I66" s="11">
        <f>IFERROR(100/'Skjema total MA'!F66*G66,0)</f>
        <v>2.1412789280335056E-4</v>
      </c>
      <c r="J66" s="306">
        <f t="shared" ref="J66:K86" si="11">SUM(B66,F66)</f>
        <v>176</v>
      </c>
      <c r="K66" s="313">
        <f t="shared" si="11"/>
        <v>62</v>
      </c>
      <c r="L66" s="423">
        <f t="shared" ref="L66:L111" si="12">IF(J66=0, "    ---- ", IF(ABS(ROUND(100/J66*K66-100,1))&lt;999,ROUND(100/J66*K66-100,1),IF(ROUND(100/J66*K66-100,1)&gt;999,999,-999)))</f>
        <v>-64.8</v>
      </c>
      <c r="M66" s="11">
        <f>IFERROR(100/'Skjema total MA'!I66*K66,0)</f>
        <v>1.6409654001299281E-4</v>
      </c>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v>176</v>
      </c>
      <c r="G68" s="290">
        <v>62</v>
      </c>
      <c r="H68" s="166">
        <f t="shared" si="10"/>
        <v>-64.8</v>
      </c>
      <c r="I68" s="27">
        <f>IFERROR(100/'Skjema total MA'!F68*G68,0)</f>
        <v>2.1717620931864463E-4</v>
      </c>
      <c r="J68" s="284">
        <f t="shared" si="11"/>
        <v>176</v>
      </c>
      <c r="K68" s="44">
        <f t="shared" si="11"/>
        <v>62</v>
      </c>
      <c r="L68" s="253">
        <f t="shared" si="12"/>
        <v>-64.8</v>
      </c>
      <c r="M68" s="27">
        <f>IFERROR(100/'Skjema total MA'!I68*K68,0)</f>
        <v>2.1604801168533284E-4</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v>176</v>
      </c>
      <c r="G72" s="278">
        <v>62</v>
      </c>
      <c r="H72" s="253"/>
      <c r="I72" s="27">
        <f>IFERROR(100/'Skjema total MA'!F72*G72,0)</f>
        <v>2.1720588115989341E-4</v>
      </c>
      <c r="J72" s="287">
        <f t="shared" ref="J72:J73" si="13">SUM(B72,F72)</f>
        <v>176</v>
      </c>
      <c r="K72" s="287">
        <f t="shared" si="11"/>
        <v>62</v>
      </c>
      <c r="L72" s="253">
        <f t="shared" si="12"/>
        <v>-64.8</v>
      </c>
      <c r="M72" s="23">
        <f>IFERROR(100/'Skjema total MA'!I72*K72,0)</f>
        <v>2.1619573829244308E-4</v>
      </c>
      <c r="O72" s="148"/>
    </row>
    <row r="73" spans="1:15" x14ac:dyDescent="0.2">
      <c r="A73" s="293" t="s">
        <v>12</v>
      </c>
      <c r="B73" s="234"/>
      <c r="C73" s="286"/>
      <c r="D73" s="253"/>
      <c r="E73" s="27"/>
      <c r="F73" s="278">
        <v>176</v>
      </c>
      <c r="G73" s="278">
        <v>62</v>
      </c>
      <c r="H73" s="253"/>
      <c r="I73" s="27">
        <f>IFERROR(100/'Skjema total MA'!F73*G73,0)</f>
        <v>2.0817301353168238E-2</v>
      </c>
      <c r="J73" s="287">
        <f t="shared" si="13"/>
        <v>176</v>
      </c>
      <c r="K73" s="287">
        <f t="shared" si="11"/>
        <v>62</v>
      </c>
      <c r="L73" s="253">
        <f t="shared" si="12"/>
        <v>-64.8</v>
      </c>
      <c r="M73" s="23">
        <f>IFERROR(100/'Skjema total MA'!I73*K73,0)</f>
        <v>2.0817301353168238E-2</v>
      </c>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v>176</v>
      </c>
      <c r="G86" s="145">
        <v>62</v>
      </c>
      <c r="H86" s="166">
        <f t="shared" si="10"/>
        <v>-64.8</v>
      </c>
      <c r="I86" s="27">
        <f>IFERROR(100/'Skjema total MA'!F86*G86,0)</f>
        <v>0.49755339074301774</v>
      </c>
      <c r="J86" s="284">
        <f t="shared" si="11"/>
        <v>176</v>
      </c>
      <c r="K86" s="44">
        <f t="shared" si="11"/>
        <v>62</v>
      </c>
      <c r="L86" s="253">
        <f t="shared" si="12"/>
        <v>-64.8</v>
      </c>
      <c r="M86" s="27">
        <f>IFERROR(100/'Skjema total MA'!I86*K86,0)</f>
        <v>4.5482636227590974E-2</v>
      </c>
      <c r="O86" s="148"/>
    </row>
    <row r="87" spans="1:15" ht="15.75" x14ac:dyDescent="0.2">
      <c r="A87" s="13" t="s">
        <v>456</v>
      </c>
      <c r="B87" s="350"/>
      <c r="C87" s="350"/>
      <c r="D87" s="171"/>
      <c r="E87" s="11"/>
      <c r="F87" s="349">
        <v>384552</v>
      </c>
      <c r="G87" s="349">
        <v>484287</v>
      </c>
      <c r="H87" s="171">
        <f t="shared" si="10"/>
        <v>25.9</v>
      </c>
      <c r="I87" s="11">
        <f>IFERROR(100/'Skjema total MA'!F87*G87,0)</f>
        <v>0.19661676444295195</v>
      </c>
      <c r="J87" s="306">
        <f t="shared" ref="J87:K111" si="14">SUM(B87,F87)</f>
        <v>384552</v>
      </c>
      <c r="K87" s="235">
        <f t="shared" si="14"/>
        <v>484287</v>
      </c>
      <c r="L87" s="423">
        <f t="shared" si="12"/>
        <v>25.9</v>
      </c>
      <c r="M87" s="11">
        <f>IFERROR(100/'Skjema total MA'!I87*K87,0)</f>
        <v>7.6553713620279712E-2</v>
      </c>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v>384552</v>
      </c>
      <c r="G89" s="145">
        <v>484287</v>
      </c>
      <c r="H89" s="166">
        <f t="shared" si="10"/>
        <v>25.9</v>
      </c>
      <c r="I89" s="27">
        <f>IFERROR(100/'Skjema total MA'!F89*G89,0)</f>
        <v>0.19742711869783428</v>
      </c>
      <c r="J89" s="284">
        <f t="shared" si="14"/>
        <v>384552</v>
      </c>
      <c r="K89" s="44">
        <f t="shared" si="14"/>
        <v>484287</v>
      </c>
      <c r="L89" s="253">
        <f t="shared" si="12"/>
        <v>25.9</v>
      </c>
      <c r="M89" s="27">
        <f>IFERROR(100/'Skjema total MA'!I89*K89,0)</f>
        <v>0.19526206471120355</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v>384552</v>
      </c>
      <c r="G93" s="278">
        <v>484287</v>
      </c>
      <c r="H93" s="253">
        <f t="shared" si="10"/>
        <v>25.9</v>
      </c>
      <c r="I93" s="412">
        <f>IFERROR(100/'Skjema total MA'!F93*G93,0)</f>
        <v>0.19753384018752204</v>
      </c>
      <c r="J93" s="287">
        <f t="shared" si="14"/>
        <v>384552</v>
      </c>
      <c r="K93" s="287">
        <f t="shared" si="14"/>
        <v>484287</v>
      </c>
      <c r="L93" s="253">
        <f t="shared" si="12"/>
        <v>25.9</v>
      </c>
      <c r="M93" s="23">
        <f>IFERROR(100/'Skjema total MA'!I93*K93,0)</f>
        <v>0.19536645772700814</v>
      </c>
      <c r="O93" s="148"/>
    </row>
    <row r="94" spans="1:15" x14ac:dyDescent="0.2">
      <c r="A94" s="293" t="s">
        <v>12</v>
      </c>
      <c r="B94" s="234"/>
      <c r="C94" s="286"/>
      <c r="D94" s="166"/>
      <c r="E94" s="27"/>
      <c r="F94" s="278">
        <v>384552</v>
      </c>
      <c r="G94" s="278">
        <v>484287</v>
      </c>
      <c r="H94" s="253">
        <f t="shared" si="10"/>
        <v>25.9</v>
      </c>
      <c r="I94" s="412">
        <f>IFERROR(100/'Skjema total MA'!F94*G94,0)</f>
        <v>15.534797868047702</v>
      </c>
      <c r="J94" s="287">
        <f t="shared" si="14"/>
        <v>384552</v>
      </c>
      <c r="K94" s="287">
        <f t="shared" si="14"/>
        <v>484287</v>
      </c>
      <c r="L94" s="253">
        <f t="shared" si="12"/>
        <v>25.9</v>
      </c>
      <c r="M94" s="23">
        <f>IFERROR(100/'Skjema total MA'!I94*K94,0)</f>
        <v>15.534797868047702</v>
      </c>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v>384552</v>
      </c>
      <c r="G107" s="145">
        <v>484287</v>
      </c>
      <c r="H107" s="166">
        <f t="shared" si="10"/>
        <v>25.9</v>
      </c>
      <c r="I107" s="27">
        <f>IFERROR(100/'Skjema total MA'!F107*G107,0)</f>
        <v>71.183804753606907</v>
      </c>
      <c r="J107" s="284">
        <f t="shared" si="14"/>
        <v>384552</v>
      </c>
      <c r="K107" s="44">
        <f t="shared" si="14"/>
        <v>484287</v>
      </c>
      <c r="L107" s="253">
        <f t="shared" si="12"/>
        <v>25.9</v>
      </c>
      <c r="M107" s="27">
        <f>IFERROR(100/'Skjema total MA'!I107*K107,0)</f>
        <v>8.6573959474542832</v>
      </c>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v>206083</v>
      </c>
      <c r="G109" s="233">
        <v>327661</v>
      </c>
      <c r="H109" s="166">
        <f t="shared" si="10"/>
        <v>59</v>
      </c>
      <c r="I109" s="27">
        <f>IFERROR(100/'Skjema total MA'!F109*G109,0)</f>
        <v>0.40700514072132615</v>
      </c>
      <c r="J109" s="284">
        <f t="shared" si="14"/>
        <v>206083</v>
      </c>
      <c r="K109" s="44">
        <f t="shared" si="14"/>
        <v>327661</v>
      </c>
      <c r="L109" s="253">
        <f t="shared" si="12"/>
        <v>59</v>
      </c>
      <c r="M109" s="27">
        <f>IFERROR(100/'Skjema total MA'!I109*K109,0)</f>
        <v>0.40257721960621112</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v>102278.88400000001</v>
      </c>
      <c r="G111" s="159">
        <v>137032</v>
      </c>
      <c r="H111" s="171">
        <f t="shared" si="10"/>
        <v>34</v>
      </c>
      <c r="I111" s="11">
        <f>IFERROR(100/'Skjema total MA'!F111*G111,0)</f>
        <v>1.0965216957694037</v>
      </c>
      <c r="J111" s="306">
        <f t="shared" si="14"/>
        <v>102278.88400000001</v>
      </c>
      <c r="K111" s="235">
        <f t="shared" si="14"/>
        <v>137032</v>
      </c>
      <c r="L111" s="423">
        <f t="shared" si="12"/>
        <v>34</v>
      </c>
      <c r="M111" s="11">
        <f>IFERROR(100/'Skjema total MA'!I111*K111,0)</f>
        <v>1.0511152269126047</v>
      </c>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v>102278.88400000001</v>
      </c>
      <c r="G113" s="145">
        <v>137032</v>
      </c>
      <c r="H113" s="166">
        <f t="shared" ref="H113:H121" si="15">IF(F113=0, "    ---- ", IF(ABS(ROUND(100/F113*G113-100,1))&lt;999,ROUND(100/F113*G113-100,1),IF(ROUND(100/F113*G113-100,1)&gt;999,999,-999)))</f>
        <v>34</v>
      </c>
      <c r="I113" s="27">
        <f>IFERROR(100/'Skjema total MA'!F113*G113,0)</f>
        <v>1.10022808229243</v>
      </c>
      <c r="J113" s="284">
        <f t="shared" ref="J113:K121" si="16">SUM(B113,F113)</f>
        <v>102278.88400000001</v>
      </c>
      <c r="K113" s="44">
        <f t="shared" si="16"/>
        <v>137032</v>
      </c>
      <c r="L113" s="253">
        <f t="shared" ref="L113:L121" si="17">IF(J113=0, "    ---- ", IF(ABS(ROUND(100/J113*K113-100,1))&lt;999,ROUND(100/J113*K113-100,1),IF(ROUND(100/J113*K113-100,1)&gt;999,999,-999)))</f>
        <v>34</v>
      </c>
      <c r="M113" s="27">
        <f>IFERROR(100/'Skjema total MA'!I113*K113,0)</f>
        <v>1.1000234919670573</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v>102279.88400000001</v>
      </c>
      <c r="G117" s="233">
        <v>137032</v>
      </c>
      <c r="H117" s="166">
        <f t="shared" si="15"/>
        <v>34</v>
      </c>
      <c r="I117" s="27">
        <f>IFERROR(100/'Skjema total MA'!F117*G117,0)</f>
        <v>6.1976536621621117</v>
      </c>
      <c r="J117" s="284">
        <f t="shared" si="16"/>
        <v>102279.88400000001</v>
      </c>
      <c r="K117" s="44">
        <f t="shared" si="16"/>
        <v>137032</v>
      </c>
      <c r="L117" s="253">
        <f t="shared" si="17"/>
        <v>34</v>
      </c>
      <c r="M117" s="27">
        <f>IFERROR(100/'Skjema total MA'!I117*K117,0)</f>
        <v>6.1976536621621117</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v>863</v>
      </c>
      <c r="G119" s="159">
        <v>1294</v>
      </c>
      <c r="H119" s="171">
        <f t="shared" si="15"/>
        <v>49.9</v>
      </c>
      <c r="I119" s="11">
        <f>IFERROR(100/'Skjema total MA'!F119*G119,0)</f>
        <v>1.0144016918471801E-2</v>
      </c>
      <c r="J119" s="306">
        <f t="shared" si="16"/>
        <v>863</v>
      </c>
      <c r="K119" s="235">
        <f t="shared" si="16"/>
        <v>1294</v>
      </c>
      <c r="L119" s="423">
        <f t="shared" si="17"/>
        <v>49.9</v>
      </c>
      <c r="M119" s="11">
        <f>IFERROR(100/'Skjema total MA'!I119*K119,0)</f>
        <v>9.6877379711401163E-3</v>
      </c>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v>863</v>
      </c>
      <c r="G121" s="145">
        <v>1294</v>
      </c>
      <c r="H121" s="166">
        <f t="shared" si="15"/>
        <v>49.9</v>
      </c>
      <c r="I121" s="27">
        <f>IFERROR(100/'Skjema total MA'!F121*G121,0)</f>
        <v>1.0144016918471801E-2</v>
      </c>
      <c r="J121" s="284">
        <f t="shared" si="16"/>
        <v>863</v>
      </c>
      <c r="K121" s="44">
        <f t="shared" si="16"/>
        <v>1294</v>
      </c>
      <c r="L121" s="253">
        <f t="shared" si="17"/>
        <v>49.9</v>
      </c>
      <c r="M121" s="27">
        <f>IFERROR(100/'Skjema total MA'!I121*K121,0)</f>
        <v>1.011590843522156E-2</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01" priority="139">
      <formula>kvartal &lt; 4</formula>
    </cfRule>
  </conditionalFormatting>
  <conditionalFormatting sqref="B69">
    <cfRule type="expression" dxfId="1200" priority="107">
      <formula>kvartal &lt; 4</formula>
    </cfRule>
  </conditionalFormatting>
  <conditionalFormatting sqref="C69">
    <cfRule type="expression" dxfId="1199" priority="106">
      <formula>kvartal &lt; 4</formula>
    </cfRule>
  </conditionalFormatting>
  <conditionalFormatting sqref="B72">
    <cfRule type="expression" dxfId="1198" priority="105">
      <formula>kvartal &lt; 4</formula>
    </cfRule>
  </conditionalFormatting>
  <conditionalFormatting sqref="C72">
    <cfRule type="expression" dxfId="1197" priority="104">
      <formula>kvartal &lt; 4</formula>
    </cfRule>
  </conditionalFormatting>
  <conditionalFormatting sqref="B80">
    <cfRule type="expression" dxfId="1196" priority="103">
      <formula>kvartal &lt; 4</formula>
    </cfRule>
  </conditionalFormatting>
  <conditionalFormatting sqref="C80">
    <cfRule type="expression" dxfId="1195" priority="102">
      <formula>kvartal &lt; 4</formula>
    </cfRule>
  </conditionalFormatting>
  <conditionalFormatting sqref="B83">
    <cfRule type="expression" dxfId="1194" priority="101">
      <formula>kvartal &lt; 4</formula>
    </cfRule>
  </conditionalFormatting>
  <conditionalFormatting sqref="C83">
    <cfRule type="expression" dxfId="1193" priority="100">
      <formula>kvartal &lt; 4</formula>
    </cfRule>
  </conditionalFormatting>
  <conditionalFormatting sqref="B90">
    <cfRule type="expression" dxfId="1192" priority="91">
      <formula>kvartal &lt; 4</formula>
    </cfRule>
  </conditionalFormatting>
  <conditionalFormatting sqref="C90">
    <cfRule type="expression" dxfId="1191" priority="90">
      <formula>kvartal &lt; 4</formula>
    </cfRule>
  </conditionalFormatting>
  <conditionalFormatting sqref="B93">
    <cfRule type="expression" dxfId="1190" priority="89">
      <formula>kvartal &lt; 4</formula>
    </cfRule>
  </conditionalFormatting>
  <conditionalFormatting sqref="C93">
    <cfRule type="expression" dxfId="1189" priority="88">
      <formula>kvartal &lt; 4</formula>
    </cfRule>
  </conditionalFormatting>
  <conditionalFormatting sqref="B101">
    <cfRule type="expression" dxfId="1188" priority="87">
      <formula>kvartal &lt; 4</formula>
    </cfRule>
  </conditionalFormatting>
  <conditionalFormatting sqref="C101">
    <cfRule type="expression" dxfId="1187" priority="86">
      <formula>kvartal &lt; 4</formula>
    </cfRule>
  </conditionalFormatting>
  <conditionalFormatting sqref="B104">
    <cfRule type="expression" dxfId="1186" priority="85">
      <formula>kvartal &lt; 4</formula>
    </cfRule>
  </conditionalFormatting>
  <conditionalFormatting sqref="C104">
    <cfRule type="expression" dxfId="1185" priority="84">
      <formula>kvartal &lt; 4</formula>
    </cfRule>
  </conditionalFormatting>
  <conditionalFormatting sqref="B115">
    <cfRule type="expression" dxfId="1184" priority="83">
      <formula>kvartal &lt; 4</formula>
    </cfRule>
  </conditionalFormatting>
  <conditionalFormatting sqref="C115">
    <cfRule type="expression" dxfId="1183" priority="82">
      <formula>kvartal &lt; 4</formula>
    </cfRule>
  </conditionalFormatting>
  <conditionalFormatting sqref="B123">
    <cfRule type="expression" dxfId="1182" priority="81">
      <formula>kvartal &lt; 4</formula>
    </cfRule>
  </conditionalFormatting>
  <conditionalFormatting sqref="C123">
    <cfRule type="expression" dxfId="1181" priority="80">
      <formula>kvartal &lt; 4</formula>
    </cfRule>
  </conditionalFormatting>
  <conditionalFormatting sqref="F70">
    <cfRule type="expression" dxfId="1180" priority="79">
      <formula>kvartal &lt; 4</formula>
    </cfRule>
  </conditionalFormatting>
  <conditionalFormatting sqref="G70">
    <cfRule type="expression" dxfId="1179" priority="78">
      <formula>kvartal &lt; 4</formula>
    </cfRule>
  </conditionalFormatting>
  <conditionalFormatting sqref="F71:G71">
    <cfRule type="expression" dxfId="1178" priority="77">
      <formula>kvartal &lt; 4</formula>
    </cfRule>
  </conditionalFormatting>
  <conditionalFormatting sqref="F73:G74">
    <cfRule type="expression" dxfId="1177" priority="76">
      <formula>kvartal &lt; 4</formula>
    </cfRule>
  </conditionalFormatting>
  <conditionalFormatting sqref="F81:G82">
    <cfRule type="expression" dxfId="1176" priority="75">
      <formula>kvartal &lt; 4</formula>
    </cfRule>
  </conditionalFormatting>
  <conditionalFormatting sqref="F84:G85">
    <cfRule type="expression" dxfId="1175" priority="74">
      <formula>kvartal &lt; 4</formula>
    </cfRule>
  </conditionalFormatting>
  <conditionalFormatting sqref="F91:G92">
    <cfRule type="expression" dxfId="1174" priority="69">
      <formula>kvartal &lt; 4</formula>
    </cfRule>
  </conditionalFormatting>
  <conditionalFormatting sqref="F94:G95">
    <cfRule type="expression" dxfId="1173" priority="68">
      <formula>kvartal &lt; 4</formula>
    </cfRule>
  </conditionalFormatting>
  <conditionalFormatting sqref="F102:G103">
    <cfRule type="expression" dxfId="1172" priority="67">
      <formula>kvartal &lt; 4</formula>
    </cfRule>
  </conditionalFormatting>
  <conditionalFormatting sqref="F105:G106">
    <cfRule type="expression" dxfId="1171" priority="66">
      <formula>kvartal &lt; 4</formula>
    </cfRule>
  </conditionalFormatting>
  <conditionalFormatting sqref="F115">
    <cfRule type="expression" dxfId="1170" priority="65">
      <formula>kvartal &lt; 4</formula>
    </cfRule>
  </conditionalFormatting>
  <conditionalFormatting sqref="G115">
    <cfRule type="expression" dxfId="1169" priority="64">
      <formula>kvartal &lt; 4</formula>
    </cfRule>
  </conditionalFormatting>
  <conditionalFormatting sqref="F123:G123">
    <cfRule type="expression" dxfId="1168" priority="63">
      <formula>kvartal &lt; 4</formula>
    </cfRule>
  </conditionalFormatting>
  <conditionalFormatting sqref="F69:G69">
    <cfRule type="expression" dxfId="1167" priority="62">
      <formula>kvartal &lt; 4</formula>
    </cfRule>
  </conditionalFormatting>
  <conditionalFormatting sqref="F72:G72">
    <cfRule type="expression" dxfId="1166" priority="61">
      <formula>kvartal &lt; 4</formula>
    </cfRule>
  </conditionalFormatting>
  <conditionalFormatting sqref="F80:G80">
    <cfRule type="expression" dxfId="1165" priority="60">
      <formula>kvartal &lt; 4</formula>
    </cfRule>
  </conditionalFormatting>
  <conditionalFormatting sqref="F83:G83">
    <cfRule type="expression" dxfId="1164" priority="59">
      <formula>kvartal &lt; 4</formula>
    </cfRule>
  </conditionalFormatting>
  <conditionalFormatting sqref="F90:G90">
    <cfRule type="expression" dxfId="1163" priority="53">
      <formula>kvartal &lt; 4</formula>
    </cfRule>
  </conditionalFormatting>
  <conditionalFormatting sqref="F93">
    <cfRule type="expression" dxfId="1162" priority="52">
      <formula>kvartal &lt; 4</formula>
    </cfRule>
  </conditionalFormatting>
  <conditionalFormatting sqref="G93">
    <cfRule type="expression" dxfId="1161" priority="51">
      <formula>kvartal &lt; 4</formula>
    </cfRule>
  </conditionalFormatting>
  <conditionalFormatting sqref="F101">
    <cfRule type="expression" dxfId="1160" priority="50">
      <formula>kvartal &lt; 4</formula>
    </cfRule>
  </conditionalFormatting>
  <conditionalFormatting sqref="G101">
    <cfRule type="expression" dxfId="1159" priority="49">
      <formula>kvartal &lt; 4</formula>
    </cfRule>
  </conditionalFormatting>
  <conditionalFormatting sqref="G104">
    <cfRule type="expression" dxfId="1158" priority="48">
      <formula>kvartal &lt; 4</formula>
    </cfRule>
  </conditionalFormatting>
  <conditionalFormatting sqref="F104">
    <cfRule type="expression" dxfId="1157" priority="47">
      <formula>kvartal &lt; 4</formula>
    </cfRule>
  </conditionalFormatting>
  <conditionalFormatting sqref="J69">
    <cfRule type="expression" dxfId="1156" priority="46">
      <formula>kvartal &lt; 4</formula>
    </cfRule>
  </conditionalFormatting>
  <conditionalFormatting sqref="A50:A52">
    <cfRule type="expression" dxfId="1155" priority="19">
      <formula>kvartal &lt; 4</formula>
    </cfRule>
  </conditionalFormatting>
  <conditionalFormatting sqref="A69:A74">
    <cfRule type="expression" dxfId="1154" priority="17">
      <formula>kvartal &lt; 4</formula>
    </cfRule>
  </conditionalFormatting>
  <conditionalFormatting sqref="A80:A85">
    <cfRule type="expression" dxfId="1153" priority="16">
      <formula>kvartal &lt; 4</formula>
    </cfRule>
  </conditionalFormatting>
  <conditionalFormatting sqref="A90:A95">
    <cfRule type="expression" dxfId="1152" priority="13">
      <formula>kvartal &lt; 4</formula>
    </cfRule>
  </conditionalFormatting>
  <conditionalFormatting sqref="A101:A106">
    <cfRule type="expression" dxfId="1151" priority="12">
      <formula>kvartal &lt; 4</formula>
    </cfRule>
  </conditionalFormatting>
  <conditionalFormatting sqref="A115">
    <cfRule type="expression" dxfId="1150" priority="11">
      <formula>kvartal &lt; 4</formula>
    </cfRule>
  </conditionalFormatting>
  <conditionalFormatting sqref="A123">
    <cfRule type="expression" dxfId="1149" priority="10">
      <formula>kvartal &lt; 4</formula>
    </cfRule>
  </conditionalFormatting>
  <conditionalFormatting sqref="J70:J74">
    <cfRule type="expression" dxfId="1148" priority="7">
      <formula>kvartal &lt; 4</formula>
    </cfRule>
  </conditionalFormatting>
  <conditionalFormatting sqref="K69:K74">
    <cfRule type="expression" dxfId="1147" priority="6">
      <formula>kvartal &lt; 4</formula>
    </cfRule>
  </conditionalFormatting>
  <conditionalFormatting sqref="J80:K85">
    <cfRule type="expression" dxfId="1146" priority="5">
      <formula>kvartal &lt; 4</formula>
    </cfRule>
  </conditionalFormatting>
  <conditionalFormatting sqref="J90:K95">
    <cfRule type="expression" dxfId="1145" priority="4">
      <formula>kvartal &lt; 4</formula>
    </cfRule>
  </conditionalFormatting>
  <conditionalFormatting sqref="J101:K106">
    <cfRule type="expression" dxfId="1144" priority="3">
      <formula>kvartal &lt; 4</formula>
    </cfRule>
  </conditionalFormatting>
  <conditionalFormatting sqref="J115:K115">
    <cfRule type="expression" dxfId="1143" priority="2">
      <formula>kvartal &lt; 4</formula>
    </cfRule>
  </conditionalFormatting>
  <conditionalFormatting sqref="J123:K123">
    <cfRule type="expression" dxfId="1142" priority="1">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140</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793906.04205000005</v>
      </c>
      <c r="C7" s="304">
        <v>855157.35014999995</v>
      </c>
      <c r="D7" s="347">
        <f>IF(B7=0, "    ---- ", IF(ABS(ROUND(100/B7*C7-100,1))&lt;999,ROUND(100/B7*C7-100,1),IF(ROUND(100/B7*C7-100,1)&gt;999,999,-999)))</f>
        <v>7.7</v>
      </c>
      <c r="E7" s="11">
        <f>IFERROR(100/'Skjema total MA'!C7*C7,0)</f>
        <v>18.799549773008813</v>
      </c>
      <c r="F7" s="303">
        <v>306073.60031000001</v>
      </c>
      <c r="G7" s="304">
        <v>369323.76062000002</v>
      </c>
      <c r="H7" s="347">
        <f>IF(F7=0, "    ---- ", IF(ABS(ROUND(100/F7*G7-100,1))&lt;999,ROUND(100/F7*G7-100,1),IF(ROUND(100/F7*G7-100,1)&gt;999,999,-999)))</f>
        <v>20.7</v>
      </c>
      <c r="I7" s="160">
        <f>IFERROR(100/'Skjema total MA'!F7*G7,0)</f>
        <v>5.1331094502616867</v>
      </c>
      <c r="J7" s="305">
        <f t="shared" ref="J7:K12" si="0">SUM(B7,F7)</f>
        <v>1099979.6423599999</v>
      </c>
      <c r="K7" s="306">
        <f t="shared" si="0"/>
        <v>1224481.1107699999</v>
      </c>
      <c r="L7" s="422">
        <f>IF(J7=0, "    ---- ", IF(ABS(ROUND(100/J7*K7-100,1))&lt;999,ROUND(100/J7*K7-100,1),IF(ROUND(100/J7*K7-100,1)&gt;999,999,-999)))</f>
        <v>11.3</v>
      </c>
      <c r="M7" s="11">
        <f>IFERROR(100/'Skjema total MA'!I7*K7,0)</f>
        <v>10.42666126216799</v>
      </c>
      <c r="O7" s="148"/>
    </row>
    <row r="8" spans="1:15" ht="15.75" x14ac:dyDescent="0.2">
      <c r="A8" s="21" t="s">
        <v>25</v>
      </c>
      <c r="B8" s="278">
        <v>703683.14460859401</v>
      </c>
      <c r="C8" s="279">
        <v>763841.23266409605</v>
      </c>
      <c r="D8" s="166">
        <f t="shared" ref="D8:D10" si="1">IF(B8=0, "    ---- ", IF(ABS(ROUND(100/B8*C8-100,1))&lt;999,ROUND(100/B8*C8-100,1),IF(ROUND(100/B8*C8-100,1)&gt;999,999,-999)))</f>
        <v>8.5</v>
      </c>
      <c r="E8" s="27">
        <f>IFERROR(100/'Skjema total MA'!C8*C8,0)</f>
        <v>28.940838615515094</v>
      </c>
      <c r="F8" s="282"/>
      <c r="G8" s="283"/>
      <c r="H8" s="166"/>
      <c r="I8" s="175"/>
      <c r="J8" s="233">
        <f t="shared" si="0"/>
        <v>703683.14460859401</v>
      </c>
      <c r="K8" s="284">
        <f t="shared" si="0"/>
        <v>763841.23266409605</v>
      </c>
      <c r="L8" s="166">
        <f t="shared" ref="L8:L9" si="2">IF(J8=0, "    ---- ", IF(ABS(ROUND(100/J8*K8-100,1))&lt;999,ROUND(100/J8*K8-100,1),IF(ROUND(100/J8*K8-100,1)&gt;999,999,-999)))</f>
        <v>8.5</v>
      </c>
      <c r="M8" s="27">
        <f>IFERROR(100/'Skjema total MA'!I8*K8,0)</f>
        <v>28.940838615515094</v>
      </c>
      <c r="O8" s="148"/>
    </row>
    <row r="9" spans="1:15" ht="15.75" x14ac:dyDescent="0.2">
      <c r="A9" s="21" t="s">
        <v>24</v>
      </c>
      <c r="B9" s="278">
        <v>88680.083940191107</v>
      </c>
      <c r="C9" s="279">
        <v>90928.007405449302</v>
      </c>
      <c r="D9" s="166">
        <f t="shared" si="1"/>
        <v>2.5</v>
      </c>
      <c r="E9" s="27">
        <f>IFERROR(100/'Skjema total MA'!C9*C9,0)</f>
        <v>9.2911997444718182</v>
      </c>
      <c r="F9" s="282"/>
      <c r="G9" s="283"/>
      <c r="H9" s="166"/>
      <c r="I9" s="175"/>
      <c r="J9" s="233">
        <f t="shared" si="0"/>
        <v>88680.083940191107</v>
      </c>
      <c r="K9" s="284">
        <f t="shared" si="0"/>
        <v>90928.007405449302</v>
      </c>
      <c r="L9" s="166">
        <f t="shared" si="2"/>
        <v>2.5</v>
      </c>
      <c r="M9" s="27">
        <f>IFERROR(100/'Skjema total MA'!I9*K9,0)</f>
        <v>9.2911997444718182</v>
      </c>
      <c r="O9" s="148"/>
    </row>
    <row r="10" spans="1:15" ht="15.75" x14ac:dyDescent="0.2">
      <c r="A10" s="13" t="s">
        <v>456</v>
      </c>
      <c r="B10" s="307">
        <v>905992.34363000002</v>
      </c>
      <c r="C10" s="308">
        <v>849226.27754000004</v>
      </c>
      <c r="D10" s="171">
        <f t="shared" si="1"/>
        <v>-6.3</v>
      </c>
      <c r="E10" s="11">
        <f>IFERROR(100/'Skjema total MA'!C10*C10,0)</f>
        <v>3.7810156925222249</v>
      </c>
      <c r="F10" s="307">
        <v>2175658.4874200001</v>
      </c>
      <c r="G10" s="308">
        <v>2141523.88038</v>
      </c>
      <c r="H10" s="171">
        <f t="shared" ref="H10:H12" si="3">IF(F10=0, "    ---- ", IF(ABS(ROUND(100/F10*G10-100,1))&lt;999,ROUND(100/F10*G10-100,1),IF(ROUND(100/F10*G10-100,1)&gt;999,999,-999)))</f>
        <v>-1.6</v>
      </c>
      <c r="I10" s="160">
        <f>IFERROR(100/'Skjema total MA'!F10*G10,0)</f>
        <v>5.1390787277191992</v>
      </c>
      <c r="J10" s="305">
        <f t="shared" si="0"/>
        <v>3081650.8310500002</v>
      </c>
      <c r="K10" s="306">
        <f t="shared" si="0"/>
        <v>2990750.1579200001</v>
      </c>
      <c r="L10" s="423">
        <f t="shared" ref="L10:L12" si="4">IF(J10=0, "    ---- ", IF(ABS(ROUND(100/J10*K10-100,1))&lt;999,ROUND(100/J10*K10-100,1),IF(ROUND(100/J10*K10-100,1)&gt;999,999,-999)))</f>
        <v>-2.9</v>
      </c>
      <c r="M10" s="11">
        <f>IFERROR(100/'Skjema total MA'!I10*K10,0)</f>
        <v>4.6634559776225872</v>
      </c>
      <c r="O10" s="148"/>
    </row>
    <row r="11" spans="1:15" s="43" customFormat="1" ht="15.75" x14ac:dyDescent="0.2">
      <c r="A11" s="13" t="s">
        <v>457</v>
      </c>
      <c r="B11" s="307"/>
      <c r="C11" s="308"/>
      <c r="D11" s="171"/>
      <c r="E11" s="11"/>
      <c r="F11" s="307">
        <v>19723.542219999999</v>
      </c>
      <c r="G11" s="308">
        <v>45854.274660000003</v>
      </c>
      <c r="H11" s="171">
        <f t="shared" si="3"/>
        <v>132.5</v>
      </c>
      <c r="I11" s="160">
        <f>IFERROR(100/'Skjema total MA'!F11*G11,0)</f>
        <v>15.751109603978417</v>
      </c>
      <c r="J11" s="305">
        <f t="shared" si="0"/>
        <v>19723.542219999999</v>
      </c>
      <c r="K11" s="306">
        <f t="shared" si="0"/>
        <v>45854.274660000003</v>
      </c>
      <c r="L11" s="423">
        <f t="shared" si="4"/>
        <v>132.5</v>
      </c>
      <c r="M11" s="11">
        <f>IFERROR(100/'Skjema total MA'!I11*K11,0)</f>
        <v>14.5001208069377</v>
      </c>
      <c r="N11" s="143"/>
      <c r="O11" s="148"/>
    </row>
    <row r="12" spans="1:15" s="43" customFormat="1" ht="15.75" x14ac:dyDescent="0.2">
      <c r="A12" s="41" t="s">
        <v>458</v>
      </c>
      <c r="B12" s="309"/>
      <c r="C12" s="310"/>
      <c r="D12" s="169"/>
      <c r="E12" s="36"/>
      <c r="F12" s="309">
        <v>6366.5067099999997</v>
      </c>
      <c r="G12" s="310">
        <v>3176.7204499999998</v>
      </c>
      <c r="H12" s="169">
        <f t="shared" si="3"/>
        <v>-50.1</v>
      </c>
      <c r="I12" s="169">
        <f>IFERROR(100/'Skjema total MA'!F12*G12,0)</f>
        <v>1.2957585440921582</v>
      </c>
      <c r="J12" s="311">
        <f t="shared" si="0"/>
        <v>6366.5067099999997</v>
      </c>
      <c r="K12" s="312">
        <f t="shared" si="0"/>
        <v>3176.7204499999998</v>
      </c>
      <c r="L12" s="424">
        <f t="shared" si="4"/>
        <v>-50.1</v>
      </c>
      <c r="M12" s="36">
        <f>IFERROR(100/'Skjema total MA'!I12*K12,0)</f>
        <v>1.2813076855692347</v>
      </c>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v>512909.15760999999</v>
      </c>
      <c r="C22" s="307">
        <v>527788.66003000003</v>
      </c>
      <c r="D22" s="347">
        <f t="shared" ref="D22:D35" si="5">IF(B22=0, "    ---- ", IF(ABS(ROUND(100/B22*C22-100,1))&lt;999,ROUND(100/B22*C22-100,1),IF(ROUND(100/B22*C22-100,1)&gt;999,999,-999)))</f>
        <v>2.9</v>
      </c>
      <c r="E22" s="11">
        <f>IFERROR(100/'Skjema total MA'!C22*C22,0)</f>
        <v>33.37161221637696</v>
      </c>
      <c r="F22" s="307">
        <v>193504.56977</v>
      </c>
      <c r="G22" s="307">
        <v>217205.85592999999</v>
      </c>
      <c r="H22" s="347">
        <f t="shared" ref="H22:H35" si="6">IF(F22=0, "    ---- ", IF(ABS(ROUND(100/F22*G22-100,1))&lt;999,ROUND(100/F22*G22-100,1),IF(ROUND(100/F22*G22-100,1)&gt;999,999,-999)))</f>
        <v>12.2</v>
      </c>
      <c r="I22" s="11">
        <f>IFERROR(100/'Skjema total MA'!F22*G22,0)</f>
        <v>17.073462653321773</v>
      </c>
      <c r="J22" s="313">
        <f t="shared" ref="J22:K35" si="7">SUM(B22,F22)</f>
        <v>706413.72738000005</v>
      </c>
      <c r="K22" s="313">
        <f t="shared" si="7"/>
        <v>744994.51595999999</v>
      </c>
      <c r="L22" s="422">
        <f t="shared" ref="L22:L35" si="8">IF(J22=0, "    ---- ", IF(ABS(ROUND(100/J22*K22-100,1))&lt;999,ROUND(100/J22*K22-100,1),IF(ROUND(100/J22*K22-100,1)&gt;999,999,-999)))</f>
        <v>5.5</v>
      </c>
      <c r="M22" s="24">
        <f>IFERROR(100/'Skjema total MA'!I22*K22,0)</f>
        <v>26.105957298695522</v>
      </c>
      <c r="O22" s="148"/>
    </row>
    <row r="23" spans="1:15" ht="15.75" x14ac:dyDescent="0.2">
      <c r="A23" s="834" t="s">
        <v>459</v>
      </c>
      <c r="B23" s="278">
        <v>508857.82980464998</v>
      </c>
      <c r="C23" s="278">
        <v>523619.80314374098</v>
      </c>
      <c r="D23" s="166">
        <f t="shared" si="5"/>
        <v>2.9</v>
      </c>
      <c r="E23" s="11">
        <f>IFERROR(100/'Skjema total MA'!C23*C23,0)</f>
        <v>34.518544053015688</v>
      </c>
      <c r="F23" s="278">
        <v>8272.7927400000008</v>
      </c>
      <c r="G23" s="278">
        <v>8186.9273400000002</v>
      </c>
      <c r="H23" s="166">
        <f t="shared" si="6"/>
        <v>-1</v>
      </c>
      <c r="I23" s="412">
        <f>IFERROR(100/'Skjema total MA'!F23*G23,0)</f>
        <v>4.9315025997344524</v>
      </c>
      <c r="J23" s="287">
        <f t="shared" ref="J23:J26" si="9">SUM(B23,F23)</f>
        <v>517130.62254464999</v>
      </c>
      <c r="K23" s="287">
        <f t="shared" ref="K23:K26" si="10">SUM(C23,G23)</f>
        <v>531806.73048374103</v>
      </c>
      <c r="L23" s="166">
        <f t="shared" si="8"/>
        <v>2.8</v>
      </c>
      <c r="M23" s="23">
        <f>IFERROR(100/'Skjema total MA'!I23*K23,0)</f>
        <v>31.59993718760342</v>
      </c>
      <c r="O23" s="148"/>
    </row>
    <row r="24" spans="1:15" ht="15.75" x14ac:dyDescent="0.2">
      <c r="A24" s="834" t="s">
        <v>460</v>
      </c>
      <c r="B24" s="278">
        <v>4051.3278053499898</v>
      </c>
      <c r="C24" s="278">
        <v>4168.8568862593902</v>
      </c>
      <c r="D24" s="166">
        <f t="shared" si="5"/>
        <v>2.9</v>
      </c>
      <c r="E24" s="11">
        <f>IFERROR(100/'Skjema total MA'!C24*C24,0)</f>
        <v>27.131241489542816</v>
      </c>
      <c r="F24" s="278">
        <v>-66.316280000000106</v>
      </c>
      <c r="G24" s="278">
        <v>-62.279069999999997</v>
      </c>
      <c r="H24" s="166">
        <f t="shared" si="6"/>
        <v>-6.1</v>
      </c>
      <c r="I24" s="412">
        <f>IFERROR(100/'Skjema total MA'!F24*G24,0)</f>
        <v>-61.814766922690275</v>
      </c>
      <c r="J24" s="287">
        <f t="shared" si="9"/>
        <v>3985.0115253499898</v>
      </c>
      <c r="K24" s="287">
        <f t="shared" si="10"/>
        <v>4106.5778162593906</v>
      </c>
      <c r="L24" s="166">
        <f t="shared" si="8"/>
        <v>3.1</v>
      </c>
      <c r="M24" s="23">
        <f>IFERROR(100/'Skjema total MA'!I24*K24,0)</f>
        <v>26.551825240776544</v>
      </c>
      <c r="O24" s="148"/>
    </row>
    <row r="25" spans="1:15" ht="15.75" x14ac:dyDescent="0.2">
      <c r="A25" s="834" t="s">
        <v>461</v>
      </c>
      <c r="B25" s="278"/>
      <c r="C25" s="278"/>
      <c r="D25" s="166"/>
      <c r="E25" s="11"/>
      <c r="F25" s="278">
        <v>22583.94383</v>
      </c>
      <c r="G25" s="278">
        <v>10486.551369999999</v>
      </c>
      <c r="H25" s="166">
        <f t="shared" si="6"/>
        <v>-53.6</v>
      </c>
      <c r="I25" s="412">
        <f>IFERROR(100/'Skjema total MA'!F25*G25,0)</f>
        <v>10.770123095564019</v>
      </c>
      <c r="J25" s="287">
        <f t="shared" si="9"/>
        <v>22583.94383</v>
      </c>
      <c r="K25" s="287">
        <f t="shared" si="10"/>
        <v>10486.551369999999</v>
      </c>
      <c r="L25" s="166">
        <f t="shared" si="8"/>
        <v>-53.6</v>
      </c>
      <c r="M25" s="23">
        <f>IFERROR(100/'Skjema total MA'!I25*K25,0)</f>
        <v>8.5611837641517567</v>
      </c>
      <c r="O25" s="148"/>
    </row>
    <row r="26" spans="1:15" ht="15.75" x14ac:dyDescent="0.2">
      <c r="A26" s="834" t="s">
        <v>462</v>
      </c>
      <c r="B26" s="278"/>
      <c r="C26" s="278"/>
      <c r="D26" s="166"/>
      <c r="E26" s="11"/>
      <c r="F26" s="278">
        <v>162714.14947999999</v>
      </c>
      <c r="G26" s="278">
        <v>198594.65629000001</v>
      </c>
      <c r="H26" s="166">
        <f t="shared" si="6"/>
        <v>22.1</v>
      </c>
      <c r="I26" s="412">
        <f>IFERROR(100/'Skjema total MA'!F26*G26,0)</f>
        <v>19.688113366121765</v>
      </c>
      <c r="J26" s="287">
        <f t="shared" si="9"/>
        <v>162714.14947999999</v>
      </c>
      <c r="K26" s="287">
        <f t="shared" si="10"/>
        <v>198594.65629000001</v>
      </c>
      <c r="L26" s="166">
        <f t="shared" si="8"/>
        <v>22.1</v>
      </c>
      <c r="M26" s="23">
        <f>IFERROR(100/'Skjema total MA'!I26*K26,0)</f>
        <v>19.688113366121765</v>
      </c>
      <c r="O26" s="148"/>
    </row>
    <row r="27" spans="1:15" x14ac:dyDescent="0.2">
      <c r="A27" s="834" t="s">
        <v>11</v>
      </c>
      <c r="B27" s="278"/>
      <c r="C27" s="278"/>
      <c r="D27" s="166"/>
      <c r="E27" s="11"/>
      <c r="F27" s="278"/>
      <c r="G27" s="278"/>
      <c r="H27" s="166"/>
      <c r="I27" s="412"/>
      <c r="J27" s="287"/>
      <c r="K27" s="287"/>
      <c r="L27" s="166"/>
      <c r="M27" s="23"/>
      <c r="O27" s="148"/>
    </row>
    <row r="28" spans="1:15" ht="15.75" x14ac:dyDescent="0.2">
      <c r="A28" s="49" t="s">
        <v>283</v>
      </c>
      <c r="B28" s="44">
        <v>495076.79333238199</v>
      </c>
      <c r="C28" s="284">
        <v>539601.21599896695</v>
      </c>
      <c r="D28" s="166">
        <f t="shared" si="5"/>
        <v>9</v>
      </c>
      <c r="E28" s="11">
        <f>IFERROR(100/'Skjema total MA'!C28*C28,0)</f>
        <v>30.261430953033177</v>
      </c>
      <c r="F28" s="233"/>
      <c r="G28" s="284"/>
      <c r="H28" s="166"/>
      <c r="I28" s="27"/>
      <c r="J28" s="44">
        <f t="shared" si="7"/>
        <v>495076.79333238199</v>
      </c>
      <c r="K28" s="44">
        <f t="shared" si="7"/>
        <v>539601.21599896695</v>
      </c>
      <c r="L28" s="253">
        <f t="shared" si="8"/>
        <v>9</v>
      </c>
      <c r="M28" s="23">
        <f>IFERROR(100/'Skjema total MA'!I28*K28,0)</f>
        <v>30.261430953033177</v>
      </c>
      <c r="O28" s="148"/>
    </row>
    <row r="29" spans="1:15" s="3" customFormat="1" ht="15.75" x14ac:dyDescent="0.2">
      <c r="A29" s="13" t="s">
        <v>456</v>
      </c>
      <c r="B29" s="307">
        <v>5100991.5672399998</v>
      </c>
      <c r="C29" s="307">
        <v>5283680.1030999999</v>
      </c>
      <c r="D29" s="171">
        <f t="shared" si="5"/>
        <v>3.6</v>
      </c>
      <c r="E29" s="11">
        <f>IFERROR(100/'Skjema total MA'!C29*C29,0)</f>
        <v>11.0285940024987</v>
      </c>
      <c r="F29" s="307">
        <v>2200889.4665700002</v>
      </c>
      <c r="G29" s="307">
        <v>2120163.2861500001</v>
      </c>
      <c r="H29" s="171">
        <f t="shared" si="6"/>
        <v>-3.7</v>
      </c>
      <c r="I29" s="11">
        <f>IFERROR(100/'Skjema total MA'!F29*G29,0)</f>
        <v>11.09879829305854</v>
      </c>
      <c r="J29" s="235">
        <f t="shared" si="7"/>
        <v>7301881.0338099999</v>
      </c>
      <c r="K29" s="235">
        <f t="shared" si="7"/>
        <v>7403843.38925</v>
      </c>
      <c r="L29" s="423">
        <f t="shared" si="8"/>
        <v>1.4</v>
      </c>
      <c r="M29" s="24">
        <f>IFERROR(100/'Skjema total MA'!I29*K29,0)</f>
        <v>11.048606776892212</v>
      </c>
      <c r="N29" s="148"/>
      <c r="O29" s="148"/>
    </row>
    <row r="30" spans="1:15" s="3" customFormat="1" ht="15.75" x14ac:dyDescent="0.2">
      <c r="A30" s="834" t="s">
        <v>459</v>
      </c>
      <c r="B30" s="278">
        <v>2926398.1988231</v>
      </c>
      <c r="C30" s="278">
        <v>3031205.1555175302</v>
      </c>
      <c r="D30" s="166">
        <f t="shared" si="5"/>
        <v>3.6</v>
      </c>
      <c r="E30" s="11">
        <f>IFERROR(100/'Skjema total MA'!C30*C30,0)</f>
        <v>23.45728318232344</v>
      </c>
      <c r="F30" s="287">
        <v>668260.60470000003</v>
      </c>
      <c r="G30" s="287">
        <v>562528.75887000002</v>
      </c>
      <c r="H30" s="166">
        <f t="shared" si="6"/>
        <v>-15.8</v>
      </c>
      <c r="I30" s="412">
        <f>IFERROR(100/'Skjema total MA'!F30*G30,0)</f>
        <v>13.938463362202761</v>
      </c>
      <c r="J30" s="287">
        <f t="shared" ref="J30:J33" si="11">SUM(B30,F30)</f>
        <v>3594658.8035231</v>
      </c>
      <c r="K30" s="287">
        <f t="shared" ref="K30:K33" si="12">SUM(C30,G30)</f>
        <v>3593733.9143875302</v>
      </c>
      <c r="L30" s="166">
        <f t="shared" si="8"/>
        <v>0</v>
      </c>
      <c r="M30" s="23">
        <f>IFERROR(100/'Skjema total MA'!I30*K30,0)</f>
        <v>21.191922410384013</v>
      </c>
      <c r="N30" s="148"/>
      <c r="O30" s="148"/>
    </row>
    <row r="31" spans="1:15" s="3" customFormat="1" ht="15.75" x14ac:dyDescent="0.2">
      <c r="A31" s="834" t="s">
        <v>460</v>
      </c>
      <c r="B31" s="278">
        <v>2174593.3684168998</v>
      </c>
      <c r="C31" s="278">
        <v>2252474.9475824698</v>
      </c>
      <c r="D31" s="166">
        <f t="shared" si="5"/>
        <v>3.6</v>
      </c>
      <c r="E31" s="11">
        <f>IFERROR(100/'Skjema total MA'!C31*C31,0)</f>
        <v>6.7093928606498654</v>
      </c>
      <c r="F31" s="287">
        <v>1026145.00896</v>
      </c>
      <c r="G31" s="287">
        <v>867501.39121000003</v>
      </c>
      <c r="H31" s="166">
        <f t="shared" si="6"/>
        <v>-15.5</v>
      </c>
      <c r="I31" s="412">
        <f>IFERROR(100/'Skjema total MA'!F31*G31,0)</f>
        <v>9.2947736911561023</v>
      </c>
      <c r="J31" s="287">
        <f t="shared" si="11"/>
        <v>3200738.3773769001</v>
      </c>
      <c r="K31" s="287">
        <f t="shared" si="12"/>
        <v>3119976.3387924698</v>
      </c>
      <c r="L31" s="166">
        <f t="shared" si="8"/>
        <v>-2.5</v>
      </c>
      <c r="M31" s="23">
        <f>IFERROR(100/'Skjema total MA'!I31*K31,0)</f>
        <v>7.2717939430338561</v>
      </c>
      <c r="N31" s="148"/>
      <c r="O31" s="148"/>
    </row>
    <row r="32" spans="1:15" ht="15.75" x14ac:dyDescent="0.2">
      <c r="A32" s="834" t="s">
        <v>461</v>
      </c>
      <c r="B32" s="278"/>
      <c r="C32" s="278"/>
      <c r="D32" s="166"/>
      <c r="E32" s="11"/>
      <c r="F32" s="287">
        <v>343071.19293999998</v>
      </c>
      <c r="G32" s="287">
        <v>348853.28123999998</v>
      </c>
      <c r="H32" s="166">
        <f t="shared" si="6"/>
        <v>1.7</v>
      </c>
      <c r="I32" s="412">
        <f>IFERROR(100/'Skjema total MA'!F32*G32,0)</f>
        <v>8.8079381989195529</v>
      </c>
      <c r="J32" s="287">
        <f t="shared" si="11"/>
        <v>343071.19293999998</v>
      </c>
      <c r="K32" s="287">
        <f t="shared" si="12"/>
        <v>348853.28123999998</v>
      </c>
      <c r="L32" s="166">
        <f t="shared" si="8"/>
        <v>1.7</v>
      </c>
      <c r="M32" s="23">
        <f>IFERROR(100/'Skjema total MA'!I32*K32,0)</f>
        <v>6.6444796519604967</v>
      </c>
      <c r="O32" s="148"/>
    </row>
    <row r="33" spans="1:15" ht="15.75" x14ac:dyDescent="0.2">
      <c r="A33" s="834" t="s">
        <v>462</v>
      </c>
      <c r="B33" s="278"/>
      <c r="C33" s="278"/>
      <c r="D33" s="166"/>
      <c r="E33" s="11"/>
      <c r="F33" s="287">
        <v>163412.65997000001</v>
      </c>
      <c r="G33" s="287">
        <v>341279.85483000003</v>
      </c>
      <c r="H33" s="166">
        <f t="shared" si="6"/>
        <v>108.8</v>
      </c>
      <c r="I33" s="412">
        <f>IFERROR(100/'Skjema total MA'!F34*G33,0)</f>
        <v>449.79045532449499</v>
      </c>
      <c r="J33" s="287">
        <f t="shared" si="11"/>
        <v>163412.65997000001</v>
      </c>
      <c r="K33" s="287">
        <f t="shared" si="12"/>
        <v>341279.85483000003</v>
      </c>
      <c r="L33" s="166">
        <f t="shared" si="8"/>
        <v>108.8</v>
      </c>
      <c r="M33" s="23">
        <f>IFERROR(100/'Skjema total MA'!I34*K33,0)</f>
        <v>328.15816872956066</v>
      </c>
      <c r="O33" s="148"/>
    </row>
    <row r="34" spans="1:15" ht="15.75" x14ac:dyDescent="0.2">
      <c r="A34" s="13" t="s">
        <v>457</v>
      </c>
      <c r="B34" s="235"/>
      <c r="C34" s="306"/>
      <c r="D34" s="171"/>
      <c r="E34" s="11"/>
      <c r="F34" s="305">
        <v>11854.923640000001</v>
      </c>
      <c r="G34" s="306">
        <v>27174.123960000001</v>
      </c>
      <c r="H34" s="171">
        <f t="shared" si="6"/>
        <v>129.19999999999999</v>
      </c>
      <c r="I34" s="11">
        <f>IFERROR(100/'Skjema total MA'!F34*G34,0)</f>
        <v>35.814190073132444</v>
      </c>
      <c r="J34" s="235">
        <f t="shared" si="7"/>
        <v>11854.923640000001</v>
      </c>
      <c r="K34" s="235">
        <f t="shared" si="7"/>
        <v>27174.123960000001</v>
      </c>
      <c r="L34" s="423">
        <f t="shared" si="8"/>
        <v>129.19999999999999</v>
      </c>
      <c r="M34" s="24">
        <f>IFERROR(100/'Skjema total MA'!I34*K34,0)</f>
        <v>26.129320642103711</v>
      </c>
      <c r="O34" s="148"/>
    </row>
    <row r="35" spans="1:15" ht="15.75" x14ac:dyDescent="0.2">
      <c r="A35" s="13" t="s">
        <v>458</v>
      </c>
      <c r="B35" s="235">
        <v>471.87727000000001</v>
      </c>
      <c r="C35" s="306">
        <v>675.37724000000003</v>
      </c>
      <c r="D35" s="171">
        <f t="shared" si="5"/>
        <v>43.1</v>
      </c>
      <c r="E35" s="11">
        <f>IFERROR(100/'Skjema total MA'!C35*C35,0)</f>
        <v>-2.3053805193319814</v>
      </c>
      <c r="F35" s="305">
        <v>4990.3647899999996</v>
      </c>
      <c r="G35" s="306">
        <v>6161.34681</v>
      </c>
      <c r="H35" s="171">
        <f t="shared" si="6"/>
        <v>23.5</v>
      </c>
      <c r="I35" s="11">
        <f>IFERROR(100/'Skjema total MA'!F35*G35,0)</f>
        <v>5.3778051892594343</v>
      </c>
      <c r="J35" s="235">
        <f t="shared" si="7"/>
        <v>5462.2420599999996</v>
      </c>
      <c r="K35" s="235">
        <f t="shared" si="7"/>
        <v>6836.7240499999998</v>
      </c>
      <c r="L35" s="423">
        <f t="shared" si="8"/>
        <v>25.2</v>
      </c>
      <c r="M35" s="24">
        <f>IFERROR(100/'Skjema total MA'!I35*K35,0)</f>
        <v>8.0173399027706314</v>
      </c>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746467.93608000001</v>
      </c>
      <c r="C47" s="308">
        <v>755498.07804999989</v>
      </c>
      <c r="D47" s="422">
        <f t="shared" ref="D47:D58" si="13">IF(B47=0, "    ---- ", IF(ABS(ROUND(100/B47*C47-100,1))&lt;999,ROUND(100/B47*C47-100,1),IF(ROUND(100/B47*C47-100,1)&gt;999,999,-999)))</f>
        <v>1.2</v>
      </c>
      <c r="E47" s="11">
        <f>IFERROR(100/'Skjema total MA'!C47*C47,0)</f>
        <v>17.997692539353213</v>
      </c>
      <c r="F47" s="145"/>
      <c r="G47" s="33"/>
      <c r="H47" s="159"/>
      <c r="I47" s="159"/>
      <c r="J47" s="37"/>
      <c r="K47" s="37"/>
      <c r="L47" s="159"/>
      <c r="M47" s="159"/>
      <c r="N47" s="148"/>
      <c r="O47" s="148"/>
    </row>
    <row r="48" spans="1:15" s="3" customFormat="1" ht="15.75" x14ac:dyDescent="0.2">
      <c r="A48" s="38" t="s">
        <v>467</v>
      </c>
      <c r="B48" s="278">
        <v>93054.931689999998</v>
      </c>
      <c r="C48" s="279">
        <v>98238.537970000005</v>
      </c>
      <c r="D48" s="253">
        <f t="shared" si="13"/>
        <v>5.6</v>
      </c>
      <c r="E48" s="27">
        <f>IFERROR(100/'Skjema total MA'!C48*C48,0)</f>
        <v>4.2015998643436667</v>
      </c>
      <c r="F48" s="145"/>
      <c r="G48" s="33"/>
      <c r="H48" s="145"/>
      <c r="I48" s="145"/>
      <c r="J48" s="33"/>
      <c r="K48" s="33"/>
      <c r="L48" s="159"/>
      <c r="M48" s="159"/>
      <c r="N48" s="148"/>
      <c r="O48" s="148"/>
    </row>
    <row r="49" spans="1:15" s="3" customFormat="1" ht="15.75" x14ac:dyDescent="0.2">
      <c r="A49" s="38" t="s">
        <v>468</v>
      </c>
      <c r="B49" s="44">
        <v>653413.00439000002</v>
      </c>
      <c r="C49" s="284">
        <v>657259.54007999995</v>
      </c>
      <c r="D49" s="253">
        <f>IF(B49=0, "    ---- ", IF(ABS(ROUND(100/B49*C49-100,1))&lt;999,ROUND(100/B49*C49-100,1),IF(ROUND(100/B49*C49-100,1)&gt;999,999,-999)))</f>
        <v>0.6</v>
      </c>
      <c r="E49" s="27">
        <f>IFERROR(100/'Skjema total MA'!C49*C49,0)</f>
        <v>35.343612776854123</v>
      </c>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v>447461.77412000002</v>
      </c>
      <c r="C51" s="288">
        <v>449457.74112000002</v>
      </c>
      <c r="D51" s="253">
        <f t="shared" ref="D51:D52" si="14">IF(B51=0, "    ---- ", IF(ABS(ROUND(100/B51*C51-100,1))&lt;999,ROUND(100/B51*C51-100,1),IF(ROUND(100/B51*C51-100,1)&gt;999,999,-999)))</f>
        <v>0.4</v>
      </c>
      <c r="E51" s="27">
        <f>IFERROR(100/'Skjema total MA'!C51*C51,0)</f>
        <v>28.467388202850959</v>
      </c>
      <c r="F51" s="145"/>
      <c r="G51" s="33"/>
      <c r="H51" s="145"/>
      <c r="I51" s="145"/>
      <c r="J51" s="33"/>
      <c r="K51" s="33"/>
      <c r="L51" s="159"/>
      <c r="M51" s="159"/>
      <c r="N51" s="148"/>
      <c r="O51" s="148"/>
    </row>
    <row r="52" spans="1:15" s="3" customFormat="1" x14ac:dyDescent="0.2">
      <c r="A52" s="293" t="s">
        <v>8</v>
      </c>
      <c r="B52" s="287">
        <v>205951.23027</v>
      </c>
      <c r="C52" s="288">
        <v>207801.79895999999</v>
      </c>
      <c r="D52" s="253">
        <f t="shared" si="14"/>
        <v>0.9</v>
      </c>
      <c r="E52" s="27">
        <f>IFERROR(100/'Skjema total MA'!C52*C52,0)</f>
        <v>74.608405212449682</v>
      </c>
      <c r="F52" s="145"/>
      <c r="G52" s="33"/>
      <c r="H52" s="145"/>
      <c r="I52" s="145"/>
      <c r="J52" s="33"/>
      <c r="K52" s="33"/>
      <c r="L52" s="159"/>
      <c r="M52" s="159"/>
      <c r="N52" s="148"/>
      <c r="O52" s="148"/>
    </row>
    <row r="53" spans="1:15" s="3" customFormat="1" ht="15.75" x14ac:dyDescent="0.2">
      <c r="A53" s="39" t="s">
        <v>469</v>
      </c>
      <c r="B53" s="307">
        <v>3196.7179999999998</v>
      </c>
      <c r="C53" s="308">
        <v>159.381</v>
      </c>
      <c r="D53" s="423">
        <f t="shared" si="13"/>
        <v>-95</v>
      </c>
      <c r="E53" s="11">
        <f>IFERROR(100/'Skjema total MA'!C53*C53,0)</f>
        <v>0.14129061330556686</v>
      </c>
      <c r="F53" s="145"/>
      <c r="G53" s="33"/>
      <c r="H53" s="145"/>
      <c r="I53" s="145"/>
      <c r="J53" s="33"/>
      <c r="K53" s="33"/>
      <c r="L53" s="159"/>
      <c r="M53" s="159"/>
      <c r="N53" s="148"/>
      <c r="O53" s="148"/>
    </row>
    <row r="54" spans="1:15" s="3" customFormat="1" ht="15.75" x14ac:dyDescent="0.2">
      <c r="A54" s="38" t="s">
        <v>467</v>
      </c>
      <c r="B54" s="278">
        <v>3196.7179999999998</v>
      </c>
      <c r="C54" s="279">
        <v>159.381</v>
      </c>
      <c r="D54" s="253">
        <f t="shared" si="13"/>
        <v>-95</v>
      </c>
      <c r="E54" s="27">
        <f>IFERROR(100/'Skjema total MA'!C54*C54,0)</f>
        <v>0.14129061330556686</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5896.5110000000004</v>
      </c>
      <c r="C56" s="308">
        <v>3134.8409999999999</v>
      </c>
      <c r="D56" s="423">
        <f t="shared" si="13"/>
        <v>-46.8</v>
      </c>
      <c r="E56" s="11">
        <f>IFERROR(100/'Skjema total MA'!C56*C56,0)</f>
        <v>2.6241945480133051</v>
      </c>
      <c r="F56" s="145"/>
      <c r="G56" s="33"/>
      <c r="H56" s="145"/>
      <c r="I56" s="145"/>
      <c r="J56" s="33"/>
      <c r="K56" s="33"/>
      <c r="L56" s="159"/>
      <c r="M56" s="159"/>
      <c r="N56" s="148"/>
      <c r="O56" s="148"/>
    </row>
    <row r="57" spans="1:15" s="3" customFormat="1" ht="15.75" x14ac:dyDescent="0.2">
      <c r="A57" s="38" t="s">
        <v>467</v>
      </c>
      <c r="B57" s="278">
        <v>4398.7160000000003</v>
      </c>
      <c r="C57" s="279">
        <v>3134.8409999999999</v>
      </c>
      <c r="D57" s="253">
        <f t="shared" si="13"/>
        <v>-28.7</v>
      </c>
      <c r="E57" s="27">
        <f>IFERROR(100/'Skjema total MA'!C57*C57,0)</f>
        <v>2.6241945480133051</v>
      </c>
      <c r="F57" s="145"/>
      <c r="G57" s="33"/>
      <c r="H57" s="145"/>
      <c r="I57" s="145"/>
      <c r="J57" s="33"/>
      <c r="K57" s="33"/>
      <c r="L57" s="159"/>
      <c r="M57" s="159"/>
      <c r="N57" s="148"/>
      <c r="O57" s="148"/>
    </row>
    <row r="58" spans="1:15" s="3" customFormat="1" ht="15.75" x14ac:dyDescent="0.2">
      <c r="A58" s="46" t="s">
        <v>468</v>
      </c>
      <c r="B58" s="280">
        <v>1497.7950000000001</v>
      </c>
      <c r="C58" s="281">
        <v>0</v>
      </c>
      <c r="D58" s="254">
        <f t="shared" si="13"/>
        <v>-100</v>
      </c>
      <c r="E58" s="22">
        <f>IFERROR(100/'Skjema total MA'!C58*C58,0)</f>
        <v>0</v>
      </c>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718817.38944000006</v>
      </c>
      <c r="C66" s="350">
        <v>630665.17244999995</v>
      </c>
      <c r="D66" s="347">
        <f t="shared" ref="D66:D111" si="15">IF(B66=0, "    ---- ", IF(ABS(ROUND(100/B66*C66-100,1))&lt;999,ROUND(100/B66*C66-100,1),IF(ROUND(100/B66*C66-100,1)&gt;999,999,-999)))</f>
        <v>-12.3</v>
      </c>
      <c r="E66" s="11">
        <f>IFERROR(100/'Skjema total MA'!C66*C66,0)</f>
        <v>7.1439364118182827</v>
      </c>
      <c r="F66" s="349">
        <v>2638323.3182899999</v>
      </c>
      <c r="G66" s="349">
        <v>3316436.7946199998</v>
      </c>
      <c r="H66" s="347">
        <f t="shared" ref="H66:H111" si="16">IF(F66=0, "    ---- ", IF(ABS(ROUND(100/F66*G66-100,1))&lt;999,ROUND(100/F66*G66-100,1),IF(ROUND(100/F66*G66-100,1)&gt;999,999,-999)))</f>
        <v>25.7</v>
      </c>
      <c r="I66" s="11">
        <f>IFERROR(100/'Skjema total MA'!F66*G66,0)</f>
        <v>11.453897136249658</v>
      </c>
      <c r="J66" s="306">
        <f t="shared" ref="J66:K86" si="17">SUM(B66,F66)</f>
        <v>3357140.7077299999</v>
      </c>
      <c r="K66" s="313">
        <f t="shared" si="17"/>
        <v>3947101.9670699998</v>
      </c>
      <c r="L66" s="423">
        <f t="shared" ref="L66:L111" si="18">IF(J66=0, "    ---- ", IF(ABS(ROUND(100/J66*K66-100,1))&lt;999,ROUND(100/J66*K66-100,1),IF(ROUND(100/J66*K66-100,1)&gt;999,999,-999)))</f>
        <v>17.600000000000001</v>
      </c>
      <c r="M66" s="11">
        <f>IFERROR(100/'Skjema total MA'!I66*K66,0)</f>
        <v>10.446867352817176</v>
      </c>
      <c r="O66" s="148"/>
    </row>
    <row r="67" spans="1:15" x14ac:dyDescent="0.2">
      <c r="A67" s="414" t="s">
        <v>9</v>
      </c>
      <c r="B67" s="44">
        <v>307081.32827</v>
      </c>
      <c r="C67" s="145">
        <v>163797.12703</v>
      </c>
      <c r="D67" s="166">
        <f t="shared" si="15"/>
        <v>-46.7</v>
      </c>
      <c r="E67" s="27">
        <f>IFERROR(100/'Skjema total MA'!C67*C67,0)</f>
        <v>2.32692403803193</v>
      </c>
      <c r="F67" s="233"/>
      <c r="G67" s="145"/>
      <c r="H67" s="166"/>
      <c r="I67" s="27"/>
      <c r="J67" s="284">
        <f t="shared" si="17"/>
        <v>307081.32827</v>
      </c>
      <c r="K67" s="44">
        <f t="shared" si="17"/>
        <v>163797.12703</v>
      </c>
      <c r="L67" s="253">
        <f t="shared" si="18"/>
        <v>-46.7</v>
      </c>
      <c r="M67" s="27">
        <f>IFERROR(100/'Skjema total MA'!I67*K67,0)</f>
        <v>2.32692403803193</v>
      </c>
      <c r="O67" s="148"/>
    </row>
    <row r="68" spans="1:15" x14ac:dyDescent="0.2">
      <c r="A68" s="21" t="s">
        <v>10</v>
      </c>
      <c r="B68" s="289">
        <v>58177.085980000003</v>
      </c>
      <c r="C68" s="290">
        <v>50746.272490000003</v>
      </c>
      <c r="D68" s="166">
        <f t="shared" si="15"/>
        <v>-12.8</v>
      </c>
      <c r="E68" s="27">
        <f>IFERROR(100/'Skjema total MA'!C68*C68,0)</f>
        <v>34.04001914055182</v>
      </c>
      <c r="F68" s="289">
        <v>2464299.0116300001</v>
      </c>
      <c r="G68" s="290">
        <v>3091214.05847</v>
      </c>
      <c r="H68" s="166">
        <f t="shared" si="16"/>
        <v>25.4</v>
      </c>
      <c r="I68" s="27">
        <f>IFERROR(100/'Skjema total MA'!F68*G68,0)</f>
        <v>10.828034700177705</v>
      </c>
      <c r="J68" s="284">
        <f t="shared" si="17"/>
        <v>2522476.0976100001</v>
      </c>
      <c r="K68" s="44">
        <f t="shared" si="17"/>
        <v>3141960.3309599999</v>
      </c>
      <c r="L68" s="253">
        <f t="shared" si="18"/>
        <v>24.6</v>
      </c>
      <c r="M68" s="27">
        <f>IFERROR(100/'Skjema total MA'!I68*K68,0)</f>
        <v>10.948617456420941</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v>58177.085980000003</v>
      </c>
      <c r="C72" s="278">
        <v>50746.272490000003</v>
      </c>
      <c r="D72" s="253">
        <f t="shared" si="15"/>
        <v>-12.8</v>
      </c>
      <c r="E72" s="27">
        <f>IFERROR(100/'Skjema total MA'!C72*C72,0)</f>
        <v>38.049448379352107</v>
      </c>
      <c r="F72" s="278">
        <v>2464299.0116300001</v>
      </c>
      <c r="G72" s="278">
        <v>3091214.05847</v>
      </c>
      <c r="H72" s="253">
        <f t="shared" si="16"/>
        <v>25.4</v>
      </c>
      <c r="I72" s="27">
        <f>IFERROR(100/'Skjema total MA'!F72*G72,0)</f>
        <v>10.829514087481074</v>
      </c>
      <c r="J72" s="287">
        <f t="shared" ref="J72:J74" si="19">SUM(B72,F72)</f>
        <v>2522476.0976100001</v>
      </c>
      <c r="K72" s="287">
        <f t="shared" si="17"/>
        <v>3141960.3309599999</v>
      </c>
      <c r="L72" s="253">
        <f t="shared" si="18"/>
        <v>24.6</v>
      </c>
      <c r="M72" s="23">
        <f>IFERROR(100/'Skjema total MA'!I72*K72,0)</f>
        <v>10.956103765120419</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2464299.0116300001</v>
      </c>
      <c r="G74" s="278">
        <v>3091214.05847</v>
      </c>
      <c r="H74" s="253">
        <f t="shared" si="16"/>
        <v>25.4</v>
      </c>
      <c r="I74" s="27">
        <f>IFERROR(100/'Skjema total MA'!F74*G74,0)</f>
        <v>10.943699682062471</v>
      </c>
      <c r="J74" s="287">
        <f t="shared" si="19"/>
        <v>2464299.0116300001</v>
      </c>
      <c r="K74" s="287">
        <f t="shared" si="17"/>
        <v>3091214.05847</v>
      </c>
      <c r="L74" s="253">
        <f t="shared" si="18"/>
        <v>25.4</v>
      </c>
      <c r="M74" s="23">
        <f>IFERROR(100/'Skjema total MA'!I74*K74,0)</f>
        <v>10.943699682062471</v>
      </c>
      <c r="N74" s="148"/>
      <c r="O74" s="148"/>
    </row>
    <row r="75" spans="1:15" s="3" customFormat="1" x14ac:dyDescent="0.2">
      <c r="A75" s="21" t="s">
        <v>357</v>
      </c>
      <c r="B75" s="233">
        <v>211368.10057000001</v>
      </c>
      <c r="C75" s="145">
        <v>255317.08213</v>
      </c>
      <c r="D75" s="166">
        <f t="shared" si="15"/>
        <v>20.8</v>
      </c>
      <c r="E75" s="27">
        <f>IFERROR(100/'Skjema total MA'!C75*C75,0)</f>
        <v>79.125458824015041</v>
      </c>
      <c r="F75" s="233">
        <v>174024.30666</v>
      </c>
      <c r="G75" s="145">
        <v>225222.73615000001</v>
      </c>
      <c r="H75" s="166">
        <f t="shared" si="16"/>
        <v>29.4</v>
      </c>
      <c r="I75" s="27">
        <f>IFERROR(100/'Skjema total MA'!F75*G75,0)</f>
        <v>55.417377945568788</v>
      </c>
      <c r="J75" s="284">
        <f t="shared" si="17"/>
        <v>385392.40723000001</v>
      </c>
      <c r="K75" s="44">
        <f t="shared" si="17"/>
        <v>480539.81828000001</v>
      </c>
      <c r="L75" s="253">
        <f t="shared" si="18"/>
        <v>24.7</v>
      </c>
      <c r="M75" s="27">
        <f>IFERROR(100/'Skjema total MA'!I75*K75,0)</f>
        <v>65.909940613652353</v>
      </c>
      <c r="N75" s="148"/>
      <c r="O75" s="148"/>
    </row>
    <row r="76" spans="1:15" s="3" customFormat="1" x14ac:dyDescent="0.2">
      <c r="A76" s="21" t="s">
        <v>356</v>
      </c>
      <c r="B76" s="233">
        <v>142190.87461999999</v>
      </c>
      <c r="C76" s="145">
        <v>160804.69080000001</v>
      </c>
      <c r="D76" s="166">
        <f t="shared" ref="D76" si="20">IF(B76=0, "    ---- ", IF(ABS(ROUND(100/B76*C76-100,1))&lt;999,ROUND(100/B76*C76-100,1),IF(ROUND(100/B76*C76-100,1)&gt;999,999,-999)))</f>
        <v>13.1</v>
      </c>
      <c r="E76" s="27">
        <f>IFERROR(100/'Skjema total MA'!C77*C76,0)</f>
        <v>2.2762566147416616</v>
      </c>
      <c r="F76" s="233"/>
      <c r="G76" s="145"/>
      <c r="H76" s="166"/>
      <c r="I76" s="27"/>
      <c r="J76" s="284">
        <f t="shared" ref="J76" si="21">SUM(B76,F76)</f>
        <v>142190.87461999999</v>
      </c>
      <c r="K76" s="44">
        <f t="shared" ref="K76" si="22">SUM(C76,G76)</f>
        <v>160804.69080000001</v>
      </c>
      <c r="L76" s="253">
        <f t="shared" ref="L76" si="23">IF(J76=0, "    ---- ", IF(ABS(ROUND(100/J76*K76-100,1))&lt;999,ROUND(100/J76*K76-100,1),IF(ROUND(100/J76*K76-100,1)&gt;999,999,-999)))</f>
        <v>13.1</v>
      </c>
      <c r="M76" s="27">
        <f>IFERROR(100/'Skjema total MA'!I77*K76,0)</f>
        <v>0.451695756946845</v>
      </c>
      <c r="N76" s="148"/>
      <c r="O76" s="148"/>
    </row>
    <row r="77" spans="1:15" ht="15.75" x14ac:dyDescent="0.2">
      <c r="A77" s="21" t="s">
        <v>473</v>
      </c>
      <c r="B77" s="233">
        <v>365258.41425000003</v>
      </c>
      <c r="C77" s="233">
        <v>214543.39952000001</v>
      </c>
      <c r="D77" s="166">
        <f t="shared" si="15"/>
        <v>-41.3</v>
      </c>
      <c r="E77" s="27">
        <f>IFERROR(100/'Skjema total MA'!C77*C77,0)</f>
        <v>3.0369501653030326</v>
      </c>
      <c r="F77" s="233">
        <v>2455305.6583199999</v>
      </c>
      <c r="G77" s="145">
        <v>3082714.9722000002</v>
      </c>
      <c r="H77" s="166">
        <f t="shared" si="16"/>
        <v>25.6</v>
      </c>
      <c r="I77" s="27">
        <f>IFERROR(100/'Skjema total MA'!F77*G77,0)</f>
        <v>10.802979115776402</v>
      </c>
      <c r="J77" s="284">
        <f t="shared" si="17"/>
        <v>2820564.0725699998</v>
      </c>
      <c r="K77" s="44">
        <f t="shared" si="17"/>
        <v>3297258.3717200002</v>
      </c>
      <c r="L77" s="253">
        <f t="shared" si="18"/>
        <v>16.899999999999999</v>
      </c>
      <c r="M77" s="27">
        <f>IFERROR(100/'Skjema total MA'!I77*K77,0)</f>
        <v>9.2619040443028364</v>
      </c>
      <c r="O77" s="148"/>
    </row>
    <row r="78" spans="1:15" x14ac:dyDescent="0.2">
      <c r="A78" s="21" t="s">
        <v>9</v>
      </c>
      <c r="B78" s="233">
        <v>307081.32827</v>
      </c>
      <c r="C78" s="145">
        <v>163797.12703</v>
      </c>
      <c r="D78" s="166">
        <f t="shared" si="15"/>
        <v>-46.7</v>
      </c>
      <c r="E78" s="27">
        <f>IFERROR(100/'Skjema total MA'!C78*C78,0)</f>
        <v>2.3672625556949685</v>
      </c>
      <c r="F78" s="233"/>
      <c r="G78" s="145"/>
      <c r="H78" s="166"/>
      <c r="I78" s="27"/>
      <c r="J78" s="284">
        <f t="shared" si="17"/>
        <v>307081.32827</v>
      </c>
      <c r="K78" s="44">
        <f t="shared" si="17"/>
        <v>163797.12703</v>
      </c>
      <c r="L78" s="253">
        <f t="shared" si="18"/>
        <v>-46.7</v>
      </c>
      <c r="M78" s="27">
        <f>IFERROR(100/'Skjema total MA'!I78*K78,0)</f>
        <v>2.3672625556949685</v>
      </c>
      <c r="O78" s="148"/>
    </row>
    <row r="79" spans="1:15" x14ac:dyDescent="0.2">
      <c r="A79" s="21" t="s">
        <v>10</v>
      </c>
      <c r="B79" s="289">
        <v>58177.085980000003</v>
      </c>
      <c r="C79" s="290">
        <v>50746.272490000003</v>
      </c>
      <c r="D79" s="166">
        <f t="shared" si="15"/>
        <v>-12.8</v>
      </c>
      <c r="E79" s="27">
        <f>IFERROR(100/'Skjema total MA'!C79*C79,0)</f>
        <v>34.955783347190732</v>
      </c>
      <c r="F79" s="289">
        <v>2455305.6583199999</v>
      </c>
      <c r="G79" s="290">
        <v>3082714.9722000002</v>
      </c>
      <c r="H79" s="166">
        <f t="shared" si="16"/>
        <v>25.6</v>
      </c>
      <c r="I79" s="27">
        <f>IFERROR(100/'Skjema total MA'!F79*G79,0)</f>
        <v>10.802979115776402</v>
      </c>
      <c r="J79" s="284">
        <f t="shared" si="17"/>
        <v>2513482.7442999999</v>
      </c>
      <c r="K79" s="44">
        <f t="shared" si="17"/>
        <v>3133461.2446900001</v>
      </c>
      <c r="L79" s="253">
        <f t="shared" si="18"/>
        <v>24.7</v>
      </c>
      <c r="M79" s="27">
        <f>IFERROR(100/'Skjema total MA'!I79*K79,0)</f>
        <v>10.925231970386122</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v>58177.085980000003</v>
      </c>
      <c r="C83" s="278">
        <v>50746.272490000003</v>
      </c>
      <c r="D83" s="253">
        <f t="shared" ref="D83" si="24">IF(B83=0, "    ---- ", IF(ABS(ROUND(100/B83*C83-100,1))&lt;999,ROUND(100/B83*C83-100,1),IF(ROUND(100/B83*C83-100,1)&gt;999,999,-999)))</f>
        <v>-12.8</v>
      </c>
      <c r="E83" s="27">
        <f>IFERROR(100/'Skjema total MA'!C83*C83,0)</f>
        <v>34.955783347190732</v>
      </c>
      <c r="F83" s="278">
        <v>2455305.6583199999</v>
      </c>
      <c r="G83" s="278">
        <v>3082714.9722000002</v>
      </c>
      <c r="H83" s="253">
        <f t="shared" si="16"/>
        <v>25.6</v>
      </c>
      <c r="I83" s="412">
        <f>IFERROR(100/'Skjema total MA'!F83*G83,0)</f>
        <v>10.802979115776402</v>
      </c>
      <c r="J83" s="287">
        <f t="shared" si="17"/>
        <v>2513482.7442999999</v>
      </c>
      <c r="K83" s="287">
        <f t="shared" si="17"/>
        <v>3133461.2446900001</v>
      </c>
      <c r="L83" s="253">
        <f t="shared" si="18"/>
        <v>24.7</v>
      </c>
      <c r="M83" s="23">
        <f>IFERROR(100/'Skjema total MA'!I83*K83,0)</f>
        <v>10.925231970386122</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v>2455305.6583199999</v>
      </c>
      <c r="G85" s="278">
        <v>3082714.9722000002</v>
      </c>
      <c r="H85" s="253">
        <f t="shared" si="16"/>
        <v>25.6</v>
      </c>
      <c r="I85" s="412">
        <f>IFERROR(100/'Skjema total MA'!F85*G85,0)</f>
        <v>10.916895493287385</v>
      </c>
      <c r="J85" s="287">
        <f t="shared" si="17"/>
        <v>2455305.6583199999</v>
      </c>
      <c r="K85" s="287">
        <f t="shared" si="17"/>
        <v>3082714.9722000002</v>
      </c>
      <c r="L85" s="253">
        <f t="shared" si="18"/>
        <v>25.6</v>
      </c>
      <c r="M85" s="23">
        <f>IFERROR(100/'Skjema total MA'!I85*K85,0)</f>
        <v>10.916895493287385</v>
      </c>
      <c r="O85" s="148"/>
    </row>
    <row r="86" spans="1:15" ht="15.75" x14ac:dyDescent="0.2">
      <c r="A86" s="21" t="s">
        <v>474</v>
      </c>
      <c r="B86" s="233"/>
      <c r="C86" s="145"/>
      <c r="D86" s="166"/>
      <c r="E86" s="27"/>
      <c r="F86" s="233">
        <v>8993.3533100000004</v>
      </c>
      <c r="G86" s="145">
        <v>8499.0862699999998</v>
      </c>
      <c r="H86" s="166">
        <f t="shared" si="16"/>
        <v>-5.5</v>
      </c>
      <c r="I86" s="27">
        <f>IFERROR(100/'Skjema total MA'!F86*G86,0)</f>
        <v>68.205632126708494</v>
      </c>
      <c r="J86" s="284">
        <f t="shared" si="17"/>
        <v>8993.3533100000004</v>
      </c>
      <c r="K86" s="44">
        <f t="shared" si="17"/>
        <v>8499.0862699999998</v>
      </c>
      <c r="L86" s="253">
        <f t="shared" si="18"/>
        <v>-5.5</v>
      </c>
      <c r="M86" s="27">
        <f>IFERROR(100/'Skjema total MA'!I86*K86,0)</f>
        <v>6.2348524046019849</v>
      </c>
      <c r="O86" s="148"/>
    </row>
    <row r="87" spans="1:15" ht="15.75" x14ac:dyDescent="0.2">
      <c r="A87" s="13" t="s">
        <v>456</v>
      </c>
      <c r="B87" s="350">
        <v>12669744.74165</v>
      </c>
      <c r="C87" s="350">
        <v>13635008.73048</v>
      </c>
      <c r="D87" s="171">
        <f t="shared" si="15"/>
        <v>7.6</v>
      </c>
      <c r="E87" s="11">
        <f>IFERROR(100/'Skjema total MA'!C87*C87,0)</f>
        <v>3.5296369946657786</v>
      </c>
      <c r="F87" s="349">
        <v>20517956.331080001</v>
      </c>
      <c r="G87" s="349">
        <v>23408709.932970002</v>
      </c>
      <c r="H87" s="171">
        <f t="shared" si="16"/>
        <v>14.1</v>
      </c>
      <c r="I87" s="11">
        <f>IFERROR(100/'Skjema total MA'!F87*G87,0)</f>
        <v>9.503754605851805</v>
      </c>
      <c r="J87" s="306">
        <f t="shared" ref="J87:K111" si="25">SUM(B87,F87)</f>
        <v>33187701.072730001</v>
      </c>
      <c r="K87" s="235">
        <f t="shared" si="25"/>
        <v>37043718.663450003</v>
      </c>
      <c r="L87" s="423">
        <f t="shared" si="18"/>
        <v>11.6</v>
      </c>
      <c r="M87" s="11">
        <f>IFERROR(100/'Skjema total MA'!I87*K87,0)</f>
        <v>5.8556893536104875</v>
      </c>
      <c r="O87" s="148"/>
    </row>
    <row r="88" spans="1:15" x14ac:dyDescent="0.2">
      <c r="A88" s="21" t="s">
        <v>9</v>
      </c>
      <c r="B88" s="233">
        <v>10914340.241250001</v>
      </c>
      <c r="C88" s="145">
        <v>11117222.024879999</v>
      </c>
      <c r="D88" s="166">
        <f t="shared" si="15"/>
        <v>1.9</v>
      </c>
      <c r="E88" s="27">
        <f>IFERROR(100/'Skjema total MA'!C88*C88,0)</f>
        <v>2.9464120654344113</v>
      </c>
      <c r="F88" s="233"/>
      <c r="G88" s="145"/>
      <c r="H88" s="166"/>
      <c r="I88" s="27"/>
      <c r="J88" s="284">
        <f t="shared" si="25"/>
        <v>10914340.241250001</v>
      </c>
      <c r="K88" s="44">
        <f t="shared" si="25"/>
        <v>11117222.024879999</v>
      </c>
      <c r="L88" s="253">
        <f t="shared" si="18"/>
        <v>1.9</v>
      </c>
      <c r="M88" s="27">
        <f>IFERROR(100/'Skjema total MA'!I88*K88,0)</f>
        <v>2.9464120654344113</v>
      </c>
      <c r="O88" s="148"/>
    </row>
    <row r="89" spans="1:15" x14ac:dyDescent="0.2">
      <c r="A89" s="21" t="s">
        <v>10</v>
      </c>
      <c r="B89" s="233">
        <v>1139861.7043999999</v>
      </c>
      <c r="C89" s="145">
        <v>1321415.5305399999</v>
      </c>
      <c r="D89" s="166">
        <f t="shared" si="15"/>
        <v>15.9</v>
      </c>
      <c r="E89" s="27">
        <f>IFERROR(100/'Skjema total MA'!C89*C89,0)</f>
        <v>48.583919667423665</v>
      </c>
      <c r="F89" s="233">
        <v>20050330.627</v>
      </c>
      <c r="G89" s="145">
        <v>22801529.617710002</v>
      </c>
      <c r="H89" s="166">
        <f t="shared" si="16"/>
        <v>13.7</v>
      </c>
      <c r="I89" s="27">
        <f>IFERROR(100/'Skjema total MA'!F89*G89,0)</f>
        <v>9.2953977586179608</v>
      </c>
      <c r="J89" s="284">
        <f t="shared" si="25"/>
        <v>21190192.3314</v>
      </c>
      <c r="K89" s="44">
        <f t="shared" si="25"/>
        <v>24122945.148250002</v>
      </c>
      <c r="L89" s="253">
        <f t="shared" si="18"/>
        <v>13.8</v>
      </c>
      <c r="M89" s="27">
        <f>IFERROR(100/'Skjema total MA'!I89*K89,0)</f>
        <v>9.7262492624464532</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v>1139861.7043999999</v>
      </c>
      <c r="C93" s="278">
        <v>1321415.5305399999</v>
      </c>
      <c r="D93" s="253">
        <f t="shared" ref="D93" si="26">IF(B93=0, "    ---- ", IF(ABS(ROUND(100/B93*C93-100,1))&lt;999,ROUND(100/B93*C93-100,1),IF(ROUND(100/B93*C93-100,1)&gt;999,999,-999)))</f>
        <v>15.9</v>
      </c>
      <c r="E93" s="27">
        <f>IFERROR(100/'Skjema total MA'!C93*C93,0)</f>
        <v>48.583919667423665</v>
      </c>
      <c r="F93" s="278">
        <v>20050330.627</v>
      </c>
      <c r="G93" s="278">
        <v>22801529.617710002</v>
      </c>
      <c r="H93" s="253">
        <f t="shared" si="16"/>
        <v>13.7</v>
      </c>
      <c r="I93" s="412">
        <f>IFERROR(100/'Skjema total MA'!F93*G93,0)</f>
        <v>9.3004224923150485</v>
      </c>
      <c r="J93" s="287">
        <f t="shared" si="25"/>
        <v>21190192.3314</v>
      </c>
      <c r="K93" s="287">
        <f t="shared" si="25"/>
        <v>24122945.148250002</v>
      </c>
      <c r="L93" s="253">
        <f t="shared" si="18"/>
        <v>13.8</v>
      </c>
      <c r="M93" s="23">
        <f>IFERROR(100/'Skjema total MA'!I93*K93,0)</f>
        <v>9.7314492099860637</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20050330.627</v>
      </c>
      <c r="G95" s="278">
        <v>22801529.617710002</v>
      </c>
      <c r="H95" s="253">
        <f t="shared" si="16"/>
        <v>13.7</v>
      </c>
      <c r="I95" s="412">
        <f>IFERROR(100/'Skjema total MA'!F95*G95,0)</f>
        <v>9.4202057970124322</v>
      </c>
      <c r="J95" s="287">
        <f t="shared" si="25"/>
        <v>20050330.627</v>
      </c>
      <c r="K95" s="287">
        <f t="shared" si="25"/>
        <v>22801529.617710002</v>
      </c>
      <c r="L95" s="253">
        <f t="shared" si="18"/>
        <v>13.7</v>
      </c>
      <c r="M95" s="23">
        <f>IFERROR(100/'Skjema total MA'!I95*K95,0)</f>
        <v>9.4202057970124322</v>
      </c>
      <c r="O95" s="148"/>
    </row>
    <row r="96" spans="1:15" x14ac:dyDescent="0.2">
      <c r="A96" s="21" t="s">
        <v>355</v>
      </c>
      <c r="B96" s="233">
        <v>360709.06141999998</v>
      </c>
      <c r="C96" s="145">
        <v>716339.66483999998</v>
      </c>
      <c r="D96" s="166">
        <f t="shared" si="15"/>
        <v>98.6</v>
      </c>
      <c r="E96" s="27">
        <f>IFERROR(100/'Skjema total MA'!C96*C96,0)</f>
        <v>85.310519130209485</v>
      </c>
      <c r="F96" s="233">
        <v>467625.70408</v>
      </c>
      <c r="G96" s="145">
        <v>607180.31525999994</v>
      </c>
      <c r="H96" s="166">
        <f t="shared" si="16"/>
        <v>29.8</v>
      </c>
      <c r="I96" s="27">
        <f>IFERROR(100/'Skjema total MA'!F96*G96,0)</f>
        <v>60.057507986962953</v>
      </c>
      <c r="J96" s="284">
        <f t="shared" si="25"/>
        <v>828334.76549999998</v>
      </c>
      <c r="K96" s="44">
        <f t="shared" si="25"/>
        <v>1323519.9800999998</v>
      </c>
      <c r="L96" s="253">
        <f t="shared" si="18"/>
        <v>59.8</v>
      </c>
      <c r="M96" s="27">
        <f>IFERROR(100/'Skjema total MA'!I96*K96,0)</f>
        <v>71.515209318112284</v>
      </c>
      <c r="O96" s="148"/>
    </row>
    <row r="97" spans="1:15" x14ac:dyDescent="0.2">
      <c r="A97" s="21" t="s">
        <v>354</v>
      </c>
      <c r="B97" s="233">
        <v>254833.73457999999</v>
      </c>
      <c r="C97" s="145">
        <v>480031.51022</v>
      </c>
      <c r="D97" s="166">
        <f t="shared" ref="D97" si="27">IF(B97=0, "    ---- ", IF(ABS(ROUND(100/B97*C97-100,1))&lt;999,ROUND(100/B97*C97-100,1),IF(ROUND(100/B97*C97-100,1)&gt;999,999,-999)))</f>
        <v>88.4</v>
      </c>
      <c r="E97" s="27">
        <f>IFERROR(100/'Skjema total MA'!C97*C97,0)</f>
        <v>8.8449902459371295</v>
      </c>
      <c r="F97" s="233"/>
      <c r="G97" s="145"/>
      <c r="H97" s="166"/>
      <c r="I97" s="27"/>
      <c r="J97" s="284">
        <f t="shared" ref="J97" si="28">SUM(B97,F97)</f>
        <v>254833.73457999999</v>
      </c>
      <c r="K97" s="44">
        <f t="shared" ref="K97" si="29">SUM(C97,G97)</f>
        <v>480031.51022</v>
      </c>
      <c r="L97" s="253">
        <f t="shared" ref="L97" si="30">IF(J97=0, "    ---- ", IF(ABS(ROUND(100/J97*K97-100,1))&lt;999,ROUND(100/J97*K97-100,1),IF(ROUND(100/J97*K97-100,1)&gt;999,999,-999)))</f>
        <v>88.4</v>
      </c>
      <c r="M97" s="27">
        <f>IFERROR(100/'Skjema total MA'!I97*K97,0)</f>
        <v>8.8449902459371295</v>
      </c>
      <c r="O97" s="148"/>
    </row>
    <row r="98" spans="1:15" ht="15.75" x14ac:dyDescent="0.2">
      <c r="A98" s="21" t="s">
        <v>473</v>
      </c>
      <c r="B98" s="233">
        <v>12054201.94565</v>
      </c>
      <c r="C98" s="233">
        <v>12438637.55542</v>
      </c>
      <c r="D98" s="166">
        <f t="shared" si="15"/>
        <v>3.2</v>
      </c>
      <c r="E98" s="27">
        <f>IFERROR(100/'Skjema total MA'!C98*C98,0)</f>
        <v>3.3159073693921681</v>
      </c>
      <c r="F98" s="289">
        <v>19989419.527380001</v>
      </c>
      <c r="G98" s="289">
        <v>22738011.11045</v>
      </c>
      <c r="H98" s="166">
        <f t="shared" si="16"/>
        <v>13.8</v>
      </c>
      <c r="I98" s="27">
        <f>IFERROR(100/'Skjema total MA'!F98*G98,0)</f>
        <v>9.2952837758252773</v>
      </c>
      <c r="J98" s="284">
        <f t="shared" si="25"/>
        <v>32043621.473030001</v>
      </c>
      <c r="K98" s="44">
        <f t="shared" si="25"/>
        <v>35176648.665869996</v>
      </c>
      <c r="L98" s="253">
        <f t="shared" si="18"/>
        <v>9.8000000000000007</v>
      </c>
      <c r="M98" s="27">
        <f>IFERROR(100/'Skjema total MA'!I98*K98,0)</f>
        <v>5.6760427135812552</v>
      </c>
      <c r="O98" s="148"/>
    </row>
    <row r="99" spans="1:15" x14ac:dyDescent="0.2">
      <c r="A99" s="21" t="s">
        <v>9</v>
      </c>
      <c r="B99" s="289">
        <v>10914340.241250001</v>
      </c>
      <c r="C99" s="290">
        <v>11117222.024879999</v>
      </c>
      <c r="D99" s="166">
        <f t="shared" si="15"/>
        <v>1.9</v>
      </c>
      <c r="E99" s="27">
        <f>IFERROR(100/'Skjema total MA'!C99*C99,0)</f>
        <v>2.9852880378307174</v>
      </c>
      <c r="F99" s="233"/>
      <c r="G99" s="145"/>
      <c r="H99" s="166"/>
      <c r="I99" s="27"/>
      <c r="J99" s="284">
        <f t="shared" si="25"/>
        <v>10914340.241250001</v>
      </c>
      <c r="K99" s="44">
        <f t="shared" si="25"/>
        <v>11117222.024879999</v>
      </c>
      <c r="L99" s="253">
        <f t="shared" si="18"/>
        <v>1.9</v>
      </c>
      <c r="M99" s="27">
        <f>IFERROR(100/'Skjema total MA'!I99*K99,0)</f>
        <v>2.9852880378307174</v>
      </c>
      <c r="O99" s="148"/>
    </row>
    <row r="100" spans="1:15" x14ac:dyDescent="0.2">
      <c r="A100" s="21" t="s">
        <v>10</v>
      </c>
      <c r="B100" s="289">
        <v>1139861.7043999999</v>
      </c>
      <c r="C100" s="290">
        <v>1321415.5305399999</v>
      </c>
      <c r="D100" s="166">
        <f t="shared" si="15"/>
        <v>15.9</v>
      </c>
      <c r="E100" s="27">
        <f>IFERROR(100/'Skjema total MA'!C100*C100,0)</f>
        <v>48.583919667423665</v>
      </c>
      <c r="F100" s="233">
        <v>19989419.527380001</v>
      </c>
      <c r="G100" s="233">
        <v>22738011.11045</v>
      </c>
      <c r="H100" s="166">
        <f t="shared" si="16"/>
        <v>13.8</v>
      </c>
      <c r="I100" s="27">
        <f>IFERROR(100/'Skjema total MA'!F100*G100,0)</f>
        <v>9.2952837758252773</v>
      </c>
      <c r="J100" s="284">
        <f t="shared" si="25"/>
        <v>21129281.23178</v>
      </c>
      <c r="K100" s="44">
        <f t="shared" si="25"/>
        <v>24059426.64099</v>
      </c>
      <c r="L100" s="253">
        <f t="shared" si="18"/>
        <v>13.9</v>
      </c>
      <c r="M100" s="27">
        <f>IFERROR(100/'Skjema total MA'!I100*K100,0)</f>
        <v>9.7273216394250941</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v>1139861.7043999999</v>
      </c>
      <c r="C104" s="278">
        <v>1321415.5305399999</v>
      </c>
      <c r="D104" s="253">
        <f t="shared" ref="D104" si="31">IF(B104=0, "    ---- ", IF(ABS(ROUND(100/B104*C104-100,1))&lt;999,ROUND(100/B104*C104-100,1),IF(ROUND(100/B104*C104-100,1)&gt;999,999,-999)))</f>
        <v>15.9</v>
      </c>
      <c r="E104" s="27">
        <f>IFERROR(100/'Skjema total MA'!C104*C104,0)</f>
        <v>48.583919667423665</v>
      </c>
      <c r="F104" s="278">
        <v>19989419.527380001</v>
      </c>
      <c r="G104" s="278">
        <v>22738011.11045</v>
      </c>
      <c r="H104" s="253">
        <f t="shared" si="16"/>
        <v>13.8</v>
      </c>
      <c r="I104" s="412">
        <f>IFERROR(100/'Skjema total MA'!F104*G104,0)</f>
        <v>9.2952837758252773</v>
      </c>
      <c r="J104" s="287">
        <f t="shared" si="25"/>
        <v>21129281.23178</v>
      </c>
      <c r="K104" s="287">
        <f t="shared" si="25"/>
        <v>24059426.64099</v>
      </c>
      <c r="L104" s="253">
        <f t="shared" si="18"/>
        <v>13.9</v>
      </c>
      <c r="M104" s="23">
        <f>IFERROR(100/'Skjema total MA'!I104*K104,0)</f>
        <v>9.7273216394250941</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19989419.527380001</v>
      </c>
      <c r="G106" s="278">
        <v>22738011.11045</v>
      </c>
      <c r="H106" s="253">
        <f t="shared" si="16"/>
        <v>13.8</v>
      </c>
      <c r="I106" s="412">
        <f>IFERROR(100/'Skjema total MA'!F106*G106,0)</f>
        <v>9.3964296271631298</v>
      </c>
      <c r="J106" s="287">
        <f t="shared" si="25"/>
        <v>19989419.527380001</v>
      </c>
      <c r="K106" s="287">
        <f t="shared" si="25"/>
        <v>22738011.11045</v>
      </c>
      <c r="L106" s="253">
        <f t="shared" si="18"/>
        <v>13.8</v>
      </c>
      <c r="M106" s="23">
        <f>IFERROR(100/'Skjema total MA'!I106*K106,0)</f>
        <v>9.3964296271631298</v>
      </c>
      <c r="O106" s="148"/>
    </row>
    <row r="107" spans="1:15" ht="15.75" x14ac:dyDescent="0.2">
      <c r="A107" s="21" t="s">
        <v>474</v>
      </c>
      <c r="B107" s="233"/>
      <c r="C107" s="145"/>
      <c r="D107" s="166"/>
      <c r="E107" s="27"/>
      <c r="F107" s="233">
        <v>60911.099620000001</v>
      </c>
      <c r="G107" s="145">
        <v>63518.507259999998</v>
      </c>
      <c r="H107" s="166">
        <f t="shared" si="16"/>
        <v>4.3</v>
      </c>
      <c r="I107" s="27">
        <f>IFERROR(100/'Skjema total MA'!F107*G107,0)</f>
        <v>9.3363832170518766</v>
      </c>
      <c r="J107" s="284">
        <f t="shared" si="25"/>
        <v>60911.099620000001</v>
      </c>
      <c r="K107" s="44">
        <f t="shared" si="25"/>
        <v>63518.507259999998</v>
      </c>
      <c r="L107" s="253">
        <f t="shared" si="18"/>
        <v>4.3</v>
      </c>
      <c r="M107" s="27">
        <f>IFERROR(100/'Skjema total MA'!I107*K107,0)</f>
        <v>1.1354937616352896</v>
      </c>
      <c r="O107" s="148"/>
    </row>
    <row r="108" spans="1:15" ht="15.75" x14ac:dyDescent="0.2">
      <c r="A108" s="21" t="s">
        <v>475</v>
      </c>
      <c r="B108" s="233">
        <v>7789402.8921100004</v>
      </c>
      <c r="C108" s="233">
        <v>8156591.2148799999</v>
      </c>
      <c r="D108" s="166">
        <f t="shared" si="15"/>
        <v>4.7</v>
      </c>
      <c r="E108" s="27">
        <f>IFERROR(100/'Skjema total MA'!C108*C108,0)</f>
        <v>2.6215943338929275</v>
      </c>
      <c r="F108" s="233"/>
      <c r="G108" s="233"/>
      <c r="H108" s="166"/>
      <c r="I108" s="27"/>
      <c r="J108" s="284">
        <f t="shared" si="25"/>
        <v>7789402.8921100004</v>
      </c>
      <c r="K108" s="44">
        <f t="shared" si="25"/>
        <v>8156591.2148799999</v>
      </c>
      <c r="L108" s="253">
        <f t="shared" si="18"/>
        <v>4.7</v>
      </c>
      <c r="M108" s="27">
        <f>IFERROR(100/'Skjema total MA'!I108*K108,0)</f>
        <v>2.5004509512732036</v>
      </c>
      <c r="O108" s="148"/>
    </row>
    <row r="109" spans="1:15" ht="15.75" x14ac:dyDescent="0.2">
      <c r="A109" s="21" t="s">
        <v>476</v>
      </c>
      <c r="B109" s="233">
        <v>298101.25412</v>
      </c>
      <c r="C109" s="233">
        <v>315657.39367000002</v>
      </c>
      <c r="D109" s="166">
        <f t="shared" si="15"/>
        <v>5.9</v>
      </c>
      <c r="E109" s="27">
        <f>IFERROR(100/'Skjema total MA'!C109*C109,0)</f>
        <v>35.648431786176289</v>
      </c>
      <c r="F109" s="233">
        <v>6390953.9479700001</v>
      </c>
      <c r="G109" s="233">
        <v>7196250.2406500001</v>
      </c>
      <c r="H109" s="166">
        <f t="shared" si="16"/>
        <v>12.6</v>
      </c>
      <c r="I109" s="27">
        <f>IFERROR(100/'Skjema total MA'!F109*G109,0)</f>
        <v>8.9388448483695964</v>
      </c>
      <c r="J109" s="284">
        <f t="shared" si="25"/>
        <v>6689055.2020899998</v>
      </c>
      <c r="K109" s="44">
        <f t="shared" si="25"/>
        <v>7511907.6343200002</v>
      </c>
      <c r="L109" s="253">
        <f t="shared" si="18"/>
        <v>12.3</v>
      </c>
      <c r="M109" s="27">
        <f>IFERROR(100/'Skjema total MA'!I109*K109,0)</f>
        <v>9.2294258070481892</v>
      </c>
      <c r="O109" s="148"/>
    </row>
    <row r="110" spans="1:15" ht="15.75" x14ac:dyDescent="0.2">
      <c r="A110" s="21" t="s">
        <v>477</v>
      </c>
      <c r="B110" s="233">
        <v>22614.257610000001</v>
      </c>
      <c r="C110" s="233">
        <v>90206.552110000004</v>
      </c>
      <c r="D110" s="166">
        <f t="shared" si="15"/>
        <v>298.89999999999998</v>
      </c>
      <c r="E110" s="27">
        <f>IFERROR(100/'Skjema total MA'!C110*C110,0)</f>
        <v>68.810615668096645</v>
      </c>
      <c r="F110" s="233"/>
      <c r="G110" s="233"/>
      <c r="H110" s="166"/>
      <c r="I110" s="27"/>
      <c r="J110" s="284">
        <f t="shared" si="25"/>
        <v>22614.257610000001</v>
      </c>
      <c r="K110" s="44">
        <f t="shared" si="25"/>
        <v>90206.552110000004</v>
      </c>
      <c r="L110" s="253">
        <f t="shared" si="18"/>
        <v>298.89999999999998</v>
      </c>
      <c r="M110" s="27">
        <f>IFERROR(100/'Skjema total MA'!I110*K110,0)</f>
        <v>68.810615668096645</v>
      </c>
      <c r="O110" s="148"/>
    </row>
    <row r="111" spans="1:15" ht="15.75" x14ac:dyDescent="0.2">
      <c r="A111" s="13" t="s">
        <v>457</v>
      </c>
      <c r="B111" s="305">
        <v>51250.951609999996</v>
      </c>
      <c r="C111" s="159">
        <v>47874.667699999998</v>
      </c>
      <c r="D111" s="171">
        <f t="shared" si="15"/>
        <v>-6.6</v>
      </c>
      <c r="E111" s="11">
        <f>IFERROR(100/'Skjema total MA'!C111*C111,0)</f>
        <v>8.868161702696435</v>
      </c>
      <c r="F111" s="305">
        <v>1533131.6724</v>
      </c>
      <c r="G111" s="159">
        <v>2067365.98388</v>
      </c>
      <c r="H111" s="171">
        <f t="shared" si="16"/>
        <v>34.799999999999997</v>
      </c>
      <c r="I111" s="11">
        <f>IFERROR(100/'Skjema total MA'!F111*G111,0)</f>
        <v>16.542936353698984</v>
      </c>
      <c r="J111" s="306">
        <f t="shared" si="25"/>
        <v>1584382.6240100001</v>
      </c>
      <c r="K111" s="235">
        <f t="shared" si="25"/>
        <v>2115240.6515799998</v>
      </c>
      <c r="L111" s="423">
        <f t="shared" si="18"/>
        <v>33.5</v>
      </c>
      <c r="M111" s="11">
        <f>IFERROR(100/'Skjema total MA'!I111*K111,0)</f>
        <v>16.225127396960399</v>
      </c>
      <c r="O111" s="148"/>
    </row>
    <row r="112" spans="1:15" x14ac:dyDescent="0.2">
      <c r="A112" s="21" t="s">
        <v>9</v>
      </c>
      <c r="B112" s="233">
        <v>44933.955849999998</v>
      </c>
      <c r="C112" s="145">
        <v>29781.072840000001</v>
      </c>
      <c r="D112" s="166">
        <f t="shared" ref="D112:D125" si="32">IF(B112=0, "    ---- ", IF(ABS(ROUND(100/B112*C112-100,1))&lt;999,ROUND(100/B112*C112-100,1),IF(ROUND(100/B112*C112-100,1)&gt;999,999,-999)))</f>
        <v>-33.700000000000003</v>
      </c>
      <c r="E112" s="27">
        <f>IFERROR(100/'Skjema total MA'!C112*C112,0)</f>
        <v>6.2419628663008151</v>
      </c>
      <c r="F112" s="233"/>
      <c r="G112" s="145"/>
      <c r="H112" s="166"/>
      <c r="I112" s="27"/>
      <c r="J112" s="284">
        <f t="shared" ref="J112:K125" si="33">SUM(B112,F112)</f>
        <v>44933.955849999998</v>
      </c>
      <c r="K112" s="44">
        <f t="shared" si="33"/>
        <v>29781.072840000001</v>
      </c>
      <c r="L112" s="253">
        <f t="shared" ref="L112:L125" si="34">IF(J112=0, "    ---- ", IF(ABS(ROUND(100/J112*K112-100,1))&lt;999,ROUND(100/J112*K112-100,1),IF(ROUND(100/J112*K112-100,1)&gt;999,999,-999)))</f>
        <v>-33.700000000000003</v>
      </c>
      <c r="M112" s="27">
        <f>IFERROR(100/'Skjema total MA'!I112*K112,0)</f>
        <v>6.204450140493571</v>
      </c>
      <c r="O112" s="148"/>
    </row>
    <row r="113" spans="1:15" x14ac:dyDescent="0.2">
      <c r="A113" s="21" t="s">
        <v>10</v>
      </c>
      <c r="B113" s="233">
        <v>2225.788</v>
      </c>
      <c r="C113" s="145">
        <v>1757.4471900000001</v>
      </c>
      <c r="D113" s="166">
        <f t="shared" si="32"/>
        <v>-21</v>
      </c>
      <c r="E113" s="27">
        <f>IFERROR(100/'Skjema total MA'!C113*C113,0)</f>
        <v>75.868217397177105</v>
      </c>
      <c r="F113" s="233">
        <v>1531928.6454400001</v>
      </c>
      <c r="G113" s="145">
        <v>2067365.98388</v>
      </c>
      <c r="H113" s="166">
        <f t="shared" ref="H113:H125" si="35">IF(F113=0, "    ---- ", IF(ABS(ROUND(100/F113*G113-100,1))&lt;999,ROUND(100/F113*G113-100,1),IF(ROUND(100/F113*G113-100,1)&gt;999,999,-999)))</f>
        <v>35</v>
      </c>
      <c r="I113" s="27">
        <f>IFERROR(100/'Skjema total MA'!F113*G113,0)</f>
        <v>16.598853638864608</v>
      </c>
      <c r="J113" s="284">
        <f t="shared" si="33"/>
        <v>1534154.4334400001</v>
      </c>
      <c r="K113" s="44">
        <f t="shared" si="33"/>
        <v>2069123.4310699999</v>
      </c>
      <c r="L113" s="253">
        <f t="shared" si="34"/>
        <v>34.9</v>
      </c>
      <c r="M113" s="27">
        <f>IFERROR(100/'Skjema total MA'!I113*K113,0)</f>
        <v>16.609874934004321</v>
      </c>
      <c r="O113" s="148"/>
    </row>
    <row r="114" spans="1:15" x14ac:dyDescent="0.2">
      <c r="A114" s="21" t="s">
        <v>26</v>
      </c>
      <c r="B114" s="233">
        <v>4091.2077599999998</v>
      </c>
      <c r="C114" s="145">
        <v>16336.14767</v>
      </c>
      <c r="D114" s="166">
        <f t="shared" si="32"/>
        <v>299.3</v>
      </c>
      <c r="E114" s="27">
        <f>IFERROR(100/'Skjema total MA'!C114*C114,0)</f>
        <v>27.036894483303243</v>
      </c>
      <c r="F114" s="233">
        <v>1203.0269599999999</v>
      </c>
      <c r="G114" s="145">
        <v>0</v>
      </c>
      <c r="H114" s="166">
        <f t="shared" si="35"/>
        <v>-100</v>
      </c>
      <c r="I114" s="27">
        <f>IFERROR(100/'Skjema total MA'!F114*G114,0)</f>
        <v>0</v>
      </c>
      <c r="J114" s="284">
        <f t="shared" si="33"/>
        <v>5294.2347199999995</v>
      </c>
      <c r="K114" s="44">
        <f t="shared" si="33"/>
        <v>16336.14767</v>
      </c>
      <c r="L114" s="253">
        <f t="shared" si="34"/>
        <v>208.6</v>
      </c>
      <c r="M114" s="27">
        <f>IFERROR(100/'Skjema total MA'!I114*K114,0)</f>
        <v>16.395808464028907</v>
      </c>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v>12340.65101</v>
      </c>
      <c r="C116" s="233">
        <v>26593.400890000001</v>
      </c>
      <c r="D116" s="166">
        <f t="shared" si="32"/>
        <v>115.5</v>
      </c>
      <c r="E116" s="27">
        <f>IFERROR(100/'Skjema total MA'!C116*C116,0)</f>
        <v>12.274554602979858</v>
      </c>
      <c r="F116" s="233"/>
      <c r="G116" s="233"/>
      <c r="H116" s="166"/>
      <c r="I116" s="27"/>
      <c r="J116" s="284">
        <f t="shared" si="33"/>
        <v>12340.65101</v>
      </c>
      <c r="K116" s="44">
        <f t="shared" si="33"/>
        <v>26593.400890000001</v>
      </c>
      <c r="L116" s="253">
        <f t="shared" si="34"/>
        <v>115.5</v>
      </c>
      <c r="M116" s="27">
        <f>IFERROR(100/'Skjema total MA'!I116*K116,0)</f>
        <v>12.113271894141102</v>
      </c>
      <c r="O116" s="148"/>
    </row>
    <row r="117" spans="1:15" ht="15.75" x14ac:dyDescent="0.2">
      <c r="A117" s="21" t="s">
        <v>479</v>
      </c>
      <c r="B117" s="233">
        <v>924.41134999999997</v>
      </c>
      <c r="C117" s="233">
        <v>0</v>
      </c>
      <c r="D117" s="166">
        <f t="shared" si="32"/>
        <v>-100</v>
      </c>
      <c r="E117" s="27">
        <f>IFERROR(100/'Skjema total MA'!C117*C117,0)</f>
        <v>0</v>
      </c>
      <c r="F117" s="233">
        <v>216251.53500999999</v>
      </c>
      <c r="G117" s="233">
        <v>288117.45319999999</v>
      </c>
      <c r="H117" s="166">
        <f t="shared" si="35"/>
        <v>33.200000000000003</v>
      </c>
      <c r="I117" s="27">
        <f>IFERROR(100/'Skjema total MA'!F117*G117,0)</f>
        <v>13.030913866526072</v>
      </c>
      <c r="J117" s="284">
        <f t="shared" si="33"/>
        <v>217175.94636</v>
      </c>
      <c r="K117" s="44">
        <f t="shared" si="33"/>
        <v>288117.45319999999</v>
      </c>
      <c r="L117" s="253">
        <f t="shared" si="34"/>
        <v>32.700000000000003</v>
      </c>
      <c r="M117" s="27">
        <f>IFERROR(100/'Skjema total MA'!I117*K117,0)</f>
        <v>13.030913866526072</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42472.918600000005</v>
      </c>
      <c r="C119" s="159">
        <v>87294.046050000004</v>
      </c>
      <c r="D119" s="171">
        <f t="shared" si="32"/>
        <v>105.5</v>
      </c>
      <c r="E119" s="11">
        <f>IFERROR(100/'Skjema total MA'!C119*C119,0)</f>
        <v>14.529553375034432</v>
      </c>
      <c r="F119" s="305">
        <v>677616.85222999996</v>
      </c>
      <c r="G119" s="159">
        <v>656508.26393999998</v>
      </c>
      <c r="H119" s="171">
        <f t="shared" si="35"/>
        <v>-3.1</v>
      </c>
      <c r="I119" s="11">
        <f>IFERROR(100/'Skjema total MA'!F119*G119,0)</f>
        <v>5.1465463187974576</v>
      </c>
      <c r="J119" s="306">
        <f t="shared" si="33"/>
        <v>720089.77082999994</v>
      </c>
      <c r="K119" s="235">
        <f t="shared" si="33"/>
        <v>743802.30998999998</v>
      </c>
      <c r="L119" s="423">
        <f t="shared" si="34"/>
        <v>3.3</v>
      </c>
      <c r="M119" s="11">
        <f>IFERROR(100/'Skjema total MA'!I119*K119,0)</f>
        <v>5.568594962528481</v>
      </c>
      <c r="O119" s="148"/>
    </row>
    <row r="120" spans="1:15" x14ac:dyDescent="0.2">
      <c r="A120" s="21" t="s">
        <v>9</v>
      </c>
      <c r="B120" s="233">
        <v>7138.4990500000004</v>
      </c>
      <c r="C120" s="145">
        <v>48691.166689999998</v>
      </c>
      <c r="D120" s="166">
        <f t="shared" si="32"/>
        <v>582.1</v>
      </c>
      <c r="E120" s="27">
        <f>IFERROR(100/'Skjema total MA'!C120*C120,0)</f>
        <v>10.759552155393795</v>
      </c>
      <c r="F120" s="233"/>
      <c r="G120" s="145"/>
      <c r="H120" s="166"/>
      <c r="I120" s="27"/>
      <c r="J120" s="284">
        <f t="shared" si="33"/>
        <v>7138.4990500000004</v>
      </c>
      <c r="K120" s="44">
        <f t="shared" si="33"/>
        <v>48691.166689999998</v>
      </c>
      <c r="L120" s="253">
        <f t="shared" si="34"/>
        <v>582.1</v>
      </c>
      <c r="M120" s="27">
        <f>IFERROR(100/'Skjema total MA'!I120*K120,0)</f>
        <v>10.759552155393795</v>
      </c>
      <c r="O120" s="148"/>
    </row>
    <row r="121" spans="1:15" x14ac:dyDescent="0.2">
      <c r="A121" s="21" t="s">
        <v>10</v>
      </c>
      <c r="B121" s="233">
        <v>34995.86954</v>
      </c>
      <c r="C121" s="145">
        <v>31720.1512</v>
      </c>
      <c r="D121" s="166">
        <f t="shared" si="32"/>
        <v>-9.4</v>
      </c>
      <c r="E121" s="27">
        <f>IFERROR(100/'Skjema total MA'!C121*C121,0)</f>
        <v>89.490805162653672</v>
      </c>
      <c r="F121" s="233">
        <v>677616.85222999996</v>
      </c>
      <c r="G121" s="145">
        <v>656508.26393999998</v>
      </c>
      <c r="H121" s="166">
        <f t="shared" si="35"/>
        <v>-3.1</v>
      </c>
      <c r="I121" s="27">
        <f>IFERROR(100/'Skjema total MA'!F121*G121,0)</f>
        <v>5.1465463187974576</v>
      </c>
      <c r="J121" s="284">
        <f t="shared" si="33"/>
        <v>712612.72176999995</v>
      </c>
      <c r="K121" s="44">
        <f t="shared" si="33"/>
        <v>688228.41513999994</v>
      </c>
      <c r="L121" s="253">
        <f t="shared" si="34"/>
        <v>-3.4</v>
      </c>
      <c r="M121" s="27">
        <f>IFERROR(100/'Skjema total MA'!I121*K121,0)</f>
        <v>5.3802593740911053</v>
      </c>
      <c r="O121" s="148"/>
    </row>
    <row r="122" spans="1:15" x14ac:dyDescent="0.2">
      <c r="A122" s="21" t="s">
        <v>26</v>
      </c>
      <c r="B122" s="233">
        <v>338.55001000000499</v>
      </c>
      <c r="C122" s="145">
        <v>6882.7281599999997</v>
      </c>
      <c r="D122" s="166">
        <f t="shared" si="32"/>
        <v>999</v>
      </c>
      <c r="E122" s="27">
        <f>IFERROR(100/'Skjema total MA'!C122*C122,0)</f>
        <v>6.1006685076104965</v>
      </c>
      <c r="F122" s="233"/>
      <c r="G122" s="145"/>
      <c r="H122" s="166"/>
      <c r="I122" s="27"/>
      <c r="J122" s="284">
        <f t="shared" si="33"/>
        <v>338.55001000000499</v>
      </c>
      <c r="K122" s="44">
        <f t="shared" si="33"/>
        <v>6882.7281599999997</v>
      </c>
      <c r="L122" s="253">
        <f t="shared" si="34"/>
        <v>999</v>
      </c>
      <c r="M122" s="27">
        <f>IFERROR(100/'Skjema total MA'!I122*K122,0)</f>
        <v>6.1006685076104965</v>
      </c>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v>4791.2401499999996</v>
      </c>
      <c r="C125" s="233">
        <v>3549.5722900000001</v>
      </c>
      <c r="D125" s="166">
        <f t="shared" si="32"/>
        <v>-25.9</v>
      </c>
      <c r="E125" s="27">
        <f>IFERROR(100/'Skjema total MA'!C125*C125,0)</f>
        <v>99.811881142209003</v>
      </c>
      <c r="F125" s="233">
        <v>173614.65951999999</v>
      </c>
      <c r="G125" s="233">
        <v>209510.8572</v>
      </c>
      <c r="H125" s="166">
        <f t="shared" si="35"/>
        <v>20.7</v>
      </c>
      <c r="I125" s="27">
        <f>IFERROR(100/'Skjema total MA'!F125*G125,0)</f>
        <v>9.8223002651139346</v>
      </c>
      <c r="J125" s="284">
        <f t="shared" si="33"/>
        <v>178405.89966999998</v>
      </c>
      <c r="K125" s="44">
        <f t="shared" si="33"/>
        <v>213060.42949000001</v>
      </c>
      <c r="L125" s="253">
        <f t="shared" si="34"/>
        <v>19.399999999999999</v>
      </c>
      <c r="M125" s="27">
        <f>IFERROR(100/'Skjema total MA'!I125*K125,0)</f>
        <v>9.9720855715161854</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41" priority="139">
      <formula>kvartal &lt; 4</formula>
    </cfRule>
  </conditionalFormatting>
  <conditionalFormatting sqref="B69">
    <cfRule type="expression" dxfId="1140" priority="107">
      <formula>kvartal &lt; 4</formula>
    </cfRule>
  </conditionalFormatting>
  <conditionalFormatting sqref="C69">
    <cfRule type="expression" dxfId="1139" priority="106">
      <formula>kvartal &lt; 4</formula>
    </cfRule>
  </conditionalFormatting>
  <conditionalFormatting sqref="B72">
    <cfRule type="expression" dxfId="1138" priority="105">
      <formula>kvartal &lt; 4</formula>
    </cfRule>
  </conditionalFormatting>
  <conditionalFormatting sqref="C72">
    <cfRule type="expression" dxfId="1137" priority="104">
      <formula>kvartal &lt; 4</formula>
    </cfRule>
  </conditionalFormatting>
  <conditionalFormatting sqref="B80">
    <cfRule type="expression" dxfId="1136" priority="103">
      <formula>kvartal &lt; 4</formula>
    </cfRule>
  </conditionalFormatting>
  <conditionalFormatting sqref="C80">
    <cfRule type="expression" dxfId="1135" priority="102">
      <formula>kvartal &lt; 4</formula>
    </cfRule>
  </conditionalFormatting>
  <conditionalFormatting sqref="B83">
    <cfRule type="expression" dxfId="1134" priority="101">
      <formula>kvartal &lt; 4</formula>
    </cfRule>
  </conditionalFormatting>
  <conditionalFormatting sqref="C83">
    <cfRule type="expression" dxfId="1133" priority="100">
      <formula>kvartal &lt; 4</formula>
    </cfRule>
  </conditionalFormatting>
  <conditionalFormatting sqref="B90">
    <cfRule type="expression" dxfId="1132" priority="91">
      <formula>kvartal &lt; 4</formula>
    </cfRule>
  </conditionalFormatting>
  <conditionalFormatting sqref="C90">
    <cfRule type="expression" dxfId="1131" priority="90">
      <formula>kvartal &lt; 4</formula>
    </cfRule>
  </conditionalFormatting>
  <conditionalFormatting sqref="B93">
    <cfRule type="expression" dxfId="1130" priority="89">
      <formula>kvartal &lt; 4</formula>
    </cfRule>
  </conditionalFormatting>
  <conditionalFormatting sqref="C93">
    <cfRule type="expression" dxfId="1129" priority="88">
      <formula>kvartal &lt; 4</formula>
    </cfRule>
  </conditionalFormatting>
  <conditionalFormatting sqref="B101">
    <cfRule type="expression" dxfId="1128" priority="87">
      <formula>kvartal &lt; 4</formula>
    </cfRule>
  </conditionalFormatting>
  <conditionalFormatting sqref="C101">
    <cfRule type="expression" dxfId="1127" priority="86">
      <formula>kvartal &lt; 4</formula>
    </cfRule>
  </conditionalFormatting>
  <conditionalFormatting sqref="B104">
    <cfRule type="expression" dxfId="1126" priority="85">
      <formula>kvartal &lt; 4</formula>
    </cfRule>
  </conditionalFormatting>
  <conditionalFormatting sqref="C104">
    <cfRule type="expression" dxfId="1125" priority="84">
      <formula>kvartal &lt; 4</formula>
    </cfRule>
  </conditionalFormatting>
  <conditionalFormatting sqref="B115">
    <cfRule type="expression" dxfId="1124" priority="83">
      <formula>kvartal &lt; 4</formula>
    </cfRule>
  </conditionalFormatting>
  <conditionalFormatting sqref="C115">
    <cfRule type="expression" dxfId="1123" priority="82">
      <formula>kvartal &lt; 4</formula>
    </cfRule>
  </conditionalFormatting>
  <conditionalFormatting sqref="B123">
    <cfRule type="expression" dxfId="1122" priority="81">
      <formula>kvartal &lt; 4</formula>
    </cfRule>
  </conditionalFormatting>
  <conditionalFormatting sqref="C123">
    <cfRule type="expression" dxfId="1121" priority="80">
      <formula>kvartal &lt; 4</formula>
    </cfRule>
  </conditionalFormatting>
  <conditionalFormatting sqref="F70">
    <cfRule type="expression" dxfId="1120" priority="79">
      <formula>kvartal &lt; 4</formula>
    </cfRule>
  </conditionalFormatting>
  <conditionalFormatting sqref="G70">
    <cfRule type="expression" dxfId="1119" priority="78">
      <formula>kvartal &lt; 4</formula>
    </cfRule>
  </conditionalFormatting>
  <conditionalFormatting sqref="F71:G71">
    <cfRule type="expression" dxfId="1118" priority="77">
      <formula>kvartal &lt; 4</formula>
    </cfRule>
  </conditionalFormatting>
  <conditionalFormatting sqref="F73:G74">
    <cfRule type="expression" dxfId="1117" priority="76">
      <formula>kvartal &lt; 4</formula>
    </cfRule>
  </conditionalFormatting>
  <conditionalFormatting sqref="F81:G82">
    <cfRule type="expression" dxfId="1116" priority="75">
      <formula>kvartal &lt; 4</formula>
    </cfRule>
  </conditionalFormatting>
  <conditionalFormatting sqref="F84:G85">
    <cfRule type="expression" dxfId="1115" priority="74">
      <formula>kvartal &lt; 4</formula>
    </cfRule>
  </conditionalFormatting>
  <conditionalFormatting sqref="F91:G92">
    <cfRule type="expression" dxfId="1114" priority="69">
      <formula>kvartal &lt; 4</formula>
    </cfRule>
  </conditionalFormatting>
  <conditionalFormatting sqref="F94:G95">
    <cfRule type="expression" dxfId="1113" priority="68">
      <formula>kvartal &lt; 4</formula>
    </cfRule>
  </conditionalFormatting>
  <conditionalFormatting sqref="F102:G103">
    <cfRule type="expression" dxfId="1112" priority="67">
      <formula>kvartal &lt; 4</formula>
    </cfRule>
  </conditionalFormatting>
  <conditionalFormatting sqref="F105:G106">
    <cfRule type="expression" dxfId="1111" priority="66">
      <formula>kvartal &lt; 4</formula>
    </cfRule>
  </conditionalFormatting>
  <conditionalFormatting sqref="F115">
    <cfRule type="expression" dxfId="1110" priority="65">
      <formula>kvartal &lt; 4</formula>
    </cfRule>
  </conditionalFormatting>
  <conditionalFormatting sqref="G115">
    <cfRule type="expression" dxfId="1109" priority="64">
      <formula>kvartal &lt; 4</formula>
    </cfRule>
  </conditionalFormatting>
  <conditionalFormatting sqref="F123:G123">
    <cfRule type="expression" dxfId="1108" priority="63">
      <formula>kvartal &lt; 4</formula>
    </cfRule>
  </conditionalFormatting>
  <conditionalFormatting sqref="F69:G69">
    <cfRule type="expression" dxfId="1107" priority="62">
      <formula>kvartal &lt; 4</formula>
    </cfRule>
  </conditionalFormatting>
  <conditionalFormatting sqref="F72:G72">
    <cfRule type="expression" dxfId="1106" priority="61">
      <formula>kvartal &lt; 4</formula>
    </cfRule>
  </conditionalFormatting>
  <conditionalFormatting sqref="F80:G80">
    <cfRule type="expression" dxfId="1105" priority="60">
      <formula>kvartal &lt; 4</formula>
    </cfRule>
  </conditionalFormatting>
  <conditionalFormatting sqref="F83:G83">
    <cfRule type="expression" dxfId="1104" priority="59">
      <formula>kvartal &lt; 4</formula>
    </cfRule>
  </conditionalFormatting>
  <conditionalFormatting sqref="F90:G90">
    <cfRule type="expression" dxfId="1103" priority="53">
      <formula>kvartal &lt; 4</formula>
    </cfRule>
  </conditionalFormatting>
  <conditionalFormatting sqref="F93">
    <cfRule type="expression" dxfId="1102" priority="52">
      <formula>kvartal &lt; 4</formula>
    </cfRule>
  </conditionalFormatting>
  <conditionalFormatting sqref="G93">
    <cfRule type="expression" dxfId="1101" priority="51">
      <formula>kvartal &lt; 4</formula>
    </cfRule>
  </conditionalFormatting>
  <conditionalFormatting sqref="F101">
    <cfRule type="expression" dxfId="1100" priority="50">
      <formula>kvartal &lt; 4</formula>
    </cfRule>
  </conditionalFormatting>
  <conditionalFormatting sqref="G101">
    <cfRule type="expression" dxfId="1099" priority="49">
      <formula>kvartal &lt; 4</formula>
    </cfRule>
  </conditionalFormatting>
  <conditionalFormatting sqref="G104">
    <cfRule type="expression" dxfId="1098" priority="48">
      <formula>kvartal &lt; 4</formula>
    </cfRule>
  </conditionalFormatting>
  <conditionalFormatting sqref="F104">
    <cfRule type="expression" dxfId="1097" priority="47">
      <formula>kvartal &lt; 4</formula>
    </cfRule>
  </conditionalFormatting>
  <conditionalFormatting sqref="J69">
    <cfRule type="expression" dxfId="1096" priority="46">
      <formula>kvartal &lt; 4</formula>
    </cfRule>
  </conditionalFormatting>
  <conditionalFormatting sqref="A50:A52">
    <cfRule type="expression" dxfId="1095" priority="19">
      <formula>kvartal &lt; 4</formula>
    </cfRule>
  </conditionalFormatting>
  <conditionalFormatting sqref="A69:A74">
    <cfRule type="expression" dxfId="1094" priority="17">
      <formula>kvartal &lt; 4</formula>
    </cfRule>
  </conditionalFormatting>
  <conditionalFormatting sqref="A80:A85">
    <cfRule type="expression" dxfId="1093" priority="16">
      <formula>kvartal &lt; 4</formula>
    </cfRule>
  </conditionalFormatting>
  <conditionalFormatting sqref="A90:A95">
    <cfRule type="expression" dxfId="1092" priority="13">
      <formula>kvartal &lt; 4</formula>
    </cfRule>
  </conditionalFormatting>
  <conditionalFormatting sqref="A101:A106">
    <cfRule type="expression" dxfId="1091" priority="12">
      <formula>kvartal &lt; 4</formula>
    </cfRule>
  </conditionalFormatting>
  <conditionalFormatting sqref="A115">
    <cfRule type="expression" dxfId="1090" priority="11">
      <formula>kvartal &lt; 4</formula>
    </cfRule>
  </conditionalFormatting>
  <conditionalFormatting sqref="A123">
    <cfRule type="expression" dxfId="1089" priority="10">
      <formula>kvartal &lt; 4</formula>
    </cfRule>
  </conditionalFormatting>
  <conditionalFormatting sqref="J70:J74">
    <cfRule type="expression" dxfId="1088" priority="7">
      <formula>kvartal &lt; 4</formula>
    </cfRule>
  </conditionalFormatting>
  <conditionalFormatting sqref="K69:K74">
    <cfRule type="expression" dxfId="1087" priority="6">
      <formula>kvartal &lt; 4</formula>
    </cfRule>
  </conditionalFormatting>
  <conditionalFormatting sqref="J80:K85">
    <cfRule type="expression" dxfId="1086" priority="5">
      <formula>kvartal &lt; 4</formula>
    </cfRule>
  </conditionalFormatting>
  <conditionalFormatting sqref="J90:K95">
    <cfRule type="expression" dxfId="1085" priority="4">
      <formula>kvartal &lt; 4</formula>
    </cfRule>
  </conditionalFormatting>
  <conditionalFormatting sqref="J101:K106">
    <cfRule type="expression" dxfId="1084" priority="3">
      <formula>kvartal &lt; 4</formula>
    </cfRule>
  </conditionalFormatting>
  <conditionalFormatting sqref="J115:K115">
    <cfRule type="expression" dxfId="1083" priority="2">
      <formula>kvartal &lt; 4</formula>
    </cfRule>
  </conditionalFormatting>
  <conditionalFormatting sqref="J123:K123">
    <cfRule type="expression" dxfId="1082" priority="1">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141</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680070.31200000003</v>
      </c>
      <c r="C7" s="304">
        <v>667653.13699999999</v>
      </c>
      <c r="D7" s="347">
        <f>IF(B7=0, "    ---- ", IF(ABS(ROUND(100/B7*C7-100,1))&lt;999,ROUND(100/B7*C7-100,1),IF(ROUND(100/B7*C7-100,1)&gt;999,999,-999)))</f>
        <v>-1.8</v>
      </c>
      <c r="E7" s="11">
        <f>IFERROR(100/'Skjema total MA'!C7*C7,0)</f>
        <v>14.677507452792574</v>
      </c>
      <c r="F7" s="303">
        <v>1570460.51</v>
      </c>
      <c r="G7" s="304">
        <v>1405990.24</v>
      </c>
      <c r="H7" s="347">
        <f>IF(F7=0, "    ---- ", IF(ABS(ROUND(100/F7*G7-100,1))&lt;999,ROUND(100/F7*G7-100,1),IF(ROUND(100/F7*G7-100,1)&gt;999,999,-999)))</f>
        <v>-10.5</v>
      </c>
      <c r="I7" s="160">
        <f>IFERROR(100/'Skjema total MA'!F7*G7,0)</f>
        <v>19.541395808934773</v>
      </c>
      <c r="J7" s="305">
        <f t="shared" ref="J7:K12" si="0">SUM(B7,F7)</f>
        <v>2250530.8220000002</v>
      </c>
      <c r="K7" s="306">
        <f t="shared" si="0"/>
        <v>2073643.3769999999</v>
      </c>
      <c r="L7" s="422">
        <f>IF(J7=0, "    ---- ", IF(ABS(ROUND(100/J7*K7-100,1))&lt;999,ROUND(100/J7*K7-100,1),IF(ROUND(100/J7*K7-100,1)&gt;999,999,-999)))</f>
        <v>-7.9</v>
      </c>
      <c r="M7" s="11">
        <f>IFERROR(100/'Skjema total MA'!I7*K7,0)</f>
        <v>17.657419849393104</v>
      </c>
      <c r="O7" s="148"/>
    </row>
    <row r="8" spans="1:15" ht="15.75" x14ac:dyDescent="0.2">
      <c r="A8" s="21" t="s">
        <v>25</v>
      </c>
      <c r="B8" s="278">
        <v>255921</v>
      </c>
      <c r="C8" s="279">
        <v>254546.67199999999</v>
      </c>
      <c r="D8" s="166">
        <f t="shared" ref="D8:D10" si="1">IF(B8=0, "    ---- ", IF(ABS(ROUND(100/B8*C8-100,1))&lt;999,ROUND(100/B8*C8-100,1),IF(ROUND(100/B8*C8-100,1)&gt;999,999,-999)))</f>
        <v>-0.5</v>
      </c>
      <c r="E8" s="27">
        <f>IFERROR(100/'Skjema total MA'!C8*C8,0)</f>
        <v>9.6444049357938351</v>
      </c>
      <c r="F8" s="282"/>
      <c r="G8" s="283"/>
      <c r="H8" s="166"/>
      <c r="I8" s="175"/>
      <c r="J8" s="233">
        <f t="shared" si="0"/>
        <v>255921</v>
      </c>
      <c r="K8" s="284">
        <f t="shared" si="0"/>
        <v>254546.67199999999</v>
      </c>
      <c r="L8" s="166">
        <f t="shared" ref="L8:L9" si="2">IF(J8=0, "    ---- ", IF(ABS(ROUND(100/J8*K8-100,1))&lt;999,ROUND(100/J8*K8-100,1),IF(ROUND(100/J8*K8-100,1)&gt;999,999,-999)))</f>
        <v>-0.5</v>
      </c>
      <c r="M8" s="27">
        <f>IFERROR(100/'Skjema total MA'!I8*K8,0)</f>
        <v>9.6444049357938351</v>
      </c>
      <c r="O8" s="148"/>
    </row>
    <row r="9" spans="1:15" ht="15.75" x14ac:dyDescent="0.2">
      <c r="A9" s="21" t="s">
        <v>24</v>
      </c>
      <c r="B9" s="278">
        <v>71474</v>
      </c>
      <c r="C9" s="279">
        <v>75449.076000000001</v>
      </c>
      <c r="D9" s="166">
        <f t="shared" si="1"/>
        <v>5.6</v>
      </c>
      <c r="E9" s="27">
        <f>IFERROR(100/'Skjema total MA'!C9*C9,0)</f>
        <v>7.7095325813751776</v>
      </c>
      <c r="F9" s="282"/>
      <c r="G9" s="283"/>
      <c r="H9" s="166"/>
      <c r="I9" s="175"/>
      <c r="J9" s="233">
        <f t="shared" si="0"/>
        <v>71474</v>
      </c>
      <c r="K9" s="284">
        <f t="shared" si="0"/>
        <v>75449.076000000001</v>
      </c>
      <c r="L9" s="166">
        <f t="shared" si="2"/>
        <v>5.6</v>
      </c>
      <c r="M9" s="27">
        <f>IFERROR(100/'Skjema total MA'!I9*K9,0)</f>
        <v>7.7095325813751776</v>
      </c>
      <c r="O9" s="148"/>
    </row>
    <row r="10" spans="1:15" ht="15.75" x14ac:dyDescent="0.2">
      <c r="A10" s="13" t="s">
        <v>456</v>
      </c>
      <c r="B10" s="307">
        <v>4042198.9789999998</v>
      </c>
      <c r="C10" s="308">
        <v>4011659.6260000002</v>
      </c>
      <c r="D10" s="171">
        <f t="shared" si="1"/>
        <v>-0.8</v>
      </c>
      <c r="E10" s="11">
        <f>IFERROR(100/'Skjema total MA'!C10*C10,0)</f>
        <v>17.861138309217466</v>
      </c>
      <c r="F10" s="307">
        <v>6476249.4060000004</v>
      </c>
      <c r="G10" s="308">
        <v>6842610.8509999998</v>
      </c>
      <c r="H10" s="171">
        <f t="shared" ref="H10:H12" si="3">IF(F10=0, "    ---- ", IF(ABS(ROUND(100/F10*G10-100,1))&lt;999,ROUND(100/F10*G10-100,1),IF(ROUND(100/F10*G10-100,1)&gt;999,999,-999)))</f>
        <v>5.7</v>
      </c>
      <c r="I10" s="160">
        <f>IFERROR(100/'Skjema total MA'!F10*G10,0)</f>
        <v>16.420417343277492</v>
      </c>
      <c r="J10" s="305">
        <f t="shared" si="0"/>
        <v>10518448.385</v>
      </c>
      <c r="K10" s="306">
        <f t="shared" si="0"/>
        <v>10854270.477</v>
      </c>
      <c r="L10" s="423">
        <f t="shared" ref="L10:L12" si="4">IF(J10=0, "    ---- ", IF(ABS(ROUND(100/J10*K10-100,1))&lt;999,ROUND(100/J10*K10-100,1),IF(ROUND(100/J10*K10-100,1)&gt;999,999,-999)))</f>
        <v>3.2</v>
      </c>
      <c r="M10" s="11">
        <f>IFERROR(100/'Skjema total MA'!I10*K10,0)</f>
        <v>16.924988670368236</v>
      </c>
      <c r="O10" s="148"/>
    </row>
    <row r="11" spans="1:15" s="43" customFormat="1" ht="15.75" x14ac:dyDescent="0.2">
      <c r="A11" s="13" t="s">
        <v>457</v>
      </c>
      <c r="B11" s="307"/>
      <c r="C11" s="308"/>
      <c r="D11" s="171"/>
      <c r="E11" s="11"/>
      <c r="F11" s="307">
        <v>6041.78</v>
      </c>
      <c r="G11" s="308">
        <v>18576.319</v>
      </c>
      <c r="H11" s="171">
        <f t="shared" si="3"/>
        <v>207.5</v>
      </c>
      <c r="I11" s="160">
        <f>IFERROR(100/'Skjema total MA'!F11*G11,0)</f>
        <v>6.3810329304523492</v>
      </c>
      <c r="J11" s="305">
        <f t="shared" si="0"/>
        <v>6041.78</v>
      </c>
      <c r="K11" s="306">
        <f t="shared" si="0"/>
        <v>18576.319</v>
      </c>
      <c r="L11" s="423">
        <f t="shared" si="4"/>
        <v>207.5</v>
      </c>
      <c r="M11" s="11">
        <f>IFERROR(100/'Skjema total MA'!I11*K11,0)</f>
        <v>5.8742368436847521</v>
      </c>
      <c r="N11" s="143"/>
      <c r="O11" s="148"/>
    </row>
    <row r="12" spans="1:15" s="43" customFormat="1" ht="15.75" x14ac:dyDescent="0.2">
      <c r="A12" s="41" t="s">
        <v>458</v>
      </c>
      <c r="B12" s="309"/>
      <c r="C12" s="310"/>
      <c r="D12" s="169"/>
      <c r="E12" s="36"/>
      <c r="F12" s="309">
        <v>34302.915000000001</v>
      </c>
      <c r="G12" s="310">
        <v>31513.37</v>
      </c>
      <c r="H12" s="169">
        <f t="shared" si="3"/>
        <v>-8.1</v>
      </c>
      <c r="I12" s="169">
        <f>IFERROR(100/'Skjema total MA'!F12*G12,0)</f>
        <v>12.854048404113588</v>
      </c>
      <c r="J12" s="311">
        <f t="shared" si="0"/>
        <v>34302.915000000001</v>
      </c>
      <c r="K12" s="312">
        <f t="shared" si="0"/>
        <v>31513.37</v>
      </c>
      <c r="L12" s="424">
        <f t="shared" si="4"/>
        <v>-8.1</v>
      </c>
      <c r="M12" s="36">
        <f>IFERROR(100/'Skjema total MA'!I12*K12,0)</f>
        <v>12.710694508604606</v>
      </c>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v>13916.93</v>
      </c>
      <c r="C22" s="307">
        <v>11670.253000000001</v>
      </c>
      <c r="D22" s="347">
        <f t="shared" ref="D22:D37" si="5">IF(B22=0, "    ---- ", IF(ABS(ROUND(100/B22*C22-100,1))&lt;999,ROUND(100/B22*C22-100,1),IF(ROUND(100/B22*C22-100,1)&gt;999,999,-999)))</f>
        <v>-16.100000000000001</v>
      </c>
      <c r="E22" s="11">
        <f>IFERROR(100/'Skjema total MA'!C22*C22,0)</f>
        <v>0.73789982066093063</v>
      </c>
      <c r="F22" s="307">
        <v>334789.21399999998</v>
      </c>
      <c r="G22" s="307">
        <v>455322.59821000003</v>
      </c>
      <c r="H22" s="347">
        <f t="shared" ref="H22:H35" si="6">IF(F22=0, "    ---- ", IF(ABS(ROUND(100/F22*G22-100,1))&lt;999,ROUND(100/F22*G22-100,1),IF(ROUND(100/F22*G22-100,1)&gt;999,999,-999)))</f>
        <v>36</v>
      </c>
      <c r="I22" s="11">
        <f>IFERROR(100/'Skjema total MA'!F22*G22,0)</f>
        <v>35.790625176593835</v>
      </c>
      <c r="J22" s="313">
        <f t="shared" ref="J22:K35" si="7">SUM(B22,F22)</f>
        <v>348706.14399999997</v>
      </c>
      <c r="K22" s="313">
        <f t="shared" si="7"/>
        <v>466992.85121000005</v>
      </c>
      <c r="L22" s="422">
        <f t="shared" ref="L22:L35" si="8">IF(J22=0, "    ---- ", IF(ABS(ROUND(100/J22*K22-100,1))&lt;999,ROUND(100/J22*K22-100,1),IF(ROUND(100/J22*K22-100,1)&gt;999,999,-999)))</f>
        <v>33.9</v>
      </c>
      <c r="M22" s="24">
        <f>IFERROR(100/'Skjema total MA'!I22*K22,0)</f>
        <v>16.364275402449948</v>
      </c>
      <c r="O22" s="148"/>
    </row>
    <row r="23" spans="1:15" ht="15.75" x14ac:dyDescent="0.2">
      <c r="A23" s="834" t="s">
        <v>459</v>
      </c>
      <c r="B23" s="278">
        <v>1701.02</v>
      </c>
      <c r="C23" s="278">
        <v>1489.325</v>
      </c>
      <c r="D23" s="166">
        <f t="shared" si="5"/>
        <v>-12.4</v>
      </c>
      <c r="E23" s="11">
        <f>IFERROR(100/'Skjema total MA'!C23*C23,0)</f>
        <v>9.8180646173240724E-2</v>
      </c>
      <c r="F23" s="278">
        <v>18537.127</v>
      </c>
      <c r="G23" s="278">
        <v>82219.510999999999</v>
      </c>
      <c r="H23" s="166">
        <f t="shared" si="6"/>
        <v>343.5</v>
      </c>
      <c r="I23" s="412">
        <f>IFERROR(100/'Skjema total MA'!F23*G23,0)</f>
        <v>49.52599618960285</v>
      </c>
      <c r="J23" s="287">
        <f t="shared" ref="J23:J26" si="9">SUM(B23,F23)</f>
        <v>20238.147000000001</v>
      </c>
      <c r="K23" s="287">
        <f t="shared" ref="K23:K26" si="10">SUM(C23,G23)</f>
        <v>83708.835999999996</v>
      </c>
      <c r="L23" s="166">
        <f t="shared" si="8"/>
        <v>313.60000000000002</v>
      </c>
      <c r="M23" s="23">
        <f>IFERROR(100/'Skjema total MA'!I23*K23,0)</f>
        <v>4.9739760857130921</v>
      </c>
      <c r="O23" s="148"/>
    </row>
    <row r="24" spans="1:15" ht="15.75" x14ac:dyDescent="0.2">
      <c r="A24" s="834" t="s">
        <v>460</v>
      </c>
      <c r="B24" s="278">
        <v>12215.91</v>
      </c>
      <c r="C24" s="278">
        <v>10180.928</v>
      </c>
      <c r="D24" s="166">
        <f t="shared" si="5"/>
        <v>-16.7</v>
      </c>
      <c r="E24" s="11">
        <f>IFERROR(100/'Skjema total MA'!C24*C24,0)</f>
        <v>66.258263042340715</v>
      </c>
      <c r="F24" s="278">
        <v>18.783999999999999</v>
      </c>
      <c r="G24" s="278">
        <v>13.117190000000001</v>
      </c>
      <c r="H24" s="166">
        <f t="shared" si="6"/>
        <v>-30.2</v>
      </c>
      <c r="I24" s="412">
        <f>IFERROR(100/'Skjema total MA'!F24*G24,0)</f>
        <v>13.019398692540587</v>
      </c>
      <c r="J24" s="287">
        <f t="shared" si="9"/>
        <v>12234.694</v>
      </c>
      <c r="K24" s="287">
        <f t="shared" si="10"/>
        <v>10194.045190000001</v>
      </c>
      <c r="L24" s="166">
        <f t="shared" si="8"/>
        <v>-16.7</v>
      </c>
      <c r="M24" s="23">
        <f>IFERROR(100/'Skjema total MA'!I24*K24,0)</f>
        <v>65.911451941755175</v>
      </c>
      <c r="O24" s="148"/>
    </row>
    <row r="25" spans="1:15" ht="15.75" x14ac:dyDescent="0.2">
      <c r="A25" s="834" t="s">
        <v>461</v>
      </c>
      <c r="B25" s="278"/>
      <c r="C25" s="278"/>
      <c r="D25" s="166"/>
      <c r="E25" s="11"/>
      <c r="F25" s="278">
        <v>8029.3519999999999</v>
      </c>
      <c r="G25" s="278">
        <v>834.40787999999998</v>
      </c>
      <c r="H25" s="166">
        <f t="shared" si="6"/>
        <v>-89.6</v>
      </c>
      <c r="I25" s="412">
        <f>IFERROR(100/'Skjema total MA'!F25*G25,0)</f>
        <v>0.85697149257455174</v>
      </c>
      <c r="J25" s="287">
        <f t="shared" si="9"/>
        <v>8029.3519999999999</v>
      </c>
      <c r="K25" s="287">
        <f t="shared" si="10"/>
        <v>834.40787999999998</v>
      </c>
      <c r="L25" s="166">
        <f t="shared" si="8"/>
        <v>-89.6</v>
      </c>
      <c r="M25" s="23">
        <f>IFERROR(100/'Skjema total MA'!I25*K25,0)</f>
        <v>0.68120766712424818</v>
      </c>
      <c r="O25" s="148"/>
    </row>
    <row r="26" spans="1:15" ht="15.75" x14ac:dyDescent="0.2">
      <c r="A26" s="834" t="s">
        <v>462</v>
      </c>
      <c r="B26" s="278"/>
      <c r="C26" s="278"/>
      <c r="D26" s="166"/>
      <c r="E26" s="11"/>
      <c r="F26" s="278">
        <v>308203.951</v>
      </c>
      <c r="G26" s="278">
        <v>372255.56213999999</v>
      </c>
      <c r="H26" s="166">
        <f t="shared" si="6"/>
        <v>20.8</v>
      </c>
      <c r="I26" s="412">
        <f>IFERROR(100/'Skjema total MA'!F26*G26,0)</f>
        <v>36.904365129943066</v>
      </c>
      <c r="J26" s="287">
        <f t="shared" si="9"/>
        <v>308203.951</v>
      </c>
      <c r="K26" s="287">
        <f t="shared" si="10"/>
        <v>372255.56213999999</v>
      </c>
      <c r="L26" s="166">
        <f t="shared" si="8"/>
        <v>20.8</v>
      </c>
      <c r="M26" s="23">
        <f>IFERROR(100/'Skjema total MA'!I26*K26,0)</f>
        <v>36.904365129943066</v>
      </c>
      <c r="O26" s="148"/>
    </row>
    <row r="27" spans="1:15" x14ac:dyDescent="0.2">
      <c r="A27" s="834" t="s">
        <v>11</v>
      </c>
      <c r="B27" s="278"/>
      <c r="C27" s="278"/>
      <c r="D27" s="166"/>
      <c r="E27" s="11"/>
      <c r="F27" s="278"/>
      <c r="G27" s="278"/>
      <c r="H27" s="166"/>
      <c r="I27" s="412"/>
      <c r="J27" s="287"/>
      <c r="K27" s="287"/>
      <c r="L27" s="166"/>
      <c r="M27" s="23"/>
      <c r="O27" s="148"/>
    </row>
    <row r="28" spans="1:15" ht="15.75" x14ac:dyDescent="0.2">
      <c r="A28" s="49" t="s">
        <v>283</v>
      </c>
      <c r="B28" s="44">
        <v>204160</v>
      </c>
      <c r="C28" s="284">
        <v>208153.94500000001</v>
      </c>
      <c r="D28" s="166">
        <f t="shared" si="5"/>
        <v>2</v>
      </c>
      <c r="E28" s="11">
        <f>IFERROR(100/'Skjema total MA'!C28*C28,0)</f>
        <v>11.673502667256821</v>
      </c>
      <c r="F28" s="233"/>
      <c r="G28" s="284"/>
      <c r="H28" s="166"/>
      <c r="I28" s="27"/>
      <c r="J28" s="44">
        <f t="shared" si="7"/>
        <v>204160</v>
      </c>
      <c r="K28" s="44">
        <f t="shared" si="7"/>
        <v>208153.94500000001</v>
      </c>
      <c r="L28" s="253">
        <f t="shared" si="8"/>
        <v>2</v>
      </c>
      <c r="M28" s="23">
        <f>IFERROR(100/'Skjema total MA'!I28*K28,0)</f>
        <v>11.673502667256821</v>
      </c>
      <c r="O28" s="148"/>
    </row>
    <row r="29" spans="1:15" s="3" customFormat="1" ht="15.75" x14ac:dyDescent="0.2">
      <c r="A29" s="13" t="s">
        <v>456</v>
      </c>
      <c r="B29" s="307">
        <v>11159134</v>
      </c>
      <c r="C29" s="307">
        <v>10378407</v>
      </c>
      <c r="D29" s="171">
        <f t="shared" si="5"/>
        <v>-7</v>
      </c>
      <c r="E29" s="11">
        <f>IFERROR(100/'Skjema total MA'!C29*C29,0)</f>
        <v>21.662787103355463</v>
      </c>
      <c r="F29" s="307">
        <v>4099826.3174700001</v>
      </c>
      <c r="G29" s="307">
        <v>4159790.077</v>
      </c>
      <c r="H29" s="171">
        <f t="shared" si="6"/>
        <v>1.5</v>
      </c>
      <c r="I29" s="11">
        <f>IFERROR(100/'Skjema total MA'!F29*G29,0)</f>
        <v>21.775997777004733</v>
      </c>
      <c r="J29" s="235">
        <f t="shared" si="7"/>
        <v>15258960.317469999</v>
      </c>
      <c r="K29" s="235">
        <f t="shared" si="7"/>
        <v>14538197.077</v>
      </c>
      <c r="L29" s="423">
        <f t="shared" si="8"/>
        <v>-4.7</v>
      </c>
      <c r="M29" s="24">
        <f>IFERROR(100/'Skjema total MA'!I29*K29,0)</f>
        <v>21.695059485180177</v>
      </c>
      <c r="N29" s="148"/>
      <c r="O29" s="148"/>
    </row>
    <row r="30" spans="1:15" s="3" customFormat="1" ht="15.75" x14ac:dyDescent="0.2">
      <c r="A30" s="834" t="s">
        <v>459</v>
      </c>
      <c r="B30" s="278">
        <v>1363946</v>
      </c>
      <c r="C30" s="278">
        <v>1324463</v>
      </c>
      <c r="D30" s="166">
        <f t="shared" si="5"/>
        <v>-2.9</v>
      </c>
      <c r="E30" s="11">
        <f>IFERROR(100/'Skjema total MA'!C30*C30,0)</f>
        <v>10.24948891992935</v>
      </c>
      <c r="F30" s="278">
        <v>498790</v>
      </c>
      <c r="G30" s="278">
        <v>494646.15700000001</v>
      </c>
      <c r="H30" s="166">
        <f t="shared" si="6"/>
        <v>-0.8</v>
      </c>
      <c r="I30" s="412">
        <f>IFERROR(100/'Skjema total MA'!F30*G30,0)</f>
        <v>12.256453075303538</v>
      </c>
      <c r="J30" s="287">
        <f t="shared" ref="J30:J33" si="11">SUM(B30,F30)</f>
        <v>1862736</v>
      </c>
      <c r="K30" s="287">
        <f t="shared" ref="K30:K33" si="12">SUM(C30,G30)</f>
        <v>1819109.1570000001</v>
      </c>
      <c r="L30" s="166">
        <f t="shared" si="8"/>
        <v>-2.2999999999999998</v>
      </c>
      <c r="M30" s="23">
        <f>IFERROR(100/'Skjema total MA'!I30*K30,0)</f>
        <v>10.72712143679483</v>
      </c>
      <c r="N30" s="148"/>
      <c r="O30" s="148"/>
    </row>
    <row r="31" spans="1:15" s="3" customFormat="1" ht="15.75" x14ac:dyDescent="0.2">
      <c r="A31" s="834" t="s">
        <v>460</v>
      </c>
      <c r="B31" s="278">
        <v>9795188</v>
      </c>
      <c r="C31" s="278">
        <v>9053944</v>
      </c>
      <c r="D31" s="166">
        <f t="shared" si="5"/>
        <v>-7.6</v>
      </c>
      <c r="E31" s="11">
        <f>IFERROR(100/'Skjema total MA'!C31*C31,0)</f>
        <v>26.968764868848591</v>
      </c>
      <c r="F31" s="287">
        <v>2100162.2784699998</v>
      </c>
      <c r="G31" s="287">
        <v>1835401.642</v>
      </c>
      <c r="H31" s="166">
        <f t="shared" si="6"/>
        <v>-12.6</v>
      </c>
      <c r="I31" s="412">
        <f>IFERROR(100/'Skjema total MA'!F31*G31,0)</f>
        <v>19.665262866001108</v>
      </c>
      <c r="J31" s="287">
        <f t="shared" si="11"/>
        <v>11895350.27847</v>
      </c>
      <c r="K31" s="287">
        <f t="shared" si="12"/>
        <v>10889345.642000001</v>
      </c>
      <c r="L31" s="166">
        <f t="shared" si="8"/>
        <v>-8.5</v>
      </c>
      <c r="M31" s="23">
        <f>IFERROR(100/'Skjema total MA'!I31*K31,0)</f>
        <v>25.380025065749333</v>
      </c>
      <c r="N31" s="148"/>
      <c r="O31" s="148"/>
    </row>
    <row r="32" spans="1:15" ht="15.75" x14ac:dyDescent="0.2">
      <c r="A32" s="834" t="s">
        <v>461</v>
      </c>
      <c r="B32" s="278"/>
      <c r="C32" s="278"/>
      <c r="D32" s="166"/>
      <c r="E32" s="11"/>
      <c r="F32" s="287">
        <v>1190843.8089999999</v>
      </c>
      <c r="G32" s="287">
        <v>1182201.0859999999</v>
      </c>
      <c r="H32" s="166">
        <f t="shared" si="6"/>
        <v>-0.7</v>
      </c>
      <c r="I32" s="412">
        <f>IFERROR(100/'Skjema total MA'!F32*G32,0)</f>
        <v>29.848519891145681</v>
      </c>
      <c r="J32" s="287">
        <f t="shared" si="11"/>
        <v>1190843.8089999999</v>
      </c>
      <c r="K32" s="287">
        <f t="shared" si="12"/>
        <v>1182201.0859999999</v>
      </c>
      <c r="L32" s="166">
        <f t="shared" si="8"/>
        <v>-0.7</v>
      </c>
      <c r="M32" s="23">
        <f>IFERROR(100/'Skjema total MA'!I32*K32,0)</f>
        <v>22.516947619158366</v>
      </c>
      <c r="O32" s="148"/>
    </row>
    <row r="33" spans="1:15" ht="15.75" x14ac:dyDescent="0.2">
      <c r="A33" s="834" t="s">
        <v>462</v>
      </c>
      <c r="B33" s="278"/>
      <c r="C33" s="278"/>
      <c r="D33" s="166"/>
      <c r="E33" s="11"/>
      <c r="F33" s="287">
        <v>310030.23</v>
      </c>
      <c r="G33" s="287">
        <v>647541.19200000004</v>
      </c>
      <c r="H33" s="166">
        <f t="shared" si="6"/>
        <v>108.9</v>
      </c>
      <c r="I33" s="412">
        <f>IFERROR(100/'Skjema total MA'!F34*G33,0)</f>
        <v>853.42818648387265</v>
      </c>
      <c r="J33" s="287">
        <f t="shared" si="11"/>
        <v>310030.23</v>
      </c>
      <c r="K33" s="287">
        <f t="shared" si="12"/>
        <v>647541.19200000004</v>
      </c>
      <c r="L33" s="166">
        <f t="shared" si="8"/>
        <v>108.9</v>
      </c>
      <c r="M33" s="23">
        <f>IFERROR(100/'Skjema total MA'!I34*K33,0)</f>
        <v>622.64422800322143</v>
      </c>
      <c r="O33" s="148"/>
    </row>
    <row r="34" spans="1:15" ht="15.75" x14ac:dyDescent="0.2">
      <c r="A34" s="13" t="s">
        <v>457</v>
      </c>
      <c r="B34" s="235">
        <v>9129.2790000000005</v>
      </c>
      <c r="C34" s="306">
        <v>6024.2439999999997</v>
      </c>
      <c r="D34" s="171">
        <f t="shared" si="5"/>
        <v>-34</v>
      </c>
      <c r="E34" s="11">
        <f>IFERROR(100/'Skjema total MA'!C34*C34,0)</f>
        <v>21.420839343505445</v>
      </c>
      <c r="F34" s="305">
        <v>15926.468999999999</v>
      </c>
      <c r="G34" s="306">
        <v>22537.77</v>
      </c>
      <c r="H34" s="171">
        <f t="shared" si="6"/>
        <v>41.5</v>
      </c>
      <c r="I34" s="11">
        <f>IFERROR(100/'Skjema total MA'!F34*G34,0)</f>
        <v>29.703698260620662</v>
      </c>
      <c r="J34" s="235">
        <f t="shared" si="7"/>
        <v>25055.748</v>
      </c>
      <c r="K34" s="235">
        <f t="shared" si="7"/>
        <v>28562.013999999999</v>
      </c>
      <c r="L34" s="423">
        <f t="shared" si="8"/>
        <v>14</v>
      </c>
      <c r="M34" s="24">
        <f>IFERROR(100/'Skjema total MA'!I34*K34,0)</f>
        <v>27.463848442319946</v>
      </c>
      <c r="O34" s="148"/>
    </row>
    <row r="35" spans="1:15" ht="15.75" x14ac:dyDescent="0.2">
      <c r="A35" s="13" t="s">
        <v>458</v>
      </c>
      <c r="B35" s="235">
        <v>5011.143</v>
      </c>
      <c r="C35" s="306">
        <v>1913.9280000000001</v>
      </c>
      <c r="D35" s="171">
        <f t="shared" si="5"/>
        <v>-61.8</v>
      </c>
      <c r="E35" s="11">
        <f>IFERROR(100/'Skjema total MA'!C35*C35,0)</f>
        <v>-6.5331374308734791</v>
      </c>
      <c r="F35" s="305">
        <v>16660.949000000001</v>
      </c>
      <c r="G35" s="306">
        <v>15603.333000000001</v>
      </c>
      <c r="H35" s="171">
        <f t="shared" si="6"/>
        <v>-6.3</v>
      </c>
      <c r="I35" s="11">
        <f>IFERROR(100/'Skjema total MA'!F35*G35,0)</f>
        <v>13.619049172975053</v>
      </c>
      <c r="J35" s="235">
        <f t="shared" si="7"/>
        <v>21672.092000000001</v>
      </c>
      <c r="K35" s="235">
        <f t="shared" si="7"/>
        <v>17517.261000000002</v>
      </c>
      <c r="L35" s="423">
        <f t="shared" si="8"/>
        <v>-19.2</v>
      </c>
      <c r="M35" s="24">
        <f>IFERROR(100/'Skjema total MA'!I35*K35,0)</f>
        <v>20.542270621928608</v>
      </c>
      <c r="O35" s="148"/>
    </row>
    <row r="36" spans="1:15" ht="15.75" x14ac:dyDescent="0.2">
      <c r="A36" s="12" t="s">
        <v>291</v>
      </c>
      <c r="B36" s="235">
        <v>132.09800000000001</v>
      </c>
      <c r="C36" s="306">
        <v>98.703999999999994</v>
      </c>
      <c r="D36" s="171">
        <f t="shared" si="5"/>
        <v>-25.3</v>
      </c>
      <c r="E36" s="11">
        <f>100/'Skjema total MA'!C36*C36</f>
        <v>0.64695493862894637</v>
      </c>
      <c r="F36" s="316"/>
      <c r="G36" s="317"/>
      <c r="H36" s="171"/>
      <c r="I36" s="429"/>
      <c r="J36" s="235">
        <f t="shared" ref="J36:J37" si="13">SUM(B36,F36)</f>
        <v>132.09800000000001</v>
      </c>
      <c r="K36" s="235">
        <f t="shared" ref="K36:K37" si="14">SUM(C36,G36)</f>
        <v>98.703999999999994</v>
      </c>
      <c r="L36" s="423"/>
      <c r="M36" s="24">
        <f>IFERROR(100/'Skjema total MA'!I36*K36,0)</f>
        <v>0.64695493862894637</v>
      </c>
      <c r="O36" s="148"/>
    </row>
    <row r="37" spans="1:15" ht="15.75" x14ac:dyDescent="0.2">
      <c r="A37" s="12" t="s">
        <v>464</v>
      </c>
      <c r="B37" s="235">
        <v>484467.223</v>
      </c>
      <c r="C37" s="306">
        <v>471090.353</v>
      </c>
      <c r="D37" s="171">
        <f t="shared" si="5"/>
        <v>-2.8</v>
      </c>
      <c r="E37" s="11">
        <f>100/'Skjema total MA'!C37*C37</f>
        <v>12.602211050426867</v>
      </c>
      <c r="F37" s="316"/>
      <c r="G37" s="318"/>
      <c r="H37" s="171"/>
      <c r="I37" s="429"/>
      <c r="J37" s="235">
        <f t="shared" si="13"/>
        <v>484467.223</v>
      </c>
      <c r="K37" s="235">
        <f t="shared" si="14"/>
        <v>471090.353</v>
      </c>
      <c r="L37" s="423"/>
      <c r="M37" s="24">
        <f>IFERROR(100/'Skjema total MA'!I37*K37,0)</f>
        <v>12.602211050426867</v>
      </c>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752699.58</v>
      </c>
      <c r="C47" s="308">
        <v>740697.804</v>
      </c>
      <c r="D47" s="422">
        <f t="shared" ref="D47:D57" si="15">IF(B47=0, "    ---- ", IF(ABS(ROUND(100/B47*C47-100,1))&lt;999,ROUND(100/B47*C47-100,1),IF(ROUND(100/B47*C47-100,1)&gt;999,999,-999)))</f>
        <v>-1.6</v>
      </c>
      <c r="E47" s="11">
        <f>IFERROR(100/'Skjema total MA'!C47*C47,0)</f>
        <v>17.645116153536868</v>
      </c>
      <c r="F47" s="145"/>
      <c r="G47" s="33"/>
      <c r="H47" s="159"/>
      <c r="I47" s="159"/>
      <c r="J47" s="37"/>
      <c r="K47" s="37"/>
      <c r="L47" s="159"/>
      <c r="M47" s="159"/>
      <c r="N47" s="148"/>
      <c r="O47" s="148"/>
    </row>
    <row r="48" spans="1:15" s="3" customFormat="1" ht="15.75" x14ac:dyDescent="0.2">
      <c r="A48" s="38" t="s">
        <v>467</v>
      </c>
      <c r="B48" s="278">
        <v>461686.00599999999</v>
      </c>
      <c r="C48" s="279">
        <v>414531.40899999999</v>
      </c>
      <c r="D48" s="253">
        <f t="shared" si="15"/>
        <v>-10.199999999999999</v>
      </c>
      <c r="E48" s="27">
        <f>IFERROR(100/'Skjema total MA'!C48*C48,0)</f>
        <v>17.729245037751539</v>
      </c>
      <c r="F48" s="145"/>
      <c r="G48" s="33"/>
      <c r="H48" s="145"/>
      <c r="I48" s="145"/>
      <c r="J48" s="33"/>
      <c r="K48" s="33"/>
      <c r="L48" s="159"/>
      <c r="M48" s="159"/>
      <c r="N48" s="148"/>
      <c r="O48" s="148"/>
    </row>
    <row r="49" spans="1:15" s="3" customFormat="1" ht="15.75" x14ac:dyDescent="0.2">
      <c r="A49" s="38" t="s">
        <v>468</v>
      </c>
      <c r="B49" s="44">
        <v>291013.57399999996</v>
      </c>
      <c r="C49" s="284">
        <v>326166.39499999996</v>
      </c>
      <c r="D49" s="253">
        <f>IF(B49=0, "    ---- ", IF(ABS(ROUND(100/B49*C49-100,1))&lt;999,ROUND(100/B49*C49-100,1),IF(ROUND(100/B49*C49-100,1)&gt;999,999,-999)))</f>
        <v>12.1</v>
      </c>
      <c r="E49" s="27">
        <f>IFERROR(100/'Skjema total MA'!C49*C49,0)</f>
        <v>17.539340340802511</v>
      </c>
      <c r="F49" s="145"/>
      <c r="G49" s="33"/>
      <c r="H49" s="145"/>
      <c r="I49" s="145"/>
      <c r="J49" s="37"/>
      <c r="K49" s="37"/>
      <c r="L49" s="159"/>
      <c r="M49" s="159"/>
      <c r="N49" s="148"/>
      <c r="O49" s="148"/>
    </row>
    <row r="50" spans="1:15" s="3" customFormat="1" x14ac:dyDescent="0.2">
      <c r="A50" s="293" t="s">
        <v>6</v>
      </c>
      <c r="B50" s="287">
        <v>273.60000000000002</v>
      </c>
      <c r="C50" s="288">
        <v>44.436999999999998</v>
      </c>
      <c r="D50" s="253">
        <f t="shared" ref="D50:D52" si="16">IF(B50=0, "    ---- ", IF(ABS(ROUND(100/B50*C50-100,1))&lt;999,ROUND(100/B50*C50-100,1),IF(ROUND(100/B50*C50-100,1)&gt;999,999,-999)))</f>
        <v>-83.8</v>
      </c>
      <c r="E50" s="27">
        <f>IFERROR(100/'Skjema total MA'!C50*C50,0)</f>
        <v>1.9724879894714942</v>
      </c>
      <c r="F50" s="145"/>
      <c r="G50" s="33"/>
      <c r="H50" s="145"/>
      <c r="I50" s="145"/>
      <c r="J50" s="33"/>
      <c r="K50" s="33"/>
      <c r="L50" s="159"/>
      <c r="M50" s="159"/>
      <c r="N50" s="148"/>
      <c r="O50" s="148"/>
    </row>
    <row r="51" spans="1:15" s="3" customFormat="1" x14ac:dyDescent="0.2">
      <c r="A51" s="293" t="s">
        <v>7</v>
      </c>
      <c r="B51" s="287">
        <v>276677.73599999998</v>
      </c>
      <c r="C51" s="288">
        <v>312466.00799999997</v>
      </c>
      <c r="D51" s="253">
        <f t="shared" si="16"/>
        <v>12.9</v>
      </c>
      <c r="E51" s="27">
        <f>IFERROR(100/'Skjema total MA'!C51*C51,0)</f>
        <v>19.790717427105669</v>
      </c>
      <c r="F51" s="145"/>
      <c r="G51" s="33"/>
      <c r="H51" s="145"/>
      <c r="I51" s="145"/>
      <c r="J51" s="33"/>
      <c r="K51" s="33"/>
      <c r="L51" s="159"/>
      <c r="M51" s="159"/>
      <c r="N51" s="148"/>
      <c r="O51" s="148"/>
    </row>
    <row r="52" spans="1:15" s="3" customFormat="1" x14ac:dyDescent="0.2">
      <c r="A52" s="293" t="s">
        <v>8</v>
      </c>
      <c r="B52" s="287">
        <v>14062.237999999999</v>
      </c>
      <c r="C52" s="288">
        <v>13655.95</v>
      </c>
      <c r="D52" s="253">
        <f t="shared" si="16"/>
        <v>-2.9</v>
      </c>
      <c r="E52" s="27">
        <f>IFERROR(100/'Skjema total MA'!C52*C52,0)</f>
        <v>4.9029828243068856</v>
      </c>
      <c r="F52" s="145"/>
      <c r="G52" s="33"/>
      <c r="H52" s="145"/>
      <c r="I52" s="145"/>
      <c r="J52" s="33"/>
      <c r="K52" s="33"/>
      <c r="L52" s="159"/>
      <c r="M52" s="159"/>
      <c r="N52" s="148"/>
      <c r="O52" s="148"/>
    </row>
    <row r="53" spans="1:15" s="3" customFormat="1" ht="15.75" x14ac:dyDescent="0.2">
      <c r="A53" s="39" t="s">
        <v>469</v>
      </c>
      <c r="B53" s="307">
        <v>7771.4979999999996</v>
      </c>
      <c r="C53" s="308">
        <v>3801.837</v>
      </c>
      <c r="D53" s="423">
        <f t="shared" si="15"/>
        <v>-51.1</v>
      </c>
      <c r="E53" s="11">
        <f>IFERROR(100/'Skjema total MA'!C53*C53,0)</f>
        <v>3.3703131578908176</v>
      </c>
      <c r="F53" s="145"/>
      <c r="G53" s="33"/>
      <c r="H53" s="145"/>
      <c r="I53" s="145"/>
      <c r="J53" s="33"/>
      <c r="K53" s="33"/>
      <c r="L53" s="159"/>
      <c r="M53" s="159"/>
      <c r="N53" s="148"/>
      <c r="O53" s="148"/>
    </row>
    <row r="54" spans="1:15" s="3" customFormat="1" ht="15.75" x14ac:dyDescent="0.2">
      <c r="A54" s="38" t="s">
        <v>467</v>
      </c>
      <c r="B54" s="278">
        <v>7771.4979999999996</v>
      </c>
      <c r="C54" s="279">
        <v>3801.837</v>
      </c>
      <c r="D54" s="253">
        <f t="shared" si="15"/>
        <v>-51.1</v>
      </c>
      <c r="E54" s="27">
        <f>IFERROR(100/'Skjema total MA'!C54*C54,0)</f>
        <v>3.3703131578908176</v>
      </c>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v>15740.768</v>
      </c>
      <c r="C56" s="308">
        <v>4331.0529999999999</v>
      </c>
      <c r="D56" s="423">
        <f t="shared" si="15"/>
        <v>-72.5</v>
      </c>
      <c r="E56" s="11">
        <f>IFERROR(100/'Skjema total MA'!C56*C56,0)</f>
        <v>3.6255509194107991</v>
      </c>
      <c r="F56" s="145"/>
      <c r="G56" s="33"/>
      <c r="H56" s="145"/>
      <c r="I56" s="145"/>
      <c r="J56" s="33"/>
      <c r="K56" s="33"/>
      <c r="L56" s="159"/>
      <c r="M56" s="159"/>
      <c r="N56" s="148"/>
      <c r="O56" s="148"/>
    </row>
    <row r="57" spans="1:15" s="3" customFormat="1" ht="15.75" x14ac:dyDescent="0.2">
      <c r="A57" s="38" t="s">
        <v>467</v>
      </c>
      <c r="B57" s="278">
        <v>15740.768</v>
      </c>
      <c r="C57" s="279">
        <v>4331.0529999999999</v>
      </c>
      <c r="D57" s="253">
        <f t="shared" si="15"/>
        <v>-72.5</v>
      </c>
      <c r="E57" s="27">
        <f>IFERROR(100/'Skjema total MA'!C57*C57,0)</f>
        <v>3.6255509194107991</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4061960.0619999999</v>
      </c>
      <c r="C66" s="350">
        <v>3849799.7309999997</v>
      </c>
      <c r="D66" s="347">
        <f t="shared" ref="D66:D111" si="17">IF(B66=0, "    ---- ", IF(ABS(ROUND(100/B66*C66-100,1))&lt;999,ROUND(100/B66*C66-100,1),IF(ROUND(100/B66*C66-100,1)&gt;999,999,-999)))</f>
        <v>-5.2</v>
      </c>
      <c r="E66" s="11">
        <f>IFERROR(100/'Skjema total MA'!C66*C66,0)</f>
        <v>43.609074478707768</v>
      </c>
      <c r="F66" s="349">
        <v>8434083.0529999994</v>
      </c>
      <c r="G66" s="349">
        <v>9045755.3690000009</v>
      </c>
      <c r="H66" s="347">
        <f t="shared" ref="H66:H111" si="18">IF(F66=0, "    ---- ", IF(ABS(ROUND(100/F66*G66-100,1))&lt;999,ROUND(100/F66*G66-100,1),IF(ROUND(100/F66*G66-100,1)&gt;999,999,-999)))</f>
        <v>7.3</v>
      </c>
      <c r="I66" s="11">
        <f>IFERROR(100/'Skjema total MA'!F66*G66,0)</f>
        <v>31.241105419009113</v>
      </c>
      <c r="J66" s="306">
        <f t="shared" ref="J66:K86" si="19">SUM(B66,F66)</f>
        <v>12496043.114999998</v>
      </c>
      <c r="K66" s="313">
        <f t="shared" si="19"/>
        <v>12895555.100000001</v>
      </c>
      <c r="L66" s="423">
        <f t="shared" ref="L66:L111" si="20">IF(J66=0, "    ---- ", IF(ABS(ROUND(100/J66*K66-100,1))&lt;999,ROUND(100/J66*K66-100,1),IF(ROUND(100/J66*K66-100,1)&gt;999,999,-999)))</f>
        <v>3.2</v>
      </c>
      <c r="M66" s="11">
        <f>IFERROR(100/'Skjema total MA'!I66*K66,0)</f>
        <v>34.130902797691995</v>
      </c>
      <c r="O66" s="148"/>
    </row>
    <row r="67" spans="1:15" x14ac:dyDescent="0.2">
      <c r="A67" s="414" t="s">
        <v>9</v>
      </c>
      <c r="B67" s="44">
        <v>3094128.1329999999</v>
      </c>
      <c r="C67" s="145">
        <v>2881691.4750000001</v>
      </c>
      <c r="D67" s="166">
        <f t="shared" si="17"/>
        <v>-6.9</v>
      </c>
      <c r="E67" s="27">
        <f>IFERROR(100/'Skjema total MA'!C67*C67,0)</f>
        <v>40.937697046060265</v>
      </c>
      <c r="F67" s="233"/>
      <c r="G67" s="145"/>
      <c r="H67" s="166"/>
      <c r="I67" s="27"/>
      <c r="J67" s="284">
        <f t="shared" si="19"/>
        <v>3094128.1329999999</v>
      </c>
      <c r="K67" s="44">
        <f t="shared" si="19"/>
        <v>2881691.4750000001</v>
      </c>
      <c r="L67" s="253">
        <f t="shared" si="20"/>
        <v>-6.9</v>
      </c>
      <c r="M67" s="27">
        <f>IFERROR(100/'Skjema total MA'!I67*K67,0)</f>
        <v>40.937697046060265</v>
      </c>
      <c r="O67" s="148"/>
    </row>
    <row r="68" spans="1:15" x14ac:dyDescent="0.2">
      <c r="A68" s="21" t="s">
        <v>10</v>
      </c>
      <c r="B68" s="289"/>
      <c r="C68" s="290"/>
      <c r="D68" s="166"/>
      <c r="E68" s="27"/>
      <c r="F68" s="289">
        <v>8310450.7719999999</v>
      </c>
      <c r="G68" s="290">
        <v>8864566.3540000003</v>
      </c>
      <c r="H68" s="166">
        <f t="shared" si="18"/>
        <v>6.7</v>
      </c>
      <c r="I68" s="27">
        <f>IFERROR(100/'Skjema total MA'!F68*G68,0)</f>
        <v>31.051176097021266</v>
      </c>
      <c r="J68" s="284">
        <f t="shared" si="19"/>
        <v>8310450.7719999999</v>
      </c>
      <c r="K68" s="44">
        <f t="shared" si="19"/>
        <v>8864566.3540000003</v>
      </c>
      <c r="L68" s="253">
        <f t="shared" si="20"/>
        <v>6.7</v>
      </c>
      <c r="M68" s="27">
        <f>IFERROR(100/'Skjema total MA'!I68*K68,0)</f>
        <v>30.889869923135493</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v>8310450.7719999999</v>
      </c>
      <c r="G72" s="278">
        <v>8864566.3540000003</v>
      </c>
      <c r="H72" s="253">
        <f t="shared" si="18"/>
        <v>6.7</v>
      </c>
      <c r="I72" s="27">
        <f>IFERROR(100/'Skjema total MA'!F72*G72,0)</f>
        <v>31.055418484208285</v>
      </c>
      <c r="J72" s="287">
        <f t="shared" ref="J72:J74" si="21">SUM(B72,F72)</f>
        <v>8310450.7719999999</v>
      </c>
      <c r="K72" s="287">
        <f t="shared" si="19"/>
        <v>8864566.3540000003</v>
      </c>
      <c r="L72" s="253">
        <f t="shared" si="20"/>
        <v>6.7</v>
      </c>
      <c r="M72" s="23">
        <f>IFERROR(100/'Skjema total MA'!I72*K72,0)</f>
        <v>30.910991412022263</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8310450.7719999999</v>
      </c>
      <c r="G74" s="278">
        <v>8864566.3540000003</v>
      </c>
      <c r="H74" s="253">
        <f t="shared" si="18"/>
        <v>6.7</v>
      </c>
      <c r="I74" s="27">
        <f>IFERROR(100/'Skjema total MA'!F74*G74,0)</f>
        <v>31.382864516961746</v>
      </c>
      <c r="J74" s="287">
        <f t="shared" si="21"/>
        <v>8310450.7719999999</v>
      </c>
      <c r="K74" s="287">
        <f t="shared" si="19"/>
        <v>8864566.3540000003</v>
      </c>
      <c r="L74" s="253">
        <f t="shared" si="20"/>
        <v>6.7</v>
      </c>
      <c r="M74" s="23">
        <f>IFERROR(100/'Skjema total MA'!I74*K74,0)</f>
        <v>31.382864516961746</v>
      </c>
      <c r="N74" s="148"/>
      <c r="O74" s="148"/>
    </row>
    <row r="75" spans="1:15" s="3" customFormat="1" x14ac:dyDescent="0.2">
      <c r="A75" s="21" t="s">
        <v>357</v>
      </c>
      <c r="B75" s="233">
        <v>57002.675999999999</v>
      </c>
      <c r="C75" s="145">
        <v>67356.664000000004</v>
      </c>
      <c r="D75" s="166">
        <f t="shared" si="17"/>
        <v>18.2</v>
      </c>
      <c r="E75" s="27">
        <f>IFERROR(100/'Skjema total MA'!C75*C75,0)</f>
        <v>20.874541175984952</v>
      </c>
      <c r="F75" s="233">
        <v>123632.281</v>
      </c>
      <c r="G75" s="145">
        <v>181189.01500000001</v>
      </c>
      <c r="H75" s="166">
        <f t="shared" si="18"/>
        <v>46.6</v>
      </c>
      <c r="I75" s="27">
        <f>IFERROR(100/'Skjema total MA'!F75*G75,0)</f>
        <v>44.582622054431219</v>
      </c>
      <c r="J75" s="284">
        <f t="shared" si="19"/>
        <v>180634.95699999999</v>
      </c>
      <c r="K75" s="44">
        <f t="shared" si="19"/>
        <v>248545.679</v>
      </c>
      <c r="L75" s="253">
        <f t="shared" si="20"/>
        <v>37.6</v>
      </c>
      <c r="M75" s="27">
        <f>IFERROR(100/'Skjema total MA'!I75*K75,0)</f>
        <v>34.09005938634764</v>
      </c>
      <c r="N75" s="148"/>
      <c r="O75" s="148"/>
    </row>
    <row r="76" spans="1:15" s="3" customFormat="1" x14ac:dyDescent="0.2">
      <c r="A76" s="21" t="s">
        <v>356</v>
      </c>
      <c r="B76" s="233">
        <v>910829.25300000003</v>
      </c>
      <c r="C76" s="145">
        <v>900751.59199999995</v>
      </c>
      <c r="D76" s="166">
        <f t="shared" ref="D76" si="22">IF(B76=0, "    ---- ", IF(ABS(ROUND(100/B76*C76-100,1))&lt;999,ROUND(100/B76*C76-100,1),IF(ROUND(100/B76*C76-100,1)&gt;999,999,-999)))</f>
        <v>-1.1000000000000001</v>
      </c>
      <c r="E76" s="27">
        <f>IFERROR(100/'Skjema total MA'!C77*C76,0)</f>
        <v>12.7505096979987</v>
      </c>
      <c r="F76" s="233"/>
      <c r="G76" s="145"/>
      <c r="H76" s="166"/>
      <c r="I76" s="27"/>
      <c r="J76" s="284">
        <f t="shared" ref="J76" si="23">SUM(B76,F76)</f>
        <v>910829.25300000003</v>
      </c>
      <c r="K76" s="44">
        <f t="shared" ref="K76" si="24">SUM(C76,G76)</f>
        <v>900751.59199999995</v>
      </c>
      <c r="L76" s="253">
        <f t="shared" ref="L76" si="25">IF(J76=0, "    ---- ", IF(ABS(ROUND(100/J76*K76-100,1))&lt;999,ROUND(100/J76*K76-100,1),IF(ROUND(100/J76*K76-100,1)&gt;999,999,-999)))</f>
        <v>-1.1000000000000001</v>
      </c>
      <c r="M76" s="27">
        <f>IFERROR(100/'Skjema total MA'!I77*K76,0)</f>
        <v>2.5301853456224901</v>
      </c>
      <c r="N76" s="148"/>
      <c r="O76" s="148"/>
    </row>
    <row r="77" spans="1:15" ht="15.75" x14ac:dyDescent="0.2">
      <c r="A77" s="21" t="s">
        <v>473</v>
      </c>
      <c r="B77" s="233">
        <v>2933552</v>
      </c>
      <c r="C77" s="233">
        <v>2807907.9479999999</v>
      </c>
      <c r="D77" s="166">
        <f t="shared" si="17"/>
        <v>-4.3</v>
      </c>
      <c r="E77" s="27">
        <f>IFERROR(100/'Skjema total MA'!C77*C77,0)</f>
        <v>39.747093249724315</v>
      </c>
      <c r="F77" s="233">
        <v>8310450.7719999999</v>
      </c>
      <c r="G77" s="145">
        <v>8864566.3540000003</v>
      </c>
      <c r="H77" s="166">
        <f t="shared" si="18"/>
        <v>6.7</v>
      </c>
      <c r="I77" s="27">
        <f>IFERROR(100/'Skjema total MA'!F77*G77,0)</f>
        <v>31.064735486827619</v>
      </c>
      <c r="J77" s="284">
        <f t="shared" si="19"/>
        <v>11244002.772</v>
      </c>
      <c r="K77" s="44">
        <f t="shared" si="19"/>
        <v>11672474.302000001</v>
      </c>
      <c r="L77" s="253">
        <f t="shared" si="20"/>
        <v>3.8</v>
      </c>
      <c r="M77" s="27">
        <f>IFERROR(100/'Skjema total MA'!I77*K77,0)</f>
        <v>32.78764499377705</v>
      </c>
      <c r="O77" s="148"/>
    </row>
    <row r="78" spans="1:15" x14ac:dyDescent="0.2">
      <c r="A78" s="21" t="s">
        <v>9</v>
      </c>
      <c r="B78" s="233">
        <v>2933552</v>
      </c>
      <c r="C78" s="145">
        <v>2807907.9479999999</v>
      </c>
      <c r="D78" s="166">
        <f t="shared" si="17"/>
        <v>-4.3</v>
      </c>
      <c r="E78" s="27">
        <f>IFERROR(100/'Skjema total MA'!C78*C78,0)</f>
        <v>40.58102523325249</v>
      </c>
      <c r="F78" s="233"/>
      <c r="G78" s="145"/>
      <c r="H78" s="166"/>
      <c r="I78" s="27"/>
      <c r="J78" s="284">
        <f t="shared" si="19"/>
        <v>2933552</v>
      </c>
      <c r="K78" s="44">
        <f t="shared" si="19"/>
        <v>2807907.9479999999</v>
      </c>
      <c r="L78" s="253">
        <f t="shared" si="20"/>
        <v>-4.3</v>
      </c>
      <c r="M78" s="27">
        <f>IFERROR(100/'Skjema total MA'!I78*K78,0)</f>
        <v>40.58102523325249</v>
      </c>
      <c r="O78" s="148"/>
    </row>
    <row r="79" spans="1:15" x14ac:dyDescent="0.2">
      <c r="A79" s="21" t="s">
        <v>10</v>
      </c>
      <c r="B79" s="289"/>
      <c r="C79" s="290"/>
      <c r="D79" s="166"/>
      <c r="E79" s="27"/>
      <c r="F79" s="289">
        <v>8310450.7719999999</v>
      </c>
      <c r="G79" s="290">
        <v>8864566.3540000003</v>
      </c>
      <c r="H79" s="166">
        <f t="shared" si="18"/>
        <v>6.7</v>
      </c>
      <c r="I79" s="27">
        <f>IFERROR(100/'Skjema total MA'!F79*G79,0)</f>
        <v>31.064735486827619</v>
      </c>
      <c r="J79" s="284">
        <f t="shared" si="19"/>
        <v>8310450.7719999999</v>
      </c>
      <c r="K79" s="44">
        <f t="shared" si="19"/>
        <v>8864566.3540000003</v>
      </c>
      <c r="L79" s="253">
        <f t="shared" si="20"/>
        <v>6.7</v>
      </c>
      <c r="M79" s="27">
        <f>IFERROR(100/'Skjema total MA'!I79*K79,0)</f>
        <v>30.907496908873139</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v>8310450.7719999999</v>
      </c>
      <c r="G83" s="278">
        <v>8864566.3540000003</v>
      </c>
      <c r="H83" s="253">
        <f t="shared" si="18"/>
        <v>6.7</v>
      </c>
      <c r="I83" s="412">
        <f>IFERROR(100/'Skjema total MA'!F83*G83,0)</f>
        <v>31.064735486827619</v>
      </c>
      <c r="J83" s="287">
        <f t="shared" si="19"/>
        <v>8310450.7719999999</v>
      </c>
      <c r="K83" s="287">
        <f t="shared" si="19"/>
        <v>8864566.3540000003</v>
      </c>
      <c r="L83" s="253">
        <f t="shared" si="20"/>
        <v>6.7</v>
      </c>
      <c r="M83" s="23">
        <f>IFERROR(100/'Skjema total MA'!I83*K83,0)</f>
        <v>30.907496908873139</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v>8310450.7719999999</v>
      </c>
      <c r="G85" s="278">
        <v>8864566.3540000003</v>
      </c>
      <c r="H85" s="253">
        <f t="shared" si="18"/>
        <v>6.7</v>
      </c>
      <c r="I85" s="412">
        <f>IFERROR(100/'Skjema total MA'!F85*G85,0)</f>
        <v>31.392310139807215</v>
      </c>
      <c r="J85" s="287">
        <f t="shared" si="19"/>
        <v>8310450.7719999999</v>
      </c>
      <c r="K85" s="287">
        <f t="shared" si="19"/>
        <v>8864566.3540000003</v>
      </c>
      <c r="L85" s="253">
        <f t="shared" si="20"/>
        <v>6.7</v>
      </c>
      <c r="M85" s="23">
        <f>IFERROR(100/'Skjema total MA'!I85*K85,0)</f>
        <v>31.392310139807215</v>
      </c>
      <c r="O85" s="148"/>
    </row>
    <row r="86" spans="1:15" ht="15.75" x14ac:dyDescent="0.2">
      <c r="A86" s="21" t="s">
        <v>474</v>
      </c>
      <c r="B86" s="233">
        <v>160576.18799999999</v>
      </c>
      <c r="C86" s="145">
        <v>73783.527000000002</v>
      </c>
      <c r="D86" s="166">
        <f t="shared" si="17"/>
        <v>-54.1</v>
      </c>
      <c r="E86" s="27">
        <f>IFERROR(100/'Skjema total MA'!C86*C86,0)</f>
        <v>59.572610126812783</v>
      </c>
      <c r="F86" s="233"/>
      <c r="G86" s="145"/>
      <c r="H86" s="166"/>
      <c r="I86" s="27"/>
      <c r="J86" s="284">
        <f t="shared" si="19"/>
        <v>160576.18799999999</v>
      </c>
      <c r="K86" s="44">
        <f t="shared" si="19"/>
        <v>73783.527000000002</v>
      </c>
      <c r="L86" s="253">
        <f t="shared" si="20"/>
        <v>-54.1</v>
      </c>
      <c r="M86" s="27">
        <f>IFERROR(100/'Skjema total MA'!I86*K86,0)</f>
        <v>54.126924485961887</v>
      </c>
      <c r="O86" s="148"/>
    </row>
    <row r="87" spans="1:15" ht="15.75" x14ac:dyDescent="0.2">
      <c r="A87" s="13" t="s">
        <v>456</v>
      </c>
      <c r="B87" s="350">
        <v>160349250</v>
      </c>
      <c r="C87" s="350">
        <v>163053808.63499999</v>
      </c>
      <c r="D87" s="171">
        <f t="shared" si="17"/>
        <v>1.7</v>
      </c>
      <c r="E87" s="11">
        <f>IFERROR(100/'Skjema total MA'!C87*C87,0)</f>
        <v>42.209049253684633</v>
      </c>
      <c r="F87" s="349">
        <v>69747685.691</v>
      </c>
      <c r="G87" s="349">
        <v>82399219.883000001</v>
      </c>
      <c r="H87" s="171">
        <f t="shared" si="18"/>
        <v>18.100000000000001</v>
      </c>
      <c r="I87" s="11">
        <f>IFERROR(100/'Skjema total MA'!F87*G87,0)</f>
        <v>33.453443941338122</v>
      </c>
      <c r="J87" s="306">
        <f t="shared" ref="J87:K111" si="26">SUM(B87,F87)</f>
        <v>230096935.69099998</v>
      </c>
      <c r="K87" s="235">
        <f t="shared" si="26"/>
        <v>245453028.51800001</v>
      </c>
      <c r="L87" s="423">
        <f t="shared" si="20"/>
        <v>6.7</v>
      </c>
      <c r="M87" s="11">
        <f>IFERROR(100/'Skjema total MA'!I87*K87,0)</f>
        <v>38.800010845629394</v>
      </c>
      <c r="O87" s="148"/>
    </row>
    <row r="88" spans="1:15" x14ac:dyDescent="0.2">
      <c r="A88" s="21" t="s">
        <v>9</v>
      </c>
      <c r="B88" s="233">
        <v>156356566</v>
      </c>
      <c r="C88" s="145">
        <v>158890973.111</v>
      </c>
      <c r="D88" s="166">
        <f t="shared" si="17"/>
        <v>1.6</v>
      </c>
      <c r="E88" s="27">
        <f>IFERROR(100/'Skjema total MA'!C88*C88,0)</f>
        <v>42.111084874903213</v>
      </c>
      <c r="F88" s="233"/>
      <c r="G88" s="145"/>
      <c r="H88" s="166"/>
      <c r="I88" s="27"/>
      <c r="J88" s="284">
        <f t="shared" si="26"/>
        <v>156356566</v>
      </c>
      <c r="K88" s="44">
        <f t="shared" si="26"/>
        <v>158890973.111</v>
      </c>
      <c r="L88" s="253">
        <f t="shared" si="20"/>
        <v>1.6</v>
      </c>
      <c r="M88" s="27">
        <f>IFERROR(100/'Skjema total MA'!I88*K88,0)</f>
        <v>42.111084874903213</v>
      </c>
      <c r="O88" s="148"/>
    </row>
    <row r="89" spans="1:15" x14ac:dyDescent="0.2">
      <c r="A89" s="21" t="s">
        <v>10</v>
      </c>
      <c r="B89" s="233">
        <v>60753</v>
      </c>
      <c r="C89" s="145">
        <v>86875</v>
      </c>
      <c r="D89" s="166">
        <f t="shared" si="17"/>
        <v>43</v>
      </c>
      <c r="E89" s="27">
        <f>IFERROR(100/'Skjema total MA'!C89*C89,0)</f>
        <v>3.1940959702377794</v>
      </c>
      <c r="F89" s="233">
        <v>69516376.613999993</v>
      </c>
      <c r="G89" s="145">
        <v>81995402.013999999</v>
      </c>
      <c r="H89" s="166">
        <f t="shared" si="18"/>
        <v>18</v>
      </c>
      <c r="I89" s="27">
        <f>IFERROR(100/'Skjema total MA'!F89*G89,0)</f>
        <v>33.426699387129155</v>
      </c>
      <c r="J89" s="284">
        <f t="shared" si="26"/>
        <v>69577129.613999993</v>
      </c>
      <c r="K89" s="44">
        <f t="shared" si="26"/>
        <v>82082277.013999999</v>
      </c>
      <c r="L89" s="253">
        <f t="shared" si="20"/>
        <v>18</v>
      </c>
      <c r="M89" s="27">
        <f>IFERROR(100/'Skjema total MA'!I89*K89,0)</f>
        <v>33.095158213932237</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v>60753</v>
      </c>
      <c r="C93" s="278">
        <v>86875</v>
      </c>
      <c r="D93" s="253">
        <f t="shared" ref="D93" si="27">IF(B93=0, "    ---- ", IF(ABS(ROUND(100/B93*C93-100,1))&lt;999,ROUND(100/B93*C93-100,1),IF(ROUND(100/B93*C93-100,1)&gt;999,999,-999)))</f>
        <v>43</v>
      </c>
      <c r="E93" s="27">
        <f>IFERROR(100/'Skjema total MA'!C93*C93,0)</f>
        <v>3.1940959702377794</v>
      </c>
      <c r="F93" s="278">
        <v>69516376.613999993</v>
      </c>
      <c r="G93" s="278">
        <v>81995402.013999999</v>
      </c>
      <c r="H93" s="253">
        <f t="shared" si="18"/>
        <v>18</v>
      </c>
      <c r="I93" s="412">
        <f>IFERROR(100/'Skjema total MA'!F93*G93,0)</f>
        <v>33.444768572241458</v>
      </c>
      <c r="J93" s="287">
        <f t="shared" si="26"/>
        <v>69577129.613999993</v>
      </c>
      <c r="K93" s="287">
        <f t="shared" si="26"/>
        <v>82082277.013999999</v>
      </c>
      <c r="L93" s="253">
        <f t="shared" si="20"/>
        <v>18</v>
      </c>
      <c r="M93" s="23">
        <f>IFERROR(100/'Skjema total MA'!I93*K93,0)</f>
        <v>33.112851888223723</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69516376.613999993</v>
      </c>
      <c r="G95" s="278">
        <v>81995402.013999999</v>
      </c>
      <c r="H95" s="253">
        <f t="shared" si="18"/>
        <v>18</v>
      </c>
      <c r="I95" s="412">
        <f>IFERROR(100/'Skjema total MA'!F95*G95,0)</f>
        <v>33.875515122490391</v>
      </c>
      <c r="J95" s="287">
        <f t="shared" si="26"/>
        <v>69516376.613999993</v>
      </c>
      <c r="K95" s="287">
        <f t="shared" si="26"/>
        <v>81995402.013999999</v>
      </c>
      <c r="L95" s="253">
        <f t="shared" si="20"/>
        <v>18</v>
      </c>
      <c r="M95" s="23">
        <f>IFERROR(100/'Skjema total MA'!I95*K95,0)</f>
        <v>33.875515122490391</v>
      </c>
      <c r="O95" s="148"/>
    </row>
    <row r="96" spans="1:15" x14ac:dyDescent="0.2">
      <c r="A96" s="21" t="s">
        <v>355</v>
      </c>
      <c r="B96" s="233">
        <v>112672</v>
      </c>
      <c r="C96" s="145">
        <v>123345.37300000001</v>
      </c>
      <c r="D96" s="166">
        <f t="shared" si="17"/>
        <v>9.5</v>
      </c>
      <c r="E96" s="27">
        <f>IFERROR(100/'Skjema total MA'!C96*C96,0)</f>
        <v>14.689480869790511</v>
      </c>
      <c r="F96" s="233">
        <v>231309.07699999999</v>
      </c>
      <c r="G96" s="145">
        <v>403817.86900000001</v>
      </c>
      <c r="H96" s="166">
        <f t="shared" si="18"/>
        <v>74.599999999999994</v>
      </c>
      <c r="I96" s="27">
        <f>IFERROR(100/'Skjema total MA'!F96*G96,0)</f>
        <v>39.94249201303704</v>
      </c>
      <c r="J96" s="284">
        <f t="shared" si="26"/>
        <v>343981.07699999999</v>
      </c>
      <c r="K96" s="44">
        <f t="shared" si="26"/>
        <v>527163.24199999997</v>
      </c>
      <c r="L96" s="253">
        <f t="shared" si="20"/>
        <v>53.3</v>
      </c>
      <c r="M96" s="27">
        <f>IFERROR(100/'Skjema total MA'!I96*K96,0)</f>
        <v>28.484790681887709</v>
      </c>
      <c r="O96" s="148"/>
    </row>
    <row r="97" spans="1:15" x14ac:dyDescent="0.2">
      <c r="A97" s="21" t="s">
        <v>354</v>
      </c>
      <c r="B97" s="233">
        <v>3819259</v>
      </c>
      <c r="C97" s="145">
        <v>3952615.1510000001</v>
      </c>
      <c r="D97" s="166">
        <f t="shared" ref="D97" si="28">IF(B97=0, "    ---- ", IF(ABS(ROUND(100/B97*C97-100,1))&lt;999,ROUND(100/B97*C97-100,1),IF(ROUND(100/B97*C97-100,1)&gt;999,999,-999)))</f>
        <v>3.5</v>
      </c>
      <c r="E97" s="27">
        <f>IFERROR(100/'Skjema total MA'!C97*C97,0)</f>
        <v>72.830307411518987</v>
      </c>
      <c r="F97" s="233"/>
      <c r="G97" s="145"/>
      <c r="H97" s="166"/>
      <c r="I97" s="27"/>
      <c r="J97" s="284">
        <f t="shared" ref="J97" si="29">SUM(B97,F97)</f>
        <v>3819259</v>
      </c>
      <c r="K97" s="44">
        <f t="shared" ref="K97" si="30">SUM(C97,G97)</f>
        <v>3952615.1510000001</v>
      </c>
      <c r="L97" s="253">
        <f t="shared" ref="L97" si="31">IF(J97=0, "    ---- ", IF(ABS(ROUND(100/J97*K97-100,1))&lt;999,ROUND(100/J97*K97-100,1),IF(ROUND(100/J97*K97-100,1)&gt;999,999,-999)))</f>
        <v>3.5</v>
      </c>
      <c r="M97" s="27">
        <f>IFERROR(100/'Skjema total MA'!I97*K97,0)</f>
        <v>72.830307411518987</v>
      </c>
      <c r="O97" s="148"/>
    </row>
    <row r="98" spans="1:15" ht="15.75" x14ac:dyDescent="0.2">
      <c r="A98" s="21" t="s">
        <v>473</v>
      </c>
      <c r="B98" s="233">
        <v>152937947.74599999</v>
      </c>
      <c r="C98" s="233">
        <v>155524968.90200001</v>
      </c>
      <c r="D98" s="166">
        <f t="shared" si="17"/>
        <v>1.7</v>
      </c>
      <c r="E98" s="27">
        <f>IFERROR(100/'Skjema total MA'!C98*C98,0)</f>
        <v>41.460038385145822</v>
      </c>
      <c r="F98" s="289">
        <v>69516376.613999993</v>
      </c>
      <c r="G98" s="289">
        <v>81995402.013999999</v>
      </c>
      <c r="H98" s="166">
        <f t="shared" si="18"/>
        <v>18</v>
      </c>
      <c r="I98" s="27">
        <f>IFERROR(100/'Skjema total MA'!F98*G98,0)</f>
        <v>33.519665652847046</v>
      </c>
      <c r="J98" s="284">
        <f t="shared" si="26"/>
        <v>222454324.35999998</v>
      </c>
      <c r="K98" s="44">
        <f t="shared" si="26"/>
        <v>237520370.91600001</v>
      </c>
      <c r="L98" s="253">
        <f t="shared" si="20"/>
        <v>6.8</v>
      </c>
      <c r="M98" s="27">
        <f>IFERROR(100/'Skjema total MA'!I98*K98,0)</f>
        <v>38.325873037841184</v>
      </c>
      <c r="O98" s="148"/>
    </row>
    <row r="99" spans="1:15" x14ac:dyDescent="0.2">
      <c r="A99" s="21" t="s">
        <v>9</v>
      </c>
      <c r="B99" s="289">
        <v>152877194.74599999</v>
      </c>
      <c r="C99" s="290">
        <v>155438093.90200001</v>
      </c>
      <c r="D99" s="166">
        <f t="shared" si="17"/>
        <v>1.7</v>
      </c>
      <c r="E99" s="27">
        <f>IFERROR(100/'Skjema total MA'!C99*C99,0)</f>
        <v>41.739517418143606</v>
      </c>
      <c r="F99" s="233"/>
      <c r="G99" s="145"/>
      <c r="H99" s="166"/>
      <c r="I99" s="27"/>
      <c r="J99" s="284">
        <f t="shared" si="26"/>
        <v>152877194.74599999</v>
      </c>
      <c r="K99" s="44">
        <f t="shared" si="26"/>
        <v>155438093.90200001</v>
      </c>
      <c r="L99" s="253">
        <f t="shared" si="20"/>
        <v>1.7</v>
      </c>
      <c r="M99" s="27">
        <f>IFERROR(100/'Skjema total MA'!I99*K99,0)</f>
        <v>41.739517418143606</v>
      </c>
      <c r="O99" s="148"/>
    </row>
    <row r="100" spans="1:15" x14ac:dyDescent="0.2">
      <c r="A100" s="21" t="s">
        <v>10</v>
      </c>
      <c r="B100" s="289">
        <v>60753</v>
      </c>
      <c r="C100" s="290">
        <v>86875</v>
      </c>
      <c r="D100" s="166">
        <f t="shared" si="17"/>
        <v>43</v>
      </c>
      <c r="E100" s="27">
        <f>IFERROR(100/'Skjema total MA'!C100*C100,0)</f>
        <v>3.1940959702377794</v>
      </c>
      <c r="F100" s="233">
        <v>69516376.613999993</v>
      </c>
      <c r="G100" s="233">
        <v>81995402.013999999</v>
      </c>
      <c r="H100" s="166">
        <f t="shared" si="18"/>
        <v>18</v>
      </c>
      <c r="I100" s="27">
        <f>IFERROR(100/'Skjema total MA'!F100*G100,0)</f>
        <v>33.519665652847046</v>
      </c>
      <c r="J100" s="284">
        <f t="shared" si="26"/>
        <v>69577129.613999993</v>
      </c>
      <c r="K100" s="44">
        <f t="shared" si="26"/>
        <v>82082277.013999999</v>
      </c>
      <c r="L100" s="253">
        <f t="shared" si="20"/>
        <v>18</v>
      </c>
      <c r="M100" s="27">
        <f>IFERROR(100/'Skjema total MA'!I100*K100,0)</f>
        <v>33.186190233281174</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v>60753</v>
      </c>
      <c r="C104" s="278">
        <v>86875</v>
      </c>
      <c r="D104" s="253">
        <f t="shared" ref="D104" si="32">IF(B104=0, "    ---- ", IF(ABS(ROUND(100/B104*C104-100,1))&lt;999,ROUND(100/B104*C104-100,1),IF(ROUND(100/B104*C104-100,1)&gt;999,999,-999)))</f>
        <v>43</v>
      </c>
      <c r="E104" s="27">
        <f>IFERROR(100/'Skjema total MA'!C104*C104,0)</f>
        <v>3.1940959702377794</v>
      </c>
      <c r="F104" s="278">
        <v>69516376.613999993</v>
      </c>
      <c r="G104" s="278">
        <v>81995402.013999999</v>
      </c>
      <c r="H104" s="253">
        <f t="shared" si="18"/>
        <v>18</v>
      </c>
      <c r="I104" s="412">
        <f>IFERROR(100/'Skjema total MA'!F104*G104,0)</f>
        <v>33.519665652847046</v>
      </c>
      <c r="J104" s="287">
        <f t="shared" si="26"/>
        <v>69577129.613999993</v>
      </c>
      <c r="K104" s="287">
        <f t="shared" si="26"/>
        <v>82082277.013999999</v>
      </c>
      <c r="L104" s="253">
        <f t="shared" si="20"/>
        <v>18</v>
      </c>
      <c r="M104" s="23">
        <f>IFERROR(100/'Skjema total MA'!I104*K104,0)</f>
        <v>33.186190233281174</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69516376.613999993</v>
      </c>
      <c r="G106" s="278">
        <v>81995402.013999999</v>
      </c>
      <c r="H106" s="253">
        <f t="shared" si="18"/>
        <v>18</v>
      </c>
      <c r="I106" s="412">
        <f>IFERROR(100/'Skjema total MA'!F106*G106,0)</f>
        <v>33.884407085253329</v>
      </c>
      <c r="J106" s="287">
        <f t="shared" si="26"/>
        <v>69516376.613999993</v>
      </c>
      <c r="K106" s="287">
        <f t="shared" si="26"/>
        <v>81995402.013999999</v>
      </c>
      <c r="L106" s="253">
        <f t="shared" si="20"/>
        <v>18</v>
      </c>
      <c r="M106" s="23">
        <f>IFERROR(100/'Skjema total MA'!I106*K106,0)</f>
        <v>33.884407085253329</v>
      </c>
      <c r="O106" s="148"/>
    </row>
    <row r="107" spans="1:15" ht="15.75" x14ac:dyDescent="0.2">
      <c r="A107" s="21" t="s">
        <v>474</v>
      </c>
      <c r="B107" s="233">
        <v>3479371.2540000002</v>
      </c>
      <c r="C107" s="145">
        <v>3452879.2089999998</v>
      </c>
      <c r="D107" s="166">
        <f t="shared" si="17"/>
        <v>-0.8</v>
      </c>
      <c r="E107" s="27">
        <f>IFERROR(100/'Skjema total MA'!C107*C107,0)</f>
        <v>70.272202661457911</v>
      </c>
      <c r="F107" s="233"/>
      <c r="G107" s="145"/>
      <c r="H107" s="166"/>
      <c r="I107" s="27"/>
      <c r="J107" s="284">
        <f t="shared" si="26"/>
        <v>3479371.2540000002</v>
      </c>
      <c r="K107" s="44">
        <f t="shared" si="26"/>
        <v>3452879.2089999998</v>
      </c>
      <c r="L107" s="253">
        <f t="shared" si="20"/>
        <v>-0.8</v>
      </c>
      <c r="M107" s="27">
        <f>IFERROR(100/'Skjema total MA'!I107*K107,0)</f>
        <v>61.725676037237733</v>
      </c>
      <c r="O107" s="148"/>
    </row>
    <row r="108" spans="1:15" ht="15.75" x14ac:dyDescent="0.2">
      <c r="A108" s="21" t="s">
        <v>475</v>
      </c>
      <c r="B108" s="233">
        <v>125595475.485</v>
      </c>
      <c r="C108" s="233">
        <v>131230667.785</v>
      </c>
      <c r="D108" s="166">
        <f t="shared" si="17"/>
        <v>4.5</v>
      </c>
      <c r="E108" s="27">
        <f>IFERROR(100/'Skjema total MA'!C108*C108,0)</f>
        <v>42.17859716575272</v>
      </c>
      <c r="F108" s="233">
        <v>6749345.3210000005</v>
      </c>
      <c r="G108" s="233">
        <v>14553303.16</v>
      </c>
      <c r="H108" s="166">
        <f t="shared" si="18"/>
        <v>115.6</v>
      </c>
      <c r="I108" s="27">
        <f>IFERROR(100/'Skjema total MA'!F108*G108,0)</f>
        <v>96.546606293701004</v>
      </c>
      <c r="J108" s="284">
        <f t="shared" si="26"/>
        <v>132344820.80599999</v>
      </c>
      <c r="K108" s="44">
        <f t="shared" si="26"/>
        <v>145783970.94499999</v>
      </c>
      <c r="L108" s="253">
        <f t="shared" si="20"/>
        <v>10.199999999999999</v>
      </c>
      <c r="M108" s="27">
        <f>IFERROR(100/'Skjema total MA'!I108*K108,0)</f>
        <v>44.690932673542505</v>
      </c>
      <c r="O108" s="148"/>
    </row>
    <row r="109" spans="1:15" ht="15.75" x14ac:dyDescent="0.2">
      <c r="A109" s="21" t="s">
        <v>476</v>
      </c>
      <c r="B109" s="233"/>
      <c r="C109" s="233"/>
      <c r="D109" s="166"/>
      <c r="E109" s="27"/>
      <c r="F109" s="233">
        <v>21675891.588</v>
      </c>
      <c r="G109" s="233">
        <v>24096928.107999999</v>
      </c>
      <c r="H109" s="166">
        <f t="shared" si="18"/>
        <v>11.2</v>
      </c>
      <c r="I109" s="27">
        <f>IFERROR(100/'Skjema total MA'!F109*G109,0)</f>
        <v>29.932074966346985</v>
      </c>
      <c r="J109" s="284">
        <f t="shared" si="26"/>
        <v>21675891.588</v>
      </c>
      <c r="K109" s="44">
        <f t="shared" si="26"/>
        <v>24096928.107999999</v>
      </c>
      <c r="L109" s="253">
        <f t="shared" si="20"/>
        <v>11.2</v>
      </c>
      <c r="M109" s="27">
        <f>IFERROR(100/'Skjema total MA'!I109*K109,0)</f>
        <v>29.606435672141014</v>
      </c>
      <c r="O109" s="148"/>
    </row>
    <row r="110" spans="1:15" ht="15.75" x14ac:dyDescent="0.2">
      <c r="A110" s="21" t="s">
        <v>477</v>
      </c>
      <c r="B110" s="233">
        <v>0</v>
      </c>
      <c r="C110" s="233">
        <v>40887.394999999997</v>
      </c>
      <c r="D110" s="166" t="str">
        <f t="shared" si="17"/>
        <v xml:space="preserve">    ---- </v>
      </c>
      <c r="E110" s="27">
        <f>IFERROR(100/'Skjema total MA'!C110*C110,0)</f>
        <v>31.189384331903341</v>
      </c>
      <c r="F110" s="233"/>
      <c r="G110" s="233"/>
      <c r="H110" s="166"/>
      <c r="I110" s="27"/>
      <c r="J110" s="284">
        <f t="shared" si="26"/>
        <v>0</v>
      </c>
      <c r="K110" s="44">
        <f t="shared" si="26"/>
        <v>40887.394999999997</v>
      </c>
      <c r="L110" s="253" t="str">
        <f t="shared" si="20"/>
        <v xml:space="preserve">    ---- </v>
      </c>
      <c r="M110" s="27">
        <f>IFERROR(100/'Skjema total MA'!I110*K110,0)</f>
        <v>31.189384331903341</v>
      </c>
      <c r="O110" s="148"/>
    </row>
    <row r="111" spans="1:15" ht="15.75" x14ac:dyDescent="0.2">
      <c r="A111" s="13" t="s">
        <v>457</v>
      </c>
      <c r="B111" s="305">
        <v>16932.437999999998</v>
      </c>
      <c r="C111" s="159">
        <v>88959.013000000006</v>
      </c>
      <c r="D111" s="171">
        <f t="shared" si="17"/>
        <v>425.4</v>
      </c>
      <c r="E111" s="11">
        <f>IFERROR(100/'Skjema total MA'!C111*C111,0)</f>
        <v>16.478504188056732</v>
      </c>
      <c r="F111" s="305">
        <v>600892.05000000005</v>
      </c>
      <c r="G111" s="159">
        <v>1972487.6310000001</v>
      </c>
      <c r="H111" s="171">
        <f t="shared" si="18"/>
        <v>228.3</v>
      </c>
      <c r="I111" s="11">
        <f>IFERROR(100/'Skjema total MA'!F111*G111,0)</f>
        <v>15.783725567957076</v>
      </c>
      <c r="J111" s="306">
        <f t="shared" si="26"/>
        <v>617824.48800000001</v>
      </c>
      <c r="K111" s="235">
        <f t="shared" si="26"/>
        <v>2061446.6440000001</v>
      </c>
      <c r="L111" s="423">
        <f t="shared" si="20"/>
        <v>233.7</v>
      </c>
      <c r="M111" s="11">
        <f>IFERROR(100/'Skjema total MA'!I111*K111,0)</f>
        <v>15.812496037248872</v>
      </c>
      <c r="O111" s="148"/>
    </row>
    <row r="112" spans="1:15" x14ac:dyDescent="0.2">
      <c r="A112" s="21" t="s">
        <v>9</v>
      </c>
      <c r="B112" s="233">
        <v>16932.437999999998</v>
      </c>
      <c r="C112" s="145">
        <v>44873.474000000002</v>
      </c>
      <c r="D112" s="166">
        <f t="shared" ref="D112:D125" si="33">IF(B112=0, "    ---- ", IF(ABS(ROUND(100/B112*C112-100,1))&lt;999,ROUND(100/B112*C112-100,1),IF(ROUND(100/B112*C112-100,1)&gt;999,999,-999)))</f>
        <v>165</v>
      </c>
      <c r="E112" s="27">
        <f>IFERROR(100/'Skjema total MA'!C112*C112,0)</f>
        <v>9.4052541322052345</v>
      </c>
      <c r="F112" s="233">
        <v>0</v>
      </c>
      <c r="G112" s="145">
        <v>2884.6590000000001</v>
      </c>
      <c r="H112" s="166" t="str">
        <f t="shared" ref="H112:H125" si="34">IF(F112=0, "    ---- ", IF(ABS(ROUND(100/F112*G112-100,1))&lt;999,ROUND(100/F112*G112-100,1),IF(ROUND(100/F112*G112-100,1)&gt;999,999,-999)))</f>
        <v xml:space="preserve">    ---- </v>
      </c>
      <c r="I112" s="27">
        <f>IFERROR(100/'Skjema total MA'!F112*G112,0)</f>
        <v>100</v>
      </c>
      <c r="J112" s="284">
        <f t="shared" ref="J112:K125" si="35">SUM(B112,F112)</f>
        <v>16932.437999999998</v>
      </c>
      <c r="K112" s="44">
        <f t="shared" si="35"/>
        <v>47758.133000000002</v>
      </c>
      <c r="L112" s="253">
        <f t="shared" ref="L112:L125" si="36">IF(J112=0, "    ---- ", IF(ABS(ROUND(100/J112*K112-100,1))&lt;999,ROUND(100/J112*K112-100,1),IF(ROUND(100/J112*K112-100,1)&gt;999,999,-999)))</f>
        <v>182.1</v>
      </c>
      <c r="M112" s="27">
        <f>IFERROR(100/'Skjema total MA'!I112*K112,0)</f>
        <v>9.9497072047576598</v>
      </c>
      <c r="O112" s="148"/>
    </row>
    <row r="113" spans="1:15" x14ac:dyDescent="0.2">
      <c r="A113" s="21" t="s">
        <v>10</v>
      </c>
      <c r="B113" s="233">
        <v>0</v>
      </c>
      <c r="C113" s="145">
        <v>0</v>
      </c>
      <c r="D113" s="166" t="str">
        <f t="shared" si="33"/>
        <v xml:space="preserve">    ---- </v>
      </c>
      <c r="E113" s="27">
        <f>IFERROR(100/'Skjema total MA'!C113*C113,0)</f>
        <v>0</v>
      </c>
      <c r="F113" s="233">
        <v>600892.05000000005</v>
      </c>
      <c r="G113" s="145">
        <v>1930388.537</v>
      </c>
      <c r="H113" s="166">
        <f t="shared" si="34"/>
        <v>221.3</v>
      </c>
      <c r="I113" s="27">
        <f>IFERROR(100/'Skjema total MA'!F113*G113,0)</f>
        <v>15.499063562837874</v>
      </c>
      <c r="J113" s="284">
        <f t="shared" si="35"/>
        <v>600892.05000000005</v>
      </c>
      <c r="K113" s="44">
        <f t="shared" si="35"/>
        <v>1930388.537</v>
      </c>
      <c r="L113" s="253">
        <f t="shared" si="36"/>
        <v>221.3</v>
      </c>
      <c r="M113" s="27">
        <f>IFERROR(100/'Skjema total MA'!I113*K113,0)</f>
        <v>15.496181470925906</v>
      </c>
      <c r="O113" s="148"/>
    </row>
    <row r="114" spans="1:15" x14ac:dyDescent="0.2">
      <c r="A114" s="21" t="s">
        <v>26</v>
      </c>
      <c r="B114" s="233">
        <v>0</v>
      </c>
      <c r="C114" s="145">
        <v>44085.538999999997</v>
      </c>
      <c r="D114" s="166" t="str">
        <f t="shared" si="33"/>
        <v xml:space="preserve">    ---- </v>
      </c>
      <c r="E114" s="27">
        <f>IFERROR(100/'Skjema total MA'!C114*C114,0)</f>
        <v>72.963105516696757</v>
      </c>
      <c r="F114" s="233">
        <v>0</v>
      </c>
      <c r="G114" s="145">
        <v>39214.434999999998</v>
      </c>
      <c r="H114" s="166" t="str">
        <f t="shared" si="34"/>
        <v xml:space="preserve">    ---- </v>
      </c>
      <c r="I114" s="27">
        <f>IFERROR(100/'Skjema total MA'!F114*G114,0)</f>
        <v>100.00000000000001</v>
      </c>
      <c r="J114" s="284">
        <f t="shared" si="35"/>
        <v>0</v>
      </c>
      <c r="K114" s="44">
        <f t="shared" si="35"/>
        <v>83299.973999999987</v>
      </c>
      <c r="L114" s="253" t="str">
        <f t="shared" si="36"/>
        <v xml:space="preserve">    ---- </v>
      </c>
      <c r="M114" s="27">
        <f>IFERROR(100/'Skjema total MA'!I114*K114,0)</f>
        <v>83.604191535971083</v>
      </c>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v>10667.813</v>
      </c>
      <c r="C116" s="233">
        <v>16778.155999999999</v>
      </c>
      <c r="D116" s="166">
        <f t="shared" si="33"/>
        <v>57.3</v>
      </c>
      <c r="E116" s="27">
        <f>IFERROR(100/'Skjema total MA'!C116*C116,0)</f>
        <v>7.7441916064506078</v>
      </c>
      <c r="F116" s="233">
        <v>0</v>
      </c>
      <c r="G116" s="233">
        <v>2884.6590000000001</v>
      </c>
      <c r="H116" s="166" t="str">
        <f t="shared" si="34"/>
        <v xml:space="preserve">    ---- </v>
      </c>
      <c r="I116" s="27">
        <f>IFERROR(100/'Skjema total MA'!F116*G116,0)</f>
        <v>100</v>
      </c>
      <c r="J116" s="284">
        <f t="shared" si="35"/>
        <v>10667.813</v>
      </c>
      <c r="K116" s="44">
        <f t="shared" si="35"/>
        <v>19662.814999999999</v>
      </c>
      <c r="L116" s="253">
        <f t="shared" si="36"/>
        <v>84.3</v>
      </c>
      <c r="M116" s="27">
        <f>IFERROR(100/'Skjema total MA'!I116*K116,0)</f>
        <v>8.9563958097875336</v>
      </c>
      <c r="O116" s="148"/>
    </row>
    <row r="117" spans="1:15" ht="15.75" x14ac:dyDescent="0.2">
      <c r="A117" s="21" t="s">
        <v>479</v>
      </c>
      <c r="B117" s="233"/>
      <c r="C117" s="233"/>
      <c r="D117" s="166"/>
      <c r="E117" s="27"/>
      <c r="F117" s="233">
        <v>404928.03899999999</v>
      </c>
      <c r="G117" s="233">
        <v>650572.34699999995</v>
      </c>
      <c r="H117" s="166">
        <f t="shared" si="34"/>
        <v>60.7</v>
      </c>
      <c r="I117" s="27">
        <f>IFERROR(100/'Skjema total MA'!F117*G117,0)</f>
        <v>29.423945420675096</v>
      </c>
      <c r="J117" s="284">
        <f t="shared" si="35"/>
        <v>404928.03899999999</v>
      </c>
      <c r="K117" s="44">
        <f t="shared" si="35"/>
        <v>650572.34699999995</v>
      </c>
      <c r="L117" s="253">
        <f t="shared" si="36"/>
        <v>60.7</v>
      </c>
      <c r="M117" s="27">
        <f>IFERROR(100/'Skjema total MA'!I117*K117,0)</f>
        <v>29.423945420675096</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132627.44899999999</v>
      </c>
      <c r="C119" s="159">
        <v>120923.842</v>
      </c>
      <c r="D119" s="171">
        <f t="shared" si="33"/>
        <v>-8.8000000000000007</v>
      </c>
      <c r="E119" s="11">
        <f>IFERROR(100/'Skjema total MA'!C119*C119,0)</f>
        <v>20.127024650076123</v>
      </c>
      <c r="F119" s="305">
        <v>3256551.7450000001</v>
      </c>
      <c r="G119" s="159">
        <v>2754979.1740000001</v>
      </c>
      <c r="H119" s="171">
        <f t="shared" si="34"/>
        <v>-15.4</v>
      </c>
      <c r="I119" s="11">
        <f>IFERROR(100/'Skjema total MA'!F119*G119,0)</f>
        <v>21.597028864832662</v>
      </c>
      <c r="J119" s="306">
        <f t="shared" si="35"/>
        <v>3389179.1940000001</v>
      </c>
      <c r="K119" s="235">
        <f t="shared" si="35"/>
        <v>2875903.0160000003</v>
      </c>
      <c r="L119" s="423">
        <f t="shared" si="36"/>
        <v>-15.1</v>
      </c>
      <c r="M119" s="11">
        <f>IFERROR(100/'Skjema total MA'!I119*K119,0)</f>
        <v>21.530907920726108</v>
      </c>
      <c r="O119" s="148"/>
    </row>
    <row r="120" spans="1:15" x14ac:dyDescent="0.2">
      <c r="A120" s="21" t="s">
        <v>9</v>
      </c>
      <c r="B120" s="233">
        <v>132627.44899999999</v>
      </c>
      <c r="C120" s="145">
        <v>14987.325000000001</v>
      </c>
      <c r="D120" s="166">
        <f t="shared" si="33"/>
        <v>-88.7</v>
      </c>
      <c r="E120" s="27">
        <f>IFERROR(100/'Skjema total MA'!C120*C120,0)</f>
        <v>3.3118307892272303</v>
      </c>
      <c r="F120" s="233">
        <v>0</v>
      </c>
      <c r="G120" s="145">
        <v>0</v>
      </c>
      <c r="H120" s="166" t="str">
        <f t="shared" si="34"/>
        <v xml:space="preserve">    ---- </v>
      </c>
      <c r="I120" s="27">
        <f>IFERROR(100/'Skjema total MA'!F120*G120,0)</f>
        <v>0</v>
      </c>
      <c r="J120" s="284">
        <f t="shared" si="35"/>
        <v>132627.44899999999</v>
      </c>
      <c r="K120" s="44">
        <f t="shared" si="35"/>
        <v>14987.325000000001</v>
      </c>
      <c r="L120" s="253">
        <f t="shared" si="36"/>
        <v>-88.7</v>
      </c>
      <c r="M120" s="27">
        <f>IFERROR(100/'Skjema total MA'!I120*K120,0)</f>
        <v>3.3118307892272303</v>
      </c>
      <c r="O120" s="148"/>
    </row>
    <row r="121" spans="1:15" x14ac:dyDescent="0.2">
      <c r="A121" s="21" t="s">
        <v>10</v>
      </c>
      <c r="B121" s="233">
        <v>0</v>
      </c>
      <c r="C121" s="145">
        <v>0</v>
      </c>
      <c r="D121" s="166" t="str">
        <f t="shared" si="33"/>
        <v xml:space="preserve">    ---- </v>
      </c>
      <c r="E121" s="27">
        <f>IFERROR(100/'Skjema total MA'!C121*C121,0)</f>
        <v>0</v>
      </c>
      <c r="F121" s="233">
        <v>3256551.7450000001</v>
      </c>
      <c r="G121" s="145">
        <v>2754979.1740000001</v>
      </c>
      <c r="H121" s="166">
        <f t="shared" si="34"/>
        <v>-15.4</v>
      </c>
      <c r="I121" s="27">
        <f>IFERROR(100/'Skjema total MA'!F121*G121,0)</f>
        <v>21.597028864832662</v>
      </c>
      <c r="J121" s="284">
        <f t="shared" si="35"/>
        <v>3256551.7450000001</v>
      </c>
      <c r="K121" s="44">
        <f t="shared" si="35"/>
        <v>2754979.1740000001</v>
      </c>
      <c r="L121" s="253">
        <f t="shared" si="36"/>
        <v>-15.4</v>
      </c>
      <c r="M121" s="27">
        <f>IFERROR(100/'Skjema total MA'!I121*K121,0)</f>
        <v>21.537184748938429</v>
      </c>
      <c r="O121" s="148"/>
    </row>
    <row r="122" spans="1:15" x14ac:dyDescent="0.2">
      <c r="A122" s="21" t="s">
        <v>26</v>
      </c>
      <c r="B122" s="233">
        <v>0</v>
      </c>
      <c r="C122" s="145">
        <v>105936.51700000001</v>
      </c>
      <c r="D122" s="166" t="str">
        <f t="shared" si="33"/>
        <v xml:space="preserve">    ---- </v>
      </c>
      <c r="E122" s="27">
        <f>IFERROR(100/'Skjema total MA'!C122*C122,0)</f>
        <v>93.899331492389507</v>
      </c>
      <c r="F122" s="233"/>
      <c r="G122" s="145"/>
      <c r="H122" s="166"/>
      <c r="I122" s="27"/>
      <c r="J122" s="284">
        <f t="shared" si="35"/>
        <v>0</v>
      </c>
      <c r="K122" s="44">
        <f t="shared" si="35"/>
        <v>105936.51700000001</v>
      </c>
      <c r="L122" s="253" t="str">
        <f t="shared" si="36"/>
        <v xml:space="preserve">    ---- </v>
      </c>
      <c r="M122" s="27">
        <f>IFERROR(100/'Skjema total MA'!I122*K122,0)</f>
        <v>93.899331492389507</v>
      </c>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v>4672.7460000000001</v>
      </c>
      <c r="C124" s="233">
        <v>8069.0739999999996</v>
      </c>
      <c r="D124" s="166">
        <f t="shared" si="33"/>
        <v>72.7</v>
      </c>
      <c r="E124" s="27">
        <f>IFERROR(100/'Skjema total MA'!C124*C124,0)</f>
        <v>5.2410905082803296</v>
      </c>
      <c r="F124" s="233">
        <v>12997.26</v>
      </c>
      <c r="G124" s="233">
        <v>28362.670999999998</v>
      </c>
      <c r="H124" s="166">
        <f t="shared" si="34"/>
        <v>118.2</v>
      </c>
      <c r="I124" s="27">
        <f>IFERROR(100/'Skjema total MA'!F124*G124,0)</f>
        <v>99.561322032993957</v>
      </c>
      <c r="J124" s="284">
        <f t="shared" si="35"/>
        <v>17670.006000000001</v>
      </c>
      <c r="K124" s="44">
        <f t="shared" si="35"/>
        <v>36431.744999999995</v>
      </c>
      <c r="L124" s="253">
        <f t="shared" si="36"/>
        <v>106.2</v>
      </c>
      <c r="M124" s="27">
        <f>IFERROR(100/'Skjema total MA'!I124*K124,0)</f>
        <v>19.968556505518009</v>
      </c>
      <c r="O124" s="148"/>
    </row>
    <row r="125" spans="1:15" ht="15.75" x14ac:dyDescent="0.2">
      <c r="A125" s="21" t="s">
        <v>476</v>
      </c>
      <c r="B125" s="233">
        <v>3.169</v>
      </c>
      <c r="C125" s="233">
        <v>6.69</v>
      </c>
      <c r="D125" s="166">
        <f t="shared" si="33"/>
        <v>111.1</v>
      </c>
      <c r="E125" s="27">
        <f>IFERROR(100/'Skjema total MA'!C125*C125,0)</f>
        <v>0.18811885779099832</v>
      </c>
      <c r="F125" s="233">
        <v>495086.39399999997</v>
      </c>
      <c r="G125" s="233">
        <v>497541.83299999998</v>
      </c>
      <c r="H125" s="166">
        <f t="shared" si="34"/>
        <v>0.5</v>
      </c>
      <c r="I125" s="27">
        <f>IFERROR(100/'Skjema total MA'!F125*G125,0)</f>
        <v>23.325785324414074</v>
      </c>
      <c r="J125" s="284">
        <f t="shared" si="35"/>
        <v>495089.56299999997</v>
      </c>
      <c r="K125" s="44">
        <f t="shared" si="35"/>
        <v>497548.52299999999</v>
      </c>
      <c r="L125" s="253">
        <f t="shared" si="36"/>
        <v>0.5</v>
      </c>
      <c r="M125" s="27">
        <f>IFERROR(100/'Skjema total MA'!I125*K125,0)</f>
        <v>23.287273283049309</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v>180675.467</v>
      </c>
      <c r="C134" s="306">
        <v>235159.59899999999</v>
      </c>
      <c r="D134" s="347">
        <f t="shared" ref="D134:D137" si="37">IF(B134=0, "    ---- ", IF(ABS(ROUND(100/B134*C134-100,1))&lt;999,ROUND(100/B134*C134-100,1),IF(ROUND(100/B134*C134-100,1)&gt;999,999,-999)))</f>
        <v>30.2</v>
      </c>
      <c r="E134" s="11">
        <f>IFERROR(100/'Skjema total MA'!C134*C134,0)</f>
        <v>0.53926393959953434</v>
      </c>
      <c r="F134" s="313"/>
      <c r="G134" s="314"/>
      <c r="H134" s="426"/>
      <c r="I134" s="24"/>
      <c r="J134" s="315">
        <f t="shared" ref="J134:K137" si="38">SUM(B134,F134)</f>
        <v>180675.467</v>
      </c>
      <c r="K134" s="315">
        <f t="shared" si="38"/>
        <v>235159.59899999999</v>
      </c>
      <c r="L134" s="422">
        <f t="shared" ref="L134:L137" si="39">IF(J134=0, "    ---- ", IF(ABS(ROUND(100/J134*K134-100,1))&lt;999,ROUND(100/J134*K134-100,1),IF(ROUND(100/J134*K134-100,1)&gt;999,999,-999)))</f>
        <v>30.2</v>
      </c>
      <c r="M134" s="11">
        <f>IFERROR(100/'Skjema total MA'!I134*K134,0)</f>
        <v>0.53742815252385268</v>
      </c>
      <c r="N134" s="148"/>
      <c r="O134" s="148"/>
    </row>
    <row r="135" spans="1:15" s="3" customFormat="1" ht="15.75" x14ac:dyDescent="0.2">
      <c r="A135" s="13" t="s">
        <v>485</v>
      </c>
      <c r="B135" s="235">
        <v>2743697.898</v>
      </c>
      <c r="C135" s="306">
        <v>2873195.608</v>
      </c>
      <c r="D135" s="171">
        <f t="shared" si="37"/>
        <v>4.7</v>
      </c>
      <c r="E135" s="11">
        <f>IFERROR(100/'Skjema total MA'!C135*C135,0)</f>
        <v>0.52307095498891232</v>
      </c>
      <c r="F135" s="235"/>
      <c r="G135" s="306"/>
      <c r="H135" s="427"/>
      <c r="I135" s="24"/>
      <c r="J135" s="305">
        <f t="shared" si="38"/>
        <v>2743697.898</v>
      </c>
      <c r="K135" s="305">
        <f t="shared" si="38"/>
        <v>2873195.608</v>
      </c>
      <c r="L135" s="423">
        <f t="shared" si="39"/>
        <v>4.7</v>
      </c>
      <c r="M135" s="11">
        <f>IFERROR(100/'Skjema total MA'!I135*K135,0)</f>
        <v>0.5207778230506398</v>
      </c>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v>175381.05900000001</v>
      </c>
      <c r="C137" s="312">
        <v>0</v>
      </c>
      <c r="D137" s="169">
        <f t="shared" si="37"/>
        <v>-100</v>
      </c>
      <c r="E137" s="9">
        <f>IFERROR(100/'Skjema total MA'!C137*C137,0)</f>
        <v>0</v>
      </c>
      <c r="F137" s="273"/>
      <c r="G137" s="312"/>
      <c r="H137" s="428"/>
      <c r="I137" s="36"/>
      <c r="J137" s="311">
        <f t="shared" si="38"/>
        <v>175381.05900000001</v>
      </c>
      <c r="K137" s="311">
        <f t="shared" si="38"/>
        <v>0</v>
      </c>
      <c r="L137" s="424">
        <f t="shared" si="39"/>
        <v>-100</v>
      </c>
      <c r="M137" s="36">
        <f>IFERROR(100/'Skjema total MA'!I137*K137,0)</f>
        <v>0</v>
      </c>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81" priority="139">
      <formula>kvartal &lt; 4</formula>
    </cfRule>
  </conditionalFormatting>
  <conditionalFormatting sqref="B69">
    <cfRule type="expression" dxfId="1080" priority="107">
      <formula>kvartal &lt; 4</formula>
    </cfRule>
  </conditionalFormatting>
  <conditionalFormatting sqref="C69">
    <cfRule type="expression" dxfId="1079" priority="106">
      <formula>kvartal &lt; 4</formula>
    </cfRule>
  </conditionalFormatting>
  <conditionalFormatting sqref="B72">
    <cfRule type="expression" dxfId="1078" priority="105">
      <formula>kvartal &lt; 4</formula>
    </cfRule>
  </conditionalFormatting>
  <conditionalFormatting sqref="C72">
    <cfRule type="expression" dxfId="1077" priority="104">
      <formula>kvartal &lt; 4</formula>
    </cfRule>
  </conditionalFormatting>
  <conditionalFormatting sqref="B80">
    <cfRule type="expression" dxfId="1076" priority="103">
      <formula>kvartal &lt; 4</formula>
    </cfRule>
  </conditionalFormatting>
  <conditionalFormatting sqref="C80">
    <cfRule type="expression" dxfId="1075" priority="102">
      <formula>kvartal &lt; 4</formula>
    </cfRule>
  </conditionalFormatting>
  <conditionalFormatting sqref="B83">
    <cfRule type="expression" dxfId="1074" priority="101">
      <formula>kvartal &lt; 4</formula>
    </cfRule>
  </conditionalFormatting>
  <conditionalFormatting sqref="C83">
    <cfRule type="expression" dxfId="1073" priority="100">
      <formula>kvartal &lt; 4</formula>
    </cfRule>
  </conditionalFormatting>
  <conditionalFormatting sqref="B90">
    <cfRule type="expression" dxfId="1072" priority="91">
      <formula>kvartal &lt; 4</formula>
    </cfRule>
  </conditionalFormatting>
  <conditionalFormatting sqref="C90">
    <cfRule type="expression" dxfId="1071" priority="90">
      <formula>kvartal &lt; 4</formula>
    </cfRule>
  </conditionalFormatting>
  <conditionalFormatting sqref="B93">
    <cfRule type="expression" dxfId="1070" priority="89">
      <formula>kvartal &lt; 4</formula>
    </cfRule>
  </conditionalFormatting>
  <conditionalFormatting sqref="C93">
    <cfRule type="expression" dxfId="1069" priority="88">
      <formula>kvartal &lt; 4</formula>
    </cfRule>
  </conditionalFormatting>
  <conditionalFormatting sqref="B101">
    <cfRule type="expression" dxfId="1068" priority="87">
      <formula>kvartal &lt; 4</formula>
    </cfRule>
  </conditionalFormatting>
  <conditionalFormatting sqref="C101">
    <cfRule type="expression" dxfId="1067" priority="86">
      <formula>kvartal &lt; 4</formula>
    </cfRule>
  </conditionalFormatting>
  <conditionalFormatting sqref="B104">
    <cfRule type="expression" dxfId="1066" priority="85">
      <formula>kvartal &lt; 4</formula>
    </cfRule>
  </conditionalFormatting>
  <conditionalFormatting sqref="C104">
    <cfRule type="expression" dxfId="1065" priority="84">
      <formula>kvartal &lt; 4</formula>
    </cfRule>
  </conditionalFormatting>
  <conditionalFormatting sqref="B115">
    <cfRule type="expression" dxfId="1064" priority="83">
      <formula>kvartal &lt; 4</formula>
    </cfRule>
  </conditionalFormatting>
  <conditionalFormatting sqref="C115">
    <cfRule type="expression" dxfId="1063" priority="82">
      <formula>kvartal &lt; 4</formula>
    </cfRule>
  </conditionalFormatting>
  <conditionalFormatting sqref="B123">
    <cfRule type="expression" dxfId="1062" priority="81">
      <formula>kvartal &lt; 4</formula>
    </cfRule>
  </conditionalFormatting>
  <conditionalFormatting sqref="C123">
    <cfRule type="expression" dxfId="1061" priority="80">
      <formula>kvartal &lt; 4</formula>
    </cfRule>
  </conditionalFormatting>
  <conditionalFormatting sqref="F70">
    <cfRule type="expression" dxfId="1060" priority="79">
      <formula>kvartal &lt; 4</formula>
    </cfRule>
  </conditionalFormatting>
  <conditionalFormatting sqref="G70">
    <cfRule type="expression" dxfId="1059" priority="78">
      <formula>kvartal &lt; 4</formula>
    </cfRule>
  </conditionalFormatting>
  <conditionalFormatting sqref="F71:G71">
    <cfRule type="expression" dxfId="1058" priority="77">
      <formula>kvartal &lt; 4</formula>
    </cfRule>
  </conditionalFormatting>
  <conditionalFormatting sqref="F73:G74">
    <cfRule type="expression" dxfId="1057" priority="76">
      <formula>kvartal &lt; 4</formula>
    </cfRule>
  </conditionalFormatting>
  <conditionalFormatting sqref="F81:G82">
    <cfRule type="expression" dxfId="1056" priority="75">
      <formula>kvartal &lt; 4</formula>
    </cfRule>
  </conditionalFormatting>
  <conditionalFormatting sqref="F84:G85">
    <cfRule type="expression" dxfId="1055" priority="74">
      <formula>kvartal &lt; 4</formula>
    </cfRule>
  </conditionalFormatting>
  <conditionalFormatting sqref="F91:G92">
    <cfRule type="expression" dxfId="1054" priority="69">
      <formula>kvartal &lt; 4</formula>
    </cfRule>
  </conditionalFormatting>
  <conditionalFormatting sqref="F94:G95">
    <cfRule type="expression" dxfId="1053" priority="68">
      <formula>kvartal &lt; 4</formula>
    </cfRule>
  </conditionalFormatting>
  <conditionalFormatting sqref="F102:G103">
    <cfRule type="expression" dxfId="1052" priority="67">
      <formula>kvartal &lt; 4</formula>
    </cfRule>
  </conditionalFormatting>
  <conditionalFormatting sqref="F105:G106">
    <cfRule type="expression" dxfId="1051" priority="66">
      <formula>kvartal &lt; 4</formula>
    </cfRule>
  </conditionalFormatting>
  <conditionalFormatting sqref="F115">
    <cfRule type="expression" dxfId="1050" priority="65">
      <formula>kvartal &lt; 4</formula>
    </cfRule>
  </conditionalFormatting>
  <conditionalFormatting sqref="G115">
    <cfRule type="expression" dxfId="1049" priority="64">
      <formula>kvartal &lt; 4</formula>
    </cfRule>
  </conditionalFormatting>
  <conditionalFormatting sqref="F123:G123">
    <cfRule type="expression" dxfId="1048" priority="63">
      <formula>kvartal &lt; 4</formula>
    </cfRule>
  </conditionalFormatting>
  <conditionalFormatting sqref="F69:G69">
    <cfRule type="expression" dxfId="1047" priority="62">
      <formula>kvartal &lt; 4</formula>
    </cfRule>
  </conditionalFormatting>
  <conditionalFormatting sqref="F72:G72">
    <cfRule type="expression" dxfId="1046" priority="61">
      <formula>kvartal &lt; 4</formula>
    </cfRule>
  </conditionalFormatting>
  <conditionalFormatting sqref="F80:G80">
    <cfRule type="expression" dxfId="1045" priority="60">
      <formula>kvartal &lt; 4</formula>
    </cfRule>
  </conditionalFormatting>
  <conditionalFormatting sqref="F83:G83">
    <cfRule type="expression" dxfId="1044" priority="59">
      <formula>kvartal &lt; 4</formula>
    </cfRule>
  </conditionalFormatting>
  <conditionalFormatting sqref="F90:G90">
    <cfRule type="expression" dxfId="1043" priority="53">
      <formula>kvartal &lt; 4</formula>
    </cfRule>
  </conditionalFormatting>
  <conditionalFormatting sqref="F93">
    <cfRule type="expression" dxfId="1042" priority="52">
      <formula>kvartal &lt; 4</formula>
    </cfRule>
  </conditionalFormatting>
  <conditionalFormatting sqref="G93">
    <cfRule type="expression" dxfId="1041" priority="51">
      <formula>kvartal &lt; 4</formula>
    </cfRule>
  </conditionalFormatting>
  <conditionalFormatting sqref="F101">
    <cfRule type="expression" dxfId="1040" priority="50">
      <formula>kvartal &lt; 4</formula>
    </cfRule>
  </conditionalFormatting>
  <conditionalFormatting sqref="G101">
    <cfRule type="expression" dxfId="1039" priority="49">
      <formula>kvartal &lt; 4</formula>
    </cfRule>
  </conditionalFormatting>
  <conditionalFormatting sqref="G104">
    <cfRule type="expression" dxfId="1038" priority="48">
      <formula>kvartal &lt; 4</formula>
    </cfRule>
  </conditionalFormatting>
  <conditionalFormatting sqref="F104">
    <cfRule type="expression" dxfId="1037" priority="47">
      <formula>kvartal &lt; 4</formula>
    </cfRule>
  </conditionalFormatting>
  <conditionalFormatting sqref="J69">
    <cfRule type="expression" dxfId="1036" priority="46">
      <formula>kvartal &lt; 4</formula>
    </cfRule>
  </conditionalFormatting>
  <conditionalFormatting sqref="A50:A52">
    <cfRule type="expression" dxfId="1035" priority="19">
      <formula>kvartal &lt; 4</formula>
    </cfRule>
  </conditionalFormatting>
  <conditionalFormatting sqref="A69:A74">
    <cfRule type="expression" dxfId="1034" priority="17">
      <formula>kvartal &lt; 4</formula>
    </cfRule>
  </conditionalFormatting>
  <conditionalFormatting sqref="A80:A85">
    <cfRule type="expression" dxfId="1033" priority="16">
      <formula>kvartal &lt; 4</formula>
    </cfRule>
  </conditionalFormatting>
  <conditionalFormatting sqref="A90:A95">
    <cfRule type="expression" dxfId="1032" priority="13">
      <formula>kvartal &lt; 4</formula>
    </cfRule>
  </conditionalFormatting>
  <conditionalFormatting sqref="A101:A106">
    <cfRule type="expression" dxfId="1031" priority="12">
      <formula>kvartal &lt; 4</formula>
    </cfRule>
  </conditionalFormatting>
  <conditionalFormatting sqref="A115">
    <cfRule type="expression" dxfId="1030" priority="11">
      <formula>kvartal &lt; 4</formula>
    </cfRule>
  </conditionalFormatting>
  <conditionalFormatting sqref="A123">
    <cfRule type="expression" dxfId="1029" priority="10">
      <formula>kvartal &lt; 4</formula>
    </cfRule>
  </conditionalFormatting>
  <conditionalFormatting sqref="J70:J74">
    <cfRule type="expression" dxfId="1028" priority="7">
      <formula>kvartal &lt; 4</formula>
    </cfRule>
  </conditionalFormatting>
  <conditionalFormatting sqref="K69:K74">
    <cfRule type="expression" dxfId="1027" priority="6">
      <formula>kvartal &lt; 4</formula>
    </cfRule>
  </conditionalFormatting>
  <conditionalFormatting sqref="J80:K85">
    <cfRule type="expression" dxfId="1026" priority="5">
      <formula>kvartal &lt; 4</formula>
    </cfRule>
  </conditionalFormatting>
  <conditionalFormatting sqref="J90:K95">
    <cfRule type="expression" dxfId="1025" priority="4">
      <formula>kvartal &lt; 4</formula>
    </cfRule>
  </conditionalFormatting>
  <conditionalFormatting sqref="J101:K106">
    <cfRule type="expression" dxfId="1024" priority="3">
      <formula>kvartal &lt; 4</formula>
    </cfRule>
  </conditionalFormatting>
  <conditionalFormatting sqref="J115:K115">
    <cfRule type="expression" dxfId="1023" priority="2">
      <formula>kvartal &lt; 4</formula>
    </cfRule>
  </conditionalFormatting>
  <conditionalFormatting sqref="J123:K123">
    <cfRule type="expression" dxfId="1022" priority="1">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O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139</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c r="C22" s="307"/>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307"/>
      <c r="C29" s="307"/>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171"/>
      <c r="E38" s="24"/>
      <c r="F38" s="316"/>
      <c r="G38" s="317"/>
      <c r="H38" s="171"/>
      <c r="I38" s="429"/>
      <c r="J38" s="235"/>
      <c r="K38" s="235"/>
      <c r="L38" s="423"/>
      <c r="M38" s="24"/>
      <c r="O38" s="148"/>
    </row>
    <row r="39" spans="1:15" ht="15.75" x14ac:dyDescent="0.2">
      <c r="A39" s="18" t="s">
        <v>466</v>
      </c>
      <c r="B39" s="273"/>
      <c r="C39" s="312"/>
      <c r="D39" s="169"/>
      <c r="E39" s="36"/>
      <c r="F39" s="319"/>
      <c r="G39" s="320"/>
      <c r="H39" s="169"/>
      <c r="I39" s="36"/>
      <c r="J39" s="235"/>
      <c r="K39" s="235"/>
      <c r="L39" s="424"/>
      <c r="M39" s="36"/>
      <c r="O39" s="148"/>
    </row>
    <row r="40" spans="1:15" ht="15.75" x14ac:dyDescent="0.25">
      <c r="A40" s="47"/>
      <c r="B40" s="252"/>
      <c r="C40" s="252"/>
      <c r="D40" s="980"/>
      <c r="E40" s="980"/>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31971</v>
      </c>
      <c r="C47" s="308">
        <v>22616</v>
      </c>
      <c r="D47" s="422">
        <f t="shared" ref="D47:D48" si="0">IF(B47=0, "    ---- ", IF(ABS(ROUND(100/B47*C47-100,1))&lt;999,ROUND(100/B47*C47-100,1),IF(ROUND(100/B47*C47-100,1)&gt;999,999,-999)))</f>
        <v>-29.3</v>
      </c>
      <c r="E47" s="11">
        <f>IFERROR(100/'Skjema total MA'!C47*C47,0)</f>
        <v>0.53876485764279358</v>
      </c>
      <c r="F47" s="145"/>
      <c r="G47" s="33"/>
      <c r="H47" s="159"/>
      <c r="I47" s="159"/>
      <c r="J47" s="37"/>
      <c r="K47" s="37"/>
      <c r="L47" s="159"/>
      <c r="M47" s="159"/>
      <c r="N47" s="148"/>
      <c r="O47" s="148"/>
    </row>
    <row r="48" spans="1:15" s="3" customFormat="1" ht="15.75" x14ac:dyDescent="0.2">
      <c r="A48" s="38" t="s">
        <v>467</v>
      </c>
      <c r="B48" s="278">
        <v>31971</v>
      </c>
      <c r="C48" s="279">
        <v>22616</v>
      </c>
      <c r="D48" s="253">
        <f t="shared" si="0"/>
        <v>-29.3</v>
      </c>
      <c r="E48" s="27">
        <f>IFERROR(100/'Skjema total MA'!C48*C48,0)</f>
        <v>0.96727195350784345</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21" priority="139">
      <formula>kvartal &lt; 4</formula>
    </cfRule>
  </conditionalFormatting>
  <conditionalFormatting sqref="B69">
    <cfRule type="expression" dxfId="1020" priority="107">
      <formula>kvartal &lt; 4</formula>
    </cfRule>
  </conditionalFormatting>
  <conditionalFormatting sqref="C69">
    <cfRule type="expression" dxfId="1019" priority="106">
      <formula>kvartal &lt; 4</formula>
    </cfRule>
  </conditionalFormatting>
  <conditionalFormatting sqref="B72">
    <cfRule type="expression" dxfId="1018" priority="105">
      <formula>kvartal &lt; 4</formula>
    </cfRule>
  </conditionalFormatting>
  <conditionalFormatting sqref="C72">
    <cfRule type="expression" dxfId="1017" priority="104">
      <formula>kvartal &lt; 4</formula>
    </cfRule>
  </conditionalFormatting>
  <conditionalFormatting sqref="B80">
    <cfRule type="expression" dxfId="1016" priority="103">
      <formula>kvartal &lt; 4</formula>
    </cfRule>
  </conditionalFormatting>
  <conditionalFormatting sqref="C80">
    <cfRule type="expression" dxfId="1015" priority="102">
      <formula>kvartal &lt; 4</formula>
    </cfRule>
  </conditionalFormatting>
  <conditionalFormatting sqref="B83">
    <cfRule type="expression" dxfId="1014" priority="101">
      <formula>kvartal &lt; 4</formula>
    </cfRule>
  </conditionalFormatting>
  <conditionalFormatting sqref="C83">
    <cfRule type="expression" dxfId="1013" priority="100">
      <formula>kvartal &lt; 4</formula>
    </cfRule>
  </conditionalFormatting>
  <conditionalFormatting sqref="B90">
    <cfRule type="expression" dxfId="1012" priority="91">
      <formula>kvartal &lt; 4</formula>
    </cfRule>
  </conditionalFormatting>
  <conditionalFormatting sqref="C90">
    <cfRule type="expression" dxfId="1011" priority="90">
      <formula>kvartal &lt; 4</formula>
    </cfRule>
  </conditionalFormatting>
  <conditionalFormatting sqref="B93">
    <cfRule type="expression" dxfId="1010" priority="89">
      <formula>kvartal &lt; 4</formula>
    </cfRule>
  </conditionalFormatting>
  <conditionalFormatting sqref="C93">
    <cfRule type="expression" dxfId="1009" priority="88">
      <formula>kvartal &lt; 4</formula>
    </cfRule>
  </conditionalFormatting>
  <conditionalFormatting sqref="B101">
    <cfRule type="expression" dxfId="1008" priority="87">
      <formula>kvartal &lt; 4</formula>
    </cfRule>
  </conditionalFormatting>
  <conditionalFormatting sqref="C101">
    <cfRule type="expression" dxfId="1007" priority="86">
      <formula>kvartal &lt; 4</formula>
    </cfRule>
  </conditionalFormatting>
  <conditionalFormatting sqref="B104">
    <cfRule type="expression" dxfId="1006" priority="85">
      <formula>kvartal &lt; 4</formula>
    </cfRule>
  </conditionalFormatting>
  <conditionalFormatting sqref="C104">
    <cfRule type="expression" dxfId="1005" priority="84">
      <formula>kvartal &lt; 4</formula>
    </cfRule>
  </conditionalFormatting>
  <conditionalFormatting sqref="B115">
    <cfRule type="expression" dxfId="1004" priority="83">
      <formula>kvartal &lt; 4</formula>
    </cfRule>
  </conditionalFormatting>
  <conditionalFormatting sqref="C115">
    <cfRule type="expression" dxfId="1003" priority="82">
      <formula>kvartal &lt; 4</formula>
    </cfRule>
  </conditionalFormatting>
  <conditionalFormatting sqref="B123">
    <cfRule type="expression" dxfId="1002" priority="81">
      <formula>kvartal &lt; 4</formula>
    </cfRule>
  </conditionalFormatting>
  <conditionalFormatting sqref="C123">
    <cfRule type="expression" dxfId="1001" priority="80">
      <formula>kvartal &lt; 4</formula>
    </cfRule>
  </conditionalFormatting>
  <conditionalFormatting sqref="F70">
    <cfRule type="expression" dxfId="1000" priority="79">
      <formula>kvartal &lt; 4</formula>
    </cfRule>
  </conditionalFormatting>
  <conditionalFormatting sqref="G70">
    <cfRule type="expression" dxfId="999" priority="78">
      <formula>kvartal &lt; 4</formula>
    </cfRule>
  </conditionalFormatting>
  <conditionalFormatting sqref="F71:G71">
    <cfRule type="expression" dxfId="998" priority="77">
      <formula>kvartal &lt; 4</formula>
    </cfRule>
  </conditionalFormatting>
  <conditionalFormatting sqref="F73:G74">
    <cfRule type="expression" dxfId="997" priority="76">
      <formula>kvartal &lt; 4</formula>
    </cfRule>
  </conditionalFormatting>
  <conditionalFormatting sqref="F81:G82">
    <cfRule type="expression" dxfId="996" priority="75">
      <formula>kvartal &lt; 4</formula>
    </cfRule>
  </conditionalFormatting>
  <conditionalFormatting sqref="F84:G85">
    <cfRule type="expression" dxfId="995" priority="74">
      <formula>kvartal &lt; 4</formula>
    </cfRule>
  </conditionalFormatting>
  <conditionalFormatting sqref="F91:G92">
    <cfRule type="expression" dxfId="994" priority="69">
      <formula>kvartal &lt; 4</formula>
    </cfRule>
  </conditionalFormatting>
  <conditionalFormatting sqref="F94:G95">
    <cfRule type="expression" dxfId="993" priority="68">
      <formula>kvartal &lt; 4</formula>
    </cfRule>
  </conditionalFormatting>
  <conditionalFormatting sqref="F102:G103">
    <cfRule type="expression" dxfId="992" priority="67">
      <formula>kvartal &lt; 4</formula>
    </cfRule>
  </conditionalFormatting>
  <conditionalFormatting sqref="F105:G106">
    <cfRule type="expression" dxfId="991" priority="66">
      <formula>kvartal &lt; 4</formula>
    </cfRule>
  </conditionalFormatting>
  <conditionalFormatting sqref="F115">
    <cfRule type="expression" dxfId="990" priority="65">
      <formula>kvartal &lt; 4</formula>
    </cfRule>
  </conditionalFormatting>
  <conditionalFormatting sqref="G115">
    <cfRule type="expression" dxfId="989" priority="64">
      <formula>kvartal &lt; 4</formula>
    </cfRule>
  </conditionalFormatting>
  <conditionalFormatting sqref="F123:G123">
    <cfRule type="expression" dxfId="988" priority="63">
      <formula>kvartal &lt; 4</formula>
    </cfRule>
  </conditionalFormatting>
  <conditionalFormatting sqref="F69:G69">
    <cfRule type="expression" dxfId="987" priority="62">
      <formula>kvartal &lt; 4</formula>
    </cfRule>
  </conditionalFormatting>
  <conditionalFormatting sqref="F72:G72">
    <cfRule type="expression" dxfId="986" priority="61">
      <formula>kvartal &lt; 4</formula>
    </cfRule>
  </conditionalFormatting>
  <conditionalFormatting sqref="F80:G80">
    <cfRule type="expression" dxfId="985" priority="60">
      <formula>kvartal &lt; 4</formula>
    </cfRule>
  </conditionalFormatting>
  <conditionalFormatting sqref="F83:G83">
    <cfRule type="expression" dxfId="984" priority="59">
      <formula>kvartal &lt; 4</formula>
    </cfRule>
  </conditionalFormatting>
  <conditionalFormatting sqref="F90:G90">
    <cfRule type="expression" dxfId="983" priority="53">
      <formula>kvartal &lt; 4</formula>
    </cfRule>
  </conditionalFormatting>
  <conditionalFormatting sqref="F93">
    <cfRule type="expression" dxfId="982" priority="52">
      <formula>kvartal &lt; 4</formula>
    </cfRule>
  </conditionalFormatting>
  <conditionalFormatting sqref="G93">
    <cfRule type="expression" dxfId="981" priority="51">
      <formula>kvartal &lt; 4</formula>
    </cfRule>
  </conditionalFormatting>
  <conditionalFormatting sqref="F101">
    <cfRule type="expression" dxfId="980" priority="50">
      <formula>kvartal &lt; 4</formula>
    </cfRule>
  </conditionalFormatting>
  <conditionalFormatting sqref="G101">
    <cfRule type="expression" dxfId="979" priority="49">
      <formula>kvartal &lt; 4</formula>
    </cfRule>
  </conditionalFormatting>
  <conditionalFormatting sqref="G104">
    <cfRule type="expression" dxfId="978" priority="48">
      <formula>kvartal &lt; 4</formula>
    </cfRule>
  </conditionalFormatting>
  <conditionalFormatting sqref="F104">
    <cfRule type="expression" dxfId="977" priority="47">
      <formula>kvartal &lt; 4</formula>
    </cfRule>
  </conditionalFormatting>
  <conditionalFormatting sqref="J69">
    <cfRule type="expression" dxfId="976" priority="46">
      <formula>kvartal &lt; 4</formula>
    </cfRule>
  </conditionalFormatting>
  <conditionalFormatting sqref="A50:A52">
    <cfRule type="expression" dxfId="975" priority="19">
      <formula>kvartal &lt; 4</formula>
    </cfRule>
  </conditionalFormatting>
  <conditionalFormatting sqref="A69:A74">
    <cfRule type="expression" dxfId="974" priority="17">
      <formula>kvartal &lt; 4</formula>
    </cfRule>
  </conditionalFormatting>
  <conditionalFormatting sqref="A80:A85">
    <cfRule type="expression" dxfId="973" priority="16">
      <formula>kvartal &lt; 4</formula>
    </cfRule>
  </conditionalFormatting>
  <conditionalFormatting sqref="A90:A95">
    <cfRule type="expression" dxfId="972" priority="13">
      <formula>kvartal &lt; 4</formula>
    </cfRule>
  </conditionalFormatting>
  <conditionalFormatting sqref="A101:A106">
    <cfRule type="expression" dxfId="971" priority="12">
      <formula>kvartal &lt; 4</formula>
    </cfRule>
  </conditionalFormatting>
  <conditionalFormatting sqref="A115">
    <cfRule type="expression" dxfId="970" priority="11">
      <formula>kvartal &lt; 4</formula>
    </cfRule>
  </conditionalFormatting>
  <conditionalFormatting sqref="A123">
    <cfRule type="expression" dxfId="969" priority="10">
      <formula>kvartal &lt; 4</formula>
    </cfRule>
  </conditionalFormatting>
  <conditionalFormatting sqref="J70:J74">
    <cfRule type="expression" dxfId="968" priority="7">
      <formula>kvartal &lt; 4</formula>
    </cfRule>
  </conditionalFormatting>
  <conditionalFormatting sqref="K69:K74">
    <cfRule type="expression" dxfId="967" priority="6">
      <formula>kvartal &lt; 4</formula>
    </cfRule>
  </conditionalFormatting>
  <conditionalFormatting sqref="J80:K85">
    <cfRule type="expression" dxfId="966" priority="5">
      <formula>kvartal &lt; 4</formula>
    </cfRule>
  </conditionalFormatting>
  <conditionalFormatting sqref="J90:K95">
    <cfRule type="expression" dxfId="965" priority="4">
      <formula>kvartal &lt; 4</formula>
    </cfRule>
  </conditionalFormatting>
  <conditionalFormatting sqref="J101:K106">
    <cfRule type="expression" dxfId="964" priority="3">
      <formula>kvartal &lt; 4</formula>
    </cfRule>
  </conditionalFormatting>
  <conditionalFormatting sqref="J115:K115">
    <cfRule type="expression" dxfId="963" priority="2">
      <formula>kvartal &lt; 4</formula>
    </cfRule>
  </conditionalFormatting>
  <conditionalFormatting sqref="J123:K123">
    <cfRule type="expression" dxfId="962" priority="1">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369</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2017</v>
      </c>
      <c r="N8" s="74">
        <v>2018</v>
      </c>
      <c r="O8" s="74"/>
    </row>
    <row r="9" spans="1:15" x14ac:dyDescent="0.3">
      <c r="A9" s="74"/>
      <c r="B9" s="74"/>
      <c r="C9" s="74"/>
      <c r="D9" s="74"/>
      <c r="E9" s="74"/>
      <c r="F9" s="74"/>
      <c r="G9" s="74"/>
      <c r="H9" s="74"/>
      <c r="I9" s="74"/>
      <c r="J9" s="74"/>
      <c r="K9" s="74"/>
      <c r="L9" s="74" t="s">
        <v>54</v>
      </c>
      <c r="M9" s="77">
        <f>'Tabel 1.1'!B9</f>
        <v>0</v>
      </c>
      <c r="N9" s="77">
        <f>'Tabel 1.1'!C9</f>
        <v>0</v>
      </c>
      <c r="O9" s="74"/>
    </row>
    <row r="10" spans="1:15" x14ac:dyDescent="0.3">
      <c r="A10" s="74"/>
      <c r="B10" s="74"/>
      <c r="C10" s="74"/>
      <c r="D10" s="74"/>
      <c r="E10" s="74"/>
      <c r="F10" s="74"/>
      <c r="G10" s="74"/>
      <c r="H10" s="74"/>
      <c r="I10" s="74"/>
      <c r="J10" s="74"/>
      <c r="K10" s="74"/>
      <c r="L10" s="74" t="s">
        <v>55</v>
      </c>
      <c r="M10" s="77">
        <f>'Tabel 1.1'!B10</f>
        <v>397773.73200000002</v>
      </c>
      <c r="N10" s="77">
        <f>'Tabel 1.1'!C10</f>
        <v>415883.79300000001</v>
      </c>
      <c r="O10" s="74"/>
    </row>
    <row r="11" spans="1:15" x14ac:dyDescent="0.3">
      <c r="A11" s="74"/>
      <c r="B11" s="74"/>
      <c r="C11" s="74"/>
      <c r="D11" s="74"/>
      <c r="E11" s="74"/>
      <c r="F11" s="74"/>
      <c r="G11" s="74"/>
      <c r="H11" s="74"/>
      <c r="I11" s="74"/>
      <c r="J11" s="74"/>
      <c r="K11" s="74"/>
      <c r="L11" s="74" t="s">
        <v>56</v>
      </c>
      <c r="M11" s="77">
        <f>'Tabel 1.1'!B11</f>
        <v>4920017.8059999999</v>
      </c>
      <c r="N11" s="77">
        <f>'Tabel 1.1'!C11</f>
        <v>4564526.0001369994</v>
      </c>
      <c r="O11" s="74"/>
    </row>
    <row r="12" spans="1:15" x14ac:dyDescent="0.3">
      <c r="A12" s="74"/>
      <c r="B12" s="74"/>
      <c r="C12" s="74"/>
      <c r="D12" s="74"/>
      <c r="E12" s="74"/>
      <c r="F12" s="74"/>
      <c r="G12" s="74"/>
      <c r="H12" s="74"/>
      <c r="I12" s="74"/>
      <c r="J12" s="74"/>
      <c r="K12" s="74"/>
      <c r="L12" s="74" t="s">
        <v>57</v>
      </c>
      <c r="M12" s="77">
        <f>'Tabel 1.1'!B12</f>
        <v>267318</v>
      </c>
      <c r="N12" s="77">
        <f>'Tabel 1.1'!C12</f>
        <v>293648</v>
      </c>
      <c r="O12" s="74"/>
    </row>
    <row r="13" spans="1:15" x14ac:dyDescent="0.3">
      <c r="A13" s="74"/>
      <c r="B13" s="74"/>
      <c r="C13" s="74"/>
      <c r="D13" s="74"/>
      <c r="E13" s="74"/>
      <c r="F13" s="74"/>
      <c r="G13" s="74"/>
      <c r="H13" s="74"/>
      <c r="I13" s="74"/>
      <c r="J13" s="74"/>
      <c r="K13" s="74"/>
      <c r="L13" s="74" t="s">
        <v>58</v>
      </c>
      <c r="M13" s="77">
        <f>'Tabel 1.1'!B13</f>
        <v>439365.6</v>
      </c>
      <c r="N13" s="77">
        <f>'Tabel 1.1'!C13</f>
        <v>461969</v>
      </c>
      <c r="O13" s="74"/>
    </row>
    <row r="14" spans="1:15" x14ac:dyDescent="0.3">
      <c r="A14" s="74"/>
      <c r="B14" s="74"/>
      <c r="C14" s="74"/>
      <c r="D14" s="74"/>
      <c r="E14" s="74"/>
      <c r="F14" s="74"/>
      <c r="G14" s="74"/>
      <c r="H14" s="74"/>
      <c r="I14" s="74"/>
      <c r="J14" s="74"/>
      <c r="K14" s="74"/>
      <c r="L14" s="74" t="s">
        <v>59</v>
      </c>
      <c r="M14" s="77">
        <f>'Tabel 1.1'!B14</f>
        <v>5631</v>
      </c>
      <c r="N14" s="77">
        <f>'Tabel 1.1'!C14</f>
        <v>7955</v>
      </c>
      <c r="O14" s="74"/>
    </row>
    <row r="15" spans="1:15" x14ac:dyDescent="0.3">
      <c r="A15" s="74"/>
      <c r="B15" s="74"/>
      <c r="C15" s="74"/>
      <c r="D15" s="74"/>
      <c r="E15" s="74"/>
      <c r="F15" s="74"/>
      <c r="G15" s="74"/>
      <c r="H15" s="74"/>
      <c r="I15" s="74"/>
      <c r="J15" s="74"/>
      <c r="K15" s="74"/>
      <c r="L15" s="74" t="s">
        <v>60</v>
      </c>
      <c r="M15" s="77">
        <f>'Tabel 1.1'!B15</f>
        <v>1528867</v>
      </c>
      <c r="N15" s="77">
        <f>'Tabel 1.1'!C15</f>
        <v>1560358</v>
      </c>
      <c r="O15" s="74"/>
    </row>
    <row r="16" spans="1:15" x14ac:dyDescent="0.3">
      <c r="A16" s="74"/>
      <c r="B16" s="74"/>
      <c r="C16" s="74"/>
      <c r="D16" s="74"/>
      <c r="E16" s="74"/>
      <c r="F16" s="74"/>
      <c r="G16" s="74"/>
      <c r="H16" s="74"/>
      <c r="I16" s="74"/>
      <c r="J16" s="74"/>
      <c r="K16" s="74"/>
      <c r="L16" s="74" t="s">
        <v>61</v>
      </c>
      <c r="M16" s="77">
        <f>'Tabel 1.1'!B16</f>
        <v>523633</v>
      </c>
      <c r="N16" s="77">
        <f>'Tabel 1.1'!C16</f>
        <v>591422</v>
      </c>
      <c r="O16" s="74"/>
    </row>
    <row r="17" spans="1:15" x14ac:dyDescent="0.3">
      <c r="A17" s="74"/>
      <c r="B17" s="74"/>
      <c r="C17" s="74"/>
      <c r="D17" s="74"/>
      <c r="E17" s="74"/>
      <c r="F17" s="74"/>
      <c r="G17" s="74"/>
      <c r="H17" s="74"/>
      <c r="I17" s="74"/>
      <c r="J17" s="74"/>
      <c r="K17" s="74"/>
      <c r="L17" s="74" t="s">
        <v>62</v>
      </c>
      <c r="M17" s="77">
        <f>'Tabel 1.1'!B17</f>
        <v>37362</v>
      </c>
      <c r="N17" s="77">
        <f>'Tabel 1.1'!C17</f>
        <v>35563</v>
      </c>
      <c r="O17" s="74"/>
    </row>
    <row r="18" spans="1:15" x14ac:dyDescent="0.3">
      <c r="A18" s="74"/>
      <c r="B18" s="74"/>
      <c r="C18" s="74"/>
      <c r="D18" s="74"/>
      <c r="E18" s="74"/>
      <c r="F18" s="74"/>
      <c r="G18" s="74"/>
      <c r="H18" s="74"/>
      <c r="I18" s="74"/>
      <c r="J18" s="74"/>
      <c r="K18" s="74"/>
      <c r="L18" s="74" t="s">
        <v>63</v>
      </c>
      <c r="M18" s="77">
        <f>'Tabel 1.1'!B18</f>
        <v>436905</v>
      </c>
      <c r="N18" s="77">
        <f>'Tabel 1.1'!C18</f>
        <v>447566</v>
      </c>
      <c r="O18" s="74"/>
    </row>
    <row r="19" spans="1:15" x14ac:dyDescent="0.3">
      <c r="A19" s="74"/>
      <c r="B19" s="74"/>
      <c r="C19" s="74"/>
      <c r="D19" s="74"/>
      <c r="E19" s="74"/>
      <c r="F19" s="74"/>
      <c r="G19" s="74"/>
      <c r="H19" s="74"/>
      <c r="I19" s="74"/>
      <c r="J19" s="74"/>
      <c r="K19" s="74"/>
      <c r="L19" s="74" t="s">
        <v>64</v>
      </c>
      <c r="M19" s="77">
        <f>'Tabel 1.1'!B19</f>
        <v>31992253.779960003</v>
      </c>
      <c r="N19" s="77">
        <f>'Tabel 1.1'!C19</f>
        <v>38575507.412819996</v>
      </c>
      <c r="O19" s="74"/>
    </row>
    <row r="20" spans="1:15" x14ac:dyDescent="0.3">
      <c r="A20" s="74"/>
      <c r="B20" s="74"/>
      <c r="C20" s="74"/>
      <c r="D20" s="74"/>
      <c r="E20" s="74"/>
      <c r="F20" s="74"/>
      <c r="G20" s="74"/>
      <c r="H20" s="74"/>
      <c r="I20" s="74"/>
      <c r="J20" s="74"/>
      <c r="K20" s="74"/>
      <c r="L20" s="74" t="s">
        <v>65</v>
      </c>
      <c r="M20" s="77">
        <f>'Tabel 1.1'!B20</f>
        <v>97233</v>
      </c>
      <c r="N20" s="77">
        <f>'Tabel 1.1'!C20</f>
        <v>89195</v>
      </c>
      <c r="O20" s="74"/>
    </row>
    <row r="21" spans="1:15" x14ac:dyDescent="0.3">
      <c r="A21" s="74"/>
      <c r="B21" s="74"/>
      <c r="C21" s="74"/>
      <c r="D21" s="74"/>
      <c r="E21" s="74"/>
      <c r="F21" s="74"/>
      <c r="G21" s="74"/>
      <c r="H21" s="74"/>
      <c r="I21" s="74"/>
      <c r="J21" s="74"/>
      <c r="K21" s="74"/>
      <c r="L21" s="74" t="s">
        <v>66</v>
      </c>
      <c r="M21" s="77">
        <f>'Tabel 1.1'!B21</f>
        <v>142740</v>
      </c>
      <c r="N21" s="77">
        <f>'Tabel 1.1'!C21</f>
        <v>134230.552</v>
      </c>
      <c r="O21" s="74"/>
    </row>
    <row r="22" spans="1:15" x14ac:dyDescent="0.3">
      <c r="A22" s="74"/>
      <c r="B22" s="74"/>
      <c r="C22" s="74"/>
      <c r="D22" s="74"/>
      <c r="E22" s="74"/>
      <c r="F22" s="74"/>
      <c r="G22" s="74"/>
      <c r="H22" s="74"/>
      <c r="I22" s="74"/>
      <c r="J22" s="74"/>
      <c r="K22" s="74"/>
      <c r="L22" s="74" t="s">
        <v>503</v>
      </c>
      <c r="M22" s="77">
        <f>'Tabel 1.1'!B22</f>
        <v>79056</v>
      </c>
      <c r="N22" s="77">
        <f>'Tabel 1.1'!C22</f>
        <v>75514</v>
      </c>
      <c r="O22" s="74"/>
    </row>
    <row r="23" spans="1:15" x14ac:dyDescent="0.3">
      <c r="A23" s="74"/>
      <c r="B23" s="74"/>
      <c r="C23" s="74"/>
      <c r="D23" s="74"/>
      <c r="E23" s="74"/>
      <c r="F23" s="74"/>
      <c r="G23" s="74"/>
      <c r="H23" s="74"/>
      <c r="I23" s="74"/>
      <c r="J23" s="74"/>
      <c r="K23" s="74"/>
      <c r="L23" s="74" t="s">
        <v>67</v>
      </c>
      <c r="M23" s="77">
        <f>'Tabel 1.1'!B23</f>
        <v>1147</v>
      </c>
      <c r="N23" s="77">
        <f>'Tabel 1.1'!C23</f>
        <v>1788</v>
      </c>
      <c r="O23" s="74"/>
    </row>
    <row r="24" spans="1:15" x14ac:dyDescent="0.3">
      <c r="A24" s="74"/>
      <c r="B24" s="74"/>
      <c r="C24" s="74"/>
      <c r="D24" s="74"/>
      <c r="E24" s="74"/>
      <c r="F24" s="74"/>
      <c r="G24" s="74"/>
      <c r="H24" s="74"/>
      <c r="I24" s="74"/>
      <c r="J24" s="74"/>
      <c r="K24" s="74"/>
      <c r="L24" s="74" t="s">
        <v>68</v>
      </c>
      <c r="M24" s="77">
        <f>'Tabel 1.1'!B24</f>
        <v>1689290.3465455561</v>
      </c>
      <c r="N24" s="77">
        <f>'Tabel 1.1'!C24</f>
        <v>1546969.242586259</v>
      </c>
      <c r="O24" s="74"/>
    </row>
    <row r="25" spans="1:15" x14ac:dyDescent="0.3">
      <c r="A25" s="74"/>
      <c r="B25" s="74"/>
      <c r="C25" s="74"/>
      <c r="D25" s="74"/>
      <c r="E25" s="74"/>
      <c r="F25" s="74"/>
      <c r="G25" s="74"/>
      <c r="H25" s="74"/>
      <c r="I25" s="74"/>
      <c r="J25" s="74"/>
      <c r="K25" s="74"/>
      <c r="L25" s="74" t="s">
        <v>69</v>
      </c>
      <c r="M25" s="77">
        <f>'Tabel 1.1'!B25</f>
        <v>4149293</v>
      </c>
      <c r="N25" s="77">
        <f>'Tabel 1.1'!C25</f>
        <v>4832000</v>
      </c>
      <c r="O25" s="74"/>
    </row>
    <row r="26" spans="1:15" s="141" customFormat="1" x14ac:dyDescent="0.3">
      <c r="A26" s="74"/>
      <c r="B26" s="74"/>
      <c r="C26" s="74"/>
      <c r="D26" s="74"/>
      <c r="E26" s="74"/>
      <c r="F26" s="74"/>
      <c r="G26" s="74"/>
      <c r="H26" s="74"/>
      <c r="I26" s="74"/>
      <c r="J26" s="74"/>
      <c r="K26" s="74"/>
      <c r="L26" s="74" t="s">
        <v>487</v>
      </c>
      <c r="M26" s="77">
        <f>'Tabel 1.1'!B26</f>
        <v>0</v>
      </c>
      <c r="N26" s="77">
        <f>'Tabel 1.1'!C26</f>
        <v>322909.72977305338</v>
      </c>
      <c r="O26" s="74"/>
    </row>
    <row r="27" spans="1:15" x14ac:dyDescent="0.3">
      <c r="A27" s="74"/>
      <c r="B27" s="74"/>
      <c r="C27" s="74"/>
      <c r="D27" s="74"/>
      <c r="E27" s="74"/>
      <c r="F27" s="74"/>
      <c r="G27" s="74"/>
      <c r="H27" s="74"/>
      <c r="I27" s="74"/>
      <c r="J27" s="74"/>
      <c r="K27" s="74"/>
      <c r="L27" s="74" t="s">
        <v>70</v>
      </c>
      <c r="M27" s="77">
        <f>'Tabel 1.1'!B27</f>
        <v>2772100.5251799999</v>
      </c>
      <c r="N27" s="77">
        <f>'Tabel 1.1'!C27</f>
        <v>2769109.2606799998</v>
      </c>
      <c r="O27" s="74"/>
    </row>
    <row r="28" spans="1:15" x14ac:dyDescent="0.3">
      <c r="A28" s="74"/>
      <c r="B28" s="74"/>
      <c r="C28" s="74"/>
      <c r="D28" s="74"/>
      <c r="E28" s="74"/>
      <c r="F28" s="74"/>
      <c r="G28" s="74"/>
      <c r="H28" s="74"/>
      <c r="I28" s="74"/>
      <c r="J28" s="74"/>
      <c r="K28" s="74"/>
      <c r="L28" s="74" t="s">
        <v>71</v>
      </c>
      <c r="M28" s="77">
        <f>'Tabel 1.1'!B28</f>
        <v>5689454.449</v>
      </c>
      <c r="N28" s="77">
        <f>'Tabel 1.1'!C28</f>
        <v>5505079.2280000001</v>
      </c>
    </row>
    <row r="29" spans="1:15" x14ac:dyDescent="0.3">
      <c r="A29" s="74"/>
      <c r="B29" s="74"/>
      <c r="C29" s="74"/>
      <c r="D29" s="74"/>
      <c r="E29" s="74"/>
      <c r="F29" s="74"/>
      <c r="G29" s="74"/>
      <c r="H29" s="74"/>
      <c r="I29" s="74"/>
      <c r="J29" s="74"/>
      <c r="K29" s="74"/>
      <c r="L29" s="74" t="s">
        <v>72</v>
      </c>
      <c r="M29" s="77">
        <f>'Tabel 1.1'!B29</f>
        <v>31971</v>
      </c>
      <c r="N29" s="77">
        <f>'Tabel 1.1'!C29</f>
        <v>22616</v>
      </c>
    </row>
    <row r="30" spans="1:15" x14ac:dyDescent="0.3">
      <c r="A30" s="74"/>
      <c r="B30" s="74"/>
      <c r="C30" s="74"/>
      <c r="D30" s="74"/>
      <c r="E30" s="74"/>
      <c r="F30" s="74"/>
      <c r="G30" s="74"/>
      <c r="H30" s="74"/>
      <c r="I30" s="74"/>
      <c r="J30" s="74"/>
      <c r="K30" s="74"/>
      <c r="L30" s="74" t="s">
        <v>73</v>
      </c>
      <c r="M30" s="77">
        <f>'Tabel 1.1'!B30</f>
        <v>512595.94180000003</v>
      </c>
      <c r="N30" s="77">
        <f>'Tabel 1.1'!C30</f>
        <v>525057.89627999999</v>
      </c>
    </row>
    <row r="31" spans="1:15" x14ac:dyDescent="0.3">
      <c r="A31" s="75" t="s">
        <v>370</v>
      </c>
      <c r="B31" s="74"/>
      <c r="C31" s="74"/>
      <c r="D31" s="74"/>
      <c r="E31" s="74"/>
      <c r="F31" s="74"/>
      <c r="G31" s="74"/>
      <c r="H31" s="74"/>
      <c r="I31" s="79"/>
      <c r="J31" s="74"/>
      <c r="K31" s="74"/>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v>2017</v>
      </c>
      <c r="N36" s="74">
        <v>2018</v>
      </c>
    </row>
    <row r="37" spans="1:15" x14ac:dyDescent="0.3">
      <c r="A37" s="74"/>
      <c r="B37" s="74"/>
      <c r="C37" s="74"/>
      <c r="D37" s="74"/>
      <c r="E37" s="74"/>
      <c r="F37" s="74"/>
      <c r="G37" s="74"/>
      <c r="H37" s="74"/>
      <c r="I37" s="74"/>
      <c r="J37" s="74"/>
      <c r="K37" s="74"/>
      <c r="L37" s="79" t="s">
        <v>55</v>
      </c>
      <c r="M37" s="78">
        <f>'Tabel 1.1'!B34</f>
        <v>1774297.267</v>
      </c>
      <c r="N37" s="78">
        <f>'Tabel 1.1'!C34</f>
        <v>1858117.182</v>
      </c>
    </row>
    <row r="38" spans="1:15" x14ac:dyDescent="0.3">
      <c r="A38" s="74"/>
      <c r="B38" s="74"/>
      <c r="C38" s="74"/>
      <c r="D38" s="74"/>
      <c r="E38" s="74"/>
      <c r="F38" s="74"/>
      <c r="G38" s="74"/>
      <c r="H38" s="74"/>
      <c r="I38" s="74"/>
      <c r="J38" s="74"/>
      <c r="K38" s="74"/>
      <c r="L38" s="74" t="s">
        <v>56</v>
      </c>
      <c r="M38" s="78">
        <f>'Tabel 1.1'!B35</f>
        <v>8571932</v>
      </c>
      <c r="N38" s="78">
        <f>'Tabel 1.1'!C35</f>
        <v>8751380.8939999994</v>
      </c>
    </row>
    <row r="39" spans="1:15" x14ac:dyDescent="0.3">
      <c r="A39" s="74"/>
      <c r="B39" s="74"/>
      <c r="C39" s="74"/>
      <c r="D39" s="74"/>
      <c r="E39" s="74"/>
      <c r="F39" s="74"/>
      <c r="G39" s="74"/>
      <c r="H39" s="74"/>
      <c r="I39" s="74"/>
      <c r="J39" s="74"/>
      <c r="K39" s="74"/>
      <c r="L39" s="74" t="s">
        <v>58</v>
      </c>
      <c r="M39" s="78">
        <f>'Tabel 1.1'!B36</f>
        <v>368028</v>
      </c>
      <c r="N39" s="78">
        <f>'Tabel 1.1'!C36</f>
        <v>383502.5</v>
      </c>
    </row>
    <row r="40" spans="1:15" x14ac:dyDescent="0.3">
      <c r="A40" s="74"/>
      <c r="B40" s="74"/>
      <c r="C40" s="74"/>
      <c r="D40" s="74"/>
      <c r="E40" s="74"/>
      <c r="F40" s="74"/>
      <c r="G40" s="74"/>
      <c r="H40" s="74"/>
      <c r="I40" s="74"/>
      <c r="J40" s="74"/>
      <c r="K40" s="74"/>
      <c r="L40" s="79" t="s">
        <v>61</v>
      </c>
      <c r="M40" s="78">
        <f>'Tabel 1.1'!B37</f>
        <v>2571137</v>
      </c>
      <c r="N40" s="78">
        <f>'Tabel 1.1'!C37</f>
        <v>2849928</v>
      </c>
    </row>
    <row r="41" spans="1:15" x14ac:dyDescent="0.3">
      <c r="A41" s="74"/>
      <c r="B41" s="74"/>
      <c r="C41" s="74"/>
      <c r="D41" s="74"/>
      <c r="E41" s="74"/>
      <c r="F41" s="74"/>
      <c r="G41" s="74"/>
      <c r="H41" s="74"/>
      <c r="I41" s="74"/>
      <c r="J41" s="74"/>
      <c r="K41" s="74"/>
      <c r="L41" s="74" t="s">
        <v>64</v>
      </c>
      <c r="M41" s="78">
        <f>'Tabel 1.1'!B38</f>
        <v>130226.34600000001</v>
      </c>
      <c r="N41" s="78">
        <f>'Tabel 1.1'!C38</f>
        <v>148957.79199999999</v>
      </c>
      <c r="O41" s="74"/>
    </row>
    <row r="42" spans="1:15" x14ac:dyDescent="0.3">
      <c r="A42" s="74"/>
      <c r="B42" s="74"/>
      <c r="C42" s="74"/>
      <c r="D42" s="74"/>
      <c r="E42" s="74"/>
      <c r="F42" s="74"/>
      <c r="G42" s="74"/>
      <c r="H42" s="74"/>
      <c r="I42" s="74"/>
      <c r="J42" s="74"/>
      <c r="K42" s="74"/>
      <c r="L42" s="79" t="s">
        <v>65</v>
      </c>
      <c r="M42" s="78">
        <f>'Tabel 1.1'!B39</f>
        <v>356633</v>
      </c>
      <c r="N42" s="78">
        <f>'Tabel 1.1'!C39</f>
        <v>432767</v>
      </c>
      <c r="O42" s="74"/>
    </row>
    <row r="43" spans="1:15" x14ac:dyDescent="0.3">
      <c r="A43" s="74"/>
      <c r="B43" s="74"/>
      <c r="C43" s="74"/>
      <c r="D43" s="74"/>
      <c r="E43" s="74"/>
      <c r="F43" s="74"/>
      <c r="G43" s="74"/>
      <c r="H43" s="74"/>
      <c r="I43" s="74"/>
      <c r="J43" s="74"/>
      <c r="K43" s="74"/>
      <c r="L43" s="79" t="s">
        <v>68</v>
      </c>
      <c r="M43" s="78">
        <f>'Tabel 1.1'!B40</f>
        <v>9386463.9326900002</v>
      </c>
      <c r="N43" s="78">
        <f>'Tabel 1.1'!C40</f>
        <v>8182157.7377977194</v>
      </c>
      <c r="O43" s="74"/>
    </row>
    <row r="44" spans="1:15" x14ac:dyDescent="0.3">
      <c r="A44" s="74"/>
      <c r="B44" s="74"/>
      <c r="C44" s="74"/>
      <c r="D44" s="74"/>
      <c r="E44" s="74"/>
      <c r="F44" s="74"/>
      <c r="G44" s="74"/>
      <c r="H44" s="74"/>
      <c r="I44" s="74"/>
      <c r="J44" s="74"/>
      <c r="K44" s="74"/>
      <c r="L44" s="79" t="s">
        <v>74</v>
      </c>
      <c r="M44" s="78">
        <f>'Tabel 1.1'!B41</f>
        <v>169062.91999999998</v>
      </c>
      <c r="N44" s="78">
        <f>'Tabel 1.1'!C41</f>
        <v>153887</v>
      </c>
      <c r="O44" s="74"/>
    </row>
    <row r="45" spans="1:15" x14ac:dyDescent="0.3">
      <c r="A45" s="74"/>
      <c r="B45" s="74"/>
      <c r="C45" s="74"/>
      <c r="D45" s="74"/>
      <c r="E45" s="74"/>
      <c r="F45" s="74"/>
      <c r="G45" s="74"/>
      <c r="H45" s="74"/>
      <c r="I45" s="74"/>
      <c r="J45" s="74"/>
      <c r="K45" s="74"/>
      <c r="L45" s="79" t="s">
        <v>70</v>
      </c>
      <c r="M45" s="78">
        <f>'Tabel 1.1'!B42</f>
        <v>3137901.4883699999</v>
      </c>
      <c r="N45" s="78">
        <f>'Tabel 1.1'!C42</f>
        <v>3902966.4111699997</v>
      </c>
      <c r="O45" s="74"/>
    </row>
    <row r="46" spans="1:15" x14ac:dyDescent="0.3">
      <c r="A46" s="74"/>
      <c r="B46" s="74"/>
      <c r="C46" s="74"/>
      <c r="D46" s="74"/>
      <c r="E46" s="74"/>
      <c r="F46" s="74"/>
      <c r="G46" s="74"/>
      <c r="H46" s="74"/>
      <c r="I46" s="74"/>
      <c r="J46" s="74"/>
      <c r="K46" s="74"/>
      <c r="L46" s="79" t="s">
        <v>75</v>
      </c>
      <c r="M46" s="78">
        <f>'Tabel 1.1'!B43</f>
        <v>10339332.776999999</v>
      </c>
      <c r="N46" s="78">
        <f>'Tabel 1.1'!C43</f>
        <v>10907068.207210001</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488</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76</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2017</v>
      </c>
      <c r="N59" s="74">
        <v>2018</v>
      </c>
      <c r="O59" s="74"/>
    </row>
    <row r="60" spans="1:15" x14ac:dyDescent="0.3">
      <c r="A60" s="74"/>
      <c r="B60" s="74"/>
      <c r="C60" s="74"/>
      <c r="D60" s="74"/>
      <c r="E60" s="74"/>
      <c r="F60" s="74"/>
      <c r="G60" s="74"/>
      <c r="H60" s="74"/>
      <c r="I60" s="74"/>
      <c r="J60" s="74"/>
      <c r="K60" s="74"/>
      <c r="L60" s="74" t="s">
        <v>55</v>
      </c>
      <c r="M60" s="77">
        <f>'Tabel 1.1'!G10</f>
        <v>1023334.365</v>
      </c>
      <c r="N60" s="77">
        <f>'Tabel 1.1'!H10</f>
        <v>1144794.7290000001</v>
      </c>
      <c r="O60" s="74"/>
    </row>
    <row r="61" spans="1:15" x14ac:dyDescent="0.3">
      <c r="A61" s="74"/>
      <c r="B61" s="74"/>
      <c r="C61" s="74"/>
      <c r="D61" s="74"/>
      <c r="E61" s="74"/>
      <c r="F61" s="74"/>
      <c r="G61" s="74"/>
      <c r="H61" s="74"/>
      <c r="I61" s="74"/>
      <c r="J61" s="74"/>
      <c r="K61" s="74"/>
      <c r="L61" s="74" t="s">
        <v>56</v>
      </c>
      <c r="M61" s="77">
        <f>'Tabel 1.1'!G11</f>
        <v>202997288</v>
      </c>
      <c r="N61" s="77">
        <f>'Tabel 1.1'!H11</f>
        <v>200300987.28</v>
      </c>
      <c r="O61" s="74"/>
    </row>
    <row r="62" spans="1:15" x14ac:dyDescent="0.3">
      <c r="A62" s="74"/>
      <c r="B62" s="74"/>
      <c r="C62" s="74"/>
      <c r="D62" s="74"/>
      <c r="E62" s="74"/>
      <c r="F62" s="74"/>
      <c r="G62" s="74"/>
      <c r="H62" s="74"/>
      <c r="I62" s="74"/>
      <c r="J62" s="74"/>
      <c r="K62" s="74"/>
      <c r="L62" s="74" t="s">
        <v>57</v>
      </c>
      <c r="M62" s="77">
        <f>'Tabel 1.1'!G12</f>
        <v>422298</v>
      </c>
      <c r="N62" s="77">
        <f>'Tabel 1.1'!H12</f>
        <v>459894</v>
      </c>
      <c r="O62" s="74"/>
    </row>
    <row r="63" spans="1:15" x14ac:dyDescent="0.3">
      <c r="A63" s="74"/>
      <c r="B63" s="74"/>
      <c r="C63" s="74"/>
      <c r="D63" s="74"/>
      <c r="E63" s="74"/>
      <c r="F63" s="74"/>
      <c r="G63" s="74"/>
      <c r="H63" s="74"/>
      <c r="I63" s="74"/>
      <c r="J63" s="74"/>
      <c r="K63" s="74"/>
      <c r="L63" s="74" t="s">
        <v>58</v>
      </c>
      <c r="M63" s="77">
        <f>'Tabel 1.1'!G13</f>
        <v>676350.32000000007</v>
      </c>
      <c r="N63" s="77">
        <f>'Tabel 1.1'!H13</f>
        <v>771394</v>
      </c>
      <c r="O63" s="74"/>
    </row>
    <row r="64" spans="1:15" x14ac:dyDescent="0.3">
      <c r="A64" s="74"/>
      <c r="B64" s="74"/>
      <c r="C64" s="74"/>
      <c r="D64" s="74"/>
      <c r="E64" s="74"/>
      <c r="F64" s="74"/>
      <c r="G64" s="74"/>
      <c r="H64" s="74"/>
      <c r="I64" s="74"/>
      <c r="J64" s="74"/>
      <c r="K64" s="74"/>
      <c r="L64" s="74" t="s">
        <v>60</v>
      </c>
      <c r="M64" s="77">
        <f>'Tabel 1.1'!G15</f>
        <v>1200643</v>
      </c>
      <c r="N64" s="77">
        <f>'Tabel 1.1'!H15</f>
        <v>1236175</v>
      </c>
      <c r="O64" s="74"/>
    </row>
    <row r="65" spans="1:15" x14ac:dyDescent="0.3">
      <c r="A65" s="74"/>
      <c r="B65" s="74"/>
      <c r="C65" s="74"/>
      <c r="D65" s="74"/>
      <c r="E65" s="74"/>
      <c r="F65" s="74"/>
      <c r="G65" s="74"/>
      <c r="H65" s="74"/>
      <c r="I65" s="74"/>
      <c r="J65" s="74"/>
      <c r="K65" s="74"/>
      <c r="L65" s="74" t="s">
        <v>61</v>
      </c>
      <c r="M65" s="77">
        <f>'Tabel 1.1'!G16</f>
        <v>6018363</v>
      </c>
      <c r="N65" s="77">
        <f>'Tabel 1.1'!H16</f>
        <v>6586379</v>
      </c>
      <c r="O65" s="74"/>
    </row>
    <row r="66" spans="1:15" x14ac:dyDescent="0.3">
      <c r="A66" s="74"/>
      <c r="B66" s="74"/>
      <c r="C66" s="74"/>
      <c r="D66" s="74"/>
      <c r="E66" s="74"/>
      <c r="F66" s="74"/>
      <c r="G66" s="74"/>
      <c r="H66" s="74"/>
      <c r="I66" s="74"/>
      <c r="J66" s="74"/>
      <c r="K66" s="74"/>
      <c r="L66" s="74" t="s">
        <v>62</v>
      </c>
      <c r="M66" s="77">
        <f>'Tabel 1.1'!G17</f>
        <v>26374</v>
      </c>
      <c r="N66" s="77">
        <f>'Tabel 1.1'!H17</f>
        <v>23055</v>
      </c>
      <c r="O66" s="74"/>
    </row>
    <row r="67" spans="1:15" x14ac:dyDescent="0.3">
      <c r="A67" s="74"/>
      <c r="B67" s="74"/>
      <c r="C67" s="74"/>
      <c r="D67" s="74"/>
      <c r="E67" s="74"/>
      <c r="F67" s="74"/>
      <c r="G67" s="74"/>
      <c r="H67" s="74"/>
      <c r="I67" s="74"/>
      <c r="J67" s="74"/>
      <c r="K67" s="74"/>
      <c r="L67" s="74" t="s">
        <v>63</v>
      </c>
      <c r="M67" s="77">
        <f>'Tabel 1.1'!G18</f>
        <v>416284</v>
      </c>
      <c r="N67" s="77">
        <f>'Tabel 1.1'!H18</f>
        <v>453992</v>
      </c>
      <c r="O67" s="74"/>
    </row>
    <row r="68" spans="1:15" x14ac:dyDescent="0.3">
      <c r="A68" s="74"/>
      <c r="B68" s="74"/>
      <c r="C68" s="74"/>
      <c r="D68" s="74"/>
      <c r="E68" s="74"/>
      <c r="F68" s="74"/>
      <c r="G68" s="74"/>
      <c r="H68" s="74"/>
      <c r="I68" s="74"/>
      <c r="J68" s="74"/>
      <c r="K68" s="74"/>
      <c r="L68" s="74" t="s">
        <v>64</v>
      </c>
      <c r="M68" s="77">
        <f>'Tabel 1.1'!G19</f>
        <v>444493649.38739997</v>
      </c>
      <c r="N68" s="77">
        <f>'Tabel 1.1'!H19</f>
        <v>471726467.24905998</v>
      </c>
      <c r="O68" s="74"/>
    </row>
    <row r="69" spans="1:15" x14ac:dyDescent="0.3">
      <c r="A69" s="74"/>
      <c r="B69" s="74"/>
      <c r="C69" s="74"/>
      <c r="D69" s="74"/>
      <c r="E69" s="74"/>
      <c r="F69" s="74"/>
      <c r="G69" s="74"/>
      <c r="H69" s="74"/>
      <c r="I69" s="74"/>
      <c r="J69" s="74"/>
      <c r="K69" s="74"/>
      <c r="L69" s="74" t="s">
        <v>65</v>
      </c>
      <c r="M69" s="77">
        <f>'Tabel 1.1'!G20</f>
        <v>1613262</v>
      </c>
      <c r="N69" s="77">
        <f>'Tabel 1.1'!H20</f>
        <v>1675894</v>
      </c>
      <c r="O69" s="74"/>
    </row>
    <row r="70" spans="1:15" x14ac:dyDescent="0.3">
      <c r="A70" s="74"/>
      <c r="B70" s="74"/>
      <c r="C70" s="74"/>
      <c r="D70" s="74"/>
      <c r="E70" s="74"/>
      <c r="F70" s="74"/>
      <c r="G70" s="74"/>
      <c r="H70" s="74"/>
      <c r="I70" s="74"/>
      <c r="J70" s="74"/>
      <c r="K70" s="74"/>
      <c r="L70" s="74" t="s">
        <v>66</v>
      </c>
      <c r="M70" s="77">
        <f>'Tabel 1.1'!G21</f>
        <v>9767</v>
      </c>
      <c r="N70" s="77">
        <f>'Tabel 1.1'!H21</f>
        <v>22247</v>
      </c>
      <c r="O70" s="74"/>
    </row>
    <row r="71" spans="1:15" x14ac:dyDescent="0.3">
      <c r="A71" s="74"/>
      <c r="B71" s="74"/>
      <c r="C71" s="74"/>
      <c r="D71" s="74"/>
      <c r="E71" s="74"/>
      <c r="F71" s="74"/>
      <c r="G71" s="74"/>
      <c r="H71" s="74"/>
      <c r="I71" s="74"/>
      <c r="J71" s="74"/>
      <c r="K71" s="74"/>
      <c r="L71" s="74" t="s">
        <v>68</v>
      </c>
      <c r="M71" s="77">
        <f>'Tabel 1.1'!G24</f>
        <v>49563121.552480593</v>
      </c>
      <c r="N71" s="77">
        <f>'Tabel 1.1'!H24</f>
        <v>50050246.091799468</v>
      </c>
      <c r="O71" s="74"/>
    </row>
    <row r="72" spans="1:15" x14ac:dyDescent="0.3">
      <c r="A72" s="74"/>
      <c r="B72" s="74"/>
      <c r="C72" s="74"/>
      <c r="D72" s="74"/>
      <c r="E72" s="74"/>
      <c r="F72" s="74"/>
      <c r="G72" s="74"/>
      <c r="H72" s="74"/>
      <c r="I72" s="74"/>
      <c r="J72" s="74"/>
      <c r="K72" s="74"/>
      <c r="L72" s="74" t="s">
        <v>69</v>
      </c>
      <c r="M72" s="77">
        <f>'Tabel 1.1'!G25</f>
        <v>70125745</v>
      </c>
      <c r="N72" s="77">
        <f>'Tabel 1.1'!H25</f>
        <v>74694000</v>
      </c>
      <c r="O72" s="74"/>
    </row>
    <row r="73" spans="1:15" x14ac:dyDescent="0.3">
      <c r="A73" s="74"/>
      <c r="B73" s="74"/>
      <c r="C73" s="74"/>
      <c r="D73" s="74"/>
      <c r="E73" s="74"/>
      <c r="F73" s="74"/>
      <c r="G73" s="74"/>
      <c r="H73" s="74"/>
      <c r="I73" s="74"/>
      <c r="J73" s="74"/>
      <c r="K73" s="74"/>
      <c r="L73" s="74" t="s">
        <v>70</v>
      </c>
      <c r="M73" s="77">
        <f>'Tabel 1.1'!G27</f>
        <v>18676728.652520001</v>
      </c>
      <c r="N73" s="77">
        <f>'Tabel 1.1'!H27</f>
        <v>19767915.11112</v>
      </c>
      <c r="O73" s="74"/>
    </row>
    <row r="74" spans="1:15" x14ac:dyDescent="0.3">
      <c r="A74" s="74"/>
      <c r="B74" s="74"/>
      <c r="C74" s="74"/>
      <c r="D74" s="74"/>
      <c r="E74" s="74"/>
      <c r="F74" s="74"/>
      <c r="G74" s="74"/>
      <c r="H74" s="74"/>
      <c r="I74" s="74"/>
      <c r="J74" s="74"/>
      <c r="K74" s="74"/>
      <c r="L74" s="74" t="s">
        <v>71</v>
      </c>
      <c r="M74" s="77">
        <f>'Tabel 1.1'!G28</f>
        <v>178778748.09999999</v>
      </c>
      <c r="N74" s="77">
        <f>'Tabel 1.1'!H28</f>
        <v>180788161.222</v>
      </c>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489</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L82" s="74" t="s">
        <v>76</v>
      </c>
      <c r="O82" s="74"/>
    </row>
    <row r="83" spans="1:15" x14ac:dyDescent="0.3">
      <c r="A83" s="74"/>
      <c r="B83" s="74"/>
      <c r="C83" s="74"/>
      <c r="D83" s="74"/>
      <c r="E83" s="74"/>
      <c r="F83" s="74"/>
      <c r="G83" s="74"/>
      <c r="H83" s="74"/>
      <c r="I83" s="74"/>
      <c r="J83" s="74"/>
      <c r="K83" s="74"/>
      <c r="L83" s="74" t="s">
        <v>1</v>
      </c>
      <c r="O83" s="74"/>
    </row>
    <row r="84" spans="1:15" x14ac:dyDescent="0.3">
      <c r="A84" s="74"/>
      <c r="B84" s="74"/>
      <c r="C84" s="74"/>
      <c r="D84" s="74"/>
      <c r="E84" s="74"/>
      <c r="F84" s="74"/>
      <c r="G84" s="74"/>
      <c r="H84" s="74"/>
      <c r="I84" s="74"/>
      <c r="J84" s="74"/>
      <c r="K84" s="74"/>
      <c r="M84" s="74">
        <v>2017</v>
      </c>
      <c r="N84" s="74">
        <v>2018</v>
      </c>
      <c r="O84" s="74"/>
    </row>
    <row r="85" spans="1:15" x14ac:dyDescent="0.3">
      <c r="B85" s="74"/>
      <c r="C85" s="74"/>
      <c r="D85" s="74"/>
      <c r="E85" s="74"/>
      <c r="F85" s="74"/>
      <c r="G85" s="74"/>
      <c r="H85" s="74"/>
      <c r="I85" s="74"/>
      <c r="J85" s="74"/>
      <c r="K85" s="74"/>
      <c r="L85" s="74" t="s">
        <v>55</v>
      </c>
      <c r="M85" s="77">
        <f>'Tabel 1.1'!G34</f>
        <v>16948728.280999999</v>
      </c>
      <c r="N85" s="77">
        <f>'Tabel 1.1'!H34</f>
        <v>16857045.754999999</v>
      </c>
      <c r="O85" s="74"/>
    </row>
    <row r="86" spans="1:15" x14ac:dyDescent="0.3">
      <c r="B86" s="74"/>
      <c r="C86" s="74"/>
      <c r="D86" s="74"/>
      <c r="E86" s="74"/>
      <c r="F86" s="74"/>
      <c r="G86" s="74"/>
      <c r="H86" s="74"/>
      <c r="I86" s="74"/>
      <c r="J86" s="74"/>
      <c r="K86" s="74"/>
      <c r="L86" s="74" t="s">
        <v>56</v>
      </c>
      <c r="M86" s="77">
        <f>'Tabel 1.1'!G35</f>
        <v>75206078.714000002</v>
      </c>
      <c r="N86" s="77">
        <f>'Tabel 1.1'!H35</f>
        <v>77241342.397</v>
      </c>
      <c r="O86" s="74"/>
    </row>
    <row r="87" spans="1:15" x14ac:dyDescent="0.3">
      <c r="B87" s="74"/>
      <c r="C87" s="74"/>
      <c r="D87" s="74"/>
      <c r="E87" s="74"/>
      <c r="F87" s="74"/>
      <c r="G87" s="74"/>
      <c r="H87" s="74"/>
      <c r="I87" s="74"/>
      <c r="J87" s="74"/>
      <c r="K87" s="74"/>
      <c r="L87" s="74" t="s">
        <v>58</v>
      </c>
      <c r="M87" s="77">
        <f>'Tabel 1.1'!G36</f>
        <v>3250729.1</v>
      </c>
      <c r="N87" s="77">
        <f>'Tabel 1.1'!H36</f>
        <v>3320888.7749999999</v>
      </c>
      <c r="O87" s="74"/>
    </row>
    <row r="88" spans="1:15" x14ac:dyDescent="0.3">
      <c r="B88" s="74"/>
      <c r="C88" s="74"/>
      <c r="D88" s="74"/>
      <c r="E88" s="74"/>
      <c r="F88" s="74"/>
      <c r="G88" s="74"/>
      <c r="H88" s="74"/>
      <c r="I88" s="74"/>
      <c r="J88" s="74"/>
      <c r="K88" s="74"/>
      <c r="L88" s="79" t="s">
        <v>61</v>
      </c>
      <c r="M88" s="77">
        <f>'Tabel 1.1'!G37</f>
        <v>22680593</v>
      </c>
      <c r="N88" s="77">
        <f>'Tabel 1.1'!H37</f>
        <v>24101780</v>
      </c>
      <c r="O88" s="74"/>
    </row>
    <row r="89" spans="1:15" x14ac:dyDescent="0.3">
      <c r="B89" s="74"/>
      <c r="C89" s="74"/>
      <c r="D89" s="74"/>
      <c r="E89" s="74"/>
      <c r="F89" s="74"/>
      <c r="G89" s="74"/>
      <c r="H89" s="74"/>
      <c r="I89" s="74"/>
      <c r="J89" s="74"/>
      <c r="K89" s="74"/>
      <c r="L89" s="74" t="s">
        <v>64</v>
      </c>
      <c r="M89" s="77">
        <f>'Tabel 1.1'!G38</f>
        <v>2373955.5961500001</v>
      </c>
      <c r="N89" s="77">
        <f>'Tabel 1.1'!H38</f>
        <v>2418695.24015</v>
      </c>
      <c r="O89" s="74"/>
    </row>
    <row r="90" spans="1:15" x14ac:dyDescent="0.3">
      <c r="B90" s="74"/>
      <c r="C90" s="74"/>
      <c r="D90" s="74"/>
      <c r="E90" s="74"/>
      <c r="F90" s="74"/>
      <c r="G90" s="74"/>
      <c r="H90" s="74"/>
      <c r="I90" s="74"/>
      <c r="J90" s="74"/>
      <c r="K90" s="74"/>
      <c r="L90" s="74" t="s">
        <v>65</v>
      </c>
      <c r="M90" s="77">
        <f>'Tabel 1.1'!G39</f>
        <v>2683785</v>
      </c>
      <c r="N90" s="77">
        <f>'Tabel 1.1'!H39</f>
        <v>3376787</v>
      </c>
      <c r="O90" s="74"/>
    </row>
    <row r="91" spans="1:15" x14ac:dyDescent="0.3">
      <c r="A91" s="74"/>
      <c r="B91" s="74"/>
      <c r="C91" s="74"/>
      <c r="D91" s="74"/>
      <c r="E91" s="74"/>
      <c r="F91" s="74"/>
      <c r="G91" s="74"/>
      <c r="H91" s="74"/>
      <c r="I91" s="74"/>
      <c r="J91" s="74"/>
      <c r="K91" s="74"/>
      <c r="L91" s="74" t="s">
        <v>68</v>
      </c>
      <c r="M91" s="77">
        <f>'Tabel 1.1'!G40</f>
        <v>58646139.999999985</v>
      </c>
      <c r="N91" s="77">
        <f>'Tabel 1.1'!H40</f>
        <v>59037750.000000045</v>
      </c>
      <c r="O91" s="74"/>
    </row>
    <row r="92" spans="1:15" ht="18.75" customHeight="1" x14ac:dyDescent="0.3">
      <c r="A92" s="74"/>
      <c r="B92" s="74"/>
      <c r="C92" s="74"/>
      <c r="D92" s="74"/>
      <c r="E92" s="74"/>
      <c r="F92" s="74"/>
      <c r="G92" s="74"/>
      <c r="H92" s="74"/>
      <c r="I92" s="74"/>
      <c r="J92" s="74"/>
      <c r="K92" s="74"/>
      <c r="L92" s="74" t="s">
        <v>74</v>
      </c>
      <c r="M92" s="77">
        <f>'Tabel 1.1'!G41</f>
        <v>2082187</v>
      </c>
      <c r="N92" s="77">
        <f>'Tabel 1.1'!H41</f>
        <v>2076510</v>
      </c>
      <c r="O92" s="74"/>
    </row>
    <row r="93" spans="1:15" ht="18.75" customHeight="1" x14ac:dyDescent="0.3">
      <c r="A93" s="74"/>
      <c r="B93" s="74"/>
      <c r="C93" s="74"/>
      <c r="D93" s="74"/>
      <c r="E93" s="74"/>
      <c r="F93" s="74"/>
      <c r="G93" s="74"/>
      <c r="H93" s="74"/>
      <c r="I93" s="74"/>
      <c r="J93" s="74"/>
      <c r="K93" s="74"/>
      <c r="L93" s="74" t="s">
        <v>70</v>
      </c>
      <c r="M93" s="77">
        <f>'Tabel 1.1'!G42</f>
        <v>24894504.285070002</v>
      </c>
      <c r="N93" s="77">
        <f>'Tabel 1.1'!H42</f>
        <v>27670397.0995</v>
      </c>
      <c r="O93" s="74"/>
    </row>
    <row r="94" spans="1:15" ht="18.75" customHeight="1" x14ac:dyDescent="0.3">
      <c r="A94" s="74"/>
      <c r="B94" s="74"/>
      <c r="C94" s="74"/>
      <c r="D94" s="74"/>
      <c r="E94" s="74"/>
      <c r="F94" s="74"/>
      <c r="G94" s="74"/>
      <c r="H94" s="74"/>
      <c r="I94" s="74"/>
      <c r="J94" s="74"/>
      <c r="K94" s="74"/>
      <c r="L94" s="74" t="s">
        <v>75</v>
      </c>
      <c r="M94" s="77">
        <f>'Tabel 1.1'!G43</f>
        <v>80323761.414470002</v>
      </c>
      <c r="N94" s="77">
        <f>'Tabel 1.1'!H43</f>
        <v>93401620.811000004</v>
      </c>
      <c r="O94" s="74"/>
    </row>
    <row r="95" spans="1:15" ht="18.75" customHeight="1" x14ac:dyDescent="0.3">
      <c r="A95" s="74"/>
      <c r="B95" s="74"/>
      <c r="C95" s="74"/>
      <c r="D95" s="74"/>
      <c r="E95" s="74"/>
      <c r="F95" s="74"/>
      <c r="G95" s="74"/>
      <c r="H95" s="74"/>
      <c r="I95" s="74"/>
      <c r="J95" s="74"/>
      <c r="K95" s="74"/>
      <c r="M95" s="77"/>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490</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L108" s="74" t="s">
        <v>77</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2017</v>
      </c>
      <c r="N110" s="74">
        <v>2018</v>
      </c>
      <c r="O110" s="74"/>
      <c r="Q110" s="74"/>
    </row>
    <row r="111" spans="1:17" ht="18.75" customHeight="1" x14ac:dyDescent="0.3">
      <c r="A111" s="74"/>
      <c r="B111" s="74"/>
      <c r="C111" s="74"/>
      <c r="D111" s="74"/>
      <c r="E111" s="74"/>
      <c r="F111" s="74"/>
      <c r="G111" s="74"/>
      <c r="H111" s="74"/>
      <c r="I111" s="74"/>
      <c r="J111" s="74"/>
      <c r="K111" s="74"/>
      <c r="L111" s="74" t="s">
        <v>55</v>
      </c>
      <c r="M111"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8391.2209999999977</v>
      </c>
      <c r="N111"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7172.3330000000024</v>
      </c>
      <c r="O111" s="74"/>
      <c r="Q111" s="74"/>
    </row>
    <row r="112" spans="1:17" ht="18.75" customHeight="1" x14ac:dyDescent="0.3">
      <c r="A112" s="74"/>
      <c r="B112" s="74"/>
      <c r="C112" s="74"/>
      <c r="D112" s="74"/>
      <c r="E112" s="74"/>
      <c r="F112" s="74"/>
      <c r="G112" s="74"/>
      <c r="H112" s="74"/>
      <c r="I112" s="74"/>
      <c r="J112" s="74"/>
      <c r="K112" s="74"/>
      <c r="L112" s="74" t="s">
        <v>56</v>
      </c>
      <c r="M112" s="77">
        <f>'DNB Livsforsikring'!B11-'DNB Livsforsikring'!B12+'DNB Livsforsikring'!B34-'DNB Livsforsikring'!B35+'DNB Livsforsikring'!B38-'DNB Livsforsikring'!B39+'DNB Livsforsikring'!B111-'DNB Livsforsikring'!B119+'DNB Livsforsikring'!B136-'DNB Livsforsikring'!B137</f>
        <v>418326</v>
      </c>
      <c r="N112" s="77">
        <f>'DNB Livsforsikring'!C11-'DNB Livsforsikring'!C12+'DNB Livsforsikring'!C34-'DNB Livsforsikring'!C35+'DNB Livsforsikring'!C38-'DNB Livsforsikring'!C39+'DNB Livsforsikring'!C111-'DNB Livsforsikring'!C119+'DNB Livsforsikring'!C136-'DNB Livsforsikring'!C137</f>
        <v>163223</v>
      </c>
      <c r="O112" s="74"/>
      <c r="Q112" s="74"/>
    </row>
    <row r="113" spans="1:17" ht="18.75" customHeight="1" x14ac:dyDescent="0.3">
      <c r="A113" s="74"/>
      <c r="B113" s="74"/>
      <c r="C113" s="74"/>
      <c r="D113" s="74"/>
      <c r="E113" s="74"/>
      <c r="F113" s="74"/>
      <c r="G113" s="74"/>
      <c r="H113" s="74"/>
      <c r="I113" s="74"/>
      <c r="J113" s="74"/>
      <c r="K113" s="74"/>
      <c r="L113" s="79" t="s">
        <v>61</v>
      </c>
      <c r="M113" s="77">
        <f>'Gjensidige Pensjon'!B11-'Gjensidige Pensjon'!B12+'Gjensidige Pensjon'!B34-'Gjensidige Pensjon'!B35+'Gjensidige Pensjon'!B38-'Gjensidige Pensjon'!B39+'Gjensidige Pensjon'!B111-'Gjensidige Pensjon'!B119+'Gjensidige Pensjon'!B136-'Gjensidige Pensjon'!B137</f>
        <v>49196</v>
      </c>
      <c r="N113" s="77">
        <f>'Gjensidige Pensjon'!C11-'Gjensidige Pensjon'!C12+'Gjensidige Pensjon'!C34-'Gjensidige Pensjon'!C35+'Gjensidige Pensjon'!C38-'Gjensidige Pensjon'!C39+'Gjensidige Pensjon'!C111-'Gjensidige Pensjon'!C119+'Gjensidige Pensjon'!C136-'Gjensidige Pensjon'!C137</f>
        <v>55886</v>
      </c>
      <c r="O113" s="74"/>
      <c r="Q113" s="74"/>
    </row>
    <row r="114" spans="1:17" ht="18.75" customHeight="1" x14ac:dyDescent="0.3">
      <c r="A114" s="74"/>
      <c r="B114" s="74"/>
      <c r="C114" s="74"/>
      <c r="D114" s="74"/>
      <c r="E114" s="74"/>
      <c r="F114" s="74"/>
      <c r="G114" s="74"/>
      <c r="H114" s="74"/>
      <c r="I114" s="74"/>
      <c r="J114" s="74"/>
      <c r="K114" s="74"/>
      <c r="L114" s="79" t="s">
        <v>64</v>
      </c>
      <c r="M114" s="77">
        <f>KLP!B11-KLP!B12+KLP!B34-KLP!B35+KLP!B38-KLP!B39+KLP!B111-KLP!B119+KLP!B136-KLP!B137</f>
        <v>60236.104999999981</v>
      </c>
      <c r="N114" s="77">
        <f>KLP!C11-KLP!C12+KLP!C34-KLP!C35+KLP!C38-KLP!C39+KLP!C111-KLP!C119+KLP!C136-KLP!C137</f>
        <v>-492216.58499999996</v>
      </c>
      <c r="O114" s="74"/>
      <c r="Q114" s="74"/>
    </row>
    <row r="115" spans="1:17" ht="18.75" customHeight="1" x14ac:dyDescent="0.3">
      <c r="A115" s="74"/>
      <c r="B115" s="74"/>
      <c r="C115" s="74"/>
      <c r="D115" s="74"/>
      <c r="E115" s="74"/>
      <c r="F115" s="74"/>
      <c r="G115" s="74"/>
      <c r="H115" s="74"/>
      <c r="I115" s="74"/>
      <c r="J115" s="74"/>
      <c r="K115" s="74"/>
      <c r="L115" s="79" t="s">
        <v>65</v>
      </c>
      <c r="M115" s="77">
        <f>'KLP Bedriftspensjon AS'!B11-'KLP Bedriftspensjon AS'!B12+'KLP Bedriftspensjon AS'!B34-'KLP Bedriftspensjon AS'!B35+'KLP Bedriftspensjon AS'!B38-'KLP Bedriftspensjon AS'!B39+'KLP Bedriftspensjon AS'!B111-'KLP Bedriftspensjon AS'!B119+'KLP Bedriftspensjon AS'!B136-'KLP Bedriftspensjon AS'!B137</f>
        <v>-13513</v>
      </c>
      <c r="N115" s="77">
        <f>'KLP Bedriftspensjon AS'!C11-'KLP Bedriftspensjon AS'!C12+'KLP Bedriftspensjon AS'!C34-'KLP Bedriftspensjon AS'!C35+'KLP Bedriftspensjon AS'!C38-'KLP Bedriftspensjon AS'!C39+'KLP Bedriftspensjon AS'!C111-'KLP Bedriftspensjon AS'!C119+'KLP Bedriftspensjon AS'!C136-'KLP Bedriftspensjon AS'!C137</f>
        <v>3095</v>
      </c>
      <c r="O115" s="74"/>
      <c r="Q115" s="74"/>
    </row>
    <row r="116" spans="1:17" ht="18.75" customHeight="1" x14ac:dyDescent="0.3">
      <c r="A116" s="74"/>
      <c r="B116" s="74"/>
      <c r="C116" s="74"/>
      <c r="D116" s="74"/>
      <c r="E116" s="74"/>
      <c r="F116" s="74"/>
      <c r="G116" s="74"/>
      <c r="H116" s="74"/>
      <c r="I116" s="74"/>
      <c r="J116" s="74"/>
      <c r="K116" s="74"/>
      <c r="L116" s="74" t="s">
        <v>68</v>
      </c>
      <c r="M116" s="77">
        <f>'Nordea Liv '!B11-'Nordea Liv '!B12+'Nordea Liv '!B34-'Nordea Liv '!B35+'Nordea Liv '!B38-'Nordea Liv '!B39+'Nordea Liv '!B111-'Nordea Liv '!B119+'Nordea Liv '!B136-'Nordea Liv '!B137</f>
        <v>-82238.518989999895</v>
      </c>
      <c r="N116" s="77">
        <f>'Nordea Liv '!C11-'Nordea Liv '!C12+'Nordea Liv '!C34-'Nordea Liv '!C35+'Nordea Liv '!C38-'Nordea Liv '!C39+'Nordea Liv '!C111-'Nordea Liv '!C119+'Nordea Liv '!C136-'Nordea Liv '!C137</f>
        <v>-138834.61565999998</v>
      </c>
      <c r="O116" s="74"/>
      <c r="Q116" s="74"/>
    </row>
    <row r="117" spans="1:17" ht="18.75" customHeight="1" x14ac:dyDescent="0.3">
      <c r="A117" s="74"/>
      <c r="B117" s="74"/>
      <c r="C117" s="74"/>
      <c r="D117" s="74"/>
      <c r="E117" s="74"/>
      <c r="F117" s="74"/>
      <c r="G117" s="74"/>
      <c r="H117" s="74"/>
      <c r="I117" s="74"/>
      <c r="J117" s="74"/>
      <c r="K117" s="74"/>
      <c r="L117" s="74" t="s">
        <v>70</v>
      </c>
      <c r="M117" s="77">
        <f>'Sparebank 1'!B11-'Sparebank 1'!B12+'Sparebank 1'!B34-'Sparebank 1'!B35+'Sparebank 1'!B38-'Sparebank 1'!B39+'Sparebank 1'!B111-'Sparebank 1'!B119+'Sparebank 1'!B136-'Sparebank 1'!B137</f>
        <v>8306.1557399999947</v>
      </c>
      <c r="N117" s="77">
        <f>'Sparebank 1'!C11-'Sparebank 1'!C12+'Sparebank 1'!C34-'Sparebank 1'!C35+'Sparebank 1'!C38-'Sparebank 1'!C39+'Sparebank 1'!C111-'Sparebank 1'!C119+'Sparebank 1'!C136-'Sparebank 1'!C137</f>
        <v>-40094.755590000008</v>
      </c>
      <c r="O117" s="74"/>
    </row>
    <row r="118" spans="1:17" ht="18.75" customHeight="1" x14ac:dyDescent="0.3">
      <c r="A118" s="74"/>
      <c r="B118" s="74"/>
      <c r="C118" s="74"/>
      <c r="D118" s="74"/>
      <c r="E118" s="74"/>
      <c r="F118" s="74"/>
      <c r="G118" s="74"/>
      <c r="H118" s="74"/>
      <c r="I118" s="74"/>
      <c r="J118" s="74"/>
      <c r="K118" s="74"/>
      <c r="L118" s="74" t="s">
        <v>71</v>
      </c>
      <c r="M118"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-286957.93400000001</v>
      </c>
      <c r="N118"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-27854.512999999992</v>
      </c>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491</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L133" s="74" t="s">
        <v>78</v>
      </c>
      <c r="O133" s="74"/>
    </row>
    <row r="134" spans="1:15" x14ac:dyDescent="0.3">
      <c r="A134" s="74"/>
      <c r="B134" s="74"/>
      <c r="C134" s="74"/>
      <c r="D134" s="74"/>
      <c r="E134" s="74"/>
      <c r="F134" s="74"/>
      <c r="G134" s="74"/>
      <c r="H134" s="74"/>
      <c r="I134" s="74"/>
      <c r="J134" s="74"/>
      <c r="K134" s="74"/>
      <c r="L134" s="74" t="s">
        <v>1</v>
      </c>
      <c r="O134" s="74"/>
    </row>
    <row r="135" spans="1:15" x14ac:dyDescent="0.3">
      <c r="A135" s="74"/>
      <c r="B135" s="74"/>
      <c r="C135" s="74"/>
      <c r="D135" s="74"/>
      <c r="E135" s="74"/>
      <c r="F135" s="74"/>
      <c r="G135" s="74"/>
      <c r="H135" s="74"/>
      <c r="I135" s="74"/>
      <c r="J135" s="74"/>
      <c r="K135" s="74"/>
      <c r="M135" s="74">
        <v>2017</v>
      </c>
      <c r="N135" s="74">
        <v>2018</v>
      </c>
      <c r="O135" s="74"/>
    </row>
    <row r="136" spans="1:15" x14ac:dyDescent="0.3">
      <c r="A136" s="74"/>
      <c r="B136" s="74"/>
      <c r="C136" s="74"/>
      <c r="D136" s="74"/>
      <c r="E136" s="74"/>
      <c r="F136" s="74"/>
      <c r="G136" s="74"/>
      <c r="H136" s="74"/>
      <c r="I136" s="74"/>
      <c r="J136" s="74"/>
      <c r="K136" s="74"/>
      <c r="L136" s="74" t="s">
        <v>55</v>
      </c>
      <c r="M136" s="77" t="s">
        <v>499</v>
      </c>
      <c r="N136"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-210577.09800000011</v>
      </c>
      <c r="O136" s="74"/>
    </row>
    <row r="137" spans="1:15" x14ac:dyDescent="0.3">
      <c r="A137" s="74"/>
      <c r="B137" s="74"/>
      <c r="C137" s="74"/>
      <c r="D137" s="74"/>
      <c r="E137" s="74"/>
      <c r="F137" s="74"/>
      <c r="G137" s="74"/>
      <c r="H137" s="74"/>
      <c r="I137" s="74"/>
      <c r="J137" s="74"/>
      <c r="K137" s="74"/>
      <c r="L137" s="74" t="s">
        <v>56</v>
      </c>
      <c r="M137" s="77">
        <f>'DNB Livsforsikring'!F11-'DNB Livsforsikring'!F12+'DNB Livsforsikring'!F34-'DNB Livsforsikring'!F35+'DNB Livsforsikring'!F38-'DNB Livsforsikring'!F39+'DNB Livsforsikring'!F111-'DNB Livsforsikring'!F119+'DNB Livsforsikring'!F136-'DNB Livsforsikring'!F137</f>
        <v>1294346</v>
      </c>
      <c r="N137" s="77">
        <f>'DNB Livsforsikring'!G11-'DNB Livsforsikring'!G12+'DNB Livsforsikring'!G34-'DNB Livsforsikring'!G35+'DNB Livsforsikring'!G38-'DNB Livsforsikring'!G39+'DNB Livsforsikring'!G111-'DNB Livsforsikring'!G119+'DNB Livsforsikring'!G136-'DNB Livsforsikring'!G137</f>
        <v>-481067</v>
      </c>
      <c r="O137" s="74"/>
    </row>
    <row r="138" spans="1:15" x14ac:dyDescent="0.3">
      <c r="A138" s="74"/>
      <c r="B138" s="74"/>
      <c r="C138" s="74"/>
      <c r="D138" s="74"/>
      <c r="E138" s="74"/>
      <c r="F138" s="74"/>
      <c r="G138" s="74"/>
      <c r="H138" s="74"/>
      <c r="I138" s="74"/>
      <c r="J138" s="74"/>
      <c r="K138" s="74"/>
      <c r="L138" s="74" t="s">
        <v>58</v>
      </c>
      <c r="M138" s="77">
        <f>'Frende Livsforsikring'!F11-'Frende Livsforsikring'!F12+'Frende Livsforsikring'!F34-'Frende Livsforsikring'!F35+'Frende Livsforsikring'!F38-'Frende Livsforsikring'!F39+'Frende Livsforsikring'!F111-'Frende Livsforsikring'!F119+'Frende Livsforsikring'!F136-'Frende Livsforsikring'!F137</f>
        <v>-40663.235000000001</v>
      </c>
      <c r="N138" s="77">
        <f>'Frende Livsforsikring'!G11-'Frende Livsforsikring'!G12+'Frende Livsforsikring'!G34-'Frende Livsforsikring'!G35+'Frende Livsforsikring'!G38-'Frende Livsforsikring'!G39+'Frende Livsforsikring'!G111-'Frende Livsforsikring'!G119+'Frende Livsforsikring'!G136-'Frende Livsforsikring'!G137</f>
        <v>-66404</v>
      </c>
      <c r="O138" s="74"/>
    </row>
    <row r="139" spans="1:15" x14ac:dyDescent="0.3">
      <c r="A139" s="74"/>
      <c r="B139" s="74"/>
      <c r="C139" s="74"/>
      <c r="D139" s="74"/>
      <c r="E139" s="74"/>
      <c r="F139" s="74"/>
      <c r="G139" s="74"/>
      <c r="H139" s="74"/>
      <c r="I139" s="74"/>
      <c r="J139" s="74"/>
      <c r="K139" s="74"/>
      <c r="L139" s="79" t="s">
        <v>61</v>
      </c>
      <c r="M139" s="77">
        <f>'Gjensidige Pensjon'!F11-'Gjensidige Pensjon'!F12+'Gjensidige Pensjon'!F34-'Gjensidige Pensjon'!F35+'Gjensidige Pensjon'!F38-'Gjensidige Pensjon'!F39+'Gjensidige Pensjon'!F111-'Gjensidige Pensjon'!F119+'Gjensidige Pensjon'!F136-'Gjensidige Pensjon'!F137</f>
        <v>738595</v>
      </c>
      <c r="N139" s="77">
        <f>'Gjensidige Pensjon'!G11-'Gjensidige Pensjon'!G12+'Gjensidige Pensjon'!G34-'Gjensidige Pensjon'!G35+'Gjensidige Pensjon'!G38-'Gjensidige Pensjon'!G39+'Gjensidige Pensjon'!G111-'Gjensidige Pensjon'!G119+'Gjensidige Pensjon'!G136-'Gjensidige Pensjon'!G137</f>
        <v>280691</v>
      </c>
      <c r="O139" s="74"/>
    </row>
    <row r="140" spans="1:15" x14ac:dyDescent="0.3">
      <c r="A140" s="74"/>
      <c r="B140" s="74"/>
      <c r="C140" s="74"/>
      <c r="D140" s="74"/>
      <c r="E140" s="74"/>
      <c r="F140" s="74"/>
      <c r="G140" s="74"/>
      <c r="H140" s="74"/>
      <c r="I140" s="74"/>
      <c r="J140" s="74"/>
      <c r="K140" s="74"/>
      <c r="L140" s="74" t="s">
        <v>65</v>
      </c>
      <c r="M140" s="77">
        <f>'KLP Bedriftspensjon AS'!F11-'KLP Bedriftspensjon AS'!F12+'KLP Bedriftspensjon AS'!F34-'KLP Bedriftspensjon AS'!F35+'KLP Bedriftspensjon AS'!F38-'KLP Bedriftspensjon AS'!F39+'KLP Bedriftspensjon AS'!F111-'KLP Bedriftspensjon AS'!F119+'KLP Bedriftspensjon AS'!F136-'KLP Bedriftspensjon AS'!F137</f>
        <v>431562</v>
      </c>
      <c r="N140" s="77">
        <f>'KLP Bedriftspensjon AS'!G11-'KLP Bedriftspensjon AS'!G12+'KLP Bedriftspensjon AS'!G34-'KLP Bedriftspensjon AS'!G35+'KLP Bedriftspensjon AS'!G38-'KLP Bedriftspensjon AS'!G39+'KLP Bedriftspensjon AS'!G111-'KLP Bedriftspensjon AS'!G119+'KLP Bedriftspensjon AS'!G136-'KLP Bedriftspensjon AS'!G137</f>
        <v>444032</v>
      </c>
      <c r="O140" s="74"/>
    </row>
    <row r="141" spans="1:15" x14ac:dyDescent="0.3">
      <c r="A141" s="74"/>
      <c r="B141" s="74"/>
      <c r="C141" s="74"/>
      <c r="D141" s="74"/>
      <c r="E141" s="74"/>
      <c r="F141" s="74"/>
      <c r="G141" s="74"/>
      <c r="H141" s="74"/>
      <c r="I141" s="74"/>
      <c r="J141" s="74"/>
      <c r="K141" s="74"/>
      <c r="L141" s="74" t="s">
        <v>68</v>
      </c>
      <c r="M141" s="77">
        <f>'Nordea Liv '!F11-'Nordea Liv '!F12+'Nordea Liv '!F34-'Nordea Liv '!F35+'Nordea Liv '!F38-'Nordea Liv '!F39+'Nordea Liv '!F111-'Nordea Liv '!F119+'Nordea Liv '!F136-'Nordea Liv '!F137</f>
        <v>-1089161.4378300002</v>
      </c>
      <c r="N141" s="77">
        <f>'Nordea Liv '!G11-'Nordea Liv '!G12+'Nordea Liv '!G34-'Nordea Liv '!G35+'Nordea Liv '!G38-'Nordea Liv '!G39+'Nordea Liv '!G111-'Nordea Liv '!G119+'Nordea Liv '!G136-'Nordea Liv '!G137</f>
        <v>-1061165.3843399999</v>
      </c>
      <c r="O141" s="74"/>
    </row>
    <row r="142" spans="1:15" x14ac:dyDescent="0.3">
      <c r="A142" s="74"/>
      <c r="B142" s="74"/>
      <c r="C142" s="74"/>
      <c r="D142" s="74"/>
      <c r="E142" s="74"/>
      <c r="F142" s="74"/>
      <c r="G142" s="74"/>
      <c r="H142" s="74"/>
      <c r="I142" s="74"/>
      <c r="J142" s="74"/>
      <c r="K142" s="74"/>
      <c r="L142" s="74" t="s">
        <v>74</v>
      </c>
      <c r="M142" s="77">
        <f>'SHB Liv'!F11-'SHB Liv'!F12+'SHB Liv'!F34-'SHB Liv'!F35+'SHB Liv'!F38-'SHB Liv'!F39+'SHB Liv'!F111-'SHB Liv'!F119+'SHB Liv'!F136-'SHB Liv'!F137</f>
        <v>95800.697</v>
      </c>
      <c r="N142" s="77">
        <f>'SHB Liv'!G11-'SHB Liv'!G12+'SHB Liv'!G34-'SHB Liv'!G35+'SHB Liv'!G38-'SHB Liv'!G39+'SHB Liv'!G111-'SHB Liv'!G119+'SHB Liv'!G136-'SHB Liv'!G137</f>
        <v>156380</v>
      </c>
      <c r="O142" s="74"/>
    </row>
    <row r="143" spans="1:15" x14ac:dyDescent="0.3">
      <c r="A143" s="74"/>
      <c r="B143" s="74"/>
      <c r="C143" s="74"/>
      <c r="D143" s="74"/>
      <c r="E143" s="74"/>
      <c r="F143" s="74"/>
      <c r="G143" s="74"/>
      <c r="H143" s="74"/>
      <c r="I143" s="74"/>
      <c r="J143" s="74"/>
      <c r="K143" s="74"/>
      <c r="L143" s="74" t="s">
        <v>70</v>
      </c>
      <c r="M143" s="77">
        <f>'Sparebank 1'!F11-'Sparebank 1'!F12+'Sparebank 1'!F34-'Sparebank 1'!F35+'Sparebank 1'!F38-'Sparebank 1'!F39+'Sparebank 1'!F111-'Sparebank 1'!F119+'Sparebank 1'!F136-'Sparebank 1'!F137</f>
        <v>875736.41453000007</v>
      </c>
      <c r="N143" s="77">
        <f>'Sparebank 1'!G11-'Sparebank 1'!G12+'Sparebank 1'!G34-'Sparebank 1'!G35+'Sparebank 1'!G38-'Sparebank 1'!G39+'Sparebank 1'!G111-'Sparebank 1'!G119+'Sparebank 1'!G136-'Sparebank 1'!G137</f>
        <v>1474548.0512999999</v>
      </c>
      <c r="O143" s="74"/>
    </row>
    <row r="144" spans="1:15" x14ac:dyDescent="0.3">
      <c r="A144" s="74"/>
      <c r="B144" s="74"/>
      <c r="C144" s="74"/>
      <c r="D144" s="74"/>
      <c r="E144" s="74"/>
      <c r="F144" s="74"/>
      <c r="G144" s="74"/>
      <c r="H144" s="74"/>
      <c r="I144" s="74"/>
      <c r="J144" s="74"/>
      <c r="K144" s="74"/>
      <c r="L144" s="74" t="s">
        <v>75</v>
      </c>
      <c r="M144"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-2684655.31</v>
      </c>
      <c r="N144"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-788494.15700000012</v>
      </c>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O144"/>
  <sheetViews>
    <sheetView showGridLines="0" zoomScaleNormal="100" workbookViewId="0">
      <selection activeCell="C1" sqref="C1"/>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103</v>
      </c>
      <c r="D1" s="26"/>
      <c r="E1" s="26"/>
      <c r="F1" s="26"/>
      <c r="G1" s="26"/>
      <c r="H1" s="26"/>
      <c r="I1" s="26"/>
      <c r="J1" s="26"/>
      <c r="K1" s="26"/>
      <c r="L1" s="26"/>
      <c r="M1" s="26"/>
      <c r="O1" s="421"/>
    </row>
    <row r="2" spans="1:15" ht="15.75" x14ac:dyDescent="0.25">
      <c r="A2" s="165" t="s">
        <v>28</v>
      </c>
      <c r="B2" s="978"/>
      <c r="C2" s="978"/>
      <c r="D2" s="978"/>
      <c r="E2" s="296"/>
      <c r="F2" s="978"/>
      <c r="G2" s="978"/>
      <c r="H2" s="978"/>
      <c r="I2" s="296"/>
      <c r="J2" s="978"/>
      <c r="K2" s="978"/>
      <c r="L2" s="978"/>
      <c r="M2" s="296"/>
      <c r="O2" s="148"/>
    </row>
    <row r="3" spans="1:15" ht="15.75" x14ac:dyDescent="0.25">
      <c r="A3" s="163"/>
      <c r="B3" s="296"/>
      <c r="C3" s="296"/>
      <c r="D3" s="296"/>
      <c r="E3" s="296"/>
      <c r="F3" s="296"/>
      <c r="G3" s="296"/>
      <c r="H3" s="296"/>
      <c r="I3" s="296"/>
      <c r="J3" s="296"/>
      <c r="K3" s="296"/>
      <c r="L3" s="296"/>
      <c r="M3" s="296"/>
      <c r="O3" s="148"/>
    </row>
    <row r="4" spans="1:15" x14ac:dyDescent="0.2">
      <c r="A4" s="144"/>
      <c r="B4" s="975" t="s">
        <v>0</v>
      </c>
      <c r="C4" s="976"/>
      <c r="D4" s="976"/>
      <c r="E4" s="298"/>
      <c r="F4" s="975" t="s">
        <v>1</v>
      </c>
      <c r="G4" s="976"/>
      <c r="H4" s="976"/>
      <c r="I4" s="301"/>
      <c r="J4" s="975" t="s">
        <v>2</v>
      </c>
      <c r="K4" s="976"/>
      <c r="L4" s="976"/>
      <c r="M4" s="301"/>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c r="C7" s="304"/>
      <c r="D7" s="347"/>
      <c r="E7" s="11"/>
      <c r="F7" s="303"/>
      <c r="G7" s="304"/>
      <c r="H7" s="347"/>
      <c r="I7" s="160"/>
      <c r="J7" s="305"/>
      <c r="K7" s="306"/>
      <c r="L7" s="422"/>
      <c r="M7" s="11"/>
      <c r="O7" s="148"/>
    </row>
    <row r="8" spans="1:15" ht="15.75" x14ac:dyDescent="0.2">
      <c r="A8" s="21" t="s">
        <v>25</v>
      </c>
      <c r="B8" s="278"/>
      <c r="C8" s="279"/>
      <c r="D8" s="166"/>
      <c r="E8" s="27"/>
      <c r="F8" s="282"/>
      <c r="G8" s="283"/>
      <c r="H8" s="166"/>
      <c r="I8" s="175"/>
      <c r="J8" s="233"/>
      <c r="K8" s="284"/>
      <c r="L8" s="166"/>
      <c r="M8" s="27"/>
      <c r="O8" s="148"/>
    </row>
    <row r="9" spans="1:15" ht="15.75" x14ac:dyDescent="0.2">
      <c r="A9" s="21" t="s">
        <v>24</v>
      </c>
      <c r="B9" s="278"/>
      <c r="C9" s="279"/>
      <c r="D9" s="166"/>
      <c r="E9" s="27"/>
      <c r="F9" s="282"/>
      <c r="G9" s="283"/>
      <c r="H9" s="166"/>
      <c r="I9" s="175"/>
      <c r="J9" s="233"/>
      <c r="K9" s="284"/>
      <c r="L9" s="166"/>
      <c r="M9" s="27"/>
      <c r="O9" s="148"/>
    </row>
    <row r="10" spans="1:15" ht="15.75" x14ac:dyDescent="0.2">
      <c r="A10" s="13" t="s">
        <v>456</v>
      </c>
      <c r="B10" s="307"/>
      <c r="C10" s="308"/>
      <c r="D10" s="171"/>
      <c r="E10" s="11"/>
      <c r="F10" s="307"/>
      <c r="G10" s="308"/>
      <c r="H10" s="171"/>
      <c r="I10" s="160"/>
      <c r="J10" s="305"/>
      <c r="K10" s="306"/>
      <c r="L10" s="423"/>
      <c r="M10" s="11"/>
      <c r="O10" s="148"/>
    </row>
    <row r="11" spans="1:15" s="43" customFormat="1" ht="15.75" x14ac:dyDescent="0.2">
      <c r="A11" s="13" t="s">
        <v>457</v>
      </c>
      <c r="B11" s="307"/>
      <c r="C11" s="308"/>
      <c r="D11" s="171"/>
      <c r="E11" s="11"/>
      <c r="F11" s="307"/>
      <c r="G11" s="308"/>
      <c r="H11" s="171"/>
      <c r="I11" s="160"/>
      <c r="J11" s="305"/>
      <c r="K11" s="306"/>
      <c r="L11" s="423"/>
      <c r="M11" s="11"/>
      <c r="N11" s="143"/>
      <c r="O11" s="148"/>
    </row>
    <row r="12" spans="1:15" s="43" customFormat="1" ht="15.75" x14ac:dyDescent="0.2">
      <c r="A12" s="41" t="s">
        <v>458</v>
      </c>
      <c r="B12" s="309"/>
      <c r="C12" s="310"/>
      <c r="D12" s="169"/>
      <c r="E12" s="36"/>
      <c r="F12" s="309"/>
      <c r="G12" s="310"/>
      <c r="H12" s="169"/>
      <c r="I12" s="169"/>
      <c r="J12" s="311"/>
      <c r="K12" s="312"/>
      <c r="L12" s="424"/>
      <c r="M12" s="36"/>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979"/>
      <c r="C18" s="979"/>
      <c r="D18" s="979"/>
      <c r="E18" s="296"/>
      <c r="F18" s="979"/>
      <c r="G18" s="979"/>
      <c r="H18" s="979"/>
      <c r="I18" s="296"/>
      <c r="J18" s="979"/>
      <c r="K18" s="979"/>
      <c r="L18" s="979"/>
      <c r="M18" s="296"/>
      <c r="O18" s="148"/>
    </row>
    <row r="19" spans="1:15" x14ac:dyDescent="0.2">
      <c r="A19" s="144"/>
      <c r="B19" s="975" t="s">
        <v>0</v>
      </c>
      <c r="C19" s="976"/>
      <c r="D19" s="976"/>
      <c r="E19" s="298"/>
      <c r="F19" s="975" t="s">
        <v>1</v>
      </c>
      <c r="G19" s="976"/>
      <c r="H19" s="976"/>
      <c r="I19" s="301"/>
      <c r="J19" s="975" t="s">
        <v>2</v>
      </c>
      <c r="K19" s="976"/>
      <c r="L19" s="976"/>
      <c r="M19" s="301"/>
      <c r="O19" s="148"/>
    </row>
    <row r="20" spans="1:15"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07"/>
      <c r="C22" s="307"/>
      <c r="D22" s="347"/>
      <c r="E22" s="11"/>
      <c r="F22" s="315"/>
      <c r="G22" s="315"/>
      <c r="H22" s="347"/>
      <c r="I22" s="11"/>
      <c r="J22" s="313"/>
      <c r="K22" s="313"/>
      <c r="L22" s="422"/>
      <c r="M22" s="24"/>
      <c r="O22" s="148"/>
    </row>
    <row r="23" spans="1:15" ht="15.75" x14ac:dyDescent="0.2">
      <c r="A23" s="834" t="s">
        <v>459</v>
      </c>
      <c r="B23" s="278"/>
      <c r="C23" s="278"/>
      <c r="D23" s="166"/>
      <c r="E23" s="11"/>
      <c r="F23" s="287"/>
      <c r="G23" s="287"/>
      <c r="H23" s="166"/>
      <c r="I23" s="412"/>
      <c r="J23" s="287"/>
      <c r="K23" s="287"/>
      <c r="L23" s="166"/>
      <c r="M23" s="23"/>
      <c r="O23" s="148"/>
    </row>
    <row r="24" spans="1:15" ht="15.75" x14ac:dyDescent="0.2">
      <c r="A24" s="834" t="s">
        <v>460</v>
      </c>
      <c r="B24" s="278"/>
      <c r="C24" s="278"/>
      <c r="D24" s="166"/>
      <c r="E24" s="11"/>
      <c r="F24" s="287"/>
      <c r="G24" s="287"/>
      <c r="H24" s="166"/>
      <c r="I24" s="412"/>
      <c r="J24" s="287"/>
      <c r="K24" s="287"/>
      <c r="L24" s="166"/>
      <c r="M24" s="23"/>
      <c r="O24" s="148"/>
    </row>
    <row r="25" spans="1:15" ht="15.75" x14ac:dyDescent="0.2">
      <c r="A25" s="834" t="s">
        <v>461</v>
      </c>
      <c r="B25" s="278"/>
      <c r="C25" s="278"/>
      <c r="D25" s="166"/>
      <c r="E25" s="11"/>
      <c r="F25" s="287"/>
      <c r="G25" s="287"/>
      <c r="H25" s="166"/>
      <c r="I25" s="412"/>
      <c r="J25" s="287"/>
      <c r="K25" s="287"/>
      <c r="L25" s="166"/>
      <c r="M25" s="23"/>
      <c r="O25" s="148"/>
    </row>
    <row r="26" spans="1:15" ht="15.75" x14ac:dyDescent="0.2">
      <c r="A26" s="834" t="s">
        <v>462</v>
      </c>
      <c r="B26" s="278"/>
      <c r="C26" s="278"/>
      <c r="D26" s="166"/>
      <c r="E26" s="11"/>
      <c r="F26" s="287"/>
      <c r="G26" s="287"/>
      <c r="H26" s="166"/>
      <c r="I26" s="412"/>
      <c r="J26" s="287"/>
      <c r="K26" s="287"/>
      <c r="L26" s="166"/>
      <c r="M26" s="23"/>
      <c r="O26" s="148"/>
    </row>
    <row r="27" spans="1:15" x14ac:dyDescent="0.2">
      <c r="A27" s="834" t="s">
        <v>11</v>
      </c>
      <c r="B27" s="278"/>
      <c r="C27" s="278"/>
      <c r="D27" s="166"/>
      <c r="E27" s="11"/>
      <c r="F27" s="287"/>
      <c r="G27" s="287"/>
      <c r="H27" s="166"/>
      <c r="I27" s="412"/>
      <c r="J27" s="287"/>
      <c r="K27" s="287"/>
      <c r="L27" s="166"/>
      <c r="M27" s="23"/>
      <c r="O27" s="148"/>
    </row>
    <row r="28" spans="1:15" ht="15.75" x14ac:dyDescent="0.2">
      <c r="A28" s="49" t="s">
        <v>283</v>
      </c>
      <c r="B28" s="44"/>
      <c r="C28" s="284"/>
      <c r="D28" s="166"/>
      <c r="E28" s="11"/>
      <c r="F28" s="233"/>
      <c r="G28" s="284"/>
      <c r="H28" s="166"/>
      <c r="I28" s="27"/>
      <c r="J28" s="44"/>
      <c r="K28" s="44"/>
      <c r="L28" s="253"/>
      <c r="M28" s="23"/>
      <c r="O28" s="148"/>
    </row>
    <row r="29" spans="1:15" s="3" customFormat="1" ht="15.75" x14ac:dyDescent="0.2">
      <c r="A29" s="13" t="s">
        <v>456</v>
      </c>
      <c r="B29" s="307"/>
      <c r="C29" s="307"/>
      <c r="D29" s="171"/>
      <c r="E29" s="11"/>
      <c r="F29" s="305"/>
      <c r="G29" s="305"/>
      <c r="H29" s="171"/>
      <c r="I29" s="11"/>
      <c r="J29" s="235"/>
      <c r="K29" s="235"/>
      <c r="L29" s="423"/>
      <c r="M29" s="24"/>
      <c r="N29" s="148"/>
      <c r="O29" s="148"/>
    </row>
    <row r="30" spans="1:15" s="3" customFormat="1" ht="15.75" x14ac:dyDescent="0.2">
      <c r="A30" s="834" t="s">
        <v>459</v>
      </c>
      <c r="B30" s="278"/>
      <c r="C30" s="278"/>
      <c r="D30" s="166"/>
      <c r="E30" s="11"/>
      <c r="F30" s="287"/>
      <c r="G30" s="287"/>
      <c r="H30" s="166"/>
      <c r="I30" s="412"/>
      <c r="J30" s="287"/>
      <c r="K30" s="287"/>
      <c r="L30" s="166"/>
      <c r="M30" s="23"/>
      <c r="N30" s="148"/>
      <c r="O30" s="148"/>
    </row>
    <row r="31" spans="1:15" s="3" customFormat="1" ht="15.75" x14ac:dyDescent="0.2">
      <c r="A31" s="834" t="s">
        <v>460</v>
      </c>
      <c r="B31" s="278"/>
      <c r="C31" s="278"/>
      <c r="D31" s="166"/>
      <c r="E31" s="11"/>
      <c r="F31" s="287"/>
      <c r="G31" s="287"/>
      <c r="H31" s="166"/>
      <c r="I31" s="412"/>
      <c r="J31" s="287"/>
      <c r="K31" s="287"/>
      <c r="L31" s="166"/>
      <c r="M31" s="23"/>
      <c r="N31" s="148"/>
      <c r="O31" s="148"/>
    </row>
    <row r="32" spans="1:15" ht="15.75" x14ac:dyDescent="0.2">
      <c r="A32" s="834" t="s">
        <v>461</v>
      </c>
      <c r="B32" s="278"/>
      <c r="C32" s="278"/>
      <c r="D32" s="166"/>
      <c r="E32" s="11"/>
      <c r="F32" s="287"/>
      <c r="G32" s="287"/>
      <c r="H32" s="166"/>
      <c r="I32" s="412"/>
      <c r="J32" s="287"/>
      <c r="K32" s="287"/>
      <c r="L32" s="166"/>
      <c r="M32" s="23"/>
      <c r="O32" s="148"/>
    </row>
    <row r="33" spans="1:15" ht="15.75" x14ac:dyDescent="0.2">
      <c r="A33" s="834" t="s">
        <v>462</v>
      </c>
      <c r="B33" s="278"/>
      <c r="C33" s="278"/>
      <c r="D33" s="166"/>
      <c r="E33" s="11"/>
      <c r="F33" s="287"/>
      <c r="G33" s="287"/>
      <c r="H33" s="166"/>
      <c r="I33" s="412"/>
      <c r="J33" s="287"/>
      <c r="K33" s="287"/>
      <c r="L33" s="166"/>
      <c r="M33" s="23"/>
      <c r="O33" s="148"/>
    </row>
    <row r="34" spans="1:15" ht="15.75" x14ac:dyDescent="0.2">
      <c r="A34" s="13" t="s">
        <v>457</v>
      </c>
      <c r="B34" s="235"/>
      <c r="C34" s="306"/>
      <c r="D34" s="171"/>
      <c r="E34" s="11"/>
      <c r="F34" s="305"/>
      <c r="G34" s="306"/>
      <c r="H34" s="171"/>
      <c r="I34" s="11"/>
      <c r="J34" s="235"/>
      <c r="K34" s="235"/>
      <c r="L34" s="423"/>
      <c r="M34" s="24"/>
      <c r="O34" s="148"/>
    </row>
    <row r="35" spans="1:15" ht="15.75" x14ac:dyDescent="0.2">
      <c r="A35" s="13" t="s">
        <v>458</v>
      </c>
      <c r="B35" s="235"/>
      <c r="C35" s="306"/>
      <c r="D35" s="171"/>
      <c r="E35" s="11"/>
      <c r="F35" s="305"/>
      <c r="G35" s="306"/>
      <c r="H35" s="171"/>
      <c r="I35" s="11"/>
      <c r="J35" s="235"/>
      <c r="K35" s="235"/>
      <c r="L35" s="423"/>
      <c r="M35" s="24"/>
      <c r="O35" s="148"/>
    </row>
    <row r="36" spans="1:15" ht="15.75" x14ac:dyDescent="0.2">
      <c r="A36" s="12" t="s">
        <v>291</v>
      </c>
      <c r="B36" s="235"/>
      <c r="C36" s="306"/>
      <c r="D36" s="171"/>
      <c r="E36" s="11"/>
      <c r="F36" s="316"/>
      <c r="G36" s="317"/>
      <c r="H36" s="171"/>
      <c r="I36" s="429"/>
      <c r="J36" s="235"/>
      <c r="K36" s="235"/>
      <c r="L36" s="423"/>
      <c r="M36" s="24"/>
      <c r="O36" s="148"/>
    </row>
    <row r="37" spans="1:15" ht="15.75" x14ac:dyDescent="0.2">
      <c r="A37" s="12" t="s">
        <v>464</v>
      </c>
      <c r="B37" s="235"/>
      <c r="C37" s="306"/>
      <c r="D37" s="171"/>
      <c r="E37" s="11"/>
      <c r="F37" s="316"/>
      <c r="G37" s="318"/>
      <c r="H37" s="171"/>
      <c r="I37" s="429"/>
      <c r="J37" s="235"/>
      <c r="K37" s="235"/>
      <c r="L37" s="423"/>
      <c r="M37" s="24"/>
      <c r="O37" s="148"/>
    </row>
    <row r="38" spans="1:15" ht="15.75" x14ac:dyDescent="0.2">
      <c r="A38" s="12" t="s">
        <v>465</v>
      </c>
      <c r="B38" s="235"/>
      <c r="C38" s="306"/>
      <c r="D38" s="427"/>
      <c r="E38" s="24"/>
      <c r="F38" s="316"/>
      <c r="G38" s="317"/>
      <c r="H38" s="171"/>
      <c r="I38" s="429"/>
      <c r="J38" s="235"/>
      <c r="K38" s="235"/>
      <c r="L38" s="423"/>
      <c r="M38" s="24"/>
      <c r="O38" s="148"/>
    </row>
    <row r="39" spans="1:15" ht="15.75" x14ac:dyDescent="0.2">
      <c r="A39" s="18" t="s">
        <v>466</v>
      </c>
      <c r="B39" s="273"/>
      <c r="C39" s="312"/>
      <c r="D39" s="428"/>
      <c r="E39" s="36"/>
      <c r="F39" s="319"/>
      <c r="G39" s="320"/>
      <c r="H39" s="169"/>
      <c r="I39" s="36"/>
      <c r="J39" s="235"/>
      <c r="K39" s="235"/>
      <c r="L39" s="424"/>
      <c r="M39" s="36"/>
      <c r="O39" s="148"/>
    </row>
    <row r="40" spans="1:15" ht="15.75" x14ac:dyDescent="0.25">
      <c r="A40" s="47"/>
      <c r="B40" s="252"/>
      <c r="C40" s="252"/>
      <c r="D40" s="980"/>
      <c r="E40" s="981"/>
      <c r="F40" s="980"/>
      <c r="G40" s="980"/>
      <c r="H40" s="980"/>
      <c r="I40" s="980"/>
      <c r="J40" s="980"/>
      <c r="K40" s="980"/>
      <c r="L40" s="980"/>
      <c r="M40" s="299"/>
      <c r="O40" s="148"/>
    </row>
    <row r="41" spans="1:15" x14ac:dyDescent="0.2">
      <c r="A41" s="155"/>
      <c r="O41" s="148"/>
    </row>
    <row r="42" spans="1:15" ht="15.75" x14ac:dyDescent="0.25">
      <c r="A42" s="147" t="s">
        <v>280</v>
      </c>
      <c r="B42" s="978"/>
      <c r="C42" s="978"/>
      <c r="D42" s="978"/>
      <c r="E42" s="296"/>
      <c r="F42" s="981"/>
      <c r="G42" s="981"/>
      <c r="H42" s="981"/>
      <c r="I42" s="299"/>
      <c r="J42" s="981"/>
      <c r="K42" s="981"/>
      <c r="L42" s="981"/>
      <c r="M42" s="299"/>
      <c r="O42" s="148"/>
    </row>
    <row r="43" spans="1:15" ht="15.75" x14ac:dyDescent="0.25">
      <c r="A43" s="163"/>
      <c r="B43" s="300"/>
      <c r="C43" s="300"/>
      <c r="D43" s="300"/>
      <c r="E43" s="300"/>
      <c r="F43" s="299"/>
      <c r="G43" s="299"/>
      <c r="H43" s="299"/>
      <c r="I43" s="299"/>
      <c r="J43" s="299"/>
      <c r="K43" s="299"/>
      <c r="L43" s="299"/>
      <c r="M43" s="299"/>
      <c r="O43" s="148"/>
    </row>
    <row r="44" spans="1:15" ht="15.75" x14ac:dyDescent="0.25">
      <c r="A44" s="246"/>
      <c r="B44" s="975" t="s">
        <v>0</v>
      </c>
      <c r="C44" s="976"/>
      <c r="D44" s="976"/>
      <c r="E44" s="242"/>
      <c r="F44" s="299"/>
      <c r="G44" s="299"/>
      <c r="H44" s="299"/>
      <c r="I44" s="299"/>
      <c r="J44" s="299"/>
      <c r="K44" s="299"/>
      <c r="L44" s="299"/>
      <c r="M44" s="299"/>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512595.94180000003</v>
      </c>
      <c r="C47" s="308">
        <v>525057.89627999999</v>
      </c>
      <c r="D47" s="422">
        <f t="shared" ref="D47:D57" si="0">IF(B47=0, "    ---- ", IF(ABS(ROUND(100/B47*C47-100,1))&lt;999,ROUND(100/B47*C47-100,1),IF(ROUND(100/B47*C47-100,1)&gt;999,999,-999)))</f>
        <v>2.4</v>
      </c>
      <c r="E47" s="11">
        <f>IFERROR(100/'Skjema total MA'!C47*C47,0)</f>
        <v>12.508080241577593</v>
      </c>
      <c r="F47" s="145"/>
      <c r="G47" s="33"/>
      <c r="H47" s="159"/>
      <c r="I47" s="159"/>
      <c r="J47" s="37"/>
      <c r="K47" s="37"/>
      <c r="L47" s="159"/>
      <c r="M47" s="159"/>
      <c r="N47" s="148"/>
      <c r="O47" s="148"/>
    </row>
    <row r="48" spans="1:15" s="3" customFormat="1" ht="15.75" x14ac:dyDescent="0.2">
      <c r="A48" s="38" t="s">
        <v>467</v>
      </c>
      <c r="B48" s="278">
        <v>233845.42524000001</v>
      </c>
      <c r="C48" s="279">
        <v>234597.74183000001</v>
      </c>
      <c r="D48" s="253">
        <f t="shared" si="0"/>
        <v>0.3</v>
      </c>
      <c r="E48" s="27">
        <f>IFERROR(100/'Skjema total MA'!C48*C48,0)</f>
        <v>10.033596393192113</v>
      </c>
      <c r="F48" s="145"/>
      <c r="G48" s="33"/>
      <c r="H48" s="145"/>
      <c r="I48" s="145"/>
      <c r="J48" s="33"/>
      <c r="K48" s="33"/>
      <c r="L48" s="159"/>
      <c r="M48" s="159"/>
      <c r="N48" s="148"/>
      <c r="O48" s="148"/>
    </row>
    <row r="49" spans="1:15" s="3" customFormat="1" ht="15.75" x14ac:dyDescent="0.2">
      <c r="A49" s="38" t="s">
        <v>468</v>
      </c>
      <c r="B49" s="44">
        <v>278750.51656000002</v>
      </c>
      <c r="C49" s="284">
        <v>290460.15444999997</v>
      </c>
      <c r="D49" s="253">
        <f>IF(B49=0, "    ---- ", IF(ABS(ROUND(100/B49*C49-100,1))&lt;999,ROUND(100/B49*C49-100,1),IF(ROUND(100/B49*C49-100,1)&gt;999,999,-999)))</f>
        <v>4.2</v>
      </c>
      <c r="E49" s="27">
        <f>IFERROR(100/'Skjema total MA'!C49*C49,0)</f>
        <v>15.619265449895943</v>
      </c>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v>265944.78356000001</v>
      </c>
      <c r="C51" s="288">
        <v>277598.59444999998</v>
      </c>
      <c r="D51" s="253">
        <f t="shared" ref="D51:D52" si="1">IF(B51=0, "    ---- ", IF(ABS(ROUND(100/B51*C51-100,1))&lt;999,ROUND(100/B51*C51-100,1),IF(ROUND(100/B51*C51-100,1)&gt;999,999,-999)))</f>
        <v>4.4000000000000004</v>
      </c>
      <c r="E51" s="27">
        <f>IFERROR(100/'Skjema total MA'!C51*C51,0)</f>
        <v>17.58231359656137</v>
      </c>
      <c r="F51" s="145"/>
      <c r="G51" s="33"/>
      <c r="H51" s="145"/>
      <c r="I51" s="145"/>
      <c r="J51" s="33"/>
      <c r="K51" s="33"/>
      <c r="L51" s="159"/>
      <c r="M51" s="159"/>
      <c r="N51" s="148"/>
      <c r="O51" s="148"/>
    </row>
    <row r="52" spans="1:15" s="3" customFormat="1" x14ac:dyDescent="0.2">
      <c r="A52" s="293" t="s">
        <v>8</v>
      </c>
      <c r="B52" s="287">
        <v>12805.733</v>
      </c>
      <c r="C52" s="288">
        <v>12861.56</v>
      </c>
      <c r="D52" s="253">
        <f t="shared" si="1"/>
        <v>0.4</v>
      </c>
      <c r="E52" s="27">
        <f>IFERROR(100/'Skjema total MA'!C52*C52,0)</f>
        <v>4.6177679160946301</v>
      </c>
      <c r="F52" s="145"/>
      <c r="G52" s="33"/>
      <c r="H52" s="145"/>
      <c r="I52" s="145"/>
      <c r="J52" s="33"/>
      <c r="K52" s="33"/>
      <c r="L52" s="159"/>
      <c r="M52" s="159"/>
      <c r="N52" s="148"/>
      <c r="O52" s="148"/>
    </row>
    <row r="53" spans="1:15" s="3" customFormat="1" ht="15.75" x14ac:dyDescent="0.2">
      <c r="A53" s="39" t="s">
        <v>469</v>
      </c>
      <c r="B53" s="307">
        <v>17633.773999999998</v>
      </c>
      <c r="C53" s="308">
        <v>17578.150000000001</v>
      </c>
      <c r="D53" s="423">
        <f t="shared" si="0"/>
        <v>-0.3</v>
      </c>
      <c r="E53" s="11">
        <f>IFERROR(100/'Skjema total MA'!C53*C53,0)</f>
        <v>15.582959037007237</v>
      </c>
      <c r="F53" s="145"/>
      <c r="G53" s="33"/>
      <c r="H53" s="145"/>
      <c r="I53" s="145"/>
      <c r="J53" s="33"/>
      <c r="K53" s="33"/>
      <c r="L53" s="159"/>
      <c r="M53" s="159"/>
      <c r="N53" s="148"/>
      <c r="O53" s="148"/>
    </row>
    <row r="54" spans="1:15" s="3" customFormat="1" ht="15.75" x14ac:dyDescent="0.2">
      <c r="A54" s="38" t="s">
        <v>467</v>
      </c>
      <c r="B54" s="278">
        <v>14010.853999999999</v>
      </c>
      <c r="C54" s="279">
        <v>17578.150000000001</v>
      </c>
      <c r="D54" s="253">
        <f t="shared" si="0"/>
        <v>25.5</v>
      </c>
      <c r="E54" s="27">
        <f>IFERROR(100/'Skjema total MA'!C54*C54,0)</f>
        <v>15.582959037007237</v>
      </c>
      <c r="F54" s="145"/>
      <c r="G54" s="33"/>
      <c r="H54" s="145"/>
      <c r="I54" s="145"/>
      <c r="J54" s="33"/>
      <c r="K54" s="33"/>
      <c r="L54" s="159"/>
      <c r="M54" s="159"/>
      <c r="N54" s="148"/>
      <c r="O54" s="148"/>
    </row>
    <row r="55" spans="1:15" s="3" customFormat="1" ht="15.75" x14ac:dyDescent="0.2">
      <c r="A55" s="38" t="s">
        <v>468</v>
      </c>
      <c r="B55" s="278">
        <v>3622.92</v>
      </c>
      <c r="C55" s="279">
        <v>0</v>
      </c>
      <c r="D55" s="253">
        <f t="shared" si="0"/>
        <v>-100</v>
      </c>
      <c r="E55" s="27">
        <f>IFERROR(100/'Skjema total MA'!C55*C55,0)</f>
        <v>0</v>
      </c>
      <c r="F55" s="145"/>
      <c r="G55" s="33"/>
      <c r="H55" s="145"/>
      <c r="I55" s="145"/>
      <c r="J55" s="33"/>
      <c r="K55" s="33"/>
      <c r="L55" s="159"/>
      <c r="M55" s="159"/>
      <c r="N55" s="148"/>
      <c r="O55" s="148"/>
    </row>
    <row r="56" spans="1:15" s="3" customFormat="1" ht="15.75" x14ac:dyDescent="0.2">
      <c r="A56" s="39" t="s">
        <v>470</v>
      </c>
      <c r="B56" s="307">
        <v>17924.628000000001</v>
      </c>
      <c r="C56" s="308">
        <v>33276.557999999997</v>
      </c>
      <c r="D56" s="423">
        <f t="shared" si="0"/>
        <v>85.6</v>
      </c>
      <c r="E56" s="11">
        <f>IFERROR(100/'Skjema total MA'!C56*C56,0)</f>
        <v>27.856009947633236</v>
      </c>
      <c r="F56" s="145"/>
      <c r="G56" s="33"/>
      <c r="H56" s="145"/>
      <c r="I56" s="145"/>
      <c r="J56" s="33"/>
      <c r="K56" s="33"/>
      <c r="L56" s="159"/>
      <c r="M56" s="159"/>
      <c r="N56" s="148"/>
      <c r="O56" s="148"/>
    </row>
    <row r="57" spans="1:15" s="3" customFormat="1" ht="15.75" x14ac:dyDescent="0.2">
      <c r="A57" s="38" t="s">
        <v>467</v>
      </c>
      <c r="B57" s="278">
        <v>17924.628000000001</v>
      </c>
      <c r="C57" s="279">
        <v>33276.557999999997</v>
      </c>
      <c r="D57" s="253">
        <f t="shared" si="0"/>
        <v>85.6</v>
      </c>
      <c r="E57" s="27">
        <f>IFERROR(100/'Skjema total MA'!C57*C57,0)</f>
        <v>27.856009947633236</v>
      </c>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296"/>
      <c r="F62" s="979"/>
      <c r="G62" s="979"/>
      <c r="H62" s="979"/>
      <c r="I62" s="296"/>
      <c r="J62" s="979"/>
      <c r="K62" s="979"/>
      <c r="L62" s="979"/>
      <c r="M62" s="296"/>
      <c r="O62" s="148"/>
    </row>
    <row r="63" spans="1:15" x14ac:dyDescent="0.2">
      <c r="A63" s="144"/>
      <c r="B63" s="975" t="s">
        <v>0</v>
      </c>
      <c r="C63" s="976"/>
      <c r="D63" s="977"/>
      <c r="E63" s="297"/>
      <c r="F63" s="976" t="s">
        <v>1</v>
      </c>
      <c r="G63" s="976"/>
      <c r="H63" s="976"/>
      <c r="I63" s="301"/>
      <c r="J63" s="975" t="s">
        <v>2</v>
      </c>
      <c r="K63" s="976"/>
      <c r="L63" s="976"/>
      <c r="M63" s="301"/>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c r="C66" s="350"/>
      <c r="D66" s="347"/>
      <c r="E66" s="11"/>
      <c r="F66" s="349"/>
      <c r="G66" s="349"/>
      <c r="H66" s="347"/>
      <c r="I66" s="11"/>
      <c r="J66" s="306"/>
      <c r="K66" s="313"/>
      <c r="L66" s="423"/>
      <c r="M66" s="11"/>
      <c r="O66" s="148"/>
    </row>
    <row r="67" spans="1:15" x14ac:dyDescent="0.2">
      <c r="A67" s="414" t="s">
        <v>9</v>
      </c>
      <c r="B67" s="44"/>
      <c r="C67" s="145"/>
      <c r="D67" s="166"/>
      <c r="E67" s="27"/>
      <c r="F67" s="233"/>
      <c r="G67" s="145"/>
      <c r="H67" s="166"/>
      <c r="I67" s="27"/>
      <c r="J67" s="284"/>
      <c r="K67" s="44"/>
      <c r="L67" s="253"/>
      <c r="M67" s="27"/>
      <c r="O67" s="148"/>
    </row>
    <row r="68" spans="1:15" x14ac:dyDescent="0.2">
      <c r="A68" s="21" t="s">
        <v>10</v>
      </c>
      <c r="B68" s="289"/>
      <c r="C68" s="290"/>
      <c r="D68" s="166"/>
      <c r="E68" s="27"/>
      <c r="F68" s="289"/>
      <c r="G68" s="290"/>
      <c r="H68" s="166"/>
      <c r="I68" s="27"/>
      <c r="J68" s="284"/>
      <c r="K68" s="44"/>
      <c r="L68" s="253"/>
      <c r="M68" s="27"/>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c r="G72" s="278"/>
      <c r="H72" s="253"/>
      <c r="I72" s="27"/>
      <c r="J72" s="287"/>
      <c r="K72" s="287"/>
      <c r="L72" s="253"/>
      <c r="M72" s="23"/>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c r="G74" s="278"/>
      <c r="H74" s="253"/>
      <c r="I74" s="27"/>
      <c r="J74" s="287"/>
      <c r="K74" s="287"/>
      <c r="L74" s="253"/>
      <c r="M74" s="23"/>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c r="C77" s="233"/>
      <c r="D77" s="166"/>
      <c r="E77" s="27"/>
      <c r="F77" s="233"/>
      <c r="G77" s="145"/>
      <c r="H77" s="166"/>
      <c r="I77" s="27"/>
      <c r="J77" s="284"/>
      <c r="K77" s="44"/>
      <c r="L77" s="253"/>
      <c r="M77" s="27"/>
      <c r="O77" s="148"/>
    </row>
    <row r="78" spans="1:15" x14ac:dyDescent="0.2">
      <c r="A78" s="21" t="s">
        <v>9</v>
      </c>
      <c r="B78" s="233"/>
      <c r="C78" s="145"/>
      <c r="D78" s="166"/>
      <c r="E78" s="27"/>
      <c r="F78" s="233"/>
      <c r="G78" s="145"/>
      <c r="H78" s="166"/>
      <c r="I78" s="27"/>
      <c r="J78" s="284"/>
      <c r="K78" s="44"/>
      <c r="L78" s="253"/>
      <c r="M78" s="27"/>
      <c r="O78" s="148"/>
    </row>
    <row r="79" spans="1:15" x14ac:dyDescent="0.2">
      <c r="A79" s="21" t="s">
        <v>10</v>
      </c>
      <c r="B79" s="289"/>
      <c r="C79" s="290"/>
      <c r="D79" s="166"/>
      <c r="E79" s="27"/>
      <c r="F79" s="289"/>
      <c r="G79" s="290"/>
      <c r="H79" s="166"/>
      <c r="I79" s="27"/>
      <c r="J79" s="284"/>
      <c r="K79" s="44"/>
      <c r="L79" s="253"/>
      <c r="M79" s="27"/>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c r="G83" s="278"/>
      <c r="H83" s="253"/>
      <c r="I83" s="412"/>
      <c r="J83" s="287"/>
      <c r="K83" s="287"/>
      <c r="L83" s="253"/>
      <c r="M83" s="23"/>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c r="G85" s="278"/>
      <c r="H85" s="253"/>
      <c r="I85" s="412"/>
      <c r="J85" s="287"/>
      <c r="K85" s="287"/>
      <c r="L85" s="253"/>
      <c r="M85" s="23"/>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c r="C87" s="350"/>
      <c r="D87" s="171"/>
      <c r="E87" s="11"/>
      <c r="F87" s="349"/>
      <c r="G87" s="349"/>
      <c r="H87" s="171"/>
      <c r="I87" s="11"/>
      <c r="J87" s="306"/>
      <c r="K87" s="235"/>
      <c r="L87" s="423"/>
      <c r="M87" s="11"/>
      <c r="O87" s="148"/>
    </row>
    <row r="88" spans="1:15" x14ac:dyDescent="0.2">
      <c r="A88" s="21" t="s">
        <v>9</v>
      </c>
      <c r="B88" s="233"/>
      <c r="C88" s="145"/>
      <c r="D88" s="166"/>
      <c r="E88" s="27"/>
      <c r="F88" s="233"/>
      <c r="G88" s="145"/>
      <c r="H88" s="166"/>
      <c r="I88" s="27"/>
      <c r="J88" s="284"/>
      <c r="K88" s="44"/>
      <c r="L88" s="253"/>
      <c r="M88" s="27"/>
      <c r="O88" s="148"/>
    </row>
    <row r="89" spans="1:15" x14ac:dyDescent="0.2">
      <c r="A89" s="21" t="s">
        <v>10</v>
      </c>
      <c r="B89" s="233"/>
      <c r="C89" s="145"/>
      <c r="D89" s="166"/>
      <c r="E89" s="27"/>
      <c r="F89" s="233"/>
      <c r="G89" s="145"/>
      <c r="H89" s="166"/>
      <c r="I89" s="27"/>
      <c r="J89" s="284"/>
      <c r="K89" s="44"/>
      <c r="L89" s="253"/>
      <c r="M89" s="27"/>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c r="G93" s="278"/>
      <c r="H93" s="253"/>
      <c r="I93" s="412"/>
      <c r="J93" s="287"/>
      <c r="K93" s="287"/>
      <c r="L93" s="253"/>
      <c r="M93" s="23"/>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c r="G95" s="278"/>
      <c r="H95" s="253"/>
      <c r="I95" s="412"/>
      <c r="J95" s="287"/>
      <c r="K95" s="287"/>
      <c r="L95" s="253"/>
      <c r="M95" s="23"/>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c r="C98" s="233"/>
      <c r="D98" s="166"/>
      <c r="E98" s="27"/>
      <c r="F98" s="289"/>
      <c r="G98" s="289"/>
      <c r="H98" s="166"/>
      <c r="I98" s="27"/>
      <c r="J98" s="284"/>
      <c r="K98" s="44"/>
      <c r="L98" s="253"/>
      <c r="M98" s="27"/>
      <c r="O98" s="148"/>
    </row>
    <row r="99" spans="1:15" x14ac:dyDescent="0.2">
      <c r="A99" s="21" t="s">
        <v>9</v>
      </c>
      <c r="B99" s="289"/>
      <c r="C99" s="290"/>
      <c r="D99" s="166"/>
      <c r="E99" s="27"/>
      <c r="F99" s="233"/>
      <c r="G99" s="145"/>
      <c r="H99" s="166"/>
      <c r="I99" s="27"/>
      <c r="J99" s="284"/>
      <c r="K99" s="44"/>
      <c r="L99" s="253"/>
      <c r="M99" s="27"/>
      <c r="O99" s="148"/>
    </row>
    <row r="100" spans="1:15" x14ac:dyDescent="0.2">
      <c r="A100" s="21" t="s">
        <v>10</v>
      </c>
      <c r="B100" s="289"/>
      <c r="C100" s="290"/>
      <c r="D100" s="166"/>
      <c r="E100" s="27"/>
      <c r="F100" s="233"/>
      <c r="G100" s="233"/>
      <c r="H100" s="166"/>
      <c r="I100" s="27"/>
      <c r="J100" s="284"/>
      <c r="K100" s="44"/>
      <c r="L100" s="253"/>
      <c r="M100" s="27"/>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c r="G104" s="278"/>
      <c r="H104" s="253"/>
      <c r="I104" s="412"/>
      <c r="J104" s="287"/>
      <c r="K104" s="287"/>
      <c r="L104" s="253"/>
      <c r="M104" s="23"/>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c r="G106" s="278"/>
      <c r="H106" s="253"/>
      <c r="I106" s="412"/>
      <c r="J106" s="287"/>
      <c r="K106" s="287"/>
      <c r="L106" s="253"/>
      <c r="M106" s="23"/>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c r="C108" s="233"/>
      <c r="D108" s="166"/>
      <c r="E108" s="27"/>
      <c r="F108" s="233"/>
      <c r="G108" s="233"/>
      <c r="H108" s="166"/>
      <c r="I108" s="27"/>
      <c r="J108" s="284"/>
      <c r="K108" s="44"/>
      <c r="L108" s="253"/>
      <c r="M108" s="27"/>
      <c r="O108" s="148"/>
    </row>
    <row r="109" spans="1:15" ht="15.75" x14ac:dyDescent="0.2">
      <c r="A109" s="21" t="s">
        <v>476</v>
      </c>
      <c r="B109" s="233"/>
      <c r="C109" s="233"/>
      <c r="D109" s="166"/>
      <c r="E109" s="27"/>
      <c r="F109" s="233"/>
      <c r="G109" s="233"/>
      <c r="H109" s="166"/>
      <c r="I109" s="27"/>
      <c r="J109" s="284"/>
      <c r="K109" s="44"/>
      <c r="L109" s="253"/>
      <c r="M109" s="27"/>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c r="C111" s="159"/>
      <c r="D111" s="171"/>
      <c r="E111" s="11"/>
      <c r="F111" s="305"/>
      <c r="G111" s="159"/>
      <c r="H111" s="171"/>
      <c r="I111" s="11"/>
      <c r="J111" s="306"/>
      <c r="K111" s="235"/>
      <c r="L111" s="423"/>
      <c r="M111" s="11"/>
      <c r="O111" s="148"/>
    </row>
    <row r="112" spans="1:15" x14ac:dyDescent="0.2">
      <c r="A112" s="21" t="s">
        <v>9</v>
      </c>
      <c r="B112" s="233"/>
      <c r="C112" s="145"/>
      <c r="D112" s="166"/>
      <c r="E112" s="27"/>
      <c r="F112" s="233"/>
      <c r="G112" s="145"/>
      <c r="H112" s="166"/>
      <c r="I112" s="27"/>
      <c r="J112" s="284"/>
      <c r="K112" s="44"/>
      <c r="L112" s="253"/>
      <c r="M112" s="27"/>
      <c r="O112" s="148"/>
    </row>
    <row r="113" spans="1:15" x14ac:dyDescent="0.2">
      <c r="A113" s="21" t="s">
        <v>10</v>
      </c>
      <c r="B113" s="233"/>
      <c r="C113" s="145"/>
      <c r="D113" s="166"/>
      <c r="E113" s="27"/>
      <c r="F113" s="233"/>
      <c r="G113" s="145"/>
      <c r="H113" s="166"/>
      <c r="I113" s="27"/>
      <c r="J113" s="284"/>
      <c r="K113" s="44"/>
      <c r="L113" s="253"/>
      <c r="M113" s="27"/>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c r="C116" s="233"/>
      <c r="D116" s="166"/>
      <c r="E116" s="27"/>
      <c r="F116" s="233"/>
      <c r="G116" s="233"/>
      <c r="H116" s="166"/>
      <c r="I116" s="27"/>
      <c r="J116" s="284"/>
      <c r="K116" s="44"/>
      <c r="L116" s="253"/>
      <c r="M116" s="27"/>
      <c r="O116" s="148"/>
    </row>
    <row r="117" spans="1:15" ht="15.75" x14ac:dyDescent="0.2">
      <c r="A117" s="21" t="s">
        <v>479</v>
      </c>
      <c r="B117" s="233"/>
      <c r="C117" s="233"/>
      <c r="D117" s="166"/>
      <c r="E117" s="27"/>
      <c r="F117" s="233"/>
      <c r="G117" s="233"/>
      <c r="H117" s="166"/>
      <c r="I117" s="27"/>
      <c r="J117" s="284"/>
      <c r="K117" s="44"/>
      <c r="L117" s="253"/>
      <c r="M117" s="27"/>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c r="C119" s="159"/>
      <c r="D119" s="171"/>
      <c r="E119" s="11"/>
      <c r="F119" s="305"/>
      <c r="G119" s="159"/>
      <c r="H119" s="171"/>
      <c r="I119" s="11"/>
      <c r="J119" s="306"/>
      <c r="K119" s="235"/>
      <c r="L119" s="423"/>
      <c r="M119" s="11"/>
      <c r="O119" s="148"/>
    </row>
    <row r="120" spans="1:15" x14ac:dyDescent="0.2">
      <c r="A120" s="21" t="s">
        <v>9</v>
      </c>
      <c r="B120" s="233"/>
      <c r="C120" s="145"/>
      <c r="D120" s="166"/>
      <c r="E120" s="27"/>
      <c r="F120" s="233"/>
      <c r="G120" s="145"/>
      <c r="H120" s="166"/>
      <c r="I120" s="27"/>
      <c r="J120" s="284"/>
      <c r="K120" s="44"/>
      <c r="L120" s="253"/>
      <c r="M120" s="27"/>
      <c r="O120" s="148"/>
    </row>
    <row r="121" spans="1:15" x14ac:dyDescent="0.2">
      <c r="A121" s="21" t="s">
        <v>10</v>
      </c>
      <c r="B121" s="233"/>
      <c r="C121" s="145"/>
      <c r="D121" s="166"/>
      <c r="E121" s="27"/>
      <c r="F121" s="233"/>
      <c r="G121" s="145"/>
      <c r="H121" s="166"/>
      <c r="I121" s="27"/>
      <c r="J121" s="284"/>
      <c r="K121" s="44"/>
      <c r="L121" s="253"/>
      <c r="M121" s="27"/>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c r="C124" s="233"/>
      <c r="D124" s="166"/>
      <c r="E124" s="27"/>
      <c r="F124" s="233"/>
      <c r="G124" s="233"/>
      <c r="H124" s="166"/>
      <c r="I124" s="27"/>
      <c r="J124" s="284"/>
      <c r="K124" s="44"/>
      <c r="L124" s="253"/>
      <c r="M124" s="27"/>
      <c r="O124" s="148"/>
    </row>
    <row r="125" spans="1:15" ht="15.75" x14ac:dyDescent="0.2">
      <c r="A125" s="21" t="s">
        <v>476</v>
      </c>
      <c r="B125" s="233"/>
      <c r="C125" s="233"/>
      <c r="D125" s="166"/>
      <c r="E125" s="27"/>
      <c r="F125" s="233"/>
      <c r="G125" s="233"/>
      <c r="H125" s="166"/>
      <c r="I125" s="27"/>
      <c r="J125" s="284"/>
      <c r="K125" s="44"/>
      <c r="L125" s="253"/>
      <c r="M125" s="27"/>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296"/>
      <c r="F130" s="979"/>
      <c r="G130" s="979"/>
      <c r="H130" s="979"/>
      <c r="I130" s="296"/>
      <c r="J130" s="979"/>
      <c r="K130" s="979"/>
      <c r="L130" s="979"/>
      <c r="M130" s="296"/>
      <c r="O130" s="148"/>
    </row>
    <row r="131" spans="1:15" s="3" customFormat="1" x14ac:dyDescent="0.2">
      <c r="A131" s="144"/>
      <c r="B131" s="975" t="s">
        <v>0</v>
      </c>
      <c r="C131" s="976"/>
      <c r="D131" s="976"/>
      <c r="E131" s="298"/>
      <c r="F131" s="975" t="s">
        <v>1</v>
      </c>
      <c r="G131" s="976"/>
      <c r="H131" s="976"/>
      <c r="I131" s="301"/>
      <c r="J131" s="975" t="s">
        <v>2</v>
      </c>
      <c r="K131" s="976"/>
      <c r="L131" s="976"/>
      <c r="M131" s="301"/>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61" priority="124">
      <formula>kvartal &lt; 4</formula>
    </cfRule>
  </conditionalFormatting>
  <conditionalFormatting sqref="B69">
    <cfRule type="expression" dxfId="960" priority="92">
      <formula>kvartal &lt; 4</formula>
    </cfRule>
  </conditionalFormatting>
  <conditionalFormatting sqref="C69">
    <cfRule type="expression" dxfId="959" priority="91">
      <formula>kvartal &lt; 4</formula>
    </cfRule>
  </conditionalFormatting>
  <conditionalFormatting sqref="B72">
    <cfRule type="expression" dxfId="958" priority="90">
      <formula>kvartal &lt; 4</formula>
    </cfRule>
  </conditionalFormatting>
  <conditionalFormatting sqref="C72">
    <cfRule type="expression" dxfId="957" priority="89">
      <formula>kvartal &lt; 4</formula>
    </cfRule>
  </conditionalFormatting>
  <conditionalFormatting sqref="B80">
    <cfRule type="expression" dxfId="956" priority="88">
      <formula>kvartal &lt; 4</formula>
    </cfRule>
  </conditionalFormatting>
  <conditionalFormatting sqref="C80">
    <cfRule type="expression" dxfId="955" priority="87">
      <formula>kvartal &lt; 4</formula>
    </cfRule>
  </conditionalFormatting>
  <conditionalFormatting sqref="B83">
    <cfRule type="expression" dxfId="954" priority="86">
      <formula>kvartal &lt; 4</formula>
    </cfRule>
  </conditionalFormatting>
  <conditionalFormatting sqref="C83">
    <cfRule type="expression" dxfId="953" priority="85">
      <formula>kvartal &lt; 4</formula>
    </cfRule>
  </conditionalFormatting>
  <conditionalFormatting sqref="B90">
    <cfRule type="expression" dxfId="952" priority="76">
      <formula>kvartal &lt; 4</formula>
    </cfRule>
  </conditionalFormatting>
  <conditionalFormatting sqref="C90">
    <cfRule type="expression" dxfId="951" priority="75">
      <formula>kvartal &lt; 4</formula>
    </cfRule>
  </conditionalFormatting>
  <conditionalFormatting sqref="B93">
    <cfRule type="expression" dxfId="950" priority="74">
      <formula>kvartal &lt; 4</formula>
    </cfRule>
  </conditionalFormatting>
  <conditionalFormatting sqref="C93">
    <cfRule type="expression" dxfId="949" priority="73">
      <formula>kvartal &lt; 4</formula>
    </cfRule>
  </conditionalFormatting>
  <conditionalFormatting sqref="B101">
    <cfRule type="expression" dxfId="948" priority="72">
      <formula>kvartal &lt; 4</formula>
    </cfRule>
  </conditionalFormatting>
  <conditionalFormatting sqref="C101">
    <cfRule type="expression" dxfId="947" priority="71">
      <formula>kvartal &lt; 4</formula>
    </cfRule>
  </conditionalFormatting>
  <conditionalFormatting sqref="B104">
    <cfRule type="expression" dxfId="946" priority="70">
      <formula>kvartal &lt; 4</formula>
    </cfRule>
  </conditionalFormatting>
  <conditionalFormatting sqref="C104">
    <cfRule type="expression" dxfId="945" priority="69">
      <formula>kvartal &lt; 4</formula>
    </cfRule>
  </conditionalFormatting>
  <conditionalFormatting sqref="B115">
    <cfRule type="expression" dxfId="944" priority="68">
      <formula>kvartal &lt; 4</formula>
    </cfRule>
  </conditionalFormatting>
  <conditionalFormatting sqref="C115">
    <cfRule type="expression" dxfId="943" priority="67">
      <formula>kvartal &lt; 4</formula>
    </cfRule>
  </conditionalFormatting>
  <conditionalFormatting sqref="B123">
    <cfRule type="expression" dxfId="942" priority="66">
      <formula>kvartal &lt; 4</formula>
    </cfRule>
  </conditionalFormatting>
  <conditionalFormatting sqref="C123">
    <cfRule type="expression" dxfId="941" priority="65">
      <formula>kvartal &lt; 4</formula>
    </cfRule>
  </conditionalFormatting>
  <conditionalFormatting sqref="F70">
    <cfRule type="expression" dxfId="940" priority="64">
      <formula>kvartal &lt; 4</formula>
    </cfRule>
  </conditionalFormatting>
  <conditionalFormatting sqref="G70">
    <cfRule type="expression" dxfId="939" priority="63">
      <formula>kvartal &lt; 4</formula>
    </cfRule>
  </conditionalFormatting>
  <conditionalFormatting sqref="F71:G71">
    <cfRule type="expression" dxfId="938" priority="62">
      <formula>kvartal &lt; 4</formula>
    </cfRule>
  </conditionalFormatting>
  <conditionalFormatting sqref="F73:G74">
    <cfRule type="expression" dxfId="937" priority="61">
      <formula>kvartal &lt; 4</formula>
    </cfRule>
  </conditionalFormatting>
  <conditionalFormatting sqref="F81:G82">
    <cfRule type="expression" dxfId="936" priority="60">
      <formula>kvartal &lt; 4</formula>
    </cfRule>
  </conditionalFormatting>
  <conditionalFormatting sqref="F84:G85">
    <cfRule type="expression" dxfId="935" priority="59">
      <formula>kvartal &lt; 4</formula>
    </cfRule>
  </conditionalFormatting>
  <conditionalFormatting sqref="F91:G92">
    <cfRule type="expression" dxfId="934" priority="54">
      <formula>kvartal &lt; 4</formula>
    </cfRule>
  </conditionalFormatting>
  <conditionalFormatting sqref="F94:G95">
    <cfRule type="expression" dxfId="933" priority="53">
      <formula>kvartal &lt; 4</formula>
    </cfRule>
  </conditionalFormatting>
  <conditionalFormatting sqref="F102:G103">
    <cfRule type="expression" dxfId="932" priority="52">
      <formula>kvartal &lt; 4</formula>
    </cfRule>
  </conditionalFormatting>
  <conditionalFormatting sqref="F105:G106">
    <cfRule type="expression" dxfId="931" priority="51">
      <formula>kvartal &lt; 4</formula>
    </cfRule>
  </conditionalFormatting>
  <conditionalFormatting sqref="F115">
    <cfRule type="expression" dxfId="930" priority="50">
      <formula>kvartal &lt; 4</formula>
    </cfRule>
  </conditionalFormatting>
  <conditionalFormatting sqref="G115">
    <cfRule type="expression" dxfId="929" priority="49">
      <formula>kvartal &lt; 4</formula>
    </cfRule>
  </conditionalFormatting>
  <conditionalFormatting sqref="F123:G123">
    <cfRule type="expression" dxfId="928" priority="48">
      <formula>kvartal &lt; 4</formula>
    </cfRule>
  </conditionalFormatting>
  <conditionalFormatting sqref="F69:G69">
    <cfRule type="expression" dxfId="927" priority="47">
      <formula>kvartal &lt; 4</formula>
    </cfRule>
  </conditionalFormatting>
  <conditionalFormatting sqref="F72:G72">
    <cfRule type="expression" dxfId="926" priority="46">
      <formula>kvartal &lt; 4</formula>
    </cfRule>
  </conditionalFormatting>
  <conditionalFormatting sqref="F80:G80">
    <cfRule type="expression" dxfId="925" priority="45">
      <formula>kvartal &lt; 4</formula>
    </cfRule>
  </conditionalFormatting>
  <conditionalFormatting sqref="F83:G83">
    <cfRule type="expression" dxfId="924" priority="44">
      <formula>kvartal &lt; 4</formula>
    </cfRule>
  </conditionalFormatting>
  <conditionalFormatting sqref="F90:G90">
    <cfRule type="expression" dxfId="923" priority="38">
      <formula>kvartal &lt; 4</formula>
    </cfRule>
  </conditionalFormatting>
  <conditionalFormatting sqref="F93">
    <cfRule type="expression" dxfId="922" priority="37">
      <formula>kvartal &lt; 4</formula>
    </cfRule>
  </conditionalFormatting>
  <conditionalFormatting sqref="G93">
    <cfRule type="expression" dxfId="921" priority="36">
      <formula>kvartal &lt; 4</formula>
    </cfRule>
  </conditionalFormatting>
  <conditionalFormatting sqref="F101">
    <cfRule type="expression" dxfId="920" priority="35">
      <formula>kvartal &lt; 4</formula>
    </cfRule>
  </conditionalFormatting>
  <conditionalFormatting sqref="G101">
    <cfRule type="expression" dxfId="919" priority="34">
      <formula>kvartal &lt; 4</formula>
    </cfRule>
  </conditionalFormatting>
  <conditionalFormatting sqref="G104">
    <cfRule type="expression" dxfId="918" priority="33">
      <formula>kvartal &lt; 4</formula>
    </cfRule>
  </conditionalFormatting>
  <conditionalFormatting sqref="F104">
    <cfRule type="expression" dxfId="917" priority="32">
      <formula>kvartal &lt; 4</formula>
    </cfRule>
  </conditionalFormatting>
  <conditionalFormatting sqref="J69">
    <cfRule type="expression" dxfId="916" priority="31">
      <formula>kvartal &lt; 4</formula>
    </cfRule>
  </conditionalFormatting>
  <conditionalFormatting sqref="A50:A52">
    <cfRule type="expression" dxfId="915" priority="19">
      <formula>kvartal &lt; 4</formula>
    </cfRule>
  </conditionalFormatting>
  <conditionalFormatting sqref="A69:A74">
    <cfRule type="expression" dxfId="914" priority="17">
      <formula>kvartal &lt; 4</formula>
    </cfRule>
  </conditionalFormatting>
  <conditionalFormatting sqref="A80:A85">
    <cfRule type="expression" dxfId="913" priority="16">
      <formula>kvartal &lt; 4</formula>
    </cfRule>
  </conditionalFormatting>
  <conditionalFormatting sqref="A90:A95">
    <cfRule type="expression" dxfId="912" priority="13">
      <formula>kvartal &lt; 4</formula>
    </cfRule>
  </conditionalFormatting>
  <conditionalFormatting sqref="A101:A106">
    <cfRule type="expression" dxfId="911" priority="12">
      <formula>kvartal &lt; 4</formula>
    </cfRule>
  </conditionalFormatting>
  <conditionalFormatting sqref="A115">
    <cfRule type="expression" dxfId="910" priority="11">
      <formula>kvartal &lt; 4</formula>
    </cfRule>
  </conditionalFormatting>
  <conditionalFormatting sqref="A123">
    <cfRule type="expression" dxfId="909" priority="10">
      <formula>kvartal &lt; 4</formula>
    </cfRule>
  </conditionalFormatting>
  <conditionalFormatting sqref="J70:J74">
    <cfRule type="expression" dxfId="908" priority="7">
      <formula>kvartal &lt; 4</formula>
    </cfRule>
  </conditionalFormatting>
  <conditionalFormatting sqref="K69:K74">
    <cfRule type="expression" dxfId="907" priority="6">
      <formula>kvartal &lt; 4</formula>
    </cfRule>
  </conditionalFormatting>
  <conditionalFormatting sqref="J80:K85">
    <cfRule type="expression" dxfId="906" priority="5">
      <formula>kvartal &lt; 4</formula>
    </cfRule>
  </conditionalFormatting>
  <conditionalFormatting sqref="J90:K95">
    <cfRule type="expression" dxfId="905" priority="4">
      <formula>kvartal &lt; 4</formula>
    </cfRule>
  </conditionalFormatting>
  <conditionalFormatting sqref="J101:K106">
    <cfRule type="expression" dxfId="904" priority="3">
      <formula>kvartal &lt; 4</formula>
    </cfRule>
  </conditionalFormatting>
  <conditionalFormatting sqref="J115:K115">
    <cfRule type="expression" dxfId="903" priority="2">
      <formula>kvartal &lt; 4</formula>
    </cfRule>
  </conditionalFormatting>
  <conditionalFormatting sqref="J123:K123">
    <cfRule type="expression" dxfId="902" priority="1">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62"/>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sheetView>
  </sheetViews>
  <sheetFormatPr baseColWidth="10" defaultColWidth="11.42578125" defaultRowHeight="12.75" x14ac:dyDescent="0.2"/>
  <cols>
    <col min="1" max="1" width="90" style="516" customWidth="1"/>
    <col min="2" max="43" width="11.7109375" style="516" customWidth="1"/>
    <col min="44" max="16384" width="11.42578125" style="516"/>
  </cols>
  <sheetData>
    <row r="1" spans="1:43" ht="20.25" x14ac:dyDescent="0.3">
      <c r="A1" s="514" t="s">
        <v>292</v>
      </c>
      <c r="B1" s="480" t="s">
        <v>52</v>
      </c>
      <c r="C1" s="515"/>
      <c r="D1" s="515"/>
      <c r="E1" s="515"/>
      <c r="F1" s="515"/>
      <c r="G1" s="515"/>
      <c r="H1" s="515"/>
      <c r="I1" s="515"/>
      <c r="J1" s="515"/>
    </row>
    <row r="2" spans="1:43" ht="20.25" x14ac:dyDescent="0.3">
      <c r="A2" s="514" t="s">
        <v>265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row>
    <row r="3" spans="1:43" ht="18.75" x14ac:dyDescent="0.3">
      <c r="A3" s="518" t="s">
        <v>293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row>
    <row r="4" spans="1:43" ht="18.75" customHeight="1" x14ac:dyDescent="0.25">
      <c r="A4" s="486" t="s">
        <v>371</v>
      </c>
      <c r="B4" s="521"/>
      <c r="C4" s="521"/>
      <c r="D4" s="522"/>
      <c r="E4" s="523"/>
      <c r="F4" s="521"/>
      <c r="G4" s="522"/>
      <c r="H4" s="523"/>
      <c r="I4" s="521"/>
      <c r="J4" s="522"/>
      <c r="K4" s="524"/>
      <c r="L4" s="524"/>
      <c r="M4" s="524"/>
      <c r="N4" s="525"/>
      <c r="O4" s="524"/>
      <c r="P4" s="526"/>
      <c r="Q4" s="525"/>
      <c r="R4" s="524"/>
      <c r="S4" s="526"/>
      <c r="T4" s="525"/>
      <c r="U4" s="524"/>
      <c r="V4" s="526"/>
      <c r="W4" s="525"/>
      <c r="X4" s="524"/>
      <c r="Y4" s="526"/>
      <c r="Z4" s="525"/>
      <c r="AA4" s="524"/>
      <c r="AB4" s="526"/>
      <c r="AC4" s="525"/>
      <c r="AD4" s="524"/>
      <c r="AE4" s="526"/>
      <c r="AF4" s="525"/>
      <c r="AG4" s="524"/>
      <c r="AH4" s="526"/>
      <c r="AI4" s="525"/>
      <c r="AJ4" s="524"/>
      <c r="AK4" s="526"/>
      <c r="AL4" s="527"/>
      <c r="AM4" s="528"/>
      <c r="AN4" s="529"/>
      <c r="AO4" s="525"/>
      <c r="AP4" s="524"/>
      <c r="AQ4" s="530"/>
    </row>
    <row r="5" spans="1:43" ht="18.75" customHeight="1" x14ac:dyDescent="0.3">
      <c r="A5" s="531" t="s">
        <v>106</v>
      </c>
      <c r="B5" s="982" t="s">
        <v>183</v>
      </c>
      <c r="C5" s="983"/>
      <c r="D5" s="984"/>
      <c r="E5" s="982" t="s">
        <v>184</v>
      </c>
      <c r="F5" s="983"/>
      <c r="G5" s="984"/>
      <c r="H5" s="982" t="s">
        <v>185</v>
      </c>
      <c r="I5" s="983"/>
      <c r="J5" s="984"/>
      <c r="K5" s="982" t="s">
        <v>186</v>
      </c>
      <c r="L5" s="983"/>
      <c r="M5" s="984"/>
      <c r="N5" s="982" t="s">
        <v>187</v>
      </c>
      <c r="O5" s="983"/>
      <c r="P5" s="984"/>
      <c r="Q5" s="982"/>
      <c r="R5" s="983"/>
      <c r="S5" s="984"/>
      <c r="T5" s="982" t="s">
        <v>64</v>
      </c>
      <c r="U5" s="983"/>
      <c r="V5" s="984"/>
      <c r="W5" s="846"/>
      <c r="X5" s="847"/>
      <c r="Y5" s="848"/>
      <c r="Z5" s="982" t="s">
        <v>188</v>
      </c>
      <c r="AA5" s="983"/>
      <c r="AB5" s="984"/>
      <c r="AC5" s="915"/>
      <c r="AD5" s="916"/>
      <c r="AE5" s="917"/>
      <c r="AF5" s="982"/>
      <c r="AG5" s="983"/>
      <c r="AH5" s="984"/>
      <c r="AI5" s="982" t="s">
        <v>75</v>
      </c>
      <c r="AJ5" s="983"/>
      <c r="AK5" s="984"/>
      <c r="AL5" s="988" t="s">
        <v>2</v>
      </c>
      <c r="AM5" s="989"/>
      <c r="AN5" s="990"/>
      <c r="AO5" s="982" t="s">
        <v>294</v>
      </c>
      <c r="AP5" s="983"/>
      <c r="AQ5" s="984"/>
    </row>
    <row r="6" spans="1:43" ht="21" customHeight="1" x14ac:dyDescent="0.3">
      <c r="A6" s="532"/>
      <c r="B6" s="985" t="s">
        <v>189</v>
      </c>
      <c r="C6" s="986"/>
      <c r="D6" s="987"/>
      <c r="E6" s="985" t="s">
        <v>190</v>
      </c>
      <c r="F6" s="986"/>
      <c r="G6" s="987"/>
      <c r="H6" s="985" t="s">
        <v>190</v>
      </c>
      <c r="I6" s="986"/>
      <c r="J6" s="987"/>
      <c r="K6" s="985" t="s">
        <v>191</v>
      </c>
      <c r="L6" s="986"/>
      <c r="M6" s="987"/>
      <c r="N6" s="985" t="s">
        <v>94</v>
      </c>
      <c r="O6" s="986"/>
      <c r="P6" s="987"/>
      <c r="Q6" s="985" t="s">
        <v>64</v>
      </c>
      <c r="R6" s="986"/>
      <c r="S6" s="987"/>
      <c r="T6" s="985" t="s">
        <v>192</v>
      </c>
      <c r="U6" s="986"/>
      <c r="V6" s="987"/>
      <c r="W6" s="985" t="s">
        <v>68</v>
      </c>
      <c r="X6" s="986"/>
      <c r="Y6" s="987"/>
      <c r="Z6" s="985" t="s">
        <v>189</v>
      </c>
      <c r="AA6" s="986"/>
      <c r="AB6" s="987"/>
      <c r="AC6" s="985" t="s">
        <v>74</v>
      </c>
      <c r="AD6" s="986"/>
      <c r="AE6" s="987"/>
      <c r="AF6" s="985" t="s">
        <v>70</v>
      </c>
      <c r="AG6" s="986"/>
      <c r="AH6" s="987"/>
      <c r="AI6" s="985" t="s">
        <v>190</v>
      </c>
      <c r="AJ6" s="986"/>
      <c r="AK6" s="987"/>
      <c r="AL6" s="991" t="s">
        <v>295</v>
      </c>
      <c r="AM6" s="992"/>
      <c r="AN6" s="993"/>
      <c r="AO6" s="985" t="s">
        <v>296</v>
      </c>
      <c r="AP6" s="986"/>
      <c r="AQ6" s="987"/>
    </row>
    <row r="7" spans="1:43" ht="18.75" customHeight="1" x14ac:dyDescent="0.3">
      <c r="A7" s="532"/>
      <c r="B7" s="531"/>
      <c r="C7" s="531"/>
      <c r="D7" s="533" t="s">
        <v>83</v>
      </c>
      <c r="E7" s="531"/>
      <c r="F7" s="531"/>
      <c r="G7" s="533" t="s">
        <v>83</v>
      </c>
      <c r="H7" s="531"/>
      <c r="I7" s="531"/>
      <c r="J7" s="533" t="s">
        <v>83</v>
      </c>
      <c r="K7" s="531"/>
      <c r="L7" s="531"/>
      <c r="M7" s="533" t="s">
        <v>83</v>
      </c>
      <c r="N7" s="531"/>
      <c r="O7" s="531"/>
      <c r="P7" s="533" t="s">
        <v>83</v>
      </c>
      <c r="Q7" s="531"/>
      <c r="R7" s="531"/>
      <c r="S7" s="533" t="s">
        <v>83</v>
      </c>
      <c r="T7" s="531"/>
      <c r="U7" s="531"/>
      <c r="V7" s="533" t="s">
        <v>83</v>
      </c>
      <c r="W7" s="531"/>
      <c r="X7" s="531"/>
      <c r="Y7" s="533" t="s">
        <v>83</v>
      </c>
      <c r="Z7" s="531"/>
      <c r="AA7" s="531"/>
      <c r="AB7" s="533" t="s">
        <v>83</v>
      </c>
      <c r="AC7" s="531"/>
      <c r="AD7" s="531"/>
      <c r="AE7" s="533" t="s">
        <v>83</v>
      </c>
      <c r="AF7" s="531"/>
      <c r="AG7" s="531"/>
      <c r="AH7" s="533" t="s">
        <v>83</v>
      </c>
      <c r="AI7" s="531"/>
      <c r="AJ7" s="531"/>
      <c r="AK7" s="533" t="s">
        <v>83</v>
      </c>
      <c r="AL7" s="531"/>
      <c r="AM7" s="531"/>
      <c r="AN7" s="533" t="s">
        <v>83</v>
      </c>
      <c r="AO7" s="531"/>
      <c r="AP7" s="531"/>
      <c r="AQ7" s="533" t="s">
        <v>83</v>
      </c>
    </row>
    <row r="8" spans="1:43" ht="18.75" customHeight="1" x14ac:dyDescent="0.25">
      <c r="A8" s="534" t="s">
        <v>297</v>
      </c>
      <c r="B8" s="841">
        <v>2017</v>
      </c>
      <c r="C8" s="841">
        <v>2018</v>
      </c>
      <c r="D8" s="535" t="s">
        <v>85</v>
      </c>
      <c r="E8" s="841">
        <v>2017</v>
      </c>
      <c r="F8" s="841">
        <v>2018</v>
      </c>
      <c r="G8" s="535" t="s">
        <v>85</v>
      </c>
      <c r="H8" s="841">
        <v>2017</v>
      </c>
      <c r="I8" s="841">
        <v>2018</v>
      </c>
      <c r="J8" s="535" t="s">
        <v>85</v>
      </c>
      <c r="K8" s="841">
        <v>2017</v>
      </c>
      <c r="L8" s="841">
        <v>2018</v>
      </c>
      <c r="M8" s="535" t="s">
        <v>85</v>
      </c>
      <c r="N8" s="841">
        <v>2017</v>
      </c>
      <c r="O8" s="841">
        <v>2018</v>
      </c>
      <c r="P8" s="535" t="s">
        <v>85</v>
      </c>
      <c r="Q8" s="841">
        <v>2017</v>
      </c>
      <c r="R8" s="841">
        <v>2018</v>
      </c>
      <c r="S8" s="535" t="s">
        <v>85</v>
      </c>
      <c r="T8" s="841">
        <v>2017</v>
      </c>
      <c r="U8" s="841">
        <v>2018</v>
      </c>
      <c r="V8" s="535" t="s">
        <v>85</v>
      </c>
      <c r="W8" s="841">
        <v>2017</v>
      </c>
      <c r="X8" s="841">
        <v>2018</v>
      </c>
      <c r="Y8" s="535" t="s">
        <v>85</v>
      </c>
      <c r="Z8" s="841">
        <v>2017</v>
      </c>
      <c r="AA8" s="841">
        <v>2018</v>
      </c>
      <c r="AB8" s="535" t="s">
        <v>85</v>
      </c>
      <c r="AC8" s="841">
        <v>2017</v>
      </c>
      <c r="AD8" s="841">
        <v>2018</v>
      </c>
      <c r="AE8" s="535" t="s">
        <v>85</v>
      </c>
      <c r="AF8" s="841">
        <v>2017</v>
      </c>
      <c r="AG8" s="841">
        <v>2018</v>
      </c>
      <c r="AH8" s="535" t="s">
        <v>85</v>
      </c>
      <c r="AI8" s="841">
        <v>2017</v>
      </c>
      <c r="AJ8" s="841">
        <v>2018</v>
      </c>
      <c r="AK8" s="535" t="s">
        <v>85</v>
      </c>
      <c r="AL8" s="841">
        <v>2017</v>
      </c>
      <c r="AM8" s="841">
        <v>2018</v>
      </c>
      <c r="AN8" s="535" t="s">
        <v>85</v>
      </c>
      <c r="AO8" s="841">
        <v>2017</v>
      </c>
      <c r="AP8" s="841">
        <v>2018</v>
      </c>
      <c r="AQ8" s="535" t="s">
        <v>85</v>
      </c>
    </row>
    <row r="9" spans="1:43" ht="18.75" customHeight="1" x14ac:dyDescent="0.3">
      <c r="A9" s="532" t="s">
        <v>298</v>
      </c>
      <c r="B9" s="855"/>
      <c r="C9" s="839"/>
      <c r="D9" s="537"/>
      <c r="E9" s="855"/>
      <c r="F9" s="839"/>
      <c r="G9" s="537"/>
      <c r="H9" s="855"/>
      <c r="I9" s="839"/>
      <c r="J9" s="537"/>
      <c r="K9" s="855"/>
      <c r="L9" s="839"/>
      <c r="M9" s="536"/>
      <c r="N9" s="538"/>
      <c r="O9" s="539"/>
      <c r="P9" s="537"/>
      <c r="Q9" s="913"/>
      <c r="R9" s="843"/>
      <c r="S9" s="537"/>
      <c r="T9" s="855"/>
      <c r="U9" s="839"/>
      <c r="V9" s="537"/>
      <c r="W9" s="855"/>
      <c r="X9" s="839"/>
      <c r="Y9" s="537"/>
      <c r="Z9" s="913"/>
      <c r="AA9" s="843"/>
      <c r="AB9" s="537"/>
      <c r="AC9" s="855"/>
      <c r="AD9" s="839"/>
      <c r="AE9" s="537"/>
      <c r="AF9" s="855"/>
      <c r="AG9" s="839"/>
      <c r="AH9" s="537"/>
      <c r="AI9" s="855"/>
      <c r="AJ9" s="839"/>
      <c r="AK9" s="537"/>
      <c r="AL9" s="537"/>
      <c r="AM9" s="537"/>
      <c r="AN9" s="537"/>
      <c r="AO9" s="540"/>
      <c r="AP9" s="540"/>
      <c r="AQ9" s="540"/>
    </row>
    <row r="10" spans="1:43" s="517" customFormat="1" ht="18.75" customHeight="1" x14ac:dyDescent="0.3">
      <c r="A10" s="541" t="s">
        <v>299</v>
      </c>
      <c r="B10" s="856"/>
      <c r="C10" s="433"/>
      <c r="D10" s="543"/>
      <c r="E10" s="856"/>
      <c r="F10" s="433"/>
      <c r="G10" s="543"/>
      <c r="H10" s="856"/>
      <c r="I10" s="433"/>
      <c r="J10" s="543"/>
      <c r="K10" s="856"/>
      <c r="L10" s="433"/>
      <c r="M10" s="542"/>
      <c r="N10" s="544"/>
      <c r="O10" s="545"/>
      <c r="P10" s="543"/>
      <c r="Q10" s="857"/>
      <c r="R10" s="336"/>
      <c r="S10" s="543"/>
      <c r="T10" s="856"/>
      <c r="U10" s="433"/>
      <c r="V10" s="543"/>
      <c r="W10" s="856"/>
      <c r="X10" s="433"/>
      <c r="Y10" s="543"/>
      <c r="Z10" s="857"/>
      <c r="AA10" s="336"/>
      <c r="AB10" s="543"/>
      <c r="AC10" s="856"/>
      <c r="AD10" s="433"/>
      <c r="AE10" s="543"/>
      <c r="AF10" s="856"/>
      <c r="AG10" s="433"/>
      <c r="AH10" s="543"/>
      <c r="AI10" s="856"/>
      <c r="AJ10" s="433"/>
      <c r="AK10" s="543"/>
      <c r="AL10" s="543"/>
      <c r="AM10" s="543"/>
      <c r="AN10" s="543"/>
      <c r="AO10" s="547"/>
      <c r="AP10" s="547"/>
      <c r="AQ10" s="547"/>
    </row>
    <row r="11" spans="1:43" s="517" customFormat="1" ht="18.75" customHeight="1" x14ac:dyDescent="0.3">
      <c r="A11" s="541" t="s">
        <v>300</v>
      </c>
      <c r="B11" s="857">
        <v>2172.0700000000002</v>
      </c>
      <c r="C11" s="336">
        <f>2270.115+3.886</f>
        <v>2274.0009999999997</v>
      </c>
      <c r="D11" s="543">
        <f t="shared" ref="D11:D16" si="0">IF(B11=0, "    ---- ", IF(ABS(ROUND(100/B11*C11-100,1))&lt;999,ROUND(100/B11*C11-100,1),IF(ROUND(100/B11*C11-100,1)&gt;999,999,-999)))</f>
        <v>4.7</v>
      </c>
      <c r="E11" s="857">
        <v>13910.584000000001</v>
      </c>
      <c r="F11" s="336">
        <v>13765.86</v>
      </c>
      <c r="G11" s="543">
        <f t="shared" ref="G11:G17" si="1">IF(E11=0, "    ---- ", IF(ABS(ROUND(100/E11*F11-100,1))&lt;999,ROUND(100/E11*F11-100,1),IF(ROUND(100/E11*F11-100,1)&gt;999,999,-999)))</f>
        <v>-1</v>
      </c>
      <c r="H11" s="857">
        <v>885.303</v>
      </c>
      <c r="I11" s="336">
        <v>933.3</v>
      </c>
      <c r="J11" s="543">
        <f t="shared" ref="J11:J17" si="2">IF(H11=0, "    ---- ", IF(ABS(ROUND(100/H11*I11-100,1))&lt;999,ROUND(100/H11*I11-100,1),IF(ROUND(100/H11*I11-100,1)&gt;999,999,-999)))</f>
        <v>5.4</v>
      </c>
      <c r="K11" s="857">
        <v>3094.8</v>
      </c>
      <c r="L11" s="336">
        <v>3441.3</v>
      </c>
      <c r="M11" s="543">
        <f t="shared" ref="M11:M16" si="3">IF(K11=0, "    ---- ", IF(ABS(ROUND(100/K11*L11-100,1))&lt;999,ROUND(100/K11*L11-100,1),IF(ROUND(100/K11*L11-100,1)&gt;999,999,-999)))</f>
        <v>11.2</v>
      </c>
      <c r="N11" s="857">
        <v>37</v>
      </c>
      <c r="O11" s="336">
        <v>35</v>
      </c>
      <c r="P11" s="543">
        <f>IF(N11=0, "    ---- ", IF(ABS(ROUND(100/N11*O11-100,1))&lt;999,ROUND(100/N11*O11-100,1),IF(ROUND(100/N11*O11-100,1)&gt;999,999,-999)))</f>
        <v>-5.4</v>
      </c>
      <c r="Q11" s="857">
        <v>32122.480125959999</v>
      </c>
      <c r="R11" s="336">
        <v>38724.465204820001</v>
      </c>
      <c r="S11" s="543">
        <f t="shared" ref="S11:S17" si="4">IF(Q11=0, "    ---- ", IF(ABS(ROUND(100/Q11*R11-100,1))&lt;999,ROUND(100/Q11*R11-100,1),IF(ROUND(100/Q11*R11-100,1)&gt;999,999,-999)))</f>
        <v>20.6</v>
      </c>
      <c r="T11" s="857">
        <v>453.9</v>
      </c>
      <c r="U11" s="336">
        <v>522</v>
      </c>
      <c r="V11" s="543">
        <f t="shared" ref="V11:V30" si="5">IF(T11=0, "    ---- ", IF(ABS(ROUND(100/T11*U11-100,1))&lt;999,ROUND(100/T11*U11-100,1),IF(ROUND(100/T11*U11-100,1)&gt;999,999,-999)))</f>
        <v>15</v>
      </c>
      <c r="W11" s="857">
        <v>11221</v>
      </c>
      <c r="X11" s="336">
        <v>9883</v>
      </c>
      <c r="Y11" s="543">
        <f t="shared" ref="Y11:Y17" si="6">IF(W11=0, "    ---- ", IF(ABS(ROUND(100/W11*X11-100,1))&lt;999,ROUND(100/W11*X11-100,1),IF(ROUND(100/W11*X11-100,1)&gt;999,999,-999)))</f>
        <v>-11.9</v>
      </c>
      <c r="Z11" s="857">
        <v>4149</v>
      </c>
      <c r="AA11" s="336">
        <v>4832</v>
      </c>
      <c r="AB11" s="543">
        <f t="shared" ref="AB11:AB17" si="7">IF(Z11=0, "    ---- ", IF(ABS(ROUND(100/Z11*AA11-100,1))&lt;999,ROUND(100/Z11*AA11-100,1),IF(ROUND(100/Z11*AA11-100,1)&gt;999,999,-999)))</f>
        <v>16.5</v>
      </c>
      <c r="AC11" s="857">
        <v>169</v>
      </c>
      <c r="AD11" s="336">
        <v>154</v>
      </c>
      <c r="AE11" s="543">
        <f t="shared" ref="AE11:AE16" si="8">IF(AC11=0, "    ---- ", IF(ABS(ROUND(100/AC11*AD11-100,1))&lt;999,ROUND(100/AC11*AD11-100,1),IF(ROUND(100/AC11*AD11-100,1)&gt;999,999,-999)))</f>
        <v>-8.9</v>
      </c>
      <c r="AF11" s="857">
        <v>6236.78092517</v>
      </c>
      <c r="AG11" s="336">
        <v>7016.4264768899993</v>
      </c>
      <c r="AH11" s="543">
        <f t="shared" ref="AH11:AH17" si="9">IF(AF11=0, "    ---- ", IF(ABS(ROUND(100/AF11*AG11-100,1))&lt;999,ROUND(100/AF11*AG11-100,1),IF(ROUND(100/AF11*AG11-100,1)&gt;999,999,-999)))</f>
        <v>12.5</v>
      </c>
      <c r="AI11" s="857">
        <v>16357</v>
      </c>
      <c r="AJ11" s="336">
        <v>16729</v>
      </c>
      <c r="AK11" s="543">
        <f t="shared" ref="AK11:AK17" si="10">IF(AI11=0, "    ---- ", IF(ABS(ROUND(100/AI11*AJ11-100,1))&lt;999,ROUND(100/AI11*AJ11-100,1),IF(ROUND(100/AI11*AJ11-100,1)&gt;999,999,-999)))</f>
        <v>2.2999999999999998</v>
      </c>
      <c r="AL11" s="543">
        <f t="shared" ref="AL11:AM17" si="11">B11+E11+H11+K11+Q11+T11+W11+Z11+AF11+AI11</f>
        <v>90602.918051129993</v>
      </c>
      <c r="AM11" s="543">
        <f t="shared" si="11"/>
        <v>98121.352681710006</v>
      </c>
      <c r="AN11" s="543">
        <f t="shared" ref="AN11:AN45" si="12">IF(AL11=0, "    ---- ", IF(ABS(ROUND(100/AL11*AM11-100,1))&lt;999,ROUND(100/AL11*AM11-100,1),IF(ROUND(100/AL11*AM11-100,1)&gt;999,999,-999)))</f>
        <v>8.3000000000000007</v>
      </c>
      <c r="AO11" s="548">
        <f t="shared" ref="AO11:AP17" si="13">+B11+E11+H11+K11+N11+Q11+T11+W11+Z11+AC11+AF11+AI11</f>
        <v>90808.918051129993</v>
      </c>
      <c r="AP11" s="548">
        <f t="shared" si="13"/>
        <v>98310.352681710006</v>
      </c>
      <c r="AQ11" s="543">
        <f t="shared" ref="AQ11:AQ17" si="14">IF(AO11=0, "    ---- ", IF(ABS(ROUND(100/AO11*AP11-100,1))&lt;999,ROUND(100/AO11*AP11-100,1),IF(ROUND(100/AO11*AP11-100,1)&gt;999,999,-999)))</f>
        <v>8.3000000000000007</v>
      </c>
    </row>
    <row r="12" spans="1:43" s="517" customFormat="1" ht="18.75" customHeight="1" x14ac:dyDescent="0.3">
      <c r="A12" s="541" t="s">
        <v>301</v>
      </c>
      <c r="B12" s="857">
        <v>-88.344999999999999</v>
      </c>
      <c r="C12" s="336">
        <v>-107.379</v>
      </c>
      <c r="D12" s="543">
        <f t="shared" si="0"/>
        <v>21.5</v>
      </c>
      <c r="E12" s="857">
        <v>-456.21</v>
      </c>
      <c r="F12" s="336">
        <v>-380.25</v>
      </c>
      <c r="G12" s="543">
        <f t="shared" si="1"/>
        <v>-16.7</v>
      </c>
      <c r="H12" s="857">
        <v>-51.439</v>
      </c>
      <c r="I12" s="336">
        <v>-51</v>
      </c>
      <c r="J12" s="543">
        <f t="shared" si="2"/>
        <v>-0.9</v>
      </c>
      <c r="K12" s="857">
        <v>-6.9</v>
      </c>
      <c r="L12" s="336">
        <v>-57</v>
      </c>
      <c r="M12" s="543">
        <f t="shared" si="3"/>
        <v>726.1</v>
      </c>
      <c r="N12" s="857"/>
      <c r="O12" s="336"/>
      <c r="P12" s="543"/>
      <c r="Q12" s="857">
        <v>-3.4298280000000001</v>
      </c>
      <c r="R12" s="336">
        <v>-1.5713729999999999</v>
      </c>
      <c r="S12" s="543">
        <f t="shared" si="4"/>
        <v>-54.2</v>
      </c>
      <c r="T12" s="857"/>
      <c r="U12" s="336">
        <v>-0.2</v>
      </c>
      <c r="V12" s="543" t="str">
        <f t="shared" si="5"/>
        <v xml:space="preserve">    ---- </v>
      </c>
      <c r="W12" s="857">
        <v>-85</v>
      </c>
      <c r="X12" s="336">
        <v>-86.6</v>
      </c>
      <c r="Y12" s="543">
        <f t="shared" si="6"/>
        <v>1.9</v>
      </c>
      <c r="Z12" s="857">
        <v>-1</v>
      </c>
      <c r="AA12" s="336">
        <v>-2</v>
      </c>
      <c r="AB12" s="543"/>
      <c r="AC12" s="857"/>
      <c r="AD12" s="336"/>
      <c r="AE12" s="543"/>
      <c r="AF12" s="857">
        <v>-211.11</v>
      </c>
      <c r="AG12" s="336">
        <v>-204.35</v>
      </c>
      <c r="AH12" s="543">
        <f t="shared" si="9"/>
        <v>-3.2</v>
      </c>
      <c r="AI12" s="857">
        <v>-31</v>
      </c>
      <c r="AJ12" s="336">
        <v>-18</v>
      </c>
      <c r="AK12" s="543">
        <f t="shared" si="10"/>
        <v>-41.9</v>
      </c>
      <c r="AL12" s="543">
        <f t="shared" si="11"/>
        <v>-934.43382799999995</v>
      </c>
      <c r="AM12" s="543">
        <f t="shared" si="11"/>
        <v>-908.3503730000001</v>
      </c>
      <c r="AN12" s="543">
        <f t="shared" si="12"/>
        <v>-2.8</v>
      </c>
      <c r="AO12" s="548">
        <f t="shared" si="13"/>
        <v>-934.43382799999995</v>
      </c>
      <c r="AP12" s="548">
        <f t="shared" si="13"/>
        <v>-908.3503730000001</v>
      </c>
      <c r="AQ12" s="543">
        <f t="shared" si="14"/>
        <v>-2.8</v>
      </c>
    </row>
    <row r="13" spans="1:43" s="517" customFormat="1" ht="18.75" customHeight="1" x14ac:dyDescent="0.3">
      <c r="A13" s="541" t="s">
        <v>302</v>
      </c>
      <c r="B13" s="857">
        <v>774.83399999999995</v>
      </c>
      <c r="C13" s="336">
        <v>713.08299999999997</v>
      </c>
      <c r="D13" s="543">
        <f t="shared" si="0"/>
        <v>-8</v>
      </c>
      <c r="E13" s="857">
        <v>3552.9140000000002</v>
      </c>
      <c r="F13" s="336">
        <v>3635.75</v>
      </c>
      <c r="G13" s="543">
        <f t="shared" si="1"/>
        <v>2.2999999999999998</v>
      </c>
      <c r="H13" s="857">
        <v>81.673000000000002</v>
      </c>
      <c r="I13" s="336">
        <v>59.5</v>
      </c>
      <c r="J13" s="543">
        <f t="shared" si="2"/>
        <v>-27.1</v>
      </c>
      <c r="K13" s="857">
        <v>2019</v>
      </c>
      <c r="L13" s="336">
        <v>1599.4</v>
      </c>
      <c r="M13" s="543">
        <f t="shared" si="3"/>
        <v>-20.8</v>
      </c>
      <c r="N13" s="857"/>
      <c r="O13" s="336"/>
      <c r="P13" s="543"/>
      <c r="Q13" s="857">
        <v>297.56955199999999</v>
      </c>
      <c r="R13" s="336">
        <v>4.5121120000000001</v>
      </c>
      <c r="S13" s="543">
        <f t="shared" si="4"/>
        <v>-98.5</v>
      </c>
      <c r="T13" s="857">
        <v>543.1</v>
      </c>
      <c r="U13" s="336">
        <v>519.6</v>
      </c>
      <c r="V13" s="543">
        <f t="shared" si="5"/>
        <v>-4.3</v>
      </c>
      <c r="W13" s="857">
        <v>1100.5999999999999</v>
      </c>
      <c r="X13" s="336">
        <v>2443</v>
      </c>
      <c r="Y13" s="543">
        <f t="shared" si="6"/>
        <v>122</v>
      </c>
      <c r="Z13" s="857"/>
      <c r="AA13" s="336">
        <v>314</v>
      </c>
      <c r="AB13" s="543"/>
      <c r="AC13" s="857">
        <v>119.605</v>
      </c>
      <c r="AD13" s="336">
        <v>166</v>
      </c>
      <c r="AE13" s="543">
        <f t="shared" si="8"/>
        <v>38.799999999999997</v>
      </c>
      <c r="AF13" s="857">
        <v>1615.9610888699999</v>
      </c>
      <c r="AG13" s="336">
        <v>2184.5114193899999</v>
      </c>
      <c r="AH13" s="543">
        <f t="shared" si="9"/>
        <v>35.200000000000003</v>
      </c>
      <c r="AI13" s="857">
        <v>1203</v>
      </c>
      <c r="AJ13" s="336">
        <v>2131</v>
      </c>
      <c r="AK13" s="543">
        <f t="shared" si="10"/>
        <v>77.099999999999994</v>
      </c>
      <c r="AL13" s="543">
        <f t="shared" si="11"/>
        <v>11188.651640870001</v>
      </c>
      <c r="AM13" s="543">
        <f t="shared" si="11"/>
        <v>13604.35653139</v>
      </c>
      <c r="AN13" s="543">
        <f t="shared" si="12"/>
        <v>21.6</v>
      </c>
      <c r="AO13" s="548">
        <f t="shared" si="13"/>
        <v>11308.25664087</v>
      </c>
      <c r="AP13" s="548">
        <f t="shared" si="13"/>
        <v>13770.35653139</v>
      </c>
      <c r="AQ13" s="543">
        <f t="shared" si="14"/>
        <v>21.8</v>
      </c>
    </row>
    <row r="14" spans="1:43" s="517" customFormat="1" ht="18.75" customHeight="1" x14ac:dyDescent="0.3">
      <c r="A14" s="541" t="s">
        <v>303</v>
      </c>
      <c r="B14" s="891">
        <f>SUM(B11:B13)</f>
        <v>2858.5590000000002</v>
      </c>
      <c r="C14" s="845">
        <f>SUM(C11:C13)</f>
        <v>2879.7049999999999</v>
      </c>
      <c r="D14" s="543">
        <f t="shared" si="0"/>
        <v>0.7</v>
      </c>
      <c r="E14" s="856">
        <f>SUM(E11:E13)</f>
        <v>17007.288</v>
      </c>
      <c r="F14" s="433">
        <f>SUM(F11:F13)</f>
        <v>17021.36</v>
      </c>
      <c r="G14" s="543">
        <f t="shared" si="1"/>
        <v>0.1</v>
      </c>
      <c r="H14" s="856">
        <f>SUM(H11:H13)</f>
        <v>915.53700000000003</v>
      </c>
      <c r="I14" s="433">
        <f>SUM(I11:I13)</f>
        <v>941.8</v>
      </c>
      <c r="J14" s="543">
        <f t="shared" si="2"/>
        <v>2.9</v>
      </c>
      <c r="K14" s="856">
        <f>SUM(K11:K13)</f>
        <v>5106.8999999999996</v>
      </c>
      <c r="L14" s="433">
        <f>SUM(L11:L13)</f>
        <v>4983.7000000000007</v>
      </c>
      <c r="M14" s="543">
        <f t="shared" si="3"/>
        <v>-2.4</v>
      </c>
      <c r="N14" s="856">
        <f>SUM(N11:N13)</f>
        <v>37</v>
      </c>
      <c r="O14" s="433">
        <f>SUM(O11:O13)</f>
        <v>35</v>
      </c>
      <c r="P14" s="543">
        <f>IF(N14=0, "    ---- ", IF(ABS(ROUND(100/N14*O14-100,1))&lt;999,ROUND(100/N14*O14-100,1),IF(ROUND(100/N14*O14-100,1)&gt;999,999,-999)))</f>
        <v>-5.4</v>
      </c>
      <c r="Q14" s="856">
        <f>SUM(Q11:Q13)</f>
        <v>32416.61984996</v>
      </c>
      <c r="R14" s="433">
        <f>SUM(R11:R13)</f>
        <v>38727.405943819998</v>
      </c>
      <c r="S14" s="543">
        <f t="shared" si="4"/>
        <v>19.5</v>
      </c>
      <c r="T14" s="856">
        <f>SUM(T11:T13)</f>
        <v>997</v>
      </c>
      <c r="U14" s="433">
        <f>SUM(U11:U13)</f>
        <v>1041.4000000000001</v>
      </c>
      <c r="V14" s="543">
        <f t="shared" si="5"/>
        <v>4.5</v>
      </c>
      <c r="W14" s="856">
        <f>SUM(W11:W13)</f>
        <v>12236.6</v>
      </c>
      <c r="X14" s="433">
        <f>SUM(X11:X13)</f>
        <v>12239.4</v>
      </c>
      <c r="Y14" s="543">
        <f t="shared" si="6"/>
        <v>0</v>
      </c>
      <c r="Z14" s="856">
        <f>SUM(Z11:Z13)</f>
        <v>4148</v>
      </c>
      <c r="AA14" s="433">
        <f>SUM(AA11:AA13)</f>
        <v>5144</v>
      </c>
      <c r="AB14" s="543">
        <f t="shared" si="7"/>
        <v>24</v>
      </c>
      <c r="AC14" s="856">
        <f>SUM(AC11:AC13)</f>
        <v>288.60500000000002</v>
      </c>
      <c r="AD14" s="433">
        <f>SUM(AD11:AD13)</f>
        <v>320</v>
      </c>
      <c r="AE14" s="543">
        <f t="shared" si="8"/>
        <v>10.9</v>
      </c>
      <c r="AF14" s="856">
        <f>SUM(AF11:AF13)</f>
        <v>7641.6320140400003</v>
      </c>
      <c r="AG14" s="433">
        <f>SUM(AG11:AG13)</f>
        <v>8996.5878962799979</v>
      </c>
      <c r="AH14" s="543">
        <f t="shared" si="9"/>
        <v>17.7</v>
      </c>
      <c r="AI14" s="856">
        <f>SUM(AI11:AI13)</f>
        <v>17529</v>
      </c>
      <c r="AJ14" s="433">
        <f>SUM(AJ11:AJ13)</f>
        <v>18842</v>
      </c>
      <c r="AK14" s="543">
        <f t="shared" si="10"/>
        <v>7.5</v>
      </c>
      <c r="AL14" s="543">
        <f t="shared" si="11"/>
        <v>100857.13586400001</v>
      </c>
      <c r="AM14" s="543">
        <f t="shared" si="11"/>
        <v>110817.3588401</v>
      </c>
      <c r="AN14" s="543">
        <f t="shared" si="12"/>
        <v>9.9</v>
      </c>
      <c r="AO14" s="548">
        <f t="shared" si="13"/>
        <v>101182.74086400001</v>
      </c>
      <c r="AP14" s="548">
        <f t="shared" si="13"/>
        <v>111172.3588401</v>
      </c>
      <c r="AQ14" s="543">
        <f t="shared" si="14"/>
        <v>9.9</v>
      </c>
    </row>
    <row r="15" spans="1:43" s="517" customFormat="1" ht="18.75" customHeight="1" x14ac:dyDescent="0.3">
      <c r="A15" s="541" t="s">
        <v>304</v>
      </c>
      <c r="B15" s="858">
        <v>31.201000000000001</v>
      </c>
      <c r="C15" s="451">
        <v>10.67</v>
      </c>
      <c r="D15" s="543">
        <f t="shared" si="0"/>
        <v>-65.8</v>
      </c>
      <c r="E15" s="858">
        <v>10025.691999999999</v>
      </c>
      <c r="F15" s="451">
        <v>5137.0069999999996</v>
      </c>
      <c r="G15" s="543">
        <f t="shared" si="1"/>
        <v>-48.8</v>
      </c>
      <c r="H15" s="931">
        <v>41.512</v>
      </c>
      <c r="I15" s="844">
        <v>6.4</v>
      </c>
      <c r="J15" s="543">
        <f t="shared" si="2"/>
        <v>-84.6</v>
      </c>
      <c r="K15" s="858">
        <v>236</v>
      </c>
      <c r="L15" s="451">
        <v>243.7</v>
      </c>
      <c r="M15" s="543">
        <f t="shared" si="3"/>
        <v>3.3</v>
      </c>
      <c r="N15" s="885"/>
      <c r="O15" s="842"/>
      <c r="P15" s="543"/>
      <c r="Q15" s="858">
        <v>30809.731222499999</v>
      </c>
      <c r="R15" s="451">
        <v>7021.4826568799999</v>
      </c>
      <c r="S15" s="543">
        <f t="shared" si="4"/>
        <v>-77.2</v>
      </c>
      <c r="T15" s="858">
        <v>87.6</v>
      </c>
      <c r="U15" s="451">
        <v>49.9</v>
      </c>
      <c r="V15" s="543">
        <f t="shared" si="5"/>
        <v>-43</v>
      </c>
      <c r="W15" s="858">
        <v>2363</v>
      </c>
      <c r="X15" s="451">
        <v>1933.4</v>
      </c>
      <c r="Y15" s="543">
        <f t="shared" si="6"/>
        <v>-18.2</v>
      </c>
      <c r="Z15" s="858">
        <v>6770</v>
      </c>
      <c r="AA15" s="451">
        <v>1565</v>
      </c>
      <c r="AB15" s="543">
        <f t="shared" si="7"/>
        <v>-76.900000000000006</v>
      </c>
      <c r="AC15" s="885"/>
      <c r="AD15" s="842"/>
      <c r="AE15" s="543"/>
      <c r="AF15" s="550">
        <v>1671.8663193700011</v>
      </c>
      <c r="AG15" s="551">
        <v>515.43400968999913</v>
      </c>
      <c r="AH15" s="543">
        <f t="shared" si="9"/>
        <v>-69.2</v>
      </c>
      <c r="AI15" s="858">
        <v>9565</v>
      </c>
      <c r="AJ15" s="451">
        <v>4770</v>
      </c>
      <c r="AK15" s="543">
        <f t="shared" si="10"/>
        <v>-50.1</v>
      </c>
      <c r="AL15" s="543">
        <f t="shared" si="11"/>
        <v>61601.602541869994</v>
      </c>
      <c r="AM15" s="543">
        <f t="shared" si="11"/>
        <v>21252.993666569997</v>
      </c>
      <c r="AN15" s="543">
        <f t="shared" si="12"/>
        <v>-65.5</v>
      </c>
      <c r="AO15" s="548">
        <f t="shared" si="13"/>
        <v>61601.602541869994</v>
      </c>
      <c r="AP15" s="548">
        <f t="shared" si="13"/>
        <v>21252.993666569997</v>
      </c>
      <c r="AQ15" s="543">
        <f t="shared" si="14"/>
        <v>-65.5</v>
      </c>
    </row>
    <row r="16" spans="1:43" s="517" customFormat="1" ht="18.75" customHeight="1" x14ac:dyDescent="0.3">
      <c r="A16" s="541" t="s">
        <v>305</v>
      </c>
      <c r="B16" s="858">
        <v>1569.336</v>
      </c>
      <c r="C16" s="451">
        <v>-1008.377</v>
      </c>
      <c r="D16" s="543">
        <f t="shared" si="0"/>
        <v>-164.3</v>
      </c>
      <c r="E16" s="858">
        <v>7018.848</v>
      </c>
      <c r="F16" s="451">
        <v>-3632.067</v>
      </c>
      <c r="G16" s="543">
        <f t="shared" si="1"/>
        <v>-151.69999999999999</v>
      </c>
      <c r="H16" s="931">
        <v>262.64299999999997</v>
      </c>
      <c r="I16" s="844">
        <v>-216.2</v>
      </c>
      <c r="J16" s="543">
        <f t="shared" si="2"/>
        <v>-182.3</v>
      </c>
      <c r="K16" s="858">
        <v>1970</v>
      </c>
      <c r="L16" s="451">
        <v>-1198.5999999999999</v>
      </c>
      <c r="M16" s="542">
        <f t="shared" si="3"/>
        <v>-160.80000000000001</v>
      </c>
      <c r="N16" s="885"/>
      <c r="O16" s="842"/>
      <c r="P16" s="552"/>
      <c r="Q16" s="858">
        <v>163.88613774000001</v>
      </c>
      <c r="R16" s="451">
        <v>14.33167109</v>
      </c>
      <c r="S16" s="552">
        <f t="shared" si="4"/>
        <v>-91.3</v>
      </c>
      <c r="T16" s="858">
        <v>246.7</v>
      </c>
      <c r="U16" s="451">
        <v>-140.4</v>
      </c>
      <c r="V16" s="552">
        <f t="shared" si="5"/>
        <v>-156.9</v>
      </c>
      <c r="W16" s="858">
        <v>5713.6</v>
      </c>
      <c r="X16" s="451">
        <v>-2495</v>
      </c>
      <c r="Y16" s="543">
        <f t="shared" si="6"/>
        <v>-143.69999999999999</v>
      </c>
      <c r="Z16" s="858"/>
      <c r="AA16" s="451"/>
      <c r="AB16" s="543"/>
      <c r="AC16" s="885">
        <v>271</v>
      </c>
      <c r="AD16" s="842">
        <v>-139</v>
      </c>
      <c r="AE16" s="543">
        <f t="shared" si="8"/>
        <v>-151.30000000000001</v>
      </c>
      <c r="AF16" s="550">
        <v>2477.9702488899993</v>
      </c>
      <c r="AG16" s="551">
        <v>-1769.5112771499994</v>
      </c>
      <c r="AH16" s="543">
        <f t="shared" si="9"/>
        <v>-171.4</v>
      </c>
      <c r="AI16" s="858">
        <v>8199</v>
      </c>
      <c r="AJ16" s="451">
        <v>-3835</v>
      </c>
      <c r="AK16" s="543">
        <f t="shared" si="10"/>
        <v>-146.80000000000001</v>
      </c>
      <c r="AL16" s="543">
        <f t="shared" si="11"/>
        <v>27621.983386630003</v>
      </c>
      <c r="AM16" s="543">
        <f t="shared" si="11"/>
        <v>-14280.823606059997</v>
      </c>
      <c r="AN16" s="543">
        <f t="shared" si="12"/>
        <v>-151.69999999999999</v>
      </c>
      <c r="AO16" s="548">
        <f t="shared" si="13"/>
        <v>27892.983386630003</v>
      </c>
      <c r="AP16" s="548">
        <f t="shared" si="13"/>
        <v>-14419.823606059997</v>
      </c>
      <c r="AQ16" s="543">
        <f t="shared" si="14"/>
        <v>-151.69999999999999</v>
      </c>
    </row>
    <row r="17" spans="1:43" s="517" customFormat="1" ht="18.75" customHeight="1" x14ac:dyDescent="0.3">
      <c r="A17" s="541" t="s">
        <v>306</v>
      </c>
      <c r="B17" s="858"/>
      <c r="C17" s="451"/>
      <c r="D17" s="543"/>
      <c r="E17" s="858">
        <v>7.1660000000000004</v>
      </c>
      <c r="F17" s="451">
        <v>21.774000000000001</v>
      </c>
      <c r="G17" s="543">
        <f t="shared" si="1"/>
        <v>203.9</v>
      </c>
      <c r="H17" s="931">
        <v>11.265000000000001</v>
      </c>
      <c r="I17" s="844">
        <v>12.9</v>
      </c>
      <c r="J17" s="543">
        <f t="shared" si="2"/>
        <v>14.5</v>
      </c>
      <c r="K17" s="858">
        <v>130</v>
      </c>
      <c r="L17" s="451">
        <v>150.5</v>
      </c>
      <c r="M17" s="543"/>
      <c r="N17" s="885"/>
      <c r="O17" s="842"/>
      <c r="P17" s="543"/>
      <c r="Q17" s="858">
        <v>984.43963599999995</v>
      </c>
      <c r="R17" s="451">
        <v>1054.748002</v>
      </c>
      <c r="S17" s="543">
        <f t="shared" si="4"/>
        <v>7.1</v>
      </c>
      <c r="T17" s="858">
        <v>2.7</v>
      </c>
      <c r="U17" s="451">
        <v>5.2</v>
      </c>
      <c r="V17" s="543">
        <f t="shared" si="5"/>
        <v>92.6</v>
      </c>
      <c r="W17" s="858">
        <v>169</v>
      </c>
      <c r="X17" s="451">
        <v>193</v>
      </c>
      <c r="Y17" s="543">
        <f t="shared" si="6"/>
        <v>14.2</v>
      </c>
      <c r="Z17" s="858">
        <v>204</v>
      </c>
      <c r="AA17" s="451">
        <v>228</v>
      </c>
      <c r="AB17" s="543">
        <f t="shared" si="7"/>
        <v>11.8</v>
      </c>
      <c r="AC17" s="885"/>
      <c r="AD17" s="842"/>
      <c r="AE17" s="543"/>
      <c r="AF17" s="550">
        <v>125.17113317000002</v>
      </c>
      <c r="AG17" s="551">
        <v>201.29181359999995</v>
      </c>
      <c r="AH17" s="543">
        <f t="shared" si="9"/>
        <v>60.8</v>
      </c>
      <c r="AI17" s="858">
        <v>551</v>
      </c>
      <c r="AJ17" s="451">
        <v>693</v>
      </c>
      <c r="AK17" s="543">
        <f t="shared" si="10"/>
        <v>25.8</v>
      </c>
      <c r="AL17" s="543">
        <f t="shared" si="11"/>
        <v>2184.7417691700002</v>
      </c>
      <c r="AM17" s="543">
        <f t="shared" si="11"/>
        <v>2560.4138155999999</v>
      </c>
      <c r="AN17" s="543">
        <f t="shared" si="12"/>
        <v>17.2</v>
      </c>
      <c r="AO17" s="548">
        <f t="shared" si="13"/>
        <v>2184.7417691700002</v>
      </c>
      <c r="AP17" s="548">
        <f t="shared" si="13"/>
        <v>2560.4138155999999</v>
      </c>
      <c r="AQ17" s="543">
        <f t="shared" si="14"/>
        <v>17.2</v>
      </c>
    </row>
    <row r="18" spans="1:43" s="517" customFormat="1" ht="18.75" customHeight="1" x14ac:dyDescent="0.3">
      <c r="A18" s="541" t="s">
        <v>307</v>
      </c>
      <c r="B18" s="858"/>
      <c r="C18" s="451"/>
      <c r="D18" s="543"/>
      <c r="E18" s="858"/>
      <c r="F18" s="451"/>
      <c r="G18" s="543"/>
      <c r="H18" s="931"/>
      <c r="I18" s="844"/>
      <c r="J18" s="543"/>
      <c r="K18" s="858"/>
      <c r="L18" s="451"/>
      <c r="M18" s="542"/>
      <c r="N18" s="885"/>
      <c r="O18" s="842"/>
      <c r="P18" s="543"/>
      <c r="Q18" s="858"/>
      <c r="R18" s="451"/>
      <c r="S18" s="543"/>
      <c r="T18" s="858"/>
      <c r="U18" s="451"/>
      <c r="V18" s="543"/>
      <c r="W18" s="553"/>
      <c r="X18" s="554"/>
      <c r="Y18" s="543"/>
      <c r="Z18" s="858"/>
      <c r="AA18" s="451"/>
      <c r="AB18" s="543"/>
      <c r="AC18" s="885"/>
      <c r="AD18" s="842"/>
      <c r="AE18" s="543"/>
      <c r="AF18" s="550"/>
      <c r="AG18" s="551"/>
      <c r="AH18" s="543"/>
      <c r="AI18" s="858"/>
      <c r="AJ18" s="451"/>
      <c r="AK18" s="543"/>
      <c r="AL18" s="543"/>
      <c r="AM18" s="543"/>
      <c r="AN18" s="543"/>
      <c r="AO18" s="555"/>
      <c r="AP18" s="555"/>
      <c r="AQ18" s="547"/>
    </row>
    <row r="19" spans="1:43" s="517" customFormat="1" ht="18.75" customHeight="1" x14ac:dyDescent="0.3">
      <c r="A19" s="541" t="s">
        <v>308</v>
      </c>
      <c r="B19" s="856">
        <v>-534.43499999999995</v>
      </c>
      <c r="C19" s="433">
        <f>-740.019+61.737</f>
        <v>-678.28200000000004</v>
      </c>
      <c r="D19" s="543">
        <f>IF(B19=0, "    ---- ", IF(ABS(ROUND(100/B19*C19-100,1))&lt;999,ROUND(100/B19*C19-100,1),IF(ROUND(100/B19*C19-100,1)&gt;999,999,-999)))</f>
        <v>26.9</v>
      </c>
      <c r="E19" s="856">
        <v>-14125.118</v>
      </c>
      <c r="F19" s="433">
        <v>-14060.655000000001</v>
      </c>
      <c r="G19" s="543">
        <f>IF(E19=0, "    ---- ", IF(ABS(ROUND(100/E19*F19-100,1))&lt;999,ROUND(100/E19*F19-100,1),IF(ROUND(100/E19*F19-100,1)&gt;999,999,-999)))</f>
        <v>-0.5</v>
      </c>
      <c r="H19" s="856">
        <v>-120.646</v>
      </c>
      <c r="I19" s="433">
        <v>-146.19999999999999</v>
      </c>
      <c r="J19" s="543">
        <f>IF(H19=0, "    ---- ", IF(ABS(ROUND(100/H19*I19-100,1))&lt;999,ROUND(100/H19*I19-100,1),IF(ROUND(100/H19*I19-100,1)&gt;999,999,-999)))</f>
        <v>21.2</v>
      </c>
      <c r="K19" s="856">
        <v>-428</v>
      </c>
      <c r="L19" s="433">
        <f>-572.3+5.5</f>
        <v>-566.79999999999995</v>
      </c>
      <c r="M19" s="543">
        <f>IF(K19=0, "    ---- ", IF(ABS(ROUND(100/K19*L19-100,1))&lt;999,ROUND(100/K19*L19-100,1),IF(ROUND(100/K19*L19-100,1)&gt;999,999,-999)))</f>
        <v>32.4</v>
      </c>
      <c r="N19" s="856">
        <v>-22</v>
      </c>
      <c r="O19" s="433">
        <v>-17</v>
      </c>
      <c r="P19" s="543">
        <f>IF(N19=0, "    ---- ", IF(ABS(ROUND(100/N19*O19-100,1))&lt;999,ROUND(100/N19*O19-100,1),IF(ROUND(100/N19*O19-100,1)&gt;999,999,-999)))</f>
        <v>-22.7</v>
      </c>
      <c r="Q19" s="856">
        <v>-17174.016592</v>
      </c>
      <c r="R19" s="433">
        <v>-18349.814042999998</v>
      </c>
      <c r="S19" s="543">
        <f>IF(Q19=0, "    ---- ", IF(ABS(ROUND(100/Q19*R19-100,1))&lt;999,ROUND(100/Q19*R19-100,1),IF(ROUND(100/Q19*R19-100,1)&gt;999,999,-999)))</f>
        <v>6.8</v>
      </c>
      <c r="T19" s="856">
        <v>-73.7</v>
      </c>
      <c r="U19" s="433">
        <v>-82.6</v>
      </c>
      <c r="V19" s="543">
        <f t="shared" si="5"/>
        <v>12.1</v>
      </c>
      <c r="W19" s="856">
        <v>-4471</v>
      </c>
      <c r="X19" s="433">
        <v>-5998</v>
      </c>
      <c r="Y19" s="543">
        <f>IF(W19=0, "    ---- ", IF(ABS(ROUND(100/W19*X19-100,1))&lt;999,ROUND(100/W19*X19-100,1),IF(ROUND(100/W19*X19-100,1)&gt;999,999,-999)))</f>
        <v>34.200000000000003</v>
      </c>
      <c r="Z19" s="856">
        <v>-2689</v>
      </c>
      <c r="AA19" s="433">
        <v>-2829</v>
      </c>
      <c r="AB19" s="543">
        <f>IF(Z19=0, "    ---- ", IF(ABS(ROUND(100/Z19*AA19-100,1))&lt;999,ROUND(100/Z19*AA19-100,1),IF(ROUND(100/Z19*AA19-100,1)&gt;999,999,-999)))</f>
        <v>5.2</v>
      </c>
      <c r="AC19" s="856">
        <v>-207</v>
      </c>
      <c r="AD19" s="433">
        <v>-166</v>
      </c>
      <c r="AE19" s="543">
        <f>IF(AC19=0, "    ---- ", IF(ABS(ROUND(100/AC19*AD19-100,1))&lt;999,ROUND(100/AC19*AD19-100,1),IF(ROUND(100/AC19*AD19-100,1)&gt;999,999,-999)))</f>
        <v>-19.8</v>
      </c>
      <c r="AF19" s="556">
        <v>-2135.5605121699996</v>
      </c>
      <c r="AG19" s="557">
        <v>-2302.0587138999999</v>
      </c>
      <c r="AH19" s="543">
        <f>IF(AF19=0, "    ---- ", IF(ABS(ROUND(100/AF19*AG19-100,1))&lt;999,ROUND(100/AF19*AG19-100,1),IF(ROUND(100/AF19*AG19-100,1)&gt;999,999,-999)))</f>
        <v>7.8</v>
      </c>
      <c r="AI19" s="856">
        <v>-10255</v>
      </c>
      <c r="AJ19" s="433">
        <f>-11180+64</f>
        <v>-11116</v>
      </c>
      <c r="AK19" s="543">
        <f>IF(AI19=0, "    ---- ", IF(ABS(ROUND(100/AI19*AJ19-100,1))&lt;999,ROUND(100/AI19*AJ19-100,1),IF(ROUND(100/AI19*AJ19-100,1)&gt;999,999,-999)))</f>
        <v>8.4</v>
      </c>
      <c r="AL19" s="543">
        <f t="shared" ref="AL19:AM21" si="15">B19+E19+H19+K19+Q19+T19+W19+Z19+AF19+AI19</f>
        <v>-52006.476104170004</v>
      </c>
      <c r="AM19" s="543">
        <f t="shared" si="15"/>
        <v>-56129.409756899993</v>
      </c>
      <c r="AN19" s="543">
        <f t="shared" si="12"/>
        <v>7.9</v>
      </c>
      <c r="AO19" s="548">
        <f t="shared" ref="AO19:AP21" si="16">+B19+E19+H19+K19+N19+Q19+T19+W19+Z19+AC19+AF19+AI19</f>
        <v>-52235.476104170004</v>
      </c>
      <c r="AP19" s="548">
        <f t="shared" si="16"/>
        <v>-56312.409756899993</v>
      </c>
      <c r="AQ19" s="543">
        <f>IF(AO19=0, "    ---- ", IF(ABS(ROUND(100/AO19*AP19-100,1))&lt;999,ROUND(100/AO19*AP19-100,1),IF(ROUND(100/AO19*AP19-100,1)&gt;999,999,-999)))</f>
        <v>7.8</v>
      </c>
    </row>
    <row r="20" spans="1:43" s="517" customFormat="1" ht="18.75" customHeight="1" x14ac:dyDescent="0.3">
      <c r="A20" s="541" t="s">
        <v>373</v>
      </c>
      <c r="B20" s="857">
        <v>-619.52300000000002</v>
      </c>
      <c r="C20" s="336">
        <v>-916.44799999999998</v>
      </c>
      <c r="D20" s="543">
        <f>IF(B20=0, "    ---- ", IF(ABS(ROUND(100/B20*C20-100,1))&lt;999,ROUND(100/B20*C20-100,1),IF(ROUND(100/B20*C20-100,1)&gt;999,999,-999)))</f>
        <v>47.9</v>
      </c>
      <c r="E20" s="857">
        <v>-1863.396</v>
      </c>
      <c r="F20" s="336">
        <v>-3975.4850000000001</v>
      </c>
      <c r="G20" s="543">
        <f>IF(E20=0, "    ---- ", IF(ABS(ROUND(100/E20*F20-100,1))&lt;999,ROUND(100/E20*F20-100,1),IF(ROUND(100/E20*F20-100,1)&gt;999,999,-999)))</f>
        <v>113.3</v>
      </c>
      <c r="H20" s="857">
        <v>-124.113</v>
      </c>
      <c r="I20" s="336">
        <v>-129.1</v>
      </c>
      <c r="J20" s="543">
        <f>IF(H20=0, "    ---- ", IF(ABS(ROUND(100/H20*I20-100,1))&lt;999,ROUND(100/H20*I20-100,1),IF(ROUND(100/H20*I20-100,1)&gt;999,999,-999)))</f>
        <v>4</v>
      </c>
      <c r="K20" s="857">
        <v>-1231</v>
      </c>
      <c r="L20" s="336">
        <v>-1266.8</v>
      </c>
      <c r="M20" s="543">
        <f>IF(K20=0, "    ---- ", IF(ABS(ROUND(100/K20*L20-100,1))&lt;999,ROUND(100/K20*L20-100,1),IF(ROUND(100/K20*L20-100,1)&gt;999,999,-999)))</f>
        <v>2.9</v>
      </c>
      <c r="N20" s="857"/>
      <c r="O20" s="336"/>
      <c r="P20" s="543"/>
      <c r="Q20" s="857">
        <v>-212.09832</v>
      </c>
      <c r="R20" s="336">
        <v>-496.73950100000002</v>
      </c>
      <c r="S20" s="543">
        <f>IF(Q20=0, "    ---- ", IF(ABS(ROUND(100/Q20*R20-100,1))&lt;999,ROUND(100/Q20*R20-100,1),IF(ROUND(100/Q20*R20-100,1)&gt;999,999,-999)))</f>
        <v>134.19999999999999</v>
      </c>
      <c r="T20" s="857">
        <v>-125.4</v>
      </c>
      <c r="U20" s="336">
        <v>-72.5</v>
      </c>
      <c r="V20" s="543">
        <f t="shared" si="5"/>
        <v>-42.2</v>
      </c>
      <c r="W20" s="558">
        <v>-2272</v>
      </c>
      <c r="X20" s="559">
        <v>-3643</v>
      </c>
      <c r="Y20" s="543">
        <f>IF(W20=0, "    ---- ", IF(ABS(ROUND(100/W20*X20-100,1))&lt;999,ROUND(100/W20*X20-100,1),IF(ROUND(100/W20*X20-100,1)&gt;999,999,-999)))</f>
        <v>60.3</v>
      </c>
      <c r="Z20" s="558"/>
      <c r="AA20" s="559"/>
      <c r="AB20" s="543"/>
      <c r="AC20" s="857">
        <v>-24</v>
      </c>
      <c r="AD20" s="336">
        <v>-11</v>
      </c>
      <c r="AE20" s="543">
        <f>IF(AC20=0, "    ---- ", IF(ABS(ROUND(100/AC20*AD20-100,1))&lt;999,ROUND(100/AC20*AD20-100,1),IF(ROUND(100/AC20*AD20-100,1)&gt;999,999,-999)))</f>
        <v>-54.2</v>
      </c>
      <c r="AF20" s="558">
        <v>-731.91851959999997</v>
      </c>
      <c r="AG20" s="559">
        <v>-753.81575449000036</v>
      </c>
      <c r="AH20" s="543">
        <f>IF(AF20=0, "    ---- ", IF(ABS(ROUND(100/AF20*AG20-100,1))&lt;999,ROUND(100/AF20*AG20-100,1),IF(ROUND(100/AF20*AG20-100,1)&gt;999,999,-999)))</f>
        <v>3</v>
      </c>
      <c r="AI20" s="857">
        <v>-3829</v>
      </c>
      <c r="AJ20" s="336">
        <v>-2930</v>
      </c>
      <c r="AK20" s="543">
        <f>IF(AI20=0, "    ---- ", IF(ABS(ROUND(100/AI20*AJ20-100,1))&lt;999,ROUND(100/AI20*AJ20-100,1),IF(ROUND(100/AI20*AJ20-100,1)&gt;999,999,-999)))</f>
        <v>-23.5</v>
      </c>
      <c r="AL20" s="543">
        <f t="shared" si="15"/>
        <v>-11008.4488396</v>
      </c>
      <c r="AM20" s="543">
        <f t="shared" si="15"/>
        <v>-14183.888255490001</v>
      </c>
      <c r="AN20" s="543">
        <f t="shared" si="12"/>
        <v>28.8</v>
      </c>
      <c r="AO20" s="548">
        <f t="shared" si="16"/>
        <v>-11032.4488396</v>
      </c>
      <c r="AP20" s="548">
        <f t="shared" si="16"/>
        <v>-14194.888255490001</v>
      </c>
      <c r="AQ20" s="543">
        <f>IF(AO20=0, "    ---- ", IF(ABS(ROUND(100/AO20*AP20-100,1))&lt;999,ROUND(100/AO20*AP20-100,1),IF(ROUND(100/AO20*AP20-100,1)&gt;999,999,-999)))</f>
        <v>28.7</v>
      </c>
    </row>
    <row r="21" spans="1:43" s="517" customFormat="1" ht="18.75" customHeight="1" x14ac:dyDescent="0.3">
      <c r="A21" s="541" t="s">
        <v>309</v>
      </c>
      <c r="B21" s="856">
        <f>SUM(B19:B20)</f>
        <v>-1153.9580000000001</v>
      </c>
      <c r="C21" s="433">
        <f>SUM(C19:C20)</f>
        <v>-1594.73</v>
      </c>
      <c r="D21" s="543">
        <f>IF(B21=0, "    ---- ", IF(ABS(ROUND(100/B21*C21-100,1))&lt;999,ROUND(100/B21*C21-100,1),IF(ROUND(100/B21*C21-100,1)&gt;999,999,-999)))</f>
        <v>38.200000000000003</v>
      </c>
      <c r="E21" s="856">
        <f>SUM(E19:E20)</f>
        <v>-15988.514000000001</v>
      </c>
      <c r="F21" s="433">
        <f>SUM(F19:F20)</f>
        <v>-18036.14</v>
      </c>
      <c r="G21" s="543">
        <f>IF(E21=0, "    ---- ", IF(ABS(ROUND(100/E21*F21-100,1))&lt;999,ROUND(100/E21*F21-100,1),IF(ROUND(100/E21*F21-100,1)&gt;999,999,-999)))</f>
        <v>12.8</v>
      </c>
      <c r="H21" s="856">
        <f>SUM(H19:H20)</f>
        <v>-244.75900000000001</v>
      </c>
      <c r="I21" s="433">
        <f>SUM(I19:I20)</f>
        <v>-275.29999999999995</v>
      </c>
      <c r="J21" s="543">
        <f>IF(H21=0, "    ---- ", IF(ABS(ROUND(100/H21*I21-100,1))&lt;999,ROUND(100/H21*I21-100,1),IF(ROUND(100/H21*I21-100,1)&gt;999,999,-999)))</f>
        <v>12.5</v>
      </c>
      <c r="K21" s="856">
        <f>SUM(K19:K20)</f>
        <v>-1659</v>
      </c>
      <c r="L21" s="433">
        <f>SUM(L19:L20)</f>
        <v>-1833.6</v>
      </c>
      <c r="M21" s="543">
        <f>IF(K21=0, "    ---- ", IF(ABS(ROUND(100/K21*L21-100,1))&lt;999,ROUND(100/K21*L21-100,1),IF(ROUND(100/K21*L21-100,1)&gt;999,999,-999)))</f>
        <v>10.5</v>
      </c>
      <c r="N21" s="856">
        <f>SUM(N19:N20)</f>
        <v>-22</v>
      </c>
      <c r="O21" s="433">
        <f>SUM(O19:O20)</f>
        <v>-17</v>
      </c>
      <c r="P21" s="543">
        <f>IF(N21=0, "    ---- ", IF(ABS(ROUND(100/N21*O21-100,1))&lt;999,ROUND(100/N21*O21-100,1),IF(ROUND(100/N21*O21-100,1)&gt;999,999,-999)))</f>
        <v>-22.7</v>
      </c>
      <c r="Q21" s="856">
        <f>SUM(Q19:Q20)</f>
        <v>-17386.114912000001</v>
      </c>
      <c r="R21" s="433">
        <f>SUM(R19:R20)</f>
        <v>-18846.553543999999</v>
      </c>
      <c r="S21" s="543">
        <f>IF(Q21=0, "    ---- ", IF(ABS(ROUND(100/Q21*R21-100,1))&lt;999,ROUND(100/Q21*R21-100,1),IF(ROUND(100/Q21*R21-100,1)&gt;999,999,-999)))</f>
        <v>8.4</v>
      </c>
      <c r="T21" s="856">
        <f>SUM(T19:T20)</f>
        <v>-199.10000000000002</v>
      </c>
      <c r="U21" s="433">
        <f>SUM(U19:U20)</f>
        <v>-155.1</v>
      </c>
      <c r="V21" s="543">
        <f t="shared" si="5"/>
        <v>-22.1</v>
      </c>
      <c r="W21" s="856">
        <f>SUM(W19:W20)</f>
        <v>-6743</v>
      </c>
      <c r="X21" s="433">
        <f>SUM(X19:X20)</f>
        <v>-9641</v>
      </c>
      <c r="Y21" s="543">
        <f>IF(W21=0, "    ---- ", IF(ABS(ROUND(100/W21*X21-100,1))&lt;999,ROUND(100/W21*X21-100,1),IF(ROUND(100/W21*X21-100,1)&gt;999,999,-999)))</f>
        <v>43</v>
      </c>
      <c r="Z21" s="856">
        <f>SUM(Z19:Z20)</f>
        <v>-2689</v>
      </c>
      <c r="AA21" s="433">
        <f>SUM(AA19:AA20)</f>
        <v>-2829</v>
      </c>
      <c r="AB21" s="543">
        <f>IF(Z21=0, "    ---- ", IF(ABS(ROUND(100/Z21*AA21-100,1))&lt;999,ROUND(100/Z21*AA21-100,1),IF(ROUND(100/Z21*AA21-100,1)&gt;999,999,-999)))</f>
        <v>5.2</v>
      </c>
      <c r="AC21" s="856">
        <f>SUM(AC19:AC20)</f>
        <v>-231</v>
      </c>
      <c r="AD21" s="433">
        <f>SUM(AD19:AD20)</f>
        <v>-177</v>
      </c>
      <c r="AE21" s="543">
        <f>IF(AC21=0, "    ---- ", IF(ABS(ROUND(100/AC21*AD21-100,1))&lt;999,ROUND(100/AC21*AD21-100,1),IF(ROUND(100/AC21*AD21-100,1)&gt;999,999,-999)))</f>
        <v>-23.4</v>
      </c>
      <c r="AF21" s="856">
        <f>SUM(AF19:AF20)</f>
        <v>-2867.4790317699994</v>
      </c>
      <c r="AG21" s="433">
        <f>SUM(AG19:AG20)</f>
        <v>-3055.8744683900004</v>
      </c>
      <c r="AH21" s="543">
        <f>IF(AF21=0, "    ---- ", IF(ABS(ROUND(100/AF21*AG21-100,1))&lt;999,ROUND(100/AF21*AG21-100,1),IF(ROUND(100/AF21*AG21-100,1)&gt;999,999,-999)))</f>
        <v>6.6</v>
      </c>
      <c r="AI21" s="856">
        <f>SUM(AI19:AI20)</f>
        <v>-14084</v>
      </c>
      <c r="AJ21" s="433">
        <f>SUM(AJ19:AJ20)</f>
        <v>-14046</v>
      </c>
      <c r="AK21" s="543">
        <f>IF(AI21=0, "    ---- ", IF(ABS(ROUND(100/AI21*AJ21-100,1))&lt;999,ROUND(100/AI21*AJ21-100,1),IF(ROUND(100/AI21*AJ21-100,1)&gt;999,999,-999)))</f>
        <v>-0.3</v>
      </c>
      <c r="AL21" s="543">
        <f t="shared" si="15"/>
        <v>-63014.924943770005</v>
      </c>
      <c r="AM21" s="543">
        <f t="shared" si="15"/>
        <v>-70313.298012390005</v>
      </c>
      <c r="AN21" s="543">
        <f t="shared" si="12"/>
        <v>11.6</v>
      </c>
      <c r="AO21" s="548">
        <f t="shared" si="16"/>
        <v>-63267.924943770005</v>
      </c>
      <c r="AP21" s="548">
        <f t="shared" si="16"/>
        <v>-70507.298012390005</v>
      </c>
      <c r="AQ21" s="543">
        <f>IF(AO21=0, "    ---- ", IF(ABS(ROUND(100/AO21*AP21-100,1))&lt;999,ROUND(100/AO21*AP21-100,1),IF(ROUND(100/AO21*AP21-100,1)&gt;999,999,-999)))</f>
        <v>11.4</v>
      </c>
    </row>
    <row r="22" spans="1:43" s="517" customFormat="1" ht="18.75" customHeight="1" x14ac:dyDescent="0.3">
      <c r="A22" s="541" t="s">
        <v>310</v>
      </c>
      <c r="B22" s="858"/>
      <c r="C22" s="451"/>
      <c r="D22" s="543"/>
      <c r="E22" s="858"/>
      <c r="F22" s="451"/>
      <c r="G22" s="543"/>
      <c r="H22" s="885"/>
      <c r="I22" s="842"/>
      <c r="J22" s="543"/>
      <c r="K22" s="858"/>
      <c r="L22" s="451"/>
      <c r="M22" s="543"/>
      <c r="N22" s="885"/>
      <c r="O22" s="842"/>
      <c r="P22" s="543"/>
      <c r="Q22" s="858"/>
      <c r="R22" s="451"/>
      <c r="S22" s="543"/>
      <c r="T22" s="885"/>
      <c r="U22" s="842"/>
      <c r="V22" s="543"/>
      <c r="W22" s="885"/>
      <c r="X22" s="842"/>
      <c r="Y22" s="543"/>
      <c r="Z22" s="885"/>
      <c r="AA22" s="842"/>
      <c r="AB22" s="543"/>
      <c r="AC22" s="885"/>
      <c r="AD22" s="842"/>
      <c r="AE22" s="543"/>
      <c r="AF22" s="885"/>
      <c r="AG22" s="842"/>
      <c r="AH22" s="543"/>
      <c r="AI22" s="858"/>
      <c r="AJ22" s="451"/>
      <c r="AK22" s="543"/>
      <c r="AL22" s="543"/>
      <c r="AM22" s="543"/>
      <c r="AN22" s="543"/>
      <c r="AO22" s="543"/>
      <c r="AP22" s="543"/>
      <c r="AQ22" s="543"/>
    </row>
    <row r="23" spans="1:43" s="517" customFormat="1" ht="18.75" customHeight="1" x14ac:dyDescent="0.3">
      <c r="A23" s="541" t="s">
        <v>311</v>
      </c>
      <c r="B23" s="857">
        <v>-56.533000000000001</v>
      </c>
      <c r="C23" s="336">
        <f>-124.147+21.385</f>
        <v>-102.762</v>
      </c>
      <c r="D23" s="543">
        <f t="shared" ref="D23:D29" si="17">IF(B23=0, "    ---- ", IF(ABS(ROUND(100/B23*C23-100,1))&lt;999,ROUND(100/B23*C23-100,1),IF(ROUND(100/B23*C23-100,1)&gt;999,999,-999)))</f>
        <v>81.8</v>
      </c>
      <c r="E23" s="857">
        <v>2434.5100000000002</v>
      </c>
      <c r="F23" s="336">
        <v>2926.8910000000001</v>
      </c>
      <c r="G23" s="543">
        <f t="shared" ref="G23:G29" si="18">IF(E23=0, "    ---- ", IF(ABS(ROUND(100/E23*F23-100,1))&lt;999,ROUND(100/E23*F23-100,1),IF(ROUND(100/E23*F23-100,1)&gt;999,999,-999)))</f>
        <v>20.2</v>
      </c>
      <c r="H23" s="857">
        <v>-50.621000000000002</v>
      </c>
      <c r="I23" s="336">
        <v>-60.8</v>
      </c>
      <c r="J23" s="543">
        <f>IF(H23=0, "    ---- ", IF(ABS(ROUND(100/H23*I23-100,1))&lt;999,ROUND(100/H23*I23-100,1),IF(ROUND(100/H23*I23-100,1)&gt;999,999,-999)))</f>
        <v>20.100000000000001</v>
      </c>
      <c r="K23" s="857">
        <v>-555</v>
      </c>
      <c r="L23" s="336">
        <f>-516.8+29.8</f>
        <v>-486.99999999999994</v>
      </c>
      <c r="M23" s="543">
        <f t="shared" ref="M23:M31" si="19">IF(K23=0, "    ---- ", IF(ABS(ROUND(100/K23*L23-100,1))&lt;999,ROUND(100/K23*L23-100,1),IF(ROUND(100/K23*L23-100,1)&gt;999,999,-999)))</f>
        <v>-12.3</v>
      </c>
      <c r="N23" s="857">
        <v>21</v>
      </c>
      <c r="O23" s="336">
        <v>11</v>
      </c>
      <c r="P23" s="543"/>
      <c r="Q23" s="857">
        <v>-23275.90631423</v>
      </c>
      <c r="R23" s="336">
        <v>-27251.867394669996</v>
      </c>
      <c r="S23" s="543">
        <f t="shared" ref="S23:S30" si="20">IF(Q23=0, "    ---- ", IF(ABS(ROUND(100/Q23*R23-100,1))&lt;999,ROUND(100/Q23*R23-100,1),IF(ROUND(100/Q23*R23-100,1)&gt;999,999,-999)))</f>
        <v>17.100000000000001</v>
      </c>
      <c r="T23" s="857">
        <v>-49.3</v>
      </c>
      <c r="U23" s="336">
        <v>-45.1</v>
      </c>
      <c r="V23" s="543">
        <f t="shared" si="5"/>
        <v>-8.5</v>
      </c>
      <c r="W23" s="857">
        <v>-393</v>
      </c>
      <c r="X23" s="336">
        <v>-396</v>
      </c>
      <c r="Y23" s="543">
        <f t="shared" ref="Y23:Y29" si="21">IF(W23=0, "    ---- ", IF(ABS(ROUND(100/W23*X23-100,1))&lt;999,ROUND(100/W23*X23-100,1),IF(ROUND(100/W23*X23-100,1)&gt;999,999,-999)))</f>
        <v>0.8</v>
      </c>
      <c r="Z23" s="857">
        <v>-2363</v>
      </c>
      <c r="AA23" s="336">
        <v>-3253</v>
      </c>
      <c r="AB23" s="543">
        <f t="shared" ref="AB23:AB29" si="22">IF(Z23=0, "    ---- ", IF(ABS(ROUND(100/Z23*AA23-100,1))&lt;999,ROUND(100/Z23*AA23-100,1),IF(ROUND(100/Z23*AA23-100,1)&gt;999,999,-999)))</f>
        <v>37.700000000000003</v>
      </c>
      <c r="AC23" s="857"/>
      <c r="AD23" s="336"/>
      <c r="AE23" s="543"/>
      <c r="AF23" s="857">
        <v>-758.36937836000072</v>
      </c>
      <c r="AG23" s="336">
        <v>-899.25151352</v>
      </c>
      <c r="AH23" s="543">
        <f t="shared" ref="AH23:AH29" si="23">IF(AF23=0, "    ---- ", IF(ABS(ROUND(100/AF23*AG23-100,1))&lt;999,ROUND(100/AF23*AG23-100,1),IF(ROUND(100/AF23*AG23-100,1)&gt;999,999,-999)))</f>
        <v>18.600000000000001</v>
      </c>
      <c r="AI23" s="857">
        <v>-832</v>
      </c>
      <c r="AJ23" s="336">
        <v>335</v>
      </c>
      <c r="AK23" s="543">
        <f t="shared" ref="AK23:AK29" si="24">IF(AI23=0, "    ---- ", IF(ABS(ROUND(100/AI23*AJ23-100,1))&lt;999,ROUND(100/AI23*AJ23-100,1),IF(ROUND(100/AI23*AJ23-100,1)&gt;999,999,-999)))</f>
        <v>-140.30000000000001</v>
      </c>
      <c r="AL23" s="543">
        <f t="shared" ref="AL23:AL34" si="25">B23+E23+H23+K23+Q23+T23+W23+Z23+AF23+AI23</f>
        <v>-25899.219692589999</v>
      </c>
      <c r="AM23" s="543">
        <f t="shared" ref="AM23:AM34" si="26">C23+F23+I23+L23+R23+U23+X23+AA23+AG23+AJ23</f>
        <v>-29233.889908189994</v>
      </c>
      <c r="AN23" s="543">
        <f t="shared" si="12"/>
        <v>12.9</v>
      </c>
      <c r="AO23" s="543"/>
      <c r="AP23" s="543"/>
      <c r="AQ23" s="543"/>
    </row>
    <row r="24" spans="1:43" s="517" customFormat="1" ht="18.75" customHeight="1" x14ac:dyDescent="0.3">
      <c r="A24" s="541" t="s">
        <v>312</v>
      </c>
      <c r="B24" s="857">
        <v>0</v>
      </c>
      <c r="C24" s="336">
        <v>0</v>
      </c>
      <c r="D24" s="543"/>
      <c r="E24" s="857">
        <v>-1046.7629999999999</v>
      </c>
      <c r="F24" s="336">
        <v>106.3</v>
      </c>
      <c r="G24" s="543">
        <f t="shared" si="18"/>
        <v>-110.2</v>
      </c>
      <c r="H24" s="857">
        <v>-1.9119999999999999</v>
      </c>
      <c r="I24" s="336">
        <v>2.4</v>
      </c>
      <c r="J24" s="543">
        <f>IF(H24=0, "    ---- ", IF(ABS(ROUND(100/H24*I24-100,1))&lt;999,ROUND(100/H24*I24-100,1),IF(ROUND(100/H24*I24-100,1)&gt;999,999,-999)))</f>
        <v>-225.5</v>
      </c>
      <c r="K24" s="857">
        <v>-12</v>
      </c>
      <c r="L24" s="336">
        <v>-64.8</v>
      </c>
      <c r="M24" s="543">
        <f t="shared" si="19"/>
        <v>440</v>
      </c>
      <c r="N24" s="857"/>
      <c r="O24" s="336"/>
      <c r="P24" s="543"/>
      <c r="Q24" s="857">
        <v>-1118.9038169999999</v>
      </c>
      <c r="R24" s="336">
        <v>-2824.5672770000001</v>
      </c>
      <c r="S24" s="543">
        <f t="shared" si="20"/>
        <v>152.4</v>
      </c>
      <c r="T24" s="857">
        <v>-61.1</v>
      </c>
      <c r="U24" s="336">
        <v>-8</v>
      </c>
      <c r="V24" s="543">
        <f t="shared" si="5"/>
        <v>-86.9</v>
      </c>
      <c r="W24" s="857">
        <v>-318</v>
      </c>
      <c r="X24" s="336">
        <v>-486</v>
      </c>
      <c r="Y24" s="543">
        <f t="shared" si="21"/>
        <v>52.8</v>
      </c>
      <c r="Z24" s="857">
        <v>-3033</v>
      </c>
      <c r="AA24" s="336">
        <v>-377</v>
      </c>
      <c r="AB24" s="543">
        <f t="shared" si="22"/>
        <v>-87.6</v>
      </c>
      <c r="AC24" s="857"/>
      <c r="AD24" s="336"/>
      <c r="AE24" s="543"/>
      <c r="AF24" s="857">
        <v>-219.00367817000009</v>
      </c>
      <c r="AG24" s="336">
        <v>-144.54458445000003</v>
      </c>
      <c r="AH24" s="543">
        <f t="shared" si="23"/>
        <v>-34</v>
      </c>
      <c r="AI24" s="857">
        <v>-1371</v>
      </c>
      <c r="AJ24" s="336">
        <v>-60</v>
      </c>
      <c r="AK24" s="543">
        <f t="shared" si="24"/>
        <v>-95.6</v>
      </c>
      <c r="AL24" s="543">
        <f t="shared" si="25"/>
        <v>-7181.68249517</v>
      </c>
      <c r="AM24" s="543">
        <f t="shared" si="26"/>
        <v>-3856.21186145</v>
      </c>
      <c r="AN24" s="543">
        <f t="shared" si="12"/>
        <v>-46.3</v>
      </c>
      <c r="AO24" s="543"/>
      <c r="AP24" s="543"/>
      <c r="AQ24" s="543"/>
    </row>
    <row r="25" spans="1:43" s="517" customFormat="1" ht="18.75" customHeight="1" x14ac:dyDescent="0.3">
      <c r="A25" s="541" t="s">
        <v>313</v>
      </c>
      <c r="B25" s="857">
        <v>-10.819000000000001</v>
      </c>
      <c r="C25" s="336">
        <v>14.680999999999999</v>
      </c>
      <c r="D25" s="543">
        <f t="shared" si="17"/>
        <v>-235.7</v>
      </c>
      <c r="E25" s="857">
        <v>-837.72199999999998</v>
      </c>
      <c r="F25" s="336">
        <v>1805.155</v>
      </c>
      <c r="G25" s="543">
        <f t="shared" si="18"/>
        <v>-315.5</v>
      </c>
      <c r="H25" s="857"/>
      <c r="I25" s="336"/>
      <c r="J25" s="543"/>
      <c r="K25" s="857">
        <v>-28</v>
      </c>
      <c r="L25" s="336">
        <v>49</v>
      </c>
      <c r="M25" s="543">
        <f t="shared" si="19"/>
        <v>-275</v>
      </c>
      <c r="N25" s="857"/>
      <c r="O25" s="336"/>
      <c r="P25" s="543"/>
      <c r="Q25" s="857">
        <v>-13940.169257</v>
      </c>
      <c r="R25" s="336">
        <v>8838.4394240000001</v>
      </c>
      <c r="S25" s="543">
        <f t="shared" si="20"/>
        <v>-163.4</v>
      </c>
      <c r="T25" s="857">
        <v>35.700000000000003</v>
      </c>
      <c r="U25" s="336">
        <v>23.1</v>
      </c>
      <c r="V25" s="543">
        <f t="shared" si="5"/>
        <v>-35.299999999999997</v>
      </c>
      <c r="W25" s="857">
        <v>-317</v>
      </c>
      <c r="X25" s="336">
        <v>392</v>
      </c>
      <c r="Y25" s="543">
        <f t="shared" si="21"/>
        <v>-223.7</v>
      </c>
      <c r="Z25" s="857">
        <v>-1662</v>
      </c>
      <c r="AA25" s="336">
        <v>1628</v>
      </c>
      <c r="AB25" s="543">
        <f t="shared" si="22"/>
        <v>-198</v>
      </c>
      <c r="AC25" s="857"/>
      <c r="AD25" s="336"/>
      <c r="AE25" s="543"/>
      <c r="AF25" s="857">
        <v>-394.57463885000004</v>
      </c>
      <c r="AG25" s="336">
        <v>742.16682519999995</v>
      </c>
      <c r="AH25" s="543">
        <f t="shared" si="23"/>
        <v>-288.10000000000002</v>
      </c>
      <c r="AI25" s="857">
        <v>-1024</v>
      </c>
      <c r="AJ25" s="336">
        <v>1462</v>
      </c>
      <c r="AK25" s="543">
        <f t="shared" si="24"/>
        <v>-242.8</v>
      </c>
      <c r="AL25" s="543">
        <f t="shared" si="25"/>
        <v>-18178.584895849999</v>
      </c>
      <c r="AM25" s="543">
        <f t="shared" si="26"/>
        <v>14954.5422492</v>
      </c>
      <c r="AN25" s="543">
        <f t="shared" si="12"/>
        <v>-182.3</v>
      </c>
      <c r="AO25" s="543"/>
      <c r="AP25" s="543"/>
      <c r="AQ25" s="543"/>
    </row>
    <row r="26" spans="1:43" s="517" customFormat="1" ht="18.75" customHeight="1" x14ac:dyDescent="0.3">
      <c r="A26" s="541" t="s">
        <v>314</v>
      </c>
      <c r="B26" s="857"/>
      <c r="C26" s="336"/>
      <c r="D26" s="543"/>
      <c r="E26" s="857">
        <v>-21.356000000000002</v>
      </c>
      <c r="F26" s="336">
        <v>-21.247</v>
      </c>
      <c r="G26" s="543">
        <f t="shared" si="18"/>
        <v>-0.5</v>
      </c>
      <c r="H26" s="857"/>
      <c r="I26" s="336"/>
      <c r="J26" s="543"/>
      <c r="K26" s="857">
        <v>0</v>
      </c>
      <c r="L26" s="336">
        <v>0.6</v>
      </c>
      <c r="M26" s="543"/>
      <c r="N26" s="857"/>
      <c r="O26" s="336"/>
      <c r="P26" s="543"/>
      <c r="Q26" s="857">
        <v>-280.060765</v>
      </c>
      <c r="R26" s="336">
        <v>-265.254077</v>
      </c>
      <c r="S26" s="543">
        <f t="shared" si="20"/>
        <v>-5.3</v>
      </c>
      <c r="T26" s="857">
        <v>-0.4</v>
      </c>
      <c r="U26" s="336">
        <v>-1.2</v>
      </c>
      <c r="V26" s="543">
        <f t="shared" si="5"/>
        <v>200</v>
      </c>
      <c r="W26" s="857">
        <v>-8.6</v>
      </c>
      <c r="X26" s="336">
        <v>-12</v>
      </c>
      <c r="Y26" s="543">
        <f t="shared" si="21"/>
        <v>39.5</v>
      </c>
      <c r="Z26" s="857">
        <v>-42</v>
      </c>
      <c r="AA26" s="336">
        <v>-44</v>
      </c>
      <c r="AB26" s="543">
        <f t="shared" si="22"/>
        <v>4.8</v>
      </c>
      <c r="AC26" s="857"/>
      <c r="AD26" s="336"/>
      <c r="AE26" s="543"/>
      <c r="AF26" s="857">
        <v>-2.5094150000000002</v>
      </c>
      <c r="AG26" s="336">
        <v>-3.3495020000000002</v>
      </c>
      <c r="AH26" s="543">
        <f t="shared" si="23"/>
        <v>33.5</v>
      </c>
      <c r="AI26" s="857">
        <v>-23</v>
      </c>
      <c r="AJ26" s="336">
        <v>-6</v>
      </c>
      <c r="AK26" s="543">
        <f t="shared" si="24"/>
        <v>-73.900000000000006</v>
      </c>
      <c r="AL26" s="543">
        <f t="shared" si="25"/>
        <v>-377.92617999999999</v>
      </c>
      <c r="AM26" s="543">
        <f t="shared" si="26"/>
        <v>-352.45057899999995</v>
      </c>
      <c r="AN26" s="543">
        <f t="shared" si="12"/>
        <v>-6.7</v>
      </c>
      <c r="AO26" s="543"/>
      <c r="AP26" s="543"/>
      <c r="AQ26" s="543"/>
    </row>
    <row r="27" spans="1:43" s="517" customFormat="1" ht="18.75" customHeight="1" x14ac:dyDescent="0.3">
      <c r="A27" s="541" t="s">
        <v>315</v>
      </c>
      <c r="B27" s="857">
        <v>-2.8039999999999998</v>
      </c>
      <c r="C27" s="336">
        <v>-3.7160000000000002</v>
      </c>
      <c r="D27" s="543">
        <f t="shared" si="17"/>
        <v>32.5</v>
      </c>
      <c r="E27" s="857">
        <v>3.1179999999999999</v>
      </c>
      <c r="F27" s="336">
        <v>-25.091000000000001</v>
      </c>
      <c r="G27" s="543">
        <f t="shared" si="18"/>
        <v>-904.7</v>
      </c>
      <c r="H27" s="857">
        <v>-3.819</v>
      </c>
      <c r="I27" s="336">
        <v>-3.4</v>
      </c>
      <c r="J27" s="543">
        <f>IF(H27=0, "    ---- ", IF(ABS(ROUND(100/H27*I27-100,1))&lt;999,ROUND(100/H27*I27-100,1),IF(ROUND(100/H27*I27-100,1)&gt;999,999,-999)))</f>
        <v>-11</v>
      </c>
      <c r="K27" s="857"/>
      <c r="L27" s="336"/>
      <c r="M27" s="543"/>
      <c r="N27" s="857"/>
      <c r="O27" s="336"/>
      <c r="P27" s="543"/>
      <c r="Q27" s="857"/>
      <c r="R27" s="336"/>
      <c r="S27" s="543"/>
      <c r="T27" s="857"/>
      <c r="U27" s="336"/>
      <c r="V27" s="543"/>
      <c r="W27" s="857"/>
      <c r="X27" s="336">
        <v>0</v>
      </c>
      <c r="Y27" s="543" t="str">
        <f t="shared" si="21"/>
        <v xml:space="preserve">    ---- </v>
      </c>
      <c r="Z27" s="857">
        <v>39</v>
      </c>
      <c r="AA27" s="336">
        <v>22</v>
      </c>
      <c r="AB27" s="543"/>
      <c r="AC27" s="857"/>
      <c r="AD27" s="336"/>
      <c r="AE27" s="543"/>
      <c r="AF27" s="857"/>
      <c r="AG27" s="336">
        <v>0</v>
      </c>
      <c r="AH27" s="543" t="str">
        <f t="shared" si="23"/>
        <v xml:space="preserve">    ---- </v>
      </c>
      <c r="AI27" s="857">
        <v>9</v>
      </c>
      <c r="AJ27" s="336">
        <v>-5</v>
      </c>
      <c r="AK27" s="543">
        <f t="shared" si="24"/>
        <v>-155.6</v>
      </c>
      <c r="AL27" s="543">
        <f t="shared" si="25"/>
        <v>44.494999999999997</v>
      </c>
      <c r="AM27" s="543">
        <f t="shared" si="26"/>
        <v>-15.207000000000001</v>
      </c>
      <c r="AN27" s="543">
        <f t="shared" si="12"/>
        <v>-134.19999999999999</v>
      </c>
      <c r="AO27" s="543"/>
      <c r="AP27" s="543"/>
      <c r="AQ27" s="543"/>
    </row>
    <row r="28" spans="1:43" s="517" customFormat="1" ht="18.75" customHeight="1" x14ac:dyDescent="0.3">
      <c r="A28" s="541" t="s">
        <v>316</v>
      </c>
      <c r="B28" s="857"/>
      <c r="C28" s="336"/>
      <c r="D28" s="543"/>
      <c r="E28" s="857">
        <v>23.154</v>
      </c>
      <c r="F28" s="336">
        <v>21.882999999999999</v>
      </c>
      <c r="G28" s="543">
        <f t="shared" si="18"/>
        <v>-5.5</v>
      </c>
      <c r="H28" s="857"/>
      <c r="I28" s="336"/>
      <c r="J28" s="543"/>
      <c r="K28" s="857"/>
      <c r="L28" s="336"/>
      <c r="M28" s="543" t="str">
        <f t="shared" si="19"/>
        <v xml:space="preserve">    ---- </v>
      </c>
      <c r="N28" s="857"/>
      <c r="O28" s="336"/>
      <c r="P28" s="543"/>
      <c r="Q28" s="857">
        <v>0</v>
      </c>
      <c r="R28" s="336">
        <v>0</v>
      </c>
      <c r="S28" s="543" t="str">
        <f t="shared" si="20"/>
        <v xml:space="preserve">    ---- </v>
      </c>
      <c r="T28" s="857">
        <v>0.2</v>
      </c>
      <c r="U28" s="336">
        <v>0.2</v>
      </c>
      <c r="V28" s="543">
        <f t="shared" si="5"/>
        <v>0</v>
      </c>
      <c r="W28" s="857">
        <v>1</v>
      </c>
      <c r="X28" s="336">
        <v>3</v>
      </c>
      <c r="Y28" s="543">
        <f t="shared" si="21"/>
        <v>200</v>
      </c>
      <c r="Z28" s="857"/>
      <c r="AA28" s="336"/>
      <c r="AB28" s="543"/>
      <c r="AC28" s="857"/>
      <c r="AD28" s="336"/>
      <c r="AE28" s="543"/>
      <c r="AF28" s="857"/>
      <c r="AG28" s="336">
        <v>3.7576298100000001</v>
      </c>
      <c r="AH28" s="543" t="str">
        <f t="shared" si="23"/>
        <v xml:space="preserve">    ---- </v>
      </c>
      <c r="AI28" s="857">
        <v>-16</v>
      </c>
      <c r="AJ28" s="336">
        <v>-16</v>
      </c>
      <c r="AK28" s="543">
        <f t="shared" si="24"/>
        <v>0</v>
      </c>
      <c r="AL28" s="543">
        <f t="shared" si="25"/>
        <v>8.3539999999999992</v>
      </c>
      <c r="AM28" s="543">
        <f t="shared" si="26"/>
        <v>12.840629809999999</v>
      </c>
      <c r="AN28" s="543">
        <f t="shared" si="12"/>
        <v>53.7</v>
      </c>
      <c r="AO28" s="543"/>
      <c r="AP28" s="543"/>
      <c r="AQ28" s="543"/>
    </row>
    <row r="29" spans="1:43" s="517" customFormat="1" ht="18.75" customHeight="1" x14ac:dyDescent="0.3">
      <c r="A29" s="541" t="s">
        <v>317</v>
      </c>
      <c r="B29" s="857">
        <f>SUM(B23:B28)</f>
        <v>-70.156000000000006</v>
      </c>
      <c r="C29" s="336">
        <f>SUM(C23:C28)</f>
        <v>-91.796999999999997</v>
      </c>
      <c r="D29" s="543">
        <f t="shared" si="17"/>
        <v>30.8</v>
      </c>
      <c r="E29" s="857">
        <f>SUM(E23:E28)</f>
        <v>554.94100000000037</v>
      </c>
      <c r="F29" s="336">
        <f>SUM(F23:F28)</f>
        <v>4813.8909999999996</v>
      </c>
      <c r="G29" s="543">
        <f t="shared" si="18"/>
        <v>767.5</v>
      </c>
      <c r="H29" s="857">
        <f>SUM(H23:H28)</f>
        <v>-56.352000000000004</v>
      </c>
      <c r="I29" s="336">
        <f>SUM(I23:I28)</f>
        <v>-61.8</v>
      </c>
      <c r="J29" s="543">
        <f>IF(H29=0, "    ---- ", IF(ABS(ROUND(100/H29*I29-100,1))&lt;999,ROUND(100/H29*I29-100,1),IF(ROUND(100/H29*I29-100,1)&gt;999,999,-999)))</f>
        <v>9.6999999999999993</v>
      </c>
      <c r="K29" s="857">
        <f>SUM(K23:K28)</f>
        <v>-595</v>
      </c>
      <c r="L29" s="336">
        <f>SUM(L23:L28)</f>
        <v>-502.19999999999993</v>
      </c>
      <c r="M29" s="543">
        <f t="shared" si="19"/>
        <v>-15.6</v>
      </c>
      <c r="N29" s="857">
        <f>SUM(N23:N28)</f>
        <v>21</v>
      </c>
      <c r="O29" s="336">
        <f>SUM(O23:O28)</f>
        <v>11</v>
      </c>
      <c r="P29" s="543"/>
      <c r="Q29" s="857">
        <f>SUM(Q23:Q28)</f>
        <v>-38615.040153230002</v>
      </c>
      <c r="R29" s="336">
        <f>SUM(R23:R28)</f>
        <v>-21503.249324669996</v>
      </c>
      <c r="S29" s="543">
        <f t="shared" si="20"/>
        <v>-44.3</v>
      </c>
      <c r="T29" s="857">
        <f>SUM(T23:T28)</f>
        <v>-74.900000000000006</v>
      </c>
      <c r="U29" s="336">
        <f>SUM(U23:U28)</f>
        <v>-31</v>
      </c>
      <c r="V29" s="543">
        <f t="shared" si="5"/>
        <v>-58.6</v>
      </c>
      <c r="W29" s="857">
        <f>SUM(W23:W28)</f>
        <v>-1035.5999999999999</v>
      </c>
      <c r="X29" s="336">
        <f>SUM(X23:X28)</f>
        <v>-499</v>
      </c>
      <c r="Y29" s="543">
        <f t="shared" si="21"/>
        <v>-51.8</v>
      </c>
      <c r="Z29" s="857">
        <f>SUM(Z23:Z28)</f>
        <v>-7061</v>
      </c>
      <c r="AA29" s="336">
        <f>SUM(AA23:AA28)</f>
        <v>-2024</v>
      </c>
      <c r="AB29" s="543">
        <f t="shared" si="22"/>
        <v>-71.3</v>
      </c>
      <c r="AC29" s="857"/>
      <c r="AD29" s="336">
        <f>SUM(AD23:AD28)</f>
        <v>0</v>
      </c>
      <c r="AE29" s="543"/>
      <c r="AF29" s="857">
        <f>SUM(AF23:AF28)</f>
        <v>-1374.4571103800008</v>
      </c>
      <c r="AG29" s="336">
        <f>SUM(AG23:AG28)</f>
        <v>-301.22114496000012</v>
      </c>
      <c r="AH29" s="543">
        <f t="shared" si="23"/>
        <v>-78.099999999999994</v>
      </c>
      <c r="AI29" s="857">
        <f>SUM(AI23:AI28)</f>
        <v>-3257</v>
      </c>
      <c r="AJ29" s="336">
        <f>SUM(AJ23:AJ28)</f>
        <v>1710</v>
      </c>
      <c r="AK29" s="543">
        <f t="shared" si="24"/>
        <v>-152.5</v>
      </c>
      <c r="AL29" s="543">
        <f t="shared" si="25"/>
        <v>-51584.564263610009</v>
      </c>
      <c r="AM29" s="543">
        <f t="shared" si="26"/>
        <v>-18490.376469629995</v>
      </c>
      <c r="AN29" s="543">
        <f t="shared" si="12"/>
        <v>-64.2</v>
      </c>
      <c r="AO29" s="543"/>
      <c r="AP29" s="543"/>
      <c r="AQ29" s="543"/>
    </row>
    <row r="30" spans="1:43" s="517" customFormat="1" ht="18.75" customHeight="1" x14ac:dyDescent="0.3">
      <c r="A30" s="541" t="s">
        <v>318</v>
      </c>
      <c r="B30" s="857">
        <v>-2923.4029999999998</v>
      </c>
      <c r="C30" s="336">
        <v>78.930000000000007</v>
      </c>
      <c r="D30" s="543">
        <f>IF(B30=0, "    ---- ", IF(ABS(ROUND(100/B30*C30-100,1))&lt;999,ROUND(100/B30*C30-100,1),IF(ROUND(100/B30*C30-100,1)&gt;999,999,-999)))</f>
        <v>-102.7</v>
      </c>
      <c r="E30" s="857">
        <v>-14942.475</v>
      </c>
      <c r="F30" s="336">
        <v>-2167.1570000000002</v>
      </c>
      <c r="G30" s="543">
        <f>IF(E30=0, "    ---- ", IF(ABS(ROUND(100/E30*F30-100,1))&lt;999,ROUND(100/E30*F30-100,1),IF(ROUND(100/E30*F30-100,1)&gt;999,999,-999)))</f>
        <v>-85.5</v>
      </c>
      <c r="H30" s="857">
        <v>-570.67700000000002</v>
      </c>
      <c r="I30" s="336">
        <v>-75.8</v>
      </c>
      <c r="J30" s="543"/>
      <c r="K30" s="857">
        <v>-4856</v>
      </c>
      <c r="L30" s="336">
        <v>-1421.3</v>
      </c>
      <c r="M30" s="543">
        <f t="shared" si="19"/>
        <v>-70.7</v>
      </c>
      <c r="N30" s="857"/>
      <c r="O30" s="336"/>
      <c r="P30" s="543"/>
      <c r="Q30" s="857">
        <v>-94.942638000000002</v>
      </c>
      <c r="R30" s="336">
        <v>-58.017110000000002</v>
      </c>
      <c r="S30" s="543">
        <f t="shared" si="20"/>
        <v>-38.9</v>
      </c>
      <c r="T30" s="857">
        <v>-1014.2</v>
      </c>
      <c r="U30" s="336">
        <v>-707</v>
      </c>
      <c r="V30" s="543">
        <f t="shared" si="5"/>
        <v>-30.3</v>
      </c>
      <c r="W30" s="857">
        <v>-11348</v>
      </c>
      <c r="X30" s="336">
        <v>-391</v>
      </c>
      <c r="Y30" s="543">
        <f>IF(W30=0, "    ---- ", IF(ABS(ROUND(100/W30*X30-100,1))&lt;999,ROUND(100/W30*X30-100,1),IF(ROUND(100/W30*X30-100,1)&gt;999,999,-999)))</f>
        <v>-96.6</v>
      </c>
      <c r="Z30" s="857"/>
      <c r="AA30" s="336"/>
      <c r="AB30" s="543"/>
      <c r="AC30" s="857">
        <v>-318</v>
      </c>
      <c r="AD30" s="336">
        <v>6</v>
      </c>
      <c r="AE30" s="543">
        <f>IF(AC30=0, "    ---- ", IF(ABS(ROUND(100/AC30*AD30-100,1))&lt;999,ROUND(100/AC30*AD30-100,1),IF(ROUND(100/AC30*AD30-100,1)&gt;999,999,-999)))</f>
        <v>-101.9</v>
      </c>
      <c r="AF30" s="857">
        <v>-5775.2955953900009</v>
      </c>
      <c r="AG30" s="336">
        <v>-2704.2842486799996</v>
      </c>
      <c r="AH30" s="543">
        <f>IF(AF30=0, "    ---- ", IF(ABS(ROUND(100/AF30*AG30-100,1))&lt;999,ROUND(100/AF30*AG30-100,1),IF(ROUND(100/AF30*AG30-100,1)&gt;999,999,-999)))</f>
        <v>-53.2</v>
      </c>
      <c r="AI30" s="857">
        <v>-15232</v>
      </c>
      <c r="AJ30" s="336">
        <v>-4530</v>
      </c>
      <c r="AK30" s="543">
        <f>IF(AI30=0, "    ---- ", IF(ABS(ROUND(100/AI30*AJ30-100,1))&lt;999,ROUND(100/AI30*AJ30-100,1),IF(ROUND(100/AI30*AJ30-100,1)&gt;999,999,-999)))</f>
        <v>-70.3</v>
      </c>
      <c r="AL30" s="543">
        <f t="shared" si="25"/>
        <v>-56756.99323339</v>
      </c>
      <c r="AM30" s="543">
        <f t="shared" si="26"/>
        <v>-11975.62835868</v>
      </c>
      <c r="AN30" s="543">
        <f t="shared" si="12"/>
        <v>-78.900000000000006</v>
      </c>
      <c r="AO30" s="543"/>
      <c r="AP30" s="543"/>
      <c r="AQ30" s="543"/>
    </row>
    <row r="31" spans="1:43" s="517" customFormat="1" ht="18.75" customHeight="1" x14ac:dyDescent="0.3">
      <c r="A31" s="541" t="s">
        <v>319</v>
      </c>
      <c r="B31" s="857">
        <v>-0.161</v>
      </c>
      <c r="C31" s="336">
        <v>-7.4420000000000002</v>
      </c>
      <c r="D31" s="543">
        <f>IF(B31=0, "    ---- ", IF(ABS(ROUND(100/B31*C31-100,1))&lt;999,ROUND(100/B31*C31-100,1),IF(ROUND(100/B31*C31-100,1)&gt;999,999,-999)))</f>
        <v>999</v>
      </c>
      <c r="E31" s="857">
        <v>-1272.106</v>
      </c>
      <c r="F31" s="336">
        <v>-776.61699999999996</v>
      </c>
      <c r="G31" s="543">
        <f>IF(E31=0, "    ---- ", IF(ABS(ROUND(100/E31*F31-100,1))&lt;999,ROUND(100/E31*F31-100,1),IF(ROUND(100/E31*F31-100,1)&gt;999,999,-999)))</f>
        <v>-39</v>
      </c>
      <c r="H31" s="857"/>
      <c r="I31" s="336"/>
      <c r="J31" s="543"/>
      <c r="K31" s="857">
        <v>-3</v>
      </c>
      <c r="L31" s="336">
        <v>-20.9</v>
      </c>
      <c r="M31" s="543">
        <f t="shared" si="19"/>
        <v>596.70000000000005</v>
      </c>
      <c r="N31" s="857"/>
      <c r="O31" s="336"/>
      <c r="P31" s="543"/>
      <c r="Q31" s="857">
        <v>-5199.2808219999997</v>
      </c>
      <c r="R31" s="336">
        <v>-2938.9254759999999</v>
      </c>
      <c r="S31" s="543">
        <f>IF(Q31=0, "    ---- ", IF(ABS(ROUND(100/Q31*R31-100,1))&lt;999,ROUND(100/Q31*R31-100,1),IF(ROUND(100/Q31*R31-100,1)&gt;999,999,-999)))</f>
        <v>-43.5</v>
      </c>
      <c r="T31" s="857">
        <v>-16.5</v>
      </c>
      <c r="U31" s="336">
        <v>-19.8</v>
      </c>
      <c r="V31" s="543"/>
      <c r="W31" s="857">
        <v>-85</v>
      </c>
      <c r="X31" s="336">
        <v>-115.4</v>
      </c>
      <c r="Y31" s="543">
        <f>IF(W31=0, "    ---- ", IF(ABS(ROUND(100/W31*X31-100,1))&lt;999,ROUND(100/W31*X31-100,1),IF(ROUND(100/W31*X31-100,1)&gt;999,999,-999)))</f>
        <v>35.799999999999997</v>
      </c>
      <c r="Z31" s="857">
        <v>-481</v>
      </c>
      <c r="AA31" s="336">
        <v>-1265</v>
      </c>
      <c r="AB31" s="543">
        <f>IF(Z31=0, "    ---- ", IF(ABS(ROUND(100/Z31*AA31-100,1))&lt;999,ROUND(100/Z31*AA31-100,1),IF(ROUND(100/Z31*AA31-100,1)&gt;999,999,-999)))</f>
        <v>163</v>
      </c>
      <c r="AC31" s="857"/>
      <c r="AD31" s="336"/>
      <c r="AE31" s="543"/>
      <c r="AF31" s="857">
        <v>-289.21020633000001</v>
      </c>
      <c r="AG31" s="336">
        <v>-194.55811548999998</v>
      </c>
      <c r="AH31" s="543">
        <f>IF(AF31=0, "    ---- ", IF(ABS(ROUND(100/AF31*AG31-100,1))&lt;999,ROUND(100/AF31*AG31-100,1),IF(ROUND(100/AF31*AG31-100,1)&gt;999,999,-999)))</f>
        <v>-32.700000000000003</v>
      </c>
      <c r="AI31" s="857">
        <v>-568</v>
      </c>
      <c r="AJ31" s="336">
        <v>-415</v>
      </c>
      <c r="AK31" s="543">
        <f>IF(AI31=0, "    ---- ", IF(ABS(ROUND(100/AI31*AJ31-100,1))&lt;999,ROUND(100/AI31*AJ31-100,1),IF(ROUND(100/AI31*AJ31-100,1)&gt;999,999,-999)))</f>
        <v>-26.9</v>
      </c>
      <c r="AL31" s="543">
        <f t="shared" si="25"/>
        <v>-7914.2580283299994</v>
      </c>
      <c r="AM31" s="543">
        <f t="shared" si="26"/>
        <v>-5753.6425914900001</v>
      </c>
      <c r="AN31" s="543">
        <f t="shared" si="12"/>
        <v>-27.3</v>
      </c>
      <c r="AO31" s="543"/>
      <c r="AP31" s="543"/>
      <c r="AQ31" s="543"/>
    </row>
    <row r="32" spans="1:43" s="517" customFormat="1" ht="18.75" customHeight="1" x14ac:dyDescent="0.3">
      <c r="A32" s="541" t="s">
        <v>320</v>
      </c>
      <c r="B32" s="857">
        <v>-189.83199999999999</v>
      </c>
      <c r="C32" s="336">
        <v>-204.46</v>
      </c>
      <c r="D32" s="543">
        <f>IF(B32=0, "    ---- ", IF(ABS(ROUND(100/B32*C32-100,1))&lt;999,ROUND(100/B32*C32-100,1),IF(ROUND(100/B32*C32-100,1)&gt;999,999,-999)))</f>
        <v>7.7</v>
      </c>
      <c r="E32" s="857">
        <v>-1228.1500000000001</v>
      </c>
      <c r="F32" s="336">
        <v>-1275.463</v>
      </c>
      <c r="G32" s="543">
        <f>IF(E32=0, "    ---- ", IF(ABS(ROUND(100/E32*F32-100,1))&lt;999,ROUND(100/E32*F32-100,1),IF(ROUND(100/E32*F32-100,1)&gt;999,999,-999)))</f>
        <v>3.9</v>
      </c>
      <c r="H32" s="857">
        <v>-242.10300000000001</v>
      </c>
      <c r="I32" s="336">
        <v>-252.8</v>
      </c>
      <c r="J32" s="543">
        <f>IF(H32=0, "    ---- ", IF(ABS(ROUND(100/H32*I32-100,1))&lt;999,ROUND(100/H32*I32-100,1),IF(ROUND(100/H32*I32-100,1)&gt;999,999,-999)))</f>
        <v>4.4000000000000004</v>
      </c>
      <c r="K32" s="857">
        <v>-227</v>
      </c>
      <c r="L32" s="336">
        <v>-241</v>
      </c>
      <c r="M32" s="543">
        <f>IF(K32=0, "    ---- ", IF(ABS(ROUND(100/K32*L32-100,1))&lt;999,ROUND(100/K32*L32-100,1),IF(ROUND(100/K32*L32-100,1)&gt;999,999,-999)))</f>
        <v>6.2</v>
      </c>
      <c r="N32" s="857">
        <v>-11</v>
      </c>
      <c r="O32" s="336">
        <v>-11</v>
      </c>
      <c r="P32" s="543">
        <f>IF(N32=0, "    ---- ", IF(ABS(ROUND(100/N32*O32-100,1))&lt;999,ROUND(100/N32*O32-100,1),IF(ROUND(100/N32*O32-100,1)&gt;999,999,-999)))</f>
        <v>0</v>
      </c>
      <c r="Q32" s="857">
        <v>-1001.43555411</v>
      </c>
      <c r="R32" s="336">
        <v>-1096.9088078499999</v>
      </c>
      <c r="S32" s="543">
        <f>IF(Q32=0, "    ---- ", IF(ABS(ROUND(100/Q32*R32-100,1))&lt;999,ROUND(100/Q32*R32-100,1),IF(ROUND(100/Q32*R32-100,1)&gt;999,999,-999)))</f>
        <v>9.5</v>
      </c>
      <c r="T32" s="857">
        <v>-61.9</v>
      </c>
      <c r="U32" s="336">
        <v>-67.099999999999994</v>
      </c>
      <c r="V32" s="543">
        <f>IF(T32=0, "    ---- ", IF(ABS(ROUND(100/T32*U32-100,1))&lt;999,ROUND(100/T32*U32-100,1),IF(ROUND(100/T32*U32-100,1)&gt;999,999,-999)))</f>
        <v>8.4</v>
      </c>
      <c r="W32" s="857">
        <v>-636</v>
      </c>
      <c r="X32" s="336">
        <v>-627</v>
      </c>
      <c r="Y32" s="543">
        <f>IF(W32=0, "    ---- ", IF(ABS(ROUND(100/W32*X32-100,1))&lt;999,ROUND(100/W32*X32-100,1),IF(ROUND(100/W32*X32-100,1)&gt;999,999,-999)))</f>
        <v>-1.4</v>
      </c>
      <c r="Z32" s="857">
        <v>-156</v>
      </c>
      <c r="AA32" s="336">
        <v>-161</v>
      </c>
      <c r="AB32" s="543">
        <f>IF(Z32=0, "    ---- ", IF(ABS(ROUND(100/Z32*AA32-100,1))&lt;999,ROUND(100/Z32*AA32-100,1),IF(ROUND(100/Z32*AA32-100,1)&gt;999,999,-999)))</f>
        <v>3.2</v>
      </c>
      <c r="AC32" s="857">
        <v>2.6</v>
      </c>
      <c r="AD32" s="336">
        <v>3</v>
      </c>
      <c r="AE32" s="543">
        <f>IF(AC32=0, "    ---- ", IF(ABS(ROUND(100/AC32*AD32-100,1))&lt;999,ROUND(100/AC32*AD32-100,1),IF(ROUND(100/AC32*AD32-100,1)&gt;999,999,-999)))</f>
        <v>15.4</v>
      </c>
      <c r="AF32" s="857">
        <v>-1026.5496009412</v>
      </c>
      <c r="AG32" s="336">
        <v>-1134.2003764251997</v>
      </c>
      <c r="AH32" s="543">
        <f>IF(AF32=0, "    ---- ", IF(ABS(ROUND(100/AF32*AG32-100,1))&lt;999,ROUND(100/AF32*AG32-100,1),IF(ROUND(100/AF32*AG32-100,1)&gt;999,999,-999)))</f>
        <v>10.5</v>
      </c>
      <c r="AI32" s="857">
        <v>-1409</v>
      </c>
      <c r="AJ32" s="336">
        <v>-1456</v>
      </c>
      <c r="AK32" s="543">
        <f>IF(AI32=0, "    ---- ", IF(ABS(ROUND(100/AI32*AJ32-100,1))&lt;999,ROUND(100/AI32*AJ32-100,1),IF(ROUND(100/AI32*AJ32-100,1)&gt;999,999,-999)))</f>
        <v>3.3</v>
      </c>
      <c r="AL32" s="543">
        <f t="shared" si="25"/>
        <v>-6177.9701550512</v>
      </c>
      <c r="AM32" s="543">
        <f t="shared" si="26"/>
        <v>-6515.9321842751997</v>
      </c>
      <c r="AN32" s="543">
        <f t="shared" si="12"/>
        <v>5.5</v>
      </c>
      <c r="AO32" s="543"/>
      <c r="AP32" s="543"/>
      <c r="AQ32" s="543"/>
    </row>
    <row r="33" spans="1:43" s="561" customFormat="1" ht="18.75" customHeight="1" x14ac:dyDescent="0.3">
      <c r="A33" s="541" t="s">
        <v>321</v>
      </c>
      <c r="B33" s="859"/>
      <c r="C33" s="447"/>
      <c r="D33" s="548"/>
      <c r="E33" s="859">
        <v>-26.917999999999999</v>
      </c>
      <c r="F33" s="447">
        <v>-25.427</v>
      </c>
      <c r="G33" s="548">
        <f>IF(E33=0, "    ---- ", IF(ABS(ROUND(100/E33*F33-100,1))&lt;999,ROUND(100/E33*F33-100,1),IF(ROUND(100/E33*F33-100,1)&gt;999,999,-999)))</f>
        <v>-5.5</v>
      </c>
      <c r="H33" s="859"/>
      <c r="I33" s="447"/>
      <c r="J33" s="548"/>
      <c r="K33" s="859"/>
      <c r="L33" s="447"/>
      <c r="M33" s="548"/>
      <c r="N33" s="859"/>
      <c r="O33" s="447"/>
      <c r="P33" s="548"/>
      <c r="Q33" s="859">
        <v>-980.23609499999998</v>
      </c>
      <c r="R33" s="447">
        <v>-1058.9443100000001</v>
      </c>
      <c r="S33" s="548">
        <f>IF(Q33=0, "    ---- ", IF(ABS(ROUND(100/Q33*R33-100,1))&lt;999,ROUND(100/Q33*R33-100,1),IF(ROUND(100/Q33*R33-100,1)&gt;999,999,-999)))</f>
        <v>8</v>
      </c>
      <c r="T33" s="859">
        <v>-1</v>
      </c>
      <c r="U33" s="447">
        <v>-4.0999999999999996</v>
      </c>
      <c r="V33" s="548">
        <f>IF(T33=0, "    ---- ", IF(ABS(ROUND(100/T33*U33-100,1))&lt;999,ROUND(100/T33*U33-100,1),IF(ROUND(100/T33*U33-100,1)&gt;999,999,-999)))</f>
        <v>310</v>
      </c>
      <c r="W33" s="859">
        <v>-8.4380929600000005</v>
      </c>
      <c r="X33" s="447">
        <v>-17.399999999999999</v>
      </c>
      <c r="Y33" s="548">
        <f>IF(W33=0, "    ---- ", IF(ABS(ROUND(100/W33*X33-100,1))&lt;999,ROUND(100/W33*X33-100,1),IF(ROUND(100/W33*X33-100,1)&gt;999,999,-999)))</f>
        <v>106.2</v>
      </c>
      <c r="Z33" s="859"/>
      <c r="AA33" s="447"/>
      <c r="AB33" s="548"/>
      <c r="AC33" s="859"/>
      <c r="AD33" s="447"/>
      <c r="AE33" s="548"/>
      <c r="AF33" s="859">
        <v>-11.01792062</v>
      </c>
      <c r="AG33" s="447">
        <v>-7.836897089999999</v>
      </c>
      <c r="AH33" s="548">
        <f>IF(AF33=0, "    ---- ", IF(ABS(ROUND(100/AF33*AG33-100,1))&lt;999,ROUND(100/AF33*AG33-100,1),IF(ROUND(100/AF33*AG33-100,1)&gt;999,999,-999)))</f>
        <v>-28.9</v>
      </c>
      <c r="AI33" s="859">
        <v>-138</v>
      </c>
      <c r="AJ33" s="447">
        <v>-157</v>
      </c>
      <c r="AK33" s="548">
        <f>IF(AI33=0, "    ---- ", IF(ABS(ROUND(100/AI33*AJ33-100,1))&lt;999,ROUND(100/AI33*AJ33-100,1),IF(ROUND(100/AI33*AJ33-100,1)&gt;999,999,-999)))</f>
        <v>13.8</v>
      </c>
      <c r="AL33" s="548">
        <f t="shared" si="25"/>
        <v>-1165.6101085799999</v>
      </c>
      <c r="AM33" s="548">
        <f t="shared" si="26"/>
        <v>-1270.7082070900001</v>
      </c>
      <c r="AN33" s="548">
        <f t="shared" si="12"/>
        <v>9</v>
      </c>
      <c r="AO33" s="548"/>
      <c r="AP33" s="548"/>
      <c r="AQ33" s="548"/>
    </row>
    <row r="34" spans="1:43" s="564" customFormat="1" ht="18.75" customHeight="1" x14ac:dyDescent="0.3">
      <c r="A34" s="562" t="s">
        <v>322</v>
      </c>
      <c r="B34" s="860">
        <f>SUM(B14+B15+B16+B17+B21+B29+B30+B31+B32+B33)</f>
        <v>121.58600000000064</v>
      </c>
      <c r="C34" s="840">
        <f>SUM(C14+C15+C16+C17+C21+C29+C30+C31+C32+C33)</f>
        <v>62.499000000000052</v>
      </c>
      <c r="D34" s="563">
        <f>IF(B34=0, "    ---- ", IF(ABS(ROUND(100/B34*C34-100,1))&lt;999,ROUND(100/B34*C34-100,1),IF(ROUND(100/B34*C34-100,1)&gt;999,999,-999)))</f>
        <v>-48.6</v>
      </c>
      <c r="E34" s="860">
        <f>SUM(E14+E15+E16+E17+E21+E29+E30+E31+E32+E33)</f>
        <v>1155.7719999999947</v>
      </c>
      <c r="F34" s="840">
        <f>SUM(F14+F15+F16+F17+F21+F29+F30+F31+F32+F33)</f>
        <v>1081.1610000000005</v>
      </c>
      <c r="G34" s="563">
        <f>IF(E34=0, "    ---- ", IF(ABS(ROUND(100/E34*F34-100,1))&lt;999,ROUND(100/E34*F34-100,1),IF(ROUND(100/E34*F34-100,1)&gt;999,999,-999)))</f>
        <v>-6.5</v>
      </c>
      <c r="H34" s="860">
        <f>SUM(H14+H15+H16+H17+H21+H29+H30+H31+H32+H33)</f>
        <v>117.06600000000009</v>
      </c>
      <c r="I34" s="840">
        <f>SUM(I14+I15+I16+I17+I21+I29+I30+I31+I32+I33)</f>
        <v>79.199999999999989</v>
      </c>
      <c r="J34" s="563">
        <f>IF(H34=0, "    ---- ", IF(ABS(ROUND(100/H34*I34-100,1))&lt;999,ROUND(100/H34*I34-100,1),IF(ROUND(100/H34*I34-100,1)&gt;999,999,-999)))</f>
        <v>-32.299999999999997</v>
      </c>
      <c r="K34" s="860">
        <f>SUM(K14+K15+K16+K17+K21+K29+K30+K31+K32+K33)</f>
        <v>102.89999999999964</v>
      </c>
      <c r="L34" s="840">
        <f>SUM(L14+L15+L16+L17+L21+L29+L30+L31+L32+L33)</f>
        <v>160.30000000000143</v>
      </c>
      <c r="M34" s="563">
        <f>IF(K34=0, "    ---- ", IF(ABS(ROUND(100/K34*L34-100,1))&lt;999,ROUND(100/K34*L34-100,1),IF(ROUND(100/K34*L34-100,1)&gt;999,999,-999)))</f>
        <v>55.8</v>
      </c>
      <c r="N34" s="860">
        <f>SUM(N14+N15+N16+N17+N21+N29+N30+N31+N32+N33)</f>
        <v>25</v>
      </c>
      <c r="O34" s="840">
        <f>SUM(O14+O15+O16+O17+O21+O29+O30+O31+O32+O33)</f>
        <v>18</v>
      </c>
      <c r="P34" s="563">
        <f>IF(N34=0, "    ---- ", IF(ABS(ROUND(100/N34*O34-100,1))&lt;999,ROUND(100/N34*O34-100,1),IF(ROUND(100/N34*O34-100,1)&gt;999,999,-999)))</f>
        <v>-28</v>
      </c>
      <c r="Q34" s="860">
        <f>SUM(Q14+Q15+Q16+Q17+Q21+Q29+Q30+Q31+Q32+Q33)</f>
        <v>1097.626671859997</v>
      </c>
      <c r="R34" s="840">
        <f>SUM(R14+R15+R16+R17+R21+R29+R30+R31+R32+R33)</f>
        <v>1315.3697012700061</v>
      </c>
      <c r="S34" s="563">
        <f>IF(Q34=0, "    ---- ", IF(ABS(ROUND(100/Q34*R34-100,1))&lt;999,ROUND(100/Q34*R34-100,1),IF(ROUND(100/Q34*R34-100,1)&gt;999,999,-999)))</f>
        <v>19.8</v>
      </c>
      <c r="T34" s="860">
        <f>SUM(T14+T15+T16+T17+T21+T29+T30+T31+T32+T33)</f>
        <v>-33.600000000000044</v>
      </c>
      <c r="U34" s="840">
        <f>SUM(U14+U15+U16+U17+U21+U29+U30+U31+U32+U33)</f>
        <v>-27.999999999999766</v>
      </c>
      <c r="V34" s="563">
        <f>IF(T34=0, "    ---- ", IF(ABS(ROUND(100/T34*U34-100,1))&lt;999,ROUND(100/T34*U34-100,1),IF(ROUND(100/T34*U34-100,1)&gt;999,999,-999)))</f>
        <v>-16.7</v>
      </c>
      <c r="W34" s="860">
        <f>SUM(W14+W15+W16+W17+W21+W29+W30+W31+W32+W33)</f>
        <v>626.16190704000041</v>
      </c>
      <c r="X34" s="840">
        <f>SUM(X14+X15+X16+X17+X21+X29+X30+X31+X32+X33)</f>
        <v>579.9999999999992</v>
      </c>
      <c r="Y34" s="563">
        <f>IF(W34=0, "    ---- ", IF(ABS(ROUND(100/W34*X34-100,1))&lt;999,ROUND(100/W34*X34-100,1),IF(ROUND(100/W34*X34-100,1)&gt;999,999,-999)))</f>
        <v>-7.4</v>
      </c>
      <c r="Z34" s="860">
        <f>SUM(Z14+Z15+Z16+Z17+Z21+Z29+Z30+Z31+Z32+Z33)</f>
        <v>735</v>
      </c>
      <c r="AA34" s="840">
        <f>SUM(AA14+AA15+AA16+AA17+AA21+AA29+AA30+AA31+AA32+AA33)</f>
        <v>658</v>
      </c>
      <c r="AB34" s="563">
        <f>IF(Z34=0, "    ---- ", IF(ABS(ROUND(100/Z34*AA34-100,1))&lt;999,ROUND(100/Z34*AA34-100,1),IF(ROUND(100/Z34*AA34-100,1)&gt;999,999,-999)))</f>
        <v>-10.5</v>
      </c>
      <c r="AC34" s="860">
        <f>SUM(AC14+AC15+AC16+AC17+AC21+AC29+AC30+AC31+AC32+AC33)</f>
        <v>13.205000000000018</v>
      </c>
      <c r="AD34" s="840">
        <f>SUM(AD14+AD15+AD16+AD17+AD21+AD29+AD30+AD31+AD32+AD33)</f>
        <v>13</v>
      </c>
      <c r="AE34" s="563">
        <f>IF(AC34=0, "    ---- ", IF(ABS(ROUND(100/AC34*AD34-100,1))&lt;999,ROUND(100/AC34*AD34-100,1),IF(ROUND(100/AC34*AD34-100,1)&gt;999,999,-999)))</f>
        <v>-1.6</v>
      </c>
      <c r="AF34" s="860">
        <f>SUM(AF14+AF15+AF16+AF17+AF21+AF29+AF30+AF31+AF32+AF33)</f>
        <v>572.63025003880011</v>
      </c>
      <c r="AG34" s="840">
        <f>SUM(AG14+AG15+AG16+AG17+AG21+AG29+AG30+AG31+AG32+AG33)</f>
        <v>545.82719138479877</v>
      </c>
      <c r="AH34" s="563">
        <f>IF(AF34=0, "    ---- ", IF(ABS(ROUND(100/AF34*AG34-100,1))&lt;999,ROUND(100/AF34*AG34-100,1),IF(ROUND(100/AF34*AG34-100,1)&gt;999,999,-999)))</f>
        <v>-4.7</v>
      </c>
      <c r="AI34" s="860">
        <f>SUM(AI14+AI15+AI16+AI17+AI21+AI29+AI30+AI31+AI32+AI33)</f>
        <v>1156</v>
      </c>
      <c r="AJ34" s="840">
        <f>SUM(AJ14+AJ15+AJ16+AJ17+AJ21+AJ29+AJ30+AJ31+AJ32+AJ33)</f>
        <v>1576</v>
      </c>
      <c r="AK34" s="563">
        <f>IF(AI34=0, "    ---- ", IF(ABS(ROUND(100/AI34*AJ34-100,1))&lt;999,ROUND(100/AI34*AJ34-100,1),IF(ROUND(100/AI34*AJ34-100,1)&gt;999,999,-999)))</f>
        <v>36.299999999999997</v>
      </c>
      <c r="AL34" s="563">
        <f t="shared" si="25"/>
        <v>5651.1428289387932</v>
      </c>
      <c r="AM34" s="563">
        <f t="shared" si="26"/>
        <v>6030.3568926548069</v>
      </c>
      <c r="AN34" s="563">
        <f t="shared" si="12"/>
        <v>6.7</v>
      </c>
      <c r="AO34" s="563"/>
      <c r="AP34" s="563"/>
      <c r="AQ34" s="563"/>
    </row>
    <row r="35" spans="1:43" s="564" customFormat="1" ht="18.75" customHeight="1" x14ac:dyDescent="0.3">
      <c r="A35" s="565"/>
      <c r="B35" s="566"/>
      <c r="C35" s="567"/>
      <c r="D35" s="568"/>
      <c r="E35" s="566"/>
      <c r="F35" s="567"/>
      <c r="G35" s="568"/>
      <c r="H35" s="566"/>
      <c r="I35" s="567"/>
      <c r="J35" s="568"/>
      <c r="K35" s="566"/>
      <c r="L35" s="567"/>
      <c r="M35" s="568"/>
      <c r="N35" s="566"/>
      <c r="O35" s="567"/>
      <c r="P35" s="568"/>
      <c r="Q35" s="566"/>
      <c r="R35" s="567"/>
      <c r="S35" s="568"/>
      <c r="T35" s="566"/>
      <c r="U35" s="567"/>
      <c r="V35" s="568"/>
      <c r="W35" s="566"/>
      <c r="X35" s="567"/>
      <c r="Y35" s="568"/>
      <c r="Z35" s="566"/>
      <c r="AA35" s="567"/>
      <c r="AB35" s="568"/>
      <c r="AC35" s="566"/>
      <c r="AD35" s="567"/>
      <c r="AE35" s="568"/>
      <c r="AF35" s="566"/>
      <c r="AG35" s="567"/>
      <c r="AH35" s="569"/>
      <c r="AI35" s="566"/>
      <c r="AJ35" s="567"/>
      <c r="AK35" s="569"/>
      <c r="AL35" s="569"/>
      <c r="AM35" s="569"/>
      <c r="AN35" s="569"/>
      <c r="AO35" s="570"/>
      <c r="AP35" s="571"/>
      <c r="AQ35" s="572"/>
    </row>
    <row r="36" spans="1:43" s="564" customFormat="1" ht="18.75" customHeight="1" x14ac:dyDescent="0.3">
      <c r="A36" s="532" t="s">
        <v>323</v>
      </c>
      <c r="B36" s="566"/>
      <c r="C36" s="567"/>
      <c r="D36" s="568"/>
      <c r="E36" s="566"/>
      <c r="F36" s="567"/>
      <c r="G36" s="568"/>
      <c r="H36" s="566"/>
      <c r="I36" s="567"/>
      <c r="J36" s="568"/>
      <c r="K36" s="566"/>
      <c r="L36" s="567"/>
      <c r="M36" s="568"/>
      <c r="N36" s="566"/>
      <c r="O36" s="567"/>
      <c r="P36" s="568"/>
      <c r="Q36" s="566"/>
      <c r="R36" s="567"/>
      <c r="S36" s="568"/>
      <c r="T36" s="566"/>
      <c r="U36" s="567"/>
      <c r="V36" s="568"/>
      <c r="W36" s="566"/>
      <c r="X36" s="567"/>
      <c r="Y36" s="568"/>
      <c r="Z36" s="566"/>
      <c r="AA36" s="567"/>
      <c r="AB36" s="568"/>
      <c r="AC36" s="566"/>
      <c r="AD36" s="567"/>
      <c r="AE36" s="568"/>
      <c r="AF36" s="566"/>
      <c r="AG36" s="567"/>
      <c r="AH36" s="568"/>
      <c r="AI36" s="566"/>
      <c r="AJ36" s="567"/>
      <c r="AK36" s="568"/>
      <c r="AL36" s="568"/>
      <c r="AM36" s="568"/>
      <c r="AN36" s="568"/>
      <c r="AO36" s="573"/>
      <c r="AP36" s="574"/>
      <c r="AQ36" s="575"/>
    </row>
    <row r="37" spans="1:43" s="577" customFormat="1" ht="18.75" customHeight="1" x14ac:dyDescent="0.3">
      <c r="A37" s="541" t="s">
        <v>324</v>
      </c>
      <c r="B37" s="544">
        <v>-3.9E-2</v>
      </c>
      <c r="C37" s="545">
        <v>3.6280000000000001</v>
      </c>
      <c r="D37" s="543">
        <f t="shared" ref="D37:D43" si="27">IF(B37=0, "    ---- ", IF(ABS(ROUND(100/B37*C37-100,1))&lt;999,ROUND(100/B37*C37-100,1),IF(ROUND(100/B37*C37-100,1)&gt;999,999,-999)))</f>
        <v>-999</v>
      </c>
      <c r="E37" s="544">
        <v>1001.908</v>
      </c>
      <c r="F37" s="545">
        <v>777.197</v>
      </c>
      <c r="G37" s="543">
        <f t="shared" ref="G37:G44" si="28">IF(E37=0, "    ---- ", IF(ABS(ROUND(100/E37*F37-100,1))&lt;999,ROUND(100/E37*F37-100,1),IF(ROUND(100/E37*F37-100,1)&gt;999,999,-999)))</f>
        <v>-22.4</v>
      </c>
      <c r="H37" s="544">
        <v>9.8840000000000003</v>
      </c>
      <c r="I37" s="545">
        <v>1</v>
      </c>
      <c r="J37" s="543">
        <f t="shared" ref="J37:J43" si="29">IF(H37=0, "    ---- ", IF(ABS(ROUND(100/H37*I37-100,1))&lt;999,ROUND(100/H37*I37-100,1),IF(ROUND(100/H37*I37-100,1)&gt;999,999,-999)))</f>
        <v>-89.9</v>
      </c>
      <c r="K37" s="544">
        <v>1</v>
      </c>
      <c r="L37" s="545">
        <v>11.4</v>
      </c>
      <c r="M37" s="543">
        <f t="shared" ref="M37:M44" si="30">IF(K37=0, "    ---- ", IF(ABS(ROUND(100/K37*L37-100,1))&lt;999,ROUND(100/K37*L37-100,1),IF(ROUND(100/K37*L37-100,1)&gt;999,999,-999)))</f>
        <v>999</v>
      </c>
      <c r="N37" s="544">
        <v>2</v>
      </c>
      <c r="O37" s="545">
        <v>2</v>
      </c>
      <c r="P37" s="543">
        <f t="shared" ref="P37:P43" si="31">IF(N37=0, "    ---- ", IF(ABS(ROUND(100/N37*O37-100,1))&lt;999,ROUND(100/N37*O37-100,1),IF(ROUND(100/N37*O37-100,1)&gt;999,999,-999)))</f>
        <v>0</v>
      </c>
      <c r="Q37" s="544">
        <v>1261.4612703599998</v>
      </c>
      <c r="R37" s="545">
        <v>1456.1911625599998</v>
      </c>
      <c r="S37" s="543">
        <f t="shared" ref="S37:S44" si="32">IF(Q37=0, "    ---- ", IF(ABS(ROUND(100/Q37*R37-100,1))&lt;999,ROUND(100/Q37*R37-100,1),IF(ROUND(100/Q37*R37-100,1)&gt;999,999,-999)))</f>
        <v>15.4</v>
      </c>
      <c r="T37" s="544">
        <v>9.1999999999999993</v>
      </c>
      <c r="U37" s="545">
        <v>5.7</v>
      </c>
      <c r="V37" s="543">
        <f t="shared" ref="V37:V44" si="33">IF(T37=0, "    ---- ", IF(ABS(ROUND(100/T37*U37-100,1))&lt;999,ROUND(100/T37*U37-100,1),IF(ROUND(100/T37*U37-100,1)&gt;999,999,-999)))</f>
        <v>-38</v>
      </c>
      <c r="W37" s="544">
        <v>105</v>
      </c>
      <c r="X37" s="545">
        <v>78</v>
      </c>
      <c r="Y37" s="543">
        <f t="shared" ref="Y37:Y44" si="34">IF(W37=0, "    ---- ", IF(ABS(ROUND(100/W37*X37-100,1))&lt;999,ROUND(100/W37*X37-100,1),IF(ROUND(100/W37*X37-100,1)&gt;999,999,-999)))</f>
        <v>-25.7</v>
      </c>
      <c r="Z37" s="544">
        <v>514</v>
      </c>
      <c r="AA37" s="545">
        <v>215</v>
      </c>
      <c r="AB37" s="543">
        <f t="shared" ref="AB37:AB43" si="35">IF(Z37=0, "    ---- ", IF(ABS(ROUND(100/Z37*AA37-100,1))&lt;999,ROUND(100/Z37*AA37-100,1),IF(ROUND(100/Z37*AA37-100,1)&gt;999,999,-999)))</f>
        <v>-58.2</v>
      </c>
      <c r="AC37" s="544"/>
      <c r="AD37" s="545"/>
      <c r="AE37" s="543"/>
      <c r="AF37" s="544">
        <v>309.61657667000003</v>
      </c>
      <c r="AG37" s="545">
        <v>168.45593326999995</v>
      </c>
      <c r="AH37" s="543">
        <f t="shared" ref="AH37:AH44" si="36">IF(AF37=0, "    ---- ", IF(ABS(ROUND(100/AF37*AG37-100,1))&lt;999,ROUND(100/AF37*AG37-100,1),IF(ROUND(100/AF37*AG37-100,1)&gt;999,999,-999)))</f>
        <v>-45.6</v>
      </c>
      <c r="AI37" s="544">
        <v>771.3</v>
      </c>
      <c r="AJ37" s="545">
        <v>1350</v>
      </c>
      <c r="AK37" s="543">
        <f t="shared" ref="AK37:AK44" si="37">IF(AI37=0, "    ---- ", IF(ABS(ROUND(100/AI37*AJ37-100,1))&lt;999,ROUND(100/AI37*AJ37-100,1),IF(ROUND(100/AI37*AJ37-100,1)&gt;999,999,-999)))</f>
        <v>75</v>
      </c>
      <c r="AL37" s="543">
        <f t="shared" ref="AL37:AL45" si="38">B37+E37+H37+K37+Q37+T37+W37+Z37+AF37+AI37</f>
        <v>3983.3308470299999</v>
      </c>
      <c r="AM37" s="543">
        <f t="shared" ref="AM37:AM45" si="39">C37+F37+I37+L37+R37+U37+X37+AA37+AG37+AJ37</f>
        <v>4066.5720958299999</v>
      </c>
      <c r="AN37" s="543">
        <f t="shared" si="12"/>
        <v>2.1</v>
      </c>
      <c r="AO37" s="547"/>
      <c r="AP37" s="576"/>
      <c r="AQ37" s="549"/>
    </row>
    <row r="38" spans="1:43" s="577" customFormat="1" ht="18.75" customHeight="1" x14ac:dyDescent="0.3">
      <c r="A38" s="541" t="s">
        <v>325</v>
      </c>
      <c r="B38" s="544"/>
      <c r="C38" s="545"/>
      <c r="D38" s="543"/>
      <c r="E38" s="544">
        <v>33.569000000000003</v>
      </c>
      <c r="F38" s="545">
        <v>14.457000000000001</v>
      </c>
      <c r="G38" s="543">
        <f t="shared" si="28"/>
        <v>-56.9</v>
      </c>
      <c r="H38" s="544">
        <v>4.2000000000000003E-2</v>
      </c>
      <c r="I38" s="545">
        <v>4.2000000000000003E-2</v>
      </c>
      <c r="J38" s="543">
        <f t="shared" si="29"/>
        <v>0</v>
      </c>
      <c r="K38" s="544">
        <v>0</v>
      </c>
      <c r="L38" s="545">
        <v>6.8</v>
      </c>
      <c r="M38" s="543" t="str">
        <f t="shared" si="30"/>
        <v xml:space="preserve">    ---- </v>
      </c>
      <c r="N38" s="544"/>
      <c r="O38" s="545"/>
      <c r="P38" s="543"/>
      <c r="Q38" s="544">
        <v>11.60851194</v>
      </c>
      <c r="R38" s="545">
        <v>5.6020662000000003</v>
      </c>
      <c r="S38" s="543">
        <f t="shared" si="32"/>
        <v>-51.7</v>
      </c>
      <c r="T38" s="544">
        <v>0.7</v>
      </c>
      <c r="U38" s="545">
        <v>2</v>
      </c>
      <c r="V38" s="543">
        <f t="shared" si="33"/>
        <v>185.7</v>
      </c>
      <c r="W38" s="544">
        <v>2</v>
      </c>
      <c r="X38" s="545">
        <v>7</v>
      </c>
      <c r="Y38" s="543">
        <f t="shared" si="34"/>
        <v>250</v>
      </c>
      <c r="Z38" s="544">
        <v>7</v>
      </c>
      <c r="AA38" s="545">
        <v>8</v>
      </c>
      <c r="AB38" s="543">
        <f t="shared" si="35"/>
        <v>14.3</v>
      </c>
      <c r="AC38" s="544"/>
      <c r="AD38" s="545"/>
      <c r="AE38" s="543"/>
      <c r="AF38" s="544">
        <v>1.6303164399999996</v>
      </c>
      <c r="AG38" s="545">
        <v>2.6739375600000002</v>
      </c>
      <c r="AH38" s="543">
        <f t="shared" si="36"/>
        <v>64</v>
      </c>
      <c r="AI38" s="544">
        <v>16</v>
      </c>
      <c r="AJ38" s="545">
        <v>105</v>
      </c>
      <c r="AK38" s="543">
        <f t="shared" si="37"/>
        <v>556.29999999999995</v>
      </c>
      <c r="AL38" s="543">
        <f t="shared" si="38"/>
        <v>72.549828380000008</v>
      </c>
      <c r="AM38" s="543">
        <f t="shared" si="39"/>
        <v>151.57500376000002</v>
      </c>
      <c r="AN38" s="543">
        <f t="shared" si="12"/>
        <v>108.9</v>
      </c>
      <c r="AO38" s="543"/>
      <c r="AP38" s="578"/>
      <c r="AQ38" s="543"/>
    </row>
    <row r="39" spans="1:43" s="577" customFormat="1" ht="18.75" customHeight="1" x14ac:dyDescent="0.3">
      <c r="A39" s="541" t="s">
        <v>326</v>
      </c>
      <c r="B39" s="544"/>
      <c r="C39" s="545"/>
      <c r="D39" s="543"/>
      <c r="E39" s="544">
        <v>-213.95400000000001</v>
      </c>
      <c r="F39" s="545">
        <v>-209.72200000000001</v>
      </c>
      <c r="G39" s="543">
        <f t="shared" si="28"/>
        <v>-2</v>
      </c>
      <c r="H39" s="544"/>
      <c r="I39" s="545"/>
      <c r="J39" s="543" t="str">
        <f t="shared" si="29"/>
        <v xml:space="preserve">    ---- </v>
      </c>
      <c r="K39" s="544">
        <v>0</v>
      </c>
      <c r="L39" s="545">
        <v>-12.1</v>
      </c>
      <c r="M39" s="543" t="str">
        <f t="shared" si="30"/>
        <v xml:space="preserve">    ---- </v>
      </c>
      <c r="N39" s="544"/>
      <c r="O39" s="545"/>
      <c r="P39" s="543"/>
      <c r="Q39" s="544">
        <v>-385.62101326999999</v>
      </c>
      <c r="R39" s="545">
        <v>-352.52553112999999</v>
      </c>
      <c r="S39" s="543">
        <f t="shared" si="32"/>
        <v>-8.6</v>
      </c>
      <c r="T39" s="544">
        <v>-0.5</v>
      </c>
      <c r="U39" s="545">
        <v>-0.5</v>
      </c>
      <c r="V39" s="543">
        <f t="shared" si="33"/>
        <v>0</v>
      </c>
      <c r="W39" s="544">
        <v>-94</v>
      </c>
      <c r="X39" s="545">
        <v>-87.9</v>
      </c>
      <c r="Y39" s="543">
        <f t="shared" si="34"/>
        <v>-6.5</v>
      </c>
      <c r="Z39" s="544">
        <v>-90</v>
      </c>
      <c r="AA39" s="545">
        <v>-91</v>
      </c>
      <c r="AB39" s="543">
        <f t="shared" si="35"/>
        <v>1.1000000000000001</v>
      </c>
      <c r="AC39" s="544"/>
      <c r="AD39" s="545"/>
      <c r="AE39" s="543"/>
      <c r="AF39" s="544">
        <v>-58.317451458799994</v>
      </c>
      <c r="AG39" s="545">
        <v>-72.291478554800008</v>
      </c>
      <c r="AH39" s="543">
        <f t="shared" si="36"/>
        <v>24</v>
      </c>
      <c r="AI39" s="544">
        <v>-483</v>
      </c>
      <c r="AJ39" s="545">
        <v>-436</v>
      </c>
      <c r="AK39" s="543">
        <f t="shared" si="37"/>
        <v>-9.6999999999999993</v>
      </c>
      <c r="AL39" s="543">
        <f t="shared" si="38"/>
        <v>-1325.3924647288</v>
      </c>
      <c r="AM39" s="543">
        <f t="shared" si="39"/>
        <v>-1262.0390096848</v>
      </c>
      <c r="AN39" s="543">
        <f t="shared" si="12"/>
        <v>-4.8</v>
      </c>
      <c r="AO39" s="543"/>
      <c r="AP39" s="578"/>
      <c r="AQ39" s="543"/>
    </row>
    <row r="40" spans="1:43" s="580" customFormat="1" ht="18.75" customHeight="1" x14ac:dyDescent="0.3">
      <c r="A40" s="565" t="s">
        <v>327</v>
      </c>
      <c r="B40" s="566">
        <f>SUM(B37:B39)</f>
        <v>-3.9E-2</v>
      </c>
      <c r="C40" s="567">
        <f>SUM(C37:C39)</f>
        <v>3.6280000000000001</v>
      </c>
      <c r="D40" s="568">
        <f t="shared" si="27"/>
        <v>-999</v>
      </c>
      <c r="E40" s="566">
        <f>SUM(E37:E39)</f>
        <v>821.52300000000014</v>
      </c>
      <c r="F40" s="567">
        <f>SUM(F37:F39)</f>
        <v>581.93200000000002</v>
      </c>
      <c r="G40" s="568">
        <f t="shared" si="28"/>
        <v>-29.2</v>
      </c>
      <c r="H40" s="566">
        <f>SUM(H37:H39)</f>
        <v>9.9260000000000002</v>
      </c>
      <c r="I40" s="567">
        <f>SUM(I37:I39)</f>
        <v>1.042</v>
      </c>
      <c r="J40" s="568">
        <f t="shared" si="29"/>
        <v>-89.5</v>
      </c>
      <c r="K40" s="566">
        <f>SUM(K37:K39)</f>
        <v>1</v>
      </c>
      <c r="L40" s="567">
        <f>SUM(L37:L39)</f>
        <v>6.1</v>
      </c>
      <c r="M40" s="568">
        <f t="shared" si="30"/>
        <v>510</v>
      </c>
      <c r="N40" s="566">
        <f>SUM(N37:N39)</f>
        <v>2</v>
      </c>
      <c r="O40" s="567">
        <f>SUM(O37:O39)</f>
        <v>2</v>
      </c>
      <c r="P40" s="568">
        <f t="shared" si="31"/>
        <v>0</v>
      </c>
      <c r="Q40" s="566">
        <f>SUM(Q37:Q39)</f>
        <v>887.44876902999977</v>
      </c>
      <c r="R40" s="567">
        <f>SUM(R37:R39)</f>
        <v>1109.2676976299999</v>
      </c>
      <c r="S40" s="568">
        <f t="shared" si="32"/>
        <v>25</v>
      </c>
      <c r="T40" s="566">
        <f>SUM(T37:T39)</f>
        <v>9.3999999999999986</v>
      </c>
      <c r="U40" s="567">
        <f>SUM(U37:U39)</f>
        <v>7.2</v>
      </c>
      <c r="V40" s="568">
        <f t="shared" si="33"/>
        <v>-23.4</v>
      </c>
      <c r="W40" s="566">
        <f>SUM(W37:W39)</f>
        <v>13</v>
      </c>
      <c r="X40" s="567">
        <f>SUM(X37:X39)</f>
        <v>-2.9000000000000057</v>
      </c>
      <c r="Y40" s="568">
        <f t="shared" si="34"/>
        <v>-122.3</v>
      </c>
      <c r="Z40" s="566">
        <f>SUM(Z37:Z39)</f>
        <v>431</v>
      </c>
      <c r="AA40" s="567">
        <f>SUM(AA37:AA39)</f>
        <v>132</v>
      </c>
      <c r="AB40" s="568">
        <f t="shared" si="35"/>
        <v>-69.400000000000006</v>
      </c>
      <c r="AC40" s="566">
        <f>SUM(AC37:AC39)</f>
        <v>0</v>
      </c>
      <c r="AD40" s="567">
        <f>SUM(AD37:AD39)</f>
        <v>0</v>
      </c>
      <c r="AE40" s="568"/>
      <c r="AF40" s="566">
        <f>SUM(AF37:AF39)</f>
        <v>252.92944165120002</v>
      </c>
      <c r="AG40" s="567">
        <f>SUM(AG37:AG39)</f>
        <v>98.838392275199951</v>
      </c>
      <c r="AH40" s="568">
        <f t="shared" si="36"/>
        <v>-60.9</v>
      </c>
      <c r="AI40" s="566">
        <f>SUM(AI37:AI39)</f>
        <v>304.29999999999995</v>
      </c>
      <c r="AJ40" s="567">
        <f>SUM(AJ37:AJ39)</f>
        <v>1019</v>
      </c>
      <c r="AK40" s="568">
        <f t="shared" si="37"/>
        <v>234.9</v>
      </c>
      <c r="AL40" s="568">
        <f t="shared" si="38"/>
        <v>2730.4882106812001</v>
      </c>
      <c r="AM40" s="568">
        <f t="shared" si="39"/>
        <v>2956.1080899052004</v>
      </c>
      <c r="AN40" s="568">
        <f t="shared" si="12"/>
        <v>8.3000000000000007</v>
      </c>
      <c r="AO40" s="568"/>
      <c r="AP40" s="579"/>
      <c r="AQ40" s="568"/>
    </row>
    <row r="41" spans="1:43" s="580" customFormat="1" ht="18.75" customHeight="1" x14ac:dyDescent="0.3">
      <c r="A41" s="565" t="s">
        <v>328</v>
      </c>
      <c r="B41" s="566">
        <f>B34+B40</f>
        <v>121.54700000000064</v>
      </c>
      <c r="C41" s="567">
        <f>C34+C40</f>
        <v>66.127000000000052</v>
      </c>
      <c r="D41" s="568">
        <f t="shared" si="27"/>
        <v>-45.6</v>
      </c>
      <c r="E41" s="566">
        <f>E34+E40</f>
        <v>1977.2949999999948</v>
      </c>
      <c r="F41" s="567">
        <f>F34+F40</f>
        <v>1663.0930000000005</v>
      </c>
      <c r="G41" s="568">
        <f t="shared" si="28"/>
        <v>-15.9</v>
      </c>
      <c r="H41" s="566">
        <f>H34+H40</f>
        <v>126.99200000000009</v>
      </c>
      <c r="I41" s="567">
        <f>I34+I40</f>
        <v>80.24199999999999</v>
      </c>
      <c r="J41" s="568">
        <f t="shared" si="29"/>
        <v>-36.799999999999997</v>
      </c>
      <c r="K41" s="566">
        <f>K34+K40</f>
        <v>103.89999999999964</v>
      </c>
      <c r="L41" s="567">
        <f>L34+L40</f>
        <v>166.40000000000143</v>
      </c>
      <c r="M41" s="568">
        <f t="shared" si="30"/>
        <v>60.2</v>
      </c>
      <c r="N41" s="566">
        <f>N34+N40</f>
        <v>27</v>
      </c>
      <c r="O41" s="567">
        <f>O34+O40</f>
        <v>20</v>
      </c>
      <c r="P41" s="568">
        <f t="shared" si="31"/>
        <v>-25.9</v>
      </c>
      <c r="Q41" s="566">
        <f>Q34+Q40</f>
        <v>1985.0754408899968</v>
      </c>
      <c r="R41" s="567">
        <f>R34+R40</f>
        <v>2424.6373989000058</v>
      </c>
      <c r="S41" s="568">
        <f t="shared" si="32"/>
        <v>22.1</v>
      </c>
      <c r="T41" s="566">
        <f>T34+T40</f>
        <v>-24.200000000000045</v>
      </c>
      <c r="U41" s="567">
        <f>U34+U40</f>
        <v>-20.799999999999766</v>
      </c>
      <c r="V41" s="568">
        <f t="shared" si="33"/>
        <v>-14</v>
      </c>
      <c r="W41" s="566">
        <f>W34+W40</f>
        <v>639.16190704000041</v>
      </c>
      <c r="X41" s="567">
        <f>X34+X40</f>
        <v>577.09999999999923</v>
      </c>
      <c r="Y41" s="568">
        <f t="shared" si="34"/>
        <v>-9.6999999999999993</v>
      </c>
      <c r="Z41" s="566">
        <f>Z34+Z40</f>
        <v>1166</v>
      </c>
      <c r="AA41" s="567">
        <f>AA34+AA40</f>
        <v>790</v>
      </c>
      <c r="AB41" s="568">
        <f t="shared" si="35"/>
        <v>-32.200000000000003</v>
      </c>
      <c r="AC41" s="566">
        <f>AC34+AC40</f>
        <v>13.205000000000018</v>
      </c>
      <c r="AD41" s="567">
        <f>AD34+AD40</f>
        <v>13</v>
      </c>
      <c r="AE41" s="568">
        <f>IF(AC41=0, "    ---- ", IF(ABS(ROUND(100/AC41*AD41-100,1))&lt;999,ROUND(100/AC41*AD41-100,1),IF(ROUND(100/AC41*AD41-100,1)&gt;999,999,-999)))</f>
        <v>-1.6</v>
      </c>
      <c r="AF41" s="566">
        <f>AF34+AF40</f>
        <v>825.55969169000014</v>
      </c>
      <c r="AG41" s="567">
        <f>AG34+AG40</f>
        <v>644.66558365999867</v>
      </c>
      <c r="AH41" s="568">
        <f t="shared" si="36"/>
        <v>-21.9</v>
      </c>
      <c r="AI41" s="566">
        <f>AI34+AI40</f>
        <v>1460.3</v>
      </c>
      <c r="AJ41" s="567">
        <f>AJ34+AJ40</f>
        <v>2595</v>
      </c>
      <c r="AK41" s="568">
        <f t="shared" si="37"/>
        <v>77.7</v>
      </c>
      <c r="AL41" s="568">
        <f t="shared" si="38"/>
        <v>8381.6310396199933</v>
      </c>
      <c r="AM41" s="568">
        <f t="shared" si="39"/>
        <v>8986.4649825600063</v>
      </c>
      <c r="AN41" s="568">
        <f t="shared" si="12"/>
        <v>7.2</v>
      </c>
      <c r="AO41" s="568"/>
      <c r="AP41" s="579"/>
      <c r="AQ41" s="568"/>
    </row>
    <row r="42" spans="1:43" s="577" customFormat="1" ht="18.75" customHeight="1" x14ac:dyDescent="0.3">
      <c r="A42" s="541" t="s">
        <v>329</v>
      </c>
      <c r="B42" s="544">
        <v>-30.414999999999999</v>
      </c>
      <c r="C42" s="545">
        <v>-16.587</v>
      </c>
      <c r="D42" s="543">
        <f t="shared" si="27"/>
        <v>-45.5</v>
      </c>
      <c r="E42" s="544" t="s">
        <v>498</v>
      </c>
      <c r="F42" s="545">
        <v>-94.438999999999993</v>
      </c>
      <c r="G42" s="543">
        <f t="shared" si="28"/>
        <v>-475.5</v>
      </c>
      <c r="H42" s="544">
        <v>-24.823</v>
      </c>
      <c r="I42" s="545">
        <v>-22.5</v>
      </c>
      <c r="J42" s="543">
        <f t="shared" si="29"/>
        <v>-9.4</v>
      </c>
      <c r="K42" s="544">
        <v>-28</v>
      </c>
      <c r="L42" s="545">
        <v>-41.3</v>
      </c>
      <c r="M42" s="543">
        <f t="shared" si="30"/>
        <v>47.5</v>
      </c>
      <c r="N42" s="544">
        <v>-6</v>
      </c>
      <c r="O42" s="545">
        <v>-5</v>
      </c>
      <c r="P42" s="543">
        <f t="shared" si="31"/>
        <v>-16.7</v>
      </c>
      <c r="Q42" s="544">
        <v>-496.35485805000002</v>
      </c>
      <c r="R42" s="545">
        <v>-627.31012641250004</v>
      </c>
      <c r="S42" s="543"/>
      <c r="T42" s="544"/>
      <c r="U42" s="545"/>
      <c r="V42" s="543"/>
      <c r="W42" s="544">
        <v>-62</v>
      </c>
      <c r="X42" s="545">
        <v>-145.36000000000001</v>
      </c>
      <c r="Y42" s="543">
        <f t="shared" si="34"/>
        <v>134.5</v>
      </c>
      <c r="Z42" s="544">
        <v>-266</v>
      </c>
      <c r="AA42" s="545">
        <v>-105</v>
      </c>
      <c r="AB42" s="543">
        <f t="shared" si="35"/>
        <v>-60.5</v>
      </c>
      <c r="AC42" s="544"/>
      <c r="AD42" s="545">
        <v>-2</v>
      </c>
      <c r="AE42" s="543"/>
      <c r="AF42" s="544">
        <v>-161.69271920999998</v>
      </c>
      <c r="AG42" s="545">
        <v>42.747843550000013</v>
      </c>
      <c r="AH42" s="543">
        <f t="shared" si="36"/>
        <v>-126.4</v>
      </c>
      <c r="AI42" s="544">
        <v>210</v>
      </c>
      <c r="AJ42" s="545">
        <v>1087</v>
      </c>
      <c r="AK42" s="543">
        <f t="shared" si="37"/>
        <v>417.6</v>
      </c>
      <c r="AL42" s="543">
        <f t="shared" si="38"/>
        <v>-834.13857725999992</v>
      </c>
      <c r="AM42" s="543">
        <f t="shared" si="39"/>
        <v>77.251717137500009</v>
      </c>
      <c r="AN42" s="543">
        <f t="shared" si="12"/>
        <v>-109.3</v>
      </c>
      <c r="AO42" s="543"/>
      <c r="AP42" s="578"/>
      <c r="AQ42" s="543"/>
    </row>
    <row r="43" spans="1:43" s="580" customFormat="1" ht="18.75" customHeight="1" x14ac:dyDescent="0.3">
      <c r="A43" s="565" t="s">
        <v>330</v>
      </c>
      <c r="B43" s="566">
        <f>B41+B42</f>
        <v>91.13200000000063</v>
      </c>
      <c r="C43" s="567">
        <f>C41+C42</f>
        <v>49.540000000000049</v>
      </c>
      <c r="D43" s="568">
        <f t="shared" si="27"/>
        <v>-45.6</v>
      </c>
      <c r="E43" s="566">
        <f>E41+E42</f>
        <v>2002.4419999999948</v>
      </c>
      <c r="F43" s="567">
        <f>F41+F42</f>
        <v>1568.6540000000005</v>
      </c>
      <c r="G43" s="568">
        <f t="shared" si="28"/>
        <v>-21.7</v>
      </c>
      <c r="H43" s="566">
        <f>H41+H42</f>
        <v>102.1690000000001</v>
      </c>
      <c r="I43" s="567">
        <f>I41+I42</f>
        <v>57.74199999999999</v>
      </c>
      <c r="J43" s="568">
        <f t="shared" si="29"/>
        <v>-43.5</v>
      </c>
      <c r="K43" s="566">
        <f>K41+K42</f>
        <v>75.899999999999636</v>
      </c>
      <c r="L43" s="567">
        <f>L41+L42</f>
        <v>125.10000000000143</v>
      </c>
      <c r="M43" s="568">
        <f t="shared" si="30"/>
        <v>64.8</v>
      </c>
      <c r="N43" s="566">
        <f>N41+N42</f>
        <v>21</v>
      </c>
      <c r="O43" s="567">
        <f>O41+O42</f>
        <v>15</v>
      </c>
      <c r="P43" s="568">
        <f t="shared" si="31"/>
        <v>-28.6</v>
      </c>
      <c r="Q43" s="566">
        <f>Q41+Q42</f>
        <v>1488.7205828399967</v>
      </c>
      <c r="R43" s="567">
        <f>R41+R42</f>
        <v>1797.3272724875058</v>
      </c>
      <c r="S43" s="568">
        <f t="shared" si="32"/>
        <v>20.7</v>
      </c>
      <c r="T43" s="566">
        <f>T41+T42</f>
        <v>-24.200000000000045</v>
      </c>
      <c r="U43" s="567">
        <f>U41+U42</f>
        <v>-20.799999999999766</v>
      </c>
      <c r="V43" s="568">
        <f t="shared" si="33"/>
        <v>-14</v>
      </c>
      <c r="W43" s="566">
        <f>W41+W42</f>
        <v>577.16190704000041</v>
      </c>
      <c r="X43" s="567">
        <f>X41+X42</f>
        <v>431.73999999999921</v>
      </c>
      <c r="Y43" s="568">
        <f t="shared" si="34"/>
        <v>-25.2</v>
      </c>
      <c r="Z43" s="566">
        <f>Z41+Z42</f>
        <v>900</v>
      </c>
      <c r="AA43" s="567">
        <f>AA41+AA42</f>
        <v>685</v>
      </c>
      <c r="AB43" s="568">
        <f t="shared" si="35"/>
        <v>-23.9</v>
      </c>
      <c r="AC43" s="566">
        <f>AC41+AC42</f>
        <v>13.205000000000018</v>
      </c>
      <c r="AD43" s="567">
        <f>AD41+AD42</f>
        <v>11</v>
      </c>
      <c r="AE43" s="568">
        <f>IF(AC43=0, "    ---- ", IF(ABS(ROUND(100/AC43*AD43-100,1))&lt;999,ROUND(100/AC43*AD43-100,1),IF(ROUND(100/AC43*AD43-100,1)&gt;999,999,-999)))</f>
        <v>-16.7</v>
      </c>
      <c r="AF43" s="566">
        <f>AF41+AF42</f>
        <v>663.86697248000019</v>
      </c>
      <c r="AG43" s="567">
        <f>AG41+AG42</f>
        <v>687.41342720999864</v>
      </c>
      <c r="AH43" s="568">
        <f t="shared" si="36"/>
        <v>3.5</v>
      </c>
      <c r="AI43" s="566">
        <f>AI41+AI42</f>
        <v>1670.3</v>
      </c>
      <c r="AJ43" s="567">
        <f>AJ41+AJ42</f>
        <v>3682</v>
      </c>
      <c r="AK43" s="568">
        <f t="shared" si="37"/>
        <v>120.4</v>
      </c>
      <c r="AL43" s="568">
        <f t="shared" si="38"/>
        <v>7547.4924623599927</v>
      </c>
      <c r="AM43" s="568">
        <f t="shared" si="39"/>
        <v>9063.7166996975066</v>
      </c>
      <c r="AN43" s="568">
        <f t="shared" si="12"/>
        <v>20.100000000000001</v>
      </c>
      <c r="AO43" s="568"/>
      <c r="AP43" s="579"/>
      <c r="AQ43" s="568"/>
    </row>
    <row r="44" spans="1:43" s="577" customFormat="1" ht="18.75" customHeight="1" x14ac:dyDescent="0.3">
      <c r="A44" s="541" t="s">
        <v>331</v>
      </c>
      <c r="B44" s="544"/>
      <c r="C44" s="545"/>
      <c r="D44" s="543"/>
      <c r="E44" s="544">
        <v>4.1340000000000003</v>
      </c>
      <c r="F44" s="545">
        <v>-5.4820000000000002</v>
      </c>
      <c r="G44" s="543">
        <f t="shared" si="28"/>
        <v>-232.6</v>
      </c>
      <c r="H44" s="544">
        <v>-0.41299999999999998</v>
      </c>
      <c r="I44" s="545">
        <v>1.2E-2</v>
      </c>
      <c r="J44" s="543"/>
      <c r="K44" s="544"/>
      <c r="L44" s="545">
        <v>-1</v>
      </c>
      <c r="M44" s="543" t="str">
        <f t="shared" si="30"/>
        <v xml:space="preserve">    ---- </v>
      </c>
      <c r="N44" s="544"/>
      <c r="O44" s="545"/>
      <c r="P44" s="543"/>
      <c r="Q44" s="544">
        <v>-23.652869150000001</v>
      </c>
      <c r="R44" s="545">
        <v>-17.559576287499997</v>
      </c>
      <c r="S44" s="543">
        <f t="shared" si="32"/>
        <v>-25.8</v>
      </c>
      <c r="T44" s="544">
        <v>-0.8</v>
      </c>
      <c r="U44" s="545">
        <v>-0.3</v>
      </c>
      <c r="V44" s="543">
        <f t="shared" si="33"/>
        <v>-62.5</v>
      </c>
      <c r="W44" s="544">
        <v>-21</v>
      </c>
      <c r="X44" s="545">
        <v>7.7</v>
      </c>
      <c r="Y44" s="543">
        <f t="shared" si="34"/>
        <v>-136.69999999999999</v>
      </c>
      <c r="Z44" s="544">
        <v>16</v>
      </c>
      <c r="AA44" s="545"/>
      <c r="AB44" s="543"/>
      <c r="AC44" s="544"/>
      <c r="AD44" s="545"/>
      <c r="AE44" s="543"/>
      <c r="AF44" s="544">
        <v>7.4984380100000001</v>
      </c>
      <c r="AG44" s="545"/>
      <c r="AH44" s="543">
        <f t="shared" si="36"/>
        <v>-100</v>
      </c>
      <c r="AI44" s="544">
        <v>12</v>
      </c>
      <c r="AJ44" s="545">
        <f>22-23</f>
        <v>-1</v>
      </c>
      <c r="AK44" s="543">
        <f t="shared" si="37"/>
        <v>-108.3</v>
      </c>
      <c r="AL44" s="543">
        <f t="shared" si="38"/>
        <v>-6.2334311400000004</v>
      </c>
      <c r="AM44" s="543">
        <f t="shared" si="39"/>
        <v>-17.629576287500001</v>
      </c>
      <c r="AN44" s="543">
        <f t="shared" si="12"/>
        <v>182.8</v>
      </c>
      <c r="AO44" s="543"/>
      <c r="AP44" s="578"/>
      <c r="AQ44" s="543"/>
    </row>
    <row r="45" spans="1:43" s="580" customFormat="1" ht="18.75" customHeight="1" x14ac:dyDescent="0.3">
      <c r="A45" s="562" t="s">
        <v>332</v>
      </c>
      <c r="B45" s="581">
        <f>B43+B44</f>
        <v>91.13200000000063</v>
      </c>
      <c r="C45" s="582">
        <f>C43+C44</f>
        <v>49.540000000000049</v>
      </c>
      <c r="D45" s="563">
        <f>IF(B45=0, "    ---- ", IF(ABS(ROUND(100/B45*C45-100,1))&lt;999,ROUND(100/B45*C45-100,1),IF(ROUND(100/B45*C45-100,1)&gt;999,999,-999)))</f>
        <v>-45.6</v>
      </c>
      <c r="E45" s="581">
        <f>E43+E44</f>
        <v>2006.5759999999948</v>
      </c>
      <c r="F45" s="582">
        <f>F43+F44</f>
        <v>1563.1720000000005</v>
      </c>
      <c r="G45" s="563">
        <f>IF(E45=0, "    ---- ", IF(ABS(ROUND(100/E45*F45-100,1))&lt;999,ROUND(100/E45*F45-100,1),IF(ROUND(100/E45*F45-100,1)&gt;999,999,-999)))</f>
        <v>-22.1</v>
      </c>
      <c r="H45" s="581">
        <f>H43+H44</f>
        <v>101.7560000000001</v>
      </c>
      <c r="I45" s="582">
        <f>I43+I44</f>
        <v>57.753999999999991</v>
      </c>
      <c r="J45" s="563">
        <f>IF(H45=0, "    ---- ", IF(ABS(ROUND(100/H45*I45-100,1))&lt;999,ROUND(100/H45*I45-100,1),IF(ROUND(100/H45*I45-100,1)&gt;999,999,-999)))</f>
        <v>-43.2</v>
      </c>
      <c r="K45" s="581">
        <f>K43+K44</f>
        <v>75.899999999999636</v>
      </c>
      <c r="L45" s="582">
        <f>L43+L44</f>
        <v>124.10000000000143</v>
      </c>
      <c r="M45" s="563">
        <f>IF(K45=0, "    ---- ", IF(ABS(ROUND(100/K45*L45-100,1))&lt;999,ROUND(100/K45*L45-100,1),IF(ROUND(100/K45*L45-100,1)&gt;999,999,-999)))</f>
        <v>63.5</v>
      </c>
      <c r="N45" s="581">
        <f>N43+N44</f>
        <v>21</v>
      </c>
      <c r="O45" s="582">
        <f>O43+O44</f>
        <v>15</v>
      </c>
      <c r="P45" s="563">
        <f>IF(N45=0, "    ---- ", IF(ABS(ROUND(100/N45*O45-100,1))&lt;999,ROUND(100/N45*O45-100,1),IF(ROUND(100/N45*O45-100,1)&gt;999,999,-999)))</f>
        <v>-28.6</v>
      </c>
      <c r="Q45" s="581">
        <f>Q43+Q44</f>
        <v>1465.0677136899967</v>
      </c>
      <c r="R45" s="582">
        <f>R43+R44</f>
        <v>1779.7676962000057</v>
      </c>
      <c r="S45" s="563">
        <f>IF(Q45=0, "    ---- ", IF(ABS(ROUND(100/Q45*R45-100,1))&lt;999,ROUND(100/Q45*R45-100,1),IF(ROUND(100/Q45*R45-100,1)&gt;999,999,-999)))</f>
        <v>21.5</v>
      </c>
      <c r="T45" s="581">
        <f>T43+T44</f>
        <v>-25.000000000000046</v>
      </c>
      <c r="U45" s="582">
        <f>U43+U44</f>
        <v>-21.099999999999767</v>
      </c>
      <c r="V45" s="563">
        <f>IF(T45=0, "    ---- ", IF(ABS(ROUND(100/T45*U45-100,1))&lt;999,ROUND(100/T45*U45-100,1),IF(ROUND(100/T45*U45-100,1)&gt;999,999,-999)))</f>
        <v>-15.6</v>
      </c>
      <c r="W45" s="581">
        <f>W43+W44</f>
        <v>556.16190704000041</v>
      </c>
      <c r="X45" s="582">
        <f>X43+X44</f>
        <v>439.4399999999992</v>
      </c>
      <c r="Y45" s="563">
        <f>IF(W45=0, "    ---- ", IF(ABS(ROUND(100/W45*X45-100,1))&lt;999,ROUND(100/W45*X45-100,1),IF(ROUND(100/W45*X45-100,1)&gt;999,999,-999)))</f>
        <v>-21</v>
      </c>
      <c r="Z45" s="581">
        <f>Z43+Z44</f>
        <v>916</v>
      </c>
      <c r="AA45" s="582">
        <f>AA43+AA44</f>
        <v>685</v>
      </c>
      <c r="AB45" s="563">
        <f>IF(Z45=0, "    ---- ", IF(ABS(ROUND(100/Z45*AA45-100,1))&lt;999,ROUND(100/Z45*AA45-100,1),IF(ROUND(100/Z45*AA45-100,1)&gt;999,999,-999)))</f>
        <v>-25.2</v>
      </c>
      <c r="AC45" s="581">
        <f>AC43+AC44</f>
        <v>13.205000000000018</v>
      </c>
      <c r="AD45" s="582">
        <f>AD43+AD44</f>
        <v>11</v>
      </c>
      <c r="AE45" s="563">
        <f>IF(AC45=0, "    ---- ", IF(ABS(ROUND(100/AC45*AD45-100,1))&lt;999,ROUND(100/AC45*AD45-100,1),IF(ROUND(100/AC45*AD45-100,1)&gt;999,999,-999)))</f>
        <v>-16.7</v>
      </c>
      <c r="AF45" s="581">
        <f>AF43+AF44</f>
        <v>671.36541049000016</v>
      </c>
      <c r="AG45" s="582">
        <f>AG43+AG44</f>
        <v>687.41342720999864</v>
      </c>
      <c r="AH45" s="563">
        <f>IF(AF45=0, "    ---- ", IF(ABS(ROUND(100/AF45*AG45-100,1))&lt;999,ROUND(100/AF45*AG45-100,1),IF(ROUND(100/AF45*AG45-100,1)&gt;999,999,-999)))</f>
        <v>2.4</v>
      </c>
      <c r="AI45" s="581">
        <f>AI43+AI44</f>
        <v>1682.3</v>
      </c>
      <c r="AJ45" s="582">
        <f>AJ43+AJ44</f>
        <v>3681</v>
      </c>
      <c r="AK45" s="563">
        <f>IF(AI45=0, "    ---- ", IF(ABS(ROUND(100/AI45*AJ45-100,1))&lt;999,ROUND(100/AI45*AJ45-100,1),IF(ROUND(100/AI45*AJ45-100,1)&gt;999,999,-999)))</f>
        <v>118.8</v>
      </c>
      <c r="AL45" s="563">
        <f t="shared" si="38"/>
        <v>7541.2590312199927</v>
      </c>
      <c r="AM45" s="563">
        <f t="shared" si="39"/>
        <v>9046.087123410005</v>
      </c>
      <c r="AN45" s="563">
        <f t="shared" si="12"/>
        <v>20</v>
      </c>
      <c r="AO45" s="583"/>
      <c r="AP45" s="584"/>
      <c r="AQ45" s="585"/>
    </row>
    <row r="46" spans="1:43" s="580" customFormat="1" ht="18.75" customHeight="1" x14ac:dyDescent="0.3">
      <c r="A46" s="586"/>
      <c r="B46" s="861"/>
      <c r="C46" s="587"/>
      <c r="D46" s="588"/>
      <c r="E46" s="861"/>
      <c r="F46" s="587"/>
      <c r="G46" s="569"/>
      <c r="H46" s="861"/>
      <c r="I46" s="587"/>
      <c r="J46" s="569"/>
      <c r="K46" s="861"/>
      <c r="L46" s="587"/>
      <c r="M46" s="588"/>
      <c r="N46" s="861"/>
      <c r="O46" s="587"/>
      <c r="P46" s="569"/>
      <c r="Q46" s="861"/>
      <c r="R46" s="587"/>
      <c r="S46" s="569"/>
      <c r="T46" s="861"/>
      <c r="U46" s="587"/>
      <c r="V46" s="569"/>
      <c r="W46" s="861"/>
      <c r="X46" s="587"/>
      <c r="Y46" s="569"/>
      <c r="Z46" s="861"/>
      <c r="AA46" s="587"/>
      <c r="AB46" s="569"/>
      <c r="AC46" s="861"/>
      <c r="AD46" s="587"/>
      <c r="AE46" s="569"/>
      <c r="AF46" s="861"/>
      <c r="AG46" s="587"/>
      <c r="AH46" s="569"/>
      <c r="AI46" s="861"/>
      <c r="AJ46" s="587"/>
      <c r="AK46" s="569"/>
      <c r="AL46" s="936"/>
      <c r="AM46" s="936"/>
      <c r="AN46" s="569"/>
      <c r="AO46" s="589"/>
      <c r="AP46" s="589"/>
      <c r="AQ46" s="590"/>
    </row>
    <row r="47" spans="1:43" s="592" customFormat="1" ht="18.75" customHeight="1" x14ac:dyDescent="0.3">
      <c r="A47" s="937" t="s">
        <v>333</v>
      </c>
      <c r="B47" s="862"/>
      <c r="C47" s="470"/>
      <c r="D47" s="937"/>
      <c r="E47" s="862"/>
      <c r="F47" s="470"/>
      <c r="G47" s="937"/>
      <c r="H47" s="862"/>
      <c r="I47" s="470"/>
      <c r="J47" s="937"/>
      <c r="K47" s="862"/>
      <c r="L47" s="470"/>
      <c r="M47" s="937"/>
      <c r="N47" s="862"/>
      <c r="O47" s="470"/>
      <c r="P47" s="937"/>
      <c r="Q47" s="862"/>
      <c r="R47" s="470"/>
      <c r="S47" s="937"/>
      <c r="T47" s="862"/>
      <c r="U47" s="470"/>
      <c r="V47" s="937"/>
      <c r="W47" s="862"/>
      <c r="X47" s="470"/>
      <c r="Y47" s="937"/>
      <c r="Z47" s="862"/>
      <c r="AA47" s="470"/>
      <c r="AB47" s="937"/>
      <c r="AC47" s="862"/>
      <c r="AD47" s="470"/>
      <c r="AE47" s="937"/>
      <c r="AF47" s="862"/>
      <c r="AG47" s="470"/>
      <c r="AH47" s="937"/>
      <c r="AI47" s="862"/>
      <c r="AJ47" s="470"/>
      <c r="AK47" s="937"/>
      <c r="AL47" s="937"/>
      <c r="AM47" s="937"/>
      <c r="AN47" s="937"/>
      <c r="AO47" s="937"/>
      <c r="AP47" s="937"/>
      <c r="AQ47" s="937"/>
    </row>
    <row r="48" spans="1:43" s="593" customFormat="1" ht="18.75" customHeight="1" x14ac:dyDescent="0.3">
      <c r="A48" s="937" t="s">
        <v>334</v>
      </c>
      <c r="B48" s="862"/>
      <c r="C48" s="470"/>
      <c r="D48" s="937"/>
      <c r="E48" s="862"/>
      <c r="F48" s="470"/>
      <c r="G48" s="937"/>
      <c r="H48" s="862"/>
      <c r="I48" s="470"/>
      <c r="J48" s="937"/>
      <c r="K48" s="862"/>
      <c r="L48" s="470"/>
      <c r="M48" s="937"/>
      <c r="N48" s="862"/>
      <c r="O48" s="470"/>
      <c r="P48" s="937"/>
      <c r="Q48" s="862"/>
      <c r="R48" s="470"/>
      <c r="S48" s="937"/>
      <c r="T48" s="862"/>
      <c r="U48" s="470"/>
      <c r="V48" s="937"/>
      <c r="W48" s="862"/>
      <c r="X48" s="470"/>
      <c r="Y48" s="937"/>
      <c r="Z48" s="862"/>
      <c r="AA48" s="470"/>
      <c r="AB48" s="937"/>
      <c r="AC48" s="862"/>
      <c r="AD48" s="470"/>
      <c r="AE48" s="937"/>
      <c r="AF48" s="862"/>
      <c r="AG48" s="470"/>
      <c r="AH48" s="937"/>
      <c r="AI48" s="862"/>
      <c r="AJ48" s="470"/>
      <c r="AK48" s="937"/>
      <c r="AL48" s="937">
        <f t="shared" ref="AL48:AL57" si="40">B48+E48+H48+K48+Q48+T48+W48+Z48+AF48+AI48</f>
        <v>0</v>
      </c>
      <c r="AM48" s="937">
        <f t="shared" ref="AM48:AM57" si="41">C48+F48+I48+L48+R48+U48+X48+AA48+AG48+AJ48</f>
        <v>0</v>
      </c>
      <c r="AN48" s="937"/>
      <c r="AO48" s="937"/>
      <c r="AP48" s="937"/>
      <c r="AQ48" s="937"/>
    </row>
    <row r="49" spans="1:43" s="593" customFormat="1" ht="18.75" customHeight="1" x14ac:dyDescent="0.3">
      <c r="A49" s="937" t="s">
        <v>335</v>
      </c>
      <c r="B49" s="862"/>
      <c r="C49" s="470"/>
      <c r="D49" s="937"/>
      <c r="E49" s="862"/>
      <c r="F49" s="470"/>
      <c r="G49" s="937"/>
      <c r="H49" s="862"/>
      <c r="I49" s="470"/>
      <c r="J49" s="937"/>
      <c r="K49" s="862"/>
      <c r="L49" s="470"/>
      <c r="M49" s="937"/>
      <c r="N49" s="862"/>
      <c r="O49" s="470"/>
      <c r="P49" s="937"/>
      <c r="Q49" s="862"/>
      <c r="R49" s="470"/>
      <c r="S49" s="937"/>
      <c r="T49" s="862"/>
      <c r="U49" s="470"/>
      <c r="V49" s="937"/>
      <c r="W49" s="862"/>
      <c r="X49" s="470"/>
      <c r="Y49" s="937"/>
      <c r="Z49" s="862"/>
      <c r="AA49" s="470"/>
      <c r="AB49" s="937"/>
      <c r="AC49" s="862"/>
      <c r="AD49" s="470"/>
      <c r="AE49" s="937"/>
      <c r="AF49" s="862"/>
      <c r="AG49" s="470"/>
      <c r="AH49" s="937"/>
      <c r="AI49" s="862"/>
      <c r="AJ49" s="470"/>
      <c r="AK49" s="937"/>
      <c r="AL49" s="937">
        <f t="shared" si="40"/>
        <v>0</v>
      </c>
      <c r="AM49" s="937">
        <f t="shared" si="41"/>
        <v>0</v>
      </c>
      <c r="AN49" s="937"/>
      <c r="AO49" s="937"/>
      <c r="AP49" s="937"/>
      <c r="AQ49" s="937"/>
    </row>
    <row r="50" spans="1:43" s="593" customFormat="1" ht="18.75" customHeight="1" x14ac:dyDescent="0.3">
      <c r="A50" s="937" t="s">
        <v>336</v>
      </c>
      <c r="B50" s="862"/>
      <c r="C50" s="470"/>
      <c r="D50" s="937"/>
      <c r="E50" s="862"/>
      <c r="F50" s="470"/>
      <c r="G50" s="937"/>
      <c r="H50" s="862"/>
      <c r="I50" s="470"/>
      <c r="J50" s="937"/>
      <c r="K50" s="862"/>
      <c r="L50" s="470"/>
      <c r="M50" s="937"/>
      <c r="N50" s="862"/>
      <c r="O50" s="470"/>
      <c r="P50" s="937"/>
      <c r="Q50" s="862"/>
      <c r="R50" s="470"/>
      <c r="S50" s="937"/>
      <c r="T50" s="862">
        <v>25</v>
      </c>
      <c r="U50" s="470">
        <v>21</v>
      </c>
      <c r="V50" s="937"/>
      <c r="W50" s="862"/>
      <c r="X50" s="470"/>
      <c r="Y50" s="937"/>
      <c r="Z50" s="862"/>
      <c r="AA50" s="470"/>
      <c r="AB50" s="937"/>
      <c r="AC50" s="862"/>
      <c r="AD50" s="470"/>
      <c r="AE50" s="937"/>
      <c r="AF50" s="862"/>
      <c r="AG50" s="470"/>
      <c r="AH50" s="937"/>
      <c r="AI50" s="862"/>
      <c r="AJ50" s="470"/>
      <c r="AK50" s="937"/>
      <c r="AL50" s="937">
        <f t="shared" si="40"/>
        <v>25</v>
      </c>
      <c r="AM50" s="937">
        <f t="shared" si="41"/>
        <v>21</v>
      </c>
      <c r="AN50" s="937"/>
      <c r="AO50" s="937"/>
      <c r="AP50" s="937"/>
      <c r="AQ50" s="937"/>
    </row>
    <row r="51" spans="1:43" s="593" customFormat="1" ht="18.75" customHeight="1" x14ac:dyDescent="0.3">
      <c r="A51" s="937" t="s">
        <v>337</v>
      </c>
      <c r="B51" s="862"/>
      <c r="C51" s="470">
        <f>C49+C50</f>
        <v>0</v>
      </c>
      <c r="D51" s="937"/>
      <c r="E51" s="862"/>
      <c r="F51" s="470">
        <f t="shared" ref="F51" si="42">F49+F50</f>
        <v>0</v>
      </c>
      <c r="G51" s="937"/>
      <c r="H51" s="862"/>
      <c r="I51" s="470">
        <f t="shared" ref="I51" si="43">I49+I50</f>
        <v>0</v>
      </c>
      <c r="J51" s="937"/>
      <c r="K51" s="862"/>
      <c r="L51" s="470">
        <f t="shared" ref="L51" si="44">L49+L50</f>
        <v>0</v>
      </c>
      <c r="M51" s="937"/>
      <c r="N51" s="862"/>
      <c r="O51" s="470">
        <f t="shared" ref="O51" si="45">O49+O50</f>
        <v>0</v>
      </c>
      <c r="P51" s="937"/>
      <c r="Q51" s="862"/>
      <c r="R51" s="470">
        <f t="shared" ref="R51" si="46">R49+R50</f>
        <v>0</v>
      </c>
      <c r="S51" s="937"/>
      <c r="T51" s="862">
        <v>25</v>
      </c>
      <c r="U51" s="470">
        <f t="shared" ref="U51" si="47">U49+U50</f>
        <v>21</v>
      </c>
      <c r="V51" s="937"/>
      <c r="W51" s="862"/>
      <c r="X51" s="470">
        <f t="shared" ref="X51" si="48">X49+X50</f>
        <v>0</v>
      </c>
      <c r="Y51" s="937"/>
      <c r="Z51" s="862"/>
      <c r="AA51" s="470">
        <f t="shared" ref="AA51" si="49">AA49+AA50</f>
        <v>0</v>
      </c>
      <c r="AB51" s="937"/>
      <c r="AC51" s="862"/>
      <c r="AD51" s="470">
        <f t="shared" ref="AD51" si="50">AD49+AD50</f>
        <v>0</v>
      </c>
      <c r="AE51" s="937"/>
      <c r="AF51" s="862"/>
      <c r="AG51" s="470">
        <f t="shared" ref="AG51" si="51">AG49+AG50</f>
        <v>0</v>
      </c>
      <c r="AH51" s="937"/>
      <c r="AI51" s="862"/>
      <c r="AJ51" s="470">
        <f t="shared" ref="AJ51" si="52">AJ49+AJ50</f>
        <v>0</v>
      </c>
      <c r="AK51" s="937"/>
      <c r="AL51" s="937">
        <f t="shared" si="40"/>
        <v>25</v>
      </c>
      <c r="AM51" s="937">
        <f t="shared" si="41"/>
        <v>21</v>
      </c>
      <c r="AN51" s="937"/>
      <c r="AO51" s="937"/>
      <c r="AP51" s="937"/>
      <c r="AQ51" s="937"/>
    </row>
    <row r="52" spans="1:43" s="593" customFormat="1" ht="18.75" customHeight="1" x14ac:dyDescent="0.3">
      <c r="A52" s="937" t="s">
        <v>338</v>
      </c>
      <c r="B52" s="862"/>
      <c r="C52" s="470"/>
      <c r="D52" s="937"/>
      <c r="E52" s="862"/>
      <c r="F52" s="470"/>
      <c r="G52" s="937"/>
      <c r="H52" s="862"/>
      <c r="I52" s="470"/>
      <c r="J52" s="937"/>
      <c r="K52" s="862"/>
      <c r="L52" s="470"/>
      <c r="M52" s="937"/>
      <c r="N52" s="862"/>
      <c r="O52" s="470"/>
      <c r="P52" s="937"/>
      <c r="Q52" s="862"/>
      <c r="R52" s="470"/>
      <c r="S52" s="937"/>
      <c r="T52" s="862"/>
      <c r="U52" s="470"/>
      <c r="V52" s="937"/>
      <c r="W52" s="862"/>
      <c r="X52" s="470"/>
      <c r="Y52" s="937"/>
      <c r="Z52" s="862"/>
      <c r="AA52" s="470"/>
      <c r="AB52" s="937"/>
      <c r="AC52" s="862"/>
      <c r="AD52" s="470"/>
      <c r="AE52" s="937"/>
      <c r="AF52" s="862"/>
      <c r="AG52" s="470"/>
      <c r="AH52" s="937"/>
      <c r="AI52" s="862"/>
      <c r="AJ52" s="470"/>
      <c r="AK52" s="937"/>
      <c r="AL52" s="937">
        <f t="shared" si="40"/>
        <v>0</v>
      </c>
      <c r="AM52" s="937">
        <f t="shared" si="41"/>
        <v>0</v>
      </c>
      <c r="AN52" s="937"/>
      <c r="AO52" s="937"/>
      <c r="AP52" s="937"/>
      <c r="AQ52" s="937"/>
    </row>
    <row r="53" spans="1:43" s="593" customFormat="1" ht="18.75" customHeight="1" x14ac:dyDescent="0.3">
      <c r="A53" s="937" t="s">
        <v>339</v>
      </c>
      <c r="B53" s="862"/>
      <c r="C53" s="470"/>
      <c r="D53" s="937"/>
      <c r="E53" s="862"/>
      <c r="F53" s="470">
        <v>1405</v>
      </c>
      <c r="G53" s="937"/>
      <c r="H53" s="862">
        <v>65</v>
      </c>
      <c r="I53" s="470"/>
      <c r="J53" s="937"/>
      <c r="K53" s="862"/>
      <c r="L53" s="470">
        <v>100</v>
      </c>
      <c r="M53" s="937"/>
      <c r="N53" s="862"/>
      <c r="O53" s="470"/>
      <c r="P53" s="937"/>
      <c r="Q53" s="862"/>
      <c r="R53" s="470"/>
      <c r="S53" s="937"/>
      <c r="T53" s="862"/>
      <c r="U53" s="470"/>
      <c r="V53" s="937"/>
      <c r="W53" s="862"/>
      <c r="X53" s="470"/>
      <c r="Y53" s="937"/>
      <c r="Z53" s="862"/>
      <c r="AA53" s="470"/>
      <c r="AB53" s="937"/>
      <c r="AC53" s="862"/>
      <c r="AD53" s="470"/>
      <c r="AE53" s="937"/>
      <c r="AF53" s="862"/>
      <c r="AG53" s="470"/>
      <c r="AH53" s="937"/>
      <c r="AI53" s="862">
        <v>1300</v>
      </c>
      <c r="AJ53" s="470">
        <v>3200</v>
      </c>
      <c r="AK53" s="937"/>
      <c r="AL53" s="937">
        <f t="shared" si="40"/>
        <v>1365</v>
      </c>
      <c r="AM53" s="937">
        <f t="shared" si="41"/>
        <v>4705</v>
      </c>
      <c r="AN53" s="937"/>
      <c r="AO53" s="937"/>
      <c r="AP53" s="937"/>
      <c r="AQ53" s="937"/>
    </row>
    <row r="54" spans="1:43" s="593" customFormat="1" ht="18.75" customHeight="1" x14ac:dyDescent="0.3">
      <c r="A54" s="937" t="s">
        <v>340</v>
      </c>
      <c r="B54" s="862"/>
      <c r="C54" s="470"/>
      <c r="D54" s="937"/>
      <c r="E54" s="862"/>
      <c r="F54" s="470"/>
      <c r="G54" s="937"/>
      <c r="H54" s="862"/>
      <c r="I54" s="470"/>
      <c r="J54" s="937"/>
      <c r="K54" s="862"/>
      <c r="L54" s="470"/>
      <c r="M54" s="937"/>
      <c r="N54" s="862"/>
      <c r="O54" s="470"/>
      <c r="P54" s="937"/>
      <c r="Q54" s="862"/>
      <c r="R54" s="470"/>
      <c r="S54" s="937"/>
      <c r="T54" s="862"/>
      <c r="U54" s="470"/>
      <c r="V54" s="937"/>
      <c r="W54" s="862"/>
      <c r="X54" s="470"/>
      <c r="Y54" s="937"/>
      <c r="Z54" s="862"/>
      <c r="AA54" s="470"/>
      <c r="AB54" s="937"/>
      <c r="AC54" s="862"/>
      <c r="AD54" s="470"/>
      <c r="AE54" s="937"/>
      <c r="AF54" s="892">
        <v>-671.36599999999999</v>
      </c>
      <c r="AG54" s="470"/>
      <c r="AH54" s="937"/>
      <c r="AI54" s="862"/>
      <c r="AJ54" s="470"/>
      <c r="AK54" s="937"/>
      <c r="AL54" s="938">
        <f t="shared" si="40"/>
        <v>-671.36599999999999</v>
      </c>
      <c r="AM54" s="938">
        <f t="shared" si="41"/>
        <v>0</v>
      </c>
      <c r="AN54" s="937"/>
      <c r="AO54" s="937"/>
      <c r="AP54" s="937"/>
      <c r="AQ54" s="937"/>
    </row>
    <row r="55" spans="1:43" s="593" customFormat="1" ht="18.75" customHeight="1" x14ac:dyDescent="0.3">
      <c r="A55" s="937" t="s">
        <v>341</v>
      </c>
      <c r="B55" s="892">
        <v>91.131</v>
      </c>
      <c r="C55" s="893">
        <v>49.5</v>
      </c>
      <c r="D55" s="937"/>
      <c r="E55" s="862">
        <v>2007</v>
      </c>
      <c r="F55" s="470">
        <v>158</v>
      </c>
      <c r="G55" s="937"/>
      <c r="H55" s="862">
        <v>37</v>
      </c>
      <c r="I55" s="470">
        <v>58</v>
      </c>
      <c r="J55" s="937"/>
      <c r="K55" s="862">
        <v>76</v>
      </c>
      <c r="L55" s="470">
        <v>24.3</v>
      </c>
      <c r="M55" s="937"/>
      <c r="N55" s="862"/>
      <c r="O55" s="470"/>
      <c r="P55" s="937"/>
      <c r="Q55" s="862"/>
      <c r="R55" s="470"/>
      <c r="S55" s="937"/>
      <c r="T55" s="862"/>
      <c r="U55" s="470"/>
      <c r="V55" s="937"/>
      <c r="W55" s="862"/>
      <c r="X55" s="470"/>
      <c r="Y55" s="937"/>
      <c r="Z55" s="862">
        <v>915</v>
      </c>
      <c r="AA55" s="470">
        <v>685</v>
      </c>
      <c r="AB55" s="937"/>
      <c r="AC55" s="862"/>
      <c r="AD55" s="470"/>
      <c r="AE55" s="937"/>
      <c r="AF55" s="862"/>
      <c r="AG55" s="927">
        <v>-687.37400000000002</v>
      </c>
      <c r="AH55" s="937"/>
      <c r="AI55" s="889">
        <v>382.29999999999995</v>
      </c>
      <c r="AJ55" s="470">
        <v>481</v>
      </c>
      <c r="AK55" s="937"/>
      <c r="AL55" s="938">
        <f t="shared" si="40"/>
        <v>3508.4309999999996</v>
      </c>
      <c r="AM55" s="938">
        <f t="shared" si="41"/>
        <v>768.42599999999993</v>
      </c>
      <c r="AN55" s="937"/>
      <c r="AO55" s="937"/>
      <c r="AP55" s="937"/>
      <c r="AQ55" s="937"/>
    </row>
    <row r="56" spans="1:43" s="593" customFormat="1" ht="18.75" customHeight="1" x14ac:dyDescent="0.3">
      <c r="A56" s="937" t="s">
        <v>342</v>
      </c>
      <c r="B56" s="892">
        <f>SUM(B53:B55)</f>
        <v>91.131</v>
      </c>
      <c r="C56" s="893">
        <f>C53+C54+C55</f>
        <v>49.5</v>
      </c>
      <c r="D56" s="937"/>
      <c r="E56" s="862">
        <f>SUM(E53:E55)</f>
        <v>2007</v>
      </c>
      <c r="F56" s="470">
        <f t="shared" ref="F56" si="53">F53+F54+F55</f>
        <v>1563</v>
      </c>
      <c r="G56" s="937"/>
      <c r="H56" s="862">
        <f>SUM(H53:H55)</f>
        <v>102</v>
      </c>
      <c r="I56" s="470">
        <f t="shared" ref="I56" si="54">I53+I54+I55</f>
        <v>58</v>
      </c>
      <c r="J56" s="937"/>
      <c r="K56" s="862">
        <f>SUM(K53:K55)</f>
        <v>76</v>
      </c>
      <c r="L56" s="470">
        <f t="shared" ref="L56" si="55">L53+L54+L55</f>
        <v>124.3</v>
      </c>
      <c r="M56" s="937"/>
      <c r="N56" s="862"/>
      <c r="O56" s="470">
        <f t="shared" ref="O56" si="56">O53+O54+O55</f>
        <v>0</v>
      </c>
      <c r="P56" s="937"/>
      <c r="Q56" s="862"/>
      <c r="R56" s="470">
        <f t="shared" ref="R56" si="57">R53+R54+R55</f>
        <v>0</v>
      </c>
      <c r="S56" s="937"/>
      <c r="T56" s="862">
        <f>SUM(T53:T55)</f>
        <v>0</v>
      </c>
      <c r="U56" s="470">
        <f t="shared" ref="U56" si="58">U53+U54+U55</f>
        <v>0</v>
      </c>
      <c r="V56" s="937"/>
      <c r="W56" s="862"/>
      <c r="X56" s="470">
        <f t="shared" ref="X56" si="59">X53+X54+X55</f>
        <v>0</v>
      </c>
      <c r="Y56" s="937"/>
      <c r="Z56" s="862">
        <f>SUM(Z53:Z55)</f>
        <v>915</v>
      </c>
      <c r="AA56" s="470">
        <f t="shared" ref="AA56" si="60">AA53+AA54+AA55</f>
        <v>685</v>
      </c>
      <c r="AB56" s="937"/>
      <c r="AC56" s="862"/>
      <c r="AD56" s="470">
        <f t="shared" ref="AD56" si="61">AD53+AD54+AD55</f>
        <v>0</v>
      </c>
      <c r="AE56" s="937"/>
      <c r="AF56" s="892">
        <f>SUM(AF53:AF55)</f>
        <v>-671.36599999999999</v>
      </c>
      <c r="AG56" s="927">
        <f t="shared" ref="AG56" si="62">AG53+AG54+AG55</f>
        <v>-687.37400000000002</v>
      </c>
      <c r="AH56" s="937"/>
      <c r="AI56" s="889">
        <f>SUM(AI53:AI55)</f>
        <v>1682.3</v>
      </c>
      <c r="AJ56" s="470">
        <f t="shared" ref="AJ56" si="63">AJ53+AJ54+AJ55</f>
        <v>3681</v>
      </c>
      <c r="AK56" s="937"/>
      <c r="AL56" s="938">
        <f t="shared" si="40"/>
        <v>4202.0649999999996</v>
      </c>
      <c r="AM56" s="938">
        <f t="shared" si="41"/>
        <v>5473.4260000000004</v>
      </c>
      <c r="AN56" s="937"/>
      <c r="AO56" s="937"/>
      <c r="AP56" s="937"/>
      <c r="AQ56" s="937"/>
    </row>
    <row r="57" spans="1:43" s="592" customFormat="1" ht="18.75" customHeight="1" x14ac:dyDescent="0.3">
      <c r="A57" s="940" t="s">
        <v>343</v>
      </c>
      <c r="B57" s="894">
        <f>B56+B51</f>
        <v>91.131</v>
      </c>
      <c r="C57" s="895">
        <f>C51+C56</f>
        <v>49.5</v>
      </c>
      <c r="D57" s="940"/>
      <c r="E57" s="863">
        <f>E56+E51</f>
        <v>2007</v>
      </c>
      <c r="F57" s="864">
        <f t="shared" ref="F57" si="64">F51+F56</f>
        <v>1563</v>
      </c>
      <c r="G57" s="940"/>
      <c r="H57" s="863">
        <f>H56+H51</f>
        <v>102</v>
      </c>
      <c r="I57" s="864">
        <f t="shared" ref="I57" si="65">I51+I56</f>
        <v>58</v>
      </c>
      <c r="J57" s="940"/>
      <c r="K57" s="863">
        <f>K56+K51</f>
        <v>76</v>
      </c>
      <c r="L57" s="864">
        <f t="shared" ref="L57" si="66">L51+L56</f>
        <v>124.3</v>
      </c>
      <c r="M57" s="940"/>
      <c r="N57" s="863"/>
      <c r="O57" s="864">
        <f t="shared" ref="O57" si="67">O51+O56</f>
        <v>0</v>
      </c>
      <c r="P57" s="940"/>
      <c r="Q57" s="863"/>
      <c r="R57" s="864">
        <f t="shared" ref="R57" si="68">R51+R56</f>
        <v>0</v>
      </c>
      <c r="S57" s="940"/>
      <c r="T57" s="863">
        <f>T56+T51</f>
        <v>25</v>
      </c>
      <c r="U57" s="864">
        <f t="shared" ref="U57" si="69">U51+U56</f>
        <v>21</v>
      </c>
      <c r="V57" s="940"/>
      <c r="W57" s="863"/>
      <c r="X57" s="864">
        <f t="shared" ref="X57" si="70">X51+X56</f>
        <v>0</v>
      </c>
      <c r="Y57" s="940"/>
      <c r="Z57" s="863">
        <f>Z56+Z51</f>
        <v>915</v>
      </c>
      <c r="AA57" s="864">
        <f t="shared" ref="AA57" si="71">AA51+AA56</f>
        <v>685</v>
      </c>
      <c r="AB57" s="940"/>
      <c r="AC57" s="863"/>
      <c r="AD57" s="864">
        <f t="shared" ref="AD57" si="72">AD51+AD56</f>
        <v>0</v>
      </c>
      <c r="AE57" s="940"/>
      <c r="AF57" s="894">
        <f>AF56+AF51</f>
        <v>-671.36599999999999</v>
      </c>
      <c r="AG57" s="928">
        <f t="shared" ref="AG57" si="73">AG51+AG56</f>
        <v>-687.37400000000002</v>
      </c>
      <c r="AH57" s="940"/>
      <c r="AI57" s="890">
        <f>AI56+AI51</f>
        <v>1682.3</v>
      </c>
      <c r="AJ57" s="864">
        <f t="shared" ref="AJ57" si="74">AJ51+AJ56</f>
        <v>3681</v>
      </c>
      <c r="AK57" s="940"/>
      <c r="AL57" s="939">
        <f t="shared" si="40"/>
        <v>4227.0649999999996</v>
      </c>
      <c r="AM57" s="939">
        <f t="shared" si="41"/>
        <v>5494.4260000000004</v>
      </c>
      <c r="AN57" s="940"/>
      <c r="AO57" s="940"/>
      <c r="AP57" s="940"/>
      <c r="AQ57" s="940"/>
    </row>
    <row r="58" spans="1:43" s="595" customFormat="1" ht="18.75" customHeight="1" x14ac:dyDescent="0.3">
      <c r="A58" s="577" t="s">
        <v>261</v>
      </c>
      <c r="B58" s="577"/>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row>
    <row r="59" spans="1:43" s="595" customFormat="1" ht="18.75" customHeight="1" x14ac:dyDescent="0.3">
      <c r="A59" s="577" t="s">
        <v>262</v>
      </c>
    </row>
    <row r="60" spans="1:43" s="595" customFormat="1" ht="18.75" customHeight="1" x14ac:dyDescent="0.3">
      <c r="A60" s="577" t="s">
        <v>263</v>
      </c>
    </row>
    <row r="61" spans="1:43" s="595" customFormat="1" ht="18.75" x14ac:dyDescent="0.3"/>
    <row r="62" spans="1:43" s="596" customFormat="1" x14ac:dyDescent="0.2">
      <c r="C62" s="597"/>
      <c r="H62" s="597"/>
      <c r="I62" s="597"/>
      <c r="AL62" s="599"/>
      <c r="AM62" s="600"/>
    </row>
  </sheetData>
  <mergeCells count="26">
    <mergeCell ref="AC6:AE6"/>
    <mergeCell ref="AF6:AH6"/>
    <mergeCell ref="AI6:AK6"/>
    <mergeCell ref="AL6:AN6"/>
    <mergeCell ref="AO6:AQ6"/>
    <mergeCell ref="AO5:AQ5"/>
    <mergeCell ref="B6:D6"/>
    <mergeCell ref="E6:G6"/>
    <mergeCell ref="H6:J6"/>
    <mergeCell ref="K6:M6"/>
    <mergeCell ref="N6:P6"/>
    <mergeCell ref="Q6:S6"/>
    <mergeCell ref="T6:V6"/>
    <mergeCell ref="W6:Y6"/>
    <mergeCell ref="Z6:AB6"/>
    <mergeCell ref="T5:V5"/>
    <mergeCell ref="Z5:AB5"/>
    <mergeCell ref="AF5:AH5"/>
    <mergeCell ref="AI5:AK5"/>
    <mergeCell ref="AL5:AN5"/>
    <mergeCell ref="B5:D5"/>
    <mergeCell ref="E5:G5"/>
    <mergeCell ref="H5:J5"/>
    <mergeCell ref="K5:M5"/>
    <mergeCell ref="N5:P5"/>
    <mergeCell ref="Q5:S5"/>
  </mergeCells>
  <conditionalFormatting sqref="K14">
    <cfRule type="expression" dxfId="901" priority="138">
      <formula>#REF! ="14≠11+12+13"</formula>
    </cfRule>
  </conditionalFormatting>
  <conditionalFormatting sqref="K21">
    <cfRule type="expression" dxfId="900" priority="139">
      <formula>#REF! ="22≠19+20+21"</formula>
    </cfRule>
  </conditionalFormatting>
  <conditionalFormatting sqref="K29">
    <cfRule type="expression" dxfId="899" priority="140">
      <formula>#REF! ="30≠24+25+26+27+28+29"</formula>
    </cfRule>
  </conditionalFormatting>
  <conditionalFormatting sqref="K34">
    <cfRule type="expression" dxfId="898" priority="141">
      <formula>#REF! ="35≠14+15+16+17+22+30+31+32+33+34"</formula>
    </cfRule>
  </conditionalFormatting>
  <conditionalFormatting sqref="K45">
    <cfRule type="expression" dxfId="897" priority="142">
      <formula>#REF! ="46≠35+38+39+40+43+45"</formula>
    </cfRule>
  </conditionalFormatting>
  <conditionalFormatting sqref="W14">
    <cfRule type="expression" dxfId="896" priority="128">
      <formula>#REF! ="14≠11+12+13"</formula>
    </cfRule>
  </conditionalFormatting>
  <conditionalFormatting sqref="W21">
    <cfRule type="expression" dxfId="895" priority="129">
      <formula>#REF! ="22≠19+20+21"</formula>
    </cfRule>
  </conditionalFormatting>
  <conditionalFormatting sqref="W29">
    <cfRule type="expression" dxfId="894" priority="130">
      <formula>#REF! ="30≠24+25+26+27+28+29"</formula>
    </cfRule>
  </conditionalFormatting>
  <conditionalFormatting sqref="W34">
    <cfRule type="expression" dxfId="893" priority="131">
      <formula>#REF! ="35≠14+15+16+17+22+30+31+32+33+34"</formula>
    </cfRule>
  </conditionalFormatting>
  <conditionalFormatting sqref="W45">
    <cfRule type="expression" dxfId="892" priority="132">
      <formula>#REF! ="46≠35+38+39+40+43+45"</formula>
    </cfRule>
  </conditionalFormatting>
  <conditionalFormatting sqref="AI14">
    <cfRule type="expression" dxfId="891" priority="118">
      <formula>#REF! ="14≠11+12+13"</formula>
    </cfRule>
  </conditionalFormatting>
  <conditionalFormatting sqref="AI21">
    <cfRule type="expression" dxfId="890" priority="119">
      <formula>#REF! ="22≠19+20+21"</formula>
    </cfRule>
  </conditionalFormatting>
  <conditionalFormatting sqref="AI29">
    <cfRule type="expression" dxfId="889" priority="120">
      <formula>#REF! ="30≠24+25+26+27+28+29"</formula>
    </cfRule>
  </conditionalFormatting>
  <conditionalFormatting sqref="AI34">
    <cfRule type="expression" dxfId="888" priority="121">
      <formula>#REF! ="35≠14+15+16+17+22+30+31+32+33+34"</formula>
    </cfRule>
  </conditionalFormatting>
  <conditionalFormatting sqref="AI45">
    <cfRule type="expression" dxfId="887" priority="122">
      <formula>#REF! ="46≠35+38+39+40+43+45"</formula>
    </cfRule>
  </conditionalFormatting>
  <conditionalFormatting sqref="B14">
    <cfRule type="expression" dxfId="886" priority="108">
      <formula>#REF! ="14≠11+12+13"</formula>
    </cfRule>
  </conditionalFormatting>
  <conditionalFormatting sqref="B21">
    <cfRule type="expression" dxfId="885" priority="109">
      <formula>#REF! ="22≠19+20+21"</formula>
    </cfRule>
  </conditionalFormatting>
  <conditionalFormatting sqref="B29">
    <cfRule type="expression" dxfId="884" priority="110">
      <formula>#REF! ="30≠24+25+26+27+28+29"</formula>
    </cfRule>
  </conditionalFormatting>
  <conditionalFormatting sqref="B34">
    <cfRule type="expression" dxfId="883" priority="111">
      <formula>#REF! ="35≠14+15+16+17+22+30+31+32+33+34"</formula>
    </cfRule>
  </conditionalFormatting>
  <conditionalFormatting sqref="B45">
    <cfRule type="expression" dxfId="882" priority="112">
      <formula>#REF! ="46≠35+38+39+40+43+45"</formula>
    </cfRule>
  </conditionalFormatting>
  <conditionalFormatting sqref="Z14">
    <cfRule type="expression" dxfId="881" priority="98">
      <formula>#REF! ="14≠11+12+13"</formula>
    </cfRule>
  </conditionalFormatting>
  <conditionalFormatting sqref="Z21">
    <cfRule type="expression" dxfId="880" priority="99">
      <formula>#REF! ="22≠19+20+21"</formula>
    </cfRule>
  </conditionalFormatting>
  <conditionalFormatting sqref="Z29">
    <cfRule type="expression" dxfId="879" priority="100">
      <formula>#REF! ="30≠24+25+26+27+28+29"</formula>
    </cfRule>
  </conditionalFormatting>
  <conditionalFormatting sqref="Z34">
    <cfRule type="expression" dxfId="878" priority="101">
      <formula>#REF! ="35≠14+15+16+17+22+30+31+32+33+34"</formula>
    </cfRule>
  </conditionalFormatting>
  <conditionalFormatting sqref="Z45">
    <cfRule type="expression" dxfId="877" priority="102">
      <formula>#REF! ="46≠35+38+39+40+43+45"</formula>
    </cfRule>
  </conditionalFormatting>
  <conditionalFormatting sqref="T14">
    <cfRule type="expression" dxfId="876" priority="88">
      <formula>#REF! ="14≠11+12+13"</formula>
    </cfRule>
  </conditionalFormatting>
  <conditionalFormatting sqref="T21">
    <cfRule type="expression" dxfId="875" priority="89">
      <formula>#REF! ="22≠19+20+21"</formula>
    </cfRule>
  </conditionalFormatting>
  <conditionalFormatting sqref="T29">
    <cfRule type="expression" dxfId="874" priority="90">
      <formula>#REF! ="30≠24+25+26+27+28+29"</formula>
    </cfRule>
  </conditionalFormatting>
  <conditionalFormatting sqref="T34">
    <cfRule type="expression" dxfId="873" priority="91">
      <formula>#REF! ="35≠14+15+16+17+22+30+31+32+33+34"</formula>
    </cfRule>
  </conditionalFormatting>
  <conditionalFormatting sqref="T45">
    <cfRule type="expression" dxfId="872" priority="92">
      <formula>#REF! ="46≠35+38+39+40+43+45"</formula>
    </cfRule>
  </conditionalFormatting>
  <conditionalFormatting sqref="Q14">
    <cfRule type="expression" dxfId="871" priority="78">
      <formula>#REF! ="14≠11+12+13"</formula>
    </cfRule>
  </conditionalFormatting>
  <conditionalFormatting sqref="Q21">
    <cfRule type="expression" dxfId="870" priority="79">
      <formula>#REF! ="22≠19+20+21"</formula>
    </cfRule>
  </conditionalFormatting>
  <conditionalFormatting sqref="Q29">
    <cfRule type="expression" dxfId="869" priority="80">
      <formula>#REF! ="30≠24+25+26+27+28+29"</formula>
    </cfRule>
  </conditionalFormatting>
  <conditionalFormatting sqref="Q34">
    <cfRule type="expression" dxfId="868" priority="81">
      <formula>#REF! ="35≠14+15+16+17+22+30+31+32+33+34"</formula>
    </cfRule>
  </conditionalFormatting>
  <conditionalFormatting sqref="Q45">
    <cfRule type="expression" dxfId="867" priority="82">
      <formula>#REF! ="46≠35+38+39+40+43+45"</formula>
    </cfRule>
  </conditionalFormatting>
  <conditionalFormatting sqref="N14">
    <cfRule type="expression" dxfId="866" priority="58">
      <formula>#REF! ="14≠11+12+13"</formula>
    </cfRule>
  </conditionalFormatting>
  <conditionalFormatting sqref="N21">
    <cfRule type="expression" dxfId="865" priority="59">
      <formula>#REF! ="22≠19+20+21"</formula>
    </cfRule>
  </conditionalFormatting>
  <conditionalFormatting sqref="N29">
    <cfRule type="expression" dxfId="864" priority="60">
      <formula>#REF! ="30≠24+25+26+27+28+29"</formula>
    </cfRule>
  </conditionalFormatting>
  <conditionalFormatting sqref="N34">
    <cfRule type="expression" dxfId="863" priority="61">
      <formula>#REF! ="35≠14+15+16+17+22+30+31+32+33+34"</formula>
    </cfRule>
  </conditionalFormatting>
  <conditionalFormatting sqref="N45">
    <cfRule type="expression" dxfId="862" priority="62">
      <formula>#REF! ="46≠35+38+39+40+43+45"</formula>
    </cfRule>
  </conditionalFormatting>
  <conditionalFormatting sqref="AC14">
    <cfRule type="expression" dxfId="861" priority="48">
      <formula>#REF! ="14≠11+12+13"</formula>
    </cfRule>
  </conditionalFormatting>
  <conditionalFormatting sqref="AC21">
    <cfRule type="expression" dxfId="860" priority="49">
      <formula>#REF! ="22≠19+20+21"</formula>
    </cfRule>
  </conditionalFormatting>
  <conditionalFormatting sqref="AC29">
    <cfRule type="expression" dxfId="859" priority="50">
      <formula>#REF! ="30≠24+25+26+27+28+29"</formula>
    </cfRule>
  </conditionalFormatting>
  <conditionalFormatting sqref="AC34">
    <cfRule type="expression" dxfId="858" priority="51">
      <formula>#REF! ="35≠14+15+16+17+22+30+31+32+33+34"</formula>
    </cfRule>
  </conditionalFormatting>
  <conditionalFormatting sqref="AC45">
    <cfRule type="expression" dxfId="857" priority="52">
      <formula>#REF! ="46≠35+38+39+40+43+45"</formula>
    </cfRule>
  </conditionalFormatting>
  <conditionalFormatting sqref="AF14">
    <cfRule type="expression" dxfId="856" priority="28">
      <formula>#REF! ="14≠11+12+13"</formula>
    </cfRule>
  </conditionalFormatting>
  <conditionalFormatting sqref="AF21">
    <cfRule type="expression" dxfId="855" priority="29">
      <formula>#REF! ="22≠19+20+21"</formula>
    </cfRule>
  </conditionalFormatting>
  <conditionalFormatting sqref="AF29">
    <cfRule type="expression" dxfId="854" priority="30">
      <formula>#REF! ="30≠24+25+26+27+28+29"</formula>
    </cfRule>
  </conditionalFormatting>
  <conditionalFormatting sqref="AF34">
    <cfRule type="expression" dxfId="853" priority="31">
      <formula>#REF! ="35≠14+15+16+17+22+30+31+32+33+34"</formula>
    </cfRule>
  </conditionalFormatting>
  <conditionalFormatting sqref="AF45">
    <cfRule type="expression" dxfId="852" priority="32">
      <formula>#REF! ="46≠35+38+39+40+43+45"</formula>
    </cfRule>
  </conditionalFormatting>
  <conditionalFormatting sqref="H14">
    <cfRule type="expression" dxfId="851" priority="18">
      <formula>#REF! ="14≠11+12+13"</formula>
    </cfRule>
  </conditionalFormatting>
  <conditionalFormatting sqref="H21">
    <cfRule type="expression" dxfId="850" priority="19">
      <formula>#REF! ="22≠19+20+21"</formula>
    </cfRule>
  </conditionalFormatting>
  <conditionalFormatting sqref="H29">
    <cfRule type="expression" dxfId="849" priority="20">
      <formula>#REF! ="30≠24+25+26+27+28+29"</formula>
    </cfRule>
  </conditionalFormatting>
  <conditionalFormatting sqref="H34">
    <cfRule type="expression" dxfId="848" priority="21">
      <formula>#REF! ="35≠14+15+16+17+22+30+31+32+33+34"</formula>
    </cfRule>
  </conditionalFormatting>
  <conditionalFormatting sqref="H45">
    <cfRule type="expression" dxfId="847" priority="22">
      <formula>#REF! ="46≠35+38+39+40+43+45"</formula>
    </cfRule>
  </conditionalFormatting>
  <conditionalFormatting sqref="E14">
    <cfRule type="expression" dxfId="846" priority="8">
      <formula>#REF! ="14≠11+12+13"</formula>
    </cfRule>
  </conditionalFormatting>
  <conditionalFormatting sqref="E21">
    <cfRule type="expression" dxfId="845" priority="9">
      <formula>#REF! ="22≠19+20+21"</formula>
    </cfRule>
  </conditionalFormatting>
  <conditionalFormatting sqref="E29">
    <cfRule type="expression" dxfId="844" priority="10">
      <formula>#REF! ="30≠24+25+26+27+28+29"</formula>
    </cfRule>
  </conditionalFormatting>
  <conditionalFormatting sqref="E34">
    <cfRule type="expression" dxfId="843" priority="11">
      <formula>#REF! ="35≠14+15+16+17+22+30+31+32+33+34"</formula>
    </cfRule>
  </conditionalFormatting>
  <conditionalFormatting sqref="E45">
    <cfRule type="expression" dxfId="842" priority="12">
      <formula>#REF! ="46≠35+38+39+40+43+45"</formula>
    </cfRule>
  </conditionalFormatting>
  <conditionalFormatting sqref="L14 X14 AJ14 C14 AA14 U14 R14 O14 AD14 AG14 I14 F14 AL14:AM14 AO14:AP14">
    <cfRule type="expression" dxfId="841" priority="653">
      <formula>#REF! ="14≠11+12+13"</formula>
    </cfRule>
  </conditionalFormatting>
  <conditionalFormatting sqref="L21 X21 AJ21 C21 AA21 U21 R21 O21 AD21 AG21 I21 F21 AL21:AM21 AO21:AP21">
    <cfRule type="expression" dxfId="840" priority="655">
      <formula>#REF! ="22≠19+20+21"</formula>
    </cfRule>
  </conditionalFormatting>
  <conditionalFormatting sqref="AO29:AP29 L29 X29 AJ29 C29 AA29 U29 R29 O29 AD29 AG29 I29 F29 AL29:AM29">
    <cfRule type="expression" dxfId="839" priority="657">
      <formula>#REF! ="30≠24+25+26+27+28+29"</formula>
    </cfRule>
  </conditionalFormatting>
  <conditionalFormatting sqref="AO34:AP34 L34 X34 AJ34 C34 AA34 U34 R34 O34 AD34 AG34 I34 F34 AL34:AM34">
    <cfRule type="expression" dxfId="838" priority="659">
      <formula>#REF! ="35≠14+15+16+17+22+30+31+32+33+34"</formula>
    </cfRule>
  </conditionalFormatting>
  <conditionalFormatting sqref="AO45:AP45 L45 X45 AJ45 C45 AA45 U45 R45 O45 AD45 AG45 I45 F45 AL45:AM45">
    <cfRule type="expression" dxfId="837" priority="661">
      <formula>#REF! ="46≠35+38+39+40+43+45"</formula>
    </cfRule>
  </conditionalFormatting>
  <hyperlinks>
    <hyperlink ref="B1" location="Innhold!A1" display="Tilbak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R189"/>
  <sheetViews>
    <sheetView showGridLines="0" zoomScale="70" zoomScaleNormal="70" workbookViewId="0">
      <pane xSplit="1" ySplit="9" topLeftCell="B10" activePane="bottomRight" state="frozen"/>
      <selection activeCell="AU39" sqref="AU39"/>
      <selection pane="topRight" activeCell="AU39" sqref="AU39"/>
      <selection pane="bottomLeft" activeCell="AU39" sqref="AU39"/>
      <selection pane="bottomRight"/>
    </sheetView>
  </sheetViews>
  <sheetFormatPr baseColWidth="10" defaultColWidth="11.42578125" defaultRowHeight="12.75" x14ac:dyDescent="0.2"/>
  <cols>
    <col min="1" max="1" width="68.5703125" style="603" customWidth="1"/>
    <col min="2" max="43" width="11.7109375" style="603" customWidth="1"/>
    <col min="44" max="44" width="14.7109375" style="603" bestFit="1" customWidth="1"/>
    <col min="45" max="16384" width="11.42578125" style="603"/>
  </cols>
  <sheetData>
    <row r="1" spans="1:44" ht="20.25" customHeight="1" x14ac:dyDescent="0.3">
      <c r="A1" s="601" t="s">
        <v>180</v>
      </c>
      <c r="B1" s="480" t="s">
        <v>52</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row>
    <row r="2" spans="1:44" ht="20.100000000000001" customHeight="1" x14ac:dyDescent="0.3">
      <c r="A2" s="604" t="s">
        <v>267</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row>
    <row r="3" spans="1:44" ht="20.100000000000001" customHeight="1" x14ac:dyDescent="0.3">
      <c r="A3" s="605" t="s">
        <v>374</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row>
    <row r="4" spans="1:44" ht="20.100000000000001" customHeight="1" x14ac:dyDescent="0.3">
      <c r="A4" s="606" t="s">
        <v>375</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row>
    <row r="5" spans="1:44" ht="18.75" customHeight="1" x14ac:dyDescent="0.3">
      <c r="A5" s="607" t="s">
        <v>371</v>
      </c>
      <c r="B5" s="608"/>
      <c r="C5" s="608"/>
      <c r="D5" s="609"/>
      <c r="E5" s="610"/>
      <c r="F5" s="608"/>
      <c r="G5" s="609"/>
      <c r="H5" s="610"/>
      <c r="I5" s="608"/>
      <c r="J5" s="609"/>
      <c r="K5" s="608"/>
      <c r="L5" s="608"/>
      <c r="M5" s="608"/>
      <c r="N5" s="610"/>
      <c r="O5" s="608"/>
      <c r="P5" s="609"/>
      <c r="Q5" s="610"/>
      <c r="R5" s="608"/>
      <c r="S5" s="609"/>
      <c r="T5" s="610"/>
      <c r="U5" s="608"/>
      <c r="V5" s="609"/>
      <c r="W5" s="610"/>
      <c r="X5" s="608"/>
      <c r="Y5" s="609"/>
      <c r="Z5" s="610"/>
      <c r="AA5" s="608"/>
      <c r="AB5" s="609"/>
      <c r="AC5" s="610"/>
      <c r="AD5" s="608"/>
      <c r="AE5" s="609"/>
      <c r="AF5" s="610"/>
      <c r="AG5" s="608"/>
      <c r="AH5" s="609"/>
      <c r="AI5" s="610"/>
      <c r="AJ5" s="608"/>
      <c r="AK5" s="609"/>
      <c r="AL5" s="610"/>
      <c r="AM5" s="608"/>
      <c r="AN5" s="609"/>
      <c r="AO5" s="610"/>
      <c r="AP5" s="608"/>
      <c r="AQ5" s="609"/>
      <c r="AR5" s="602"/>
    </row>
    <row r="6" spans="1:44" ht="18.75" customHeight="1" x14ac:dyDescent="0.3">
      <c r="A6" s="611" t="s">
        <v>106</v>
      </c>
      <c r="B6" s="997" t="s">
        <v>183</v>
      </c>
      <c r="C6" s="998"/>
      <c r="D6" s="999"/>
      <c r="E6" s="997" t="s">
        <v>184</v>
      </c>
      <c r="F6" s="998"/>
      <c r="G6" s="999"/>
      <c r="H6" s="997" t="s">
        <v>185</v>
      </c>
      <c r="I6" s="998"/>
      <c r="J6" s="999"/>
      <c r="K6" s="997" t="s">
        <v>186</v>
      </c>
      <c r="L6" s="998"/>
      <c r="M6" s="999"/>
      <c r="N6" s="997" t="s">
        <v>187</v>
      </c>
      <c r="O6" s="998"/>
      <c r="P6" s="999"/>
      <c r="Q6" s="903" t="s">
        <v>187</v>
      </c>
      <c r="R6" s="904"/>
      <c r="S6" s="905"/>
      <c r="T6" s="997" t="s">
        <v>64</v>
      </c>
      <c r="U6" s="998"/>
      <c r="V6" s="999"/>
      <c r="W6" s="849"/>
      <c r="X6" s="850"/>
      <c r="Y6" s="851"/>
      <c r="Z6" s="997" t="s">
        <v>188</v>
      </c>
      <c r="AA6" s="998"/>
      <c r="AB6" s="999"/>
      <c r="AC6" s="918"/>
      <c r="AD6" s="919"/>
      <c r="AE6" s="920"/>
      <c r="AF6" s="997"/>
      <c r="AG6" s="998"/>
      <c r="AH6" s="999"/>
      <c r="AI6" s="997" t="s">
        <v>75</v>
      </c>
      <c r="AJ6" s="998"/>
      <c r="AK6" s="999"/>
      <c r="AL6" s="994" t="s">
        <v>2</v>
      </c>
      <c r="AM6" s="995"/>
      <c r="AN6" s="996"/>
      <c r="AO6" s="997" t="s">
        <v>2</v>
      </c>
      <c r="AP6" s="998"/>
      <c r="AQ6" s="999"/>
      <c r="AR6" s="602"/>
    </row>
    <row r="7" spans="1:44" ht="21" customHeight="1" x14ac:dyDescent="0.3">
      <c r="A7" s="612"/>
      <c r="B7" s="1000" t="s">
        <v>189</v>
      </c>
      <c r="C7" s="1001"/>
      <c r="D7" s="1002"/>
      <c r="E7" s="1000" t="s">
        <v>190</v>
      </c>
      <c r="F7" s="1001"/>
      <c r="G7" s="1002"/>
      <c r="H7" s="1000" t="s">
        <v>190</v>
      </c>
      <c r="I7" s="1001"/>
      <c r="J7" s="1002"/>
      <c r="K7" s="1000" t="s">
        <v>191</v>
      </c>
      <c r="L7" s="1001"/>
      <c r="M7" s="1002"/>
      <c r="N7" s="1000" t="s">
        <v>94</v>
      </c>
      <c r="O7" s="1001"/>
      <c r="P7" s="1002"/>
      <c r="Q7" s="1000" t="s">
        <v>64</v>
      </c>
      <c r="R7" s="1001"/>
      <c r="S7" s="1002"/>
      <c r="T7" s="1000" t="s">
        <v>192</v>
      </c>
      <c r="U7" s="1001"/>
      <c r="V7" s="1002"/>
      <c r="W7" s="1000" t="s">
        <v>68</v>
      </c>
      <c r="X7" s="1001"/>
      <c r="Y7" s="1002"/>
      <c r="Z7" s="1000" t="s">
        <v>189</v>
      </c>
      <c r="AA7" s="1001"/>
      <c r="AB7" s="1002"/>
      <c r="AC7" s="1000" t="s">
        <v>74</v>
      </c>
      <c r="AD7" s="1001"/>
      <c r="AE7" s="1002"/>
      <c r="AF7" s="1000" t="s">
        <v>70</v>
      </c>
      <c r="AG7" s="1001"/>
      <c r="AH7" s="1002"/>
      <c r="AI7" s="1000" t="s">
        <v>190</v>
      </c>
      <c r="AJ7" s="1001"/>
      <c r="AK7" s="1002"/>
      <c r="AL7" s="1003" t="s">
        <v>295</v>
      </c>
      <c r="AM7" s="1004"/>
      <c r="AN7" s="1005"/>
      <c r="AO7" s="1006" t="s">
        <v>296</v>
      </c>
      <c r="AP7" s="1007"/>
      <c r="AQ7" s="1008"/>
      <c r="AR7" s="602"/>
    </row>
    <row r="8" spans="1:44" ht="18.75" customHeight="1" x14ac:dyDescent="0.3">
      <c r="A8" s="612"/>
      <c r="B8" s="613"/>
      <c r="C8" s="613"/>
      <c r="D8" s="614" t="s">
        <v>83</v>
      </c>
      <c r="E8" s="613"/>
      <c r="F8" s="613"/>
      <c r="G8" s="614" t="s">
        <v>83</v>
      </c>
      <c r="H8" s="613"/>
      <c r="I8" s="613"/>
      <c r="J8" s="614" t="s">
        <v>83</v>
      </c>
      <c r="K8" s="613"/>
      <c r="L8" s="613"/>
      <c r="M8" s="614" t="s">
        <v>83</v>
      </c>
      <c r="N8" s="613"/>
      <c r="O8" s="613"/>
      <c r="P8" s="614" t="s">
        <v>83</v>
      </c>
      <c r="Q8" s="613"/>
      <c r="R8" s="613"/>
      <c r="S8" s="614" t="s">
        <v>83</v>
      </c>
      <c r="T8" s="613"/>
      <c r="U8" s="613"/>
      <c r="V8" s="614" t="s">
        <v>83</v>
      </c>
      <c r="W8" s="613"/>
      <c r="X8" s="613"/>
      <c r="Y8" s="614" t="s">
        <v>83</v>
      </c>
      <c r="Z8" s="613"/>
      <c r="AA8" s="613"/>
      <c r="AB8" s="614" t="s">
        <v>83</v>
      </c>
      <c r="AC8" s="613"/>
      <c r="AD8" s="613"/>
      <c r="AE8" s="614" t="s">
        <v>83</v>
      </c>
      <c r="AF8" s="613"/>
      <c r="AG8" s="613"/>
      <c r="AH8" s="614" t="s">
        <v>83</v>
      </c>
      <c r="AI8" s="613"/>
      <c r="AJ8" s="613"/>
      <c r="AK8" s="614" t="s">
        <v>83</v>
      </c>
      <c r="AL8" s="613"/>
      <c r="AM8" s="613"/>
      <c r="AN8" s="614" t="s">
        <v>83</v>
      </c>
      <c r="AO8" s="613"/>
      <c r="AP8" s="613"/>
      <c r="AQ8" s="614" t="s">
        <v>83</v>
      </c>
      <c r="AR8" s="602"/>
    </row>
    <row r="9" spans="1:44" ht="18.75" customHeight="1" x14ac:dyDescent="0.3">
      <c r="A9" s="615" t="s">
        <v>297</v>
      </c>
      <c r="B9" s="616">
        <v>2017</v>
      </c>
      <c r="C9" s="616">
        <v>2018</v>
      </c>
      <c r="D9" s="617" t="s">
        <v>85</v>
      </c>
      <c r="E9" s="616">
        <v>2017</v>
      </c>
      <c r="F9" s="616">
        <v>2018</v>
      </c>
      <c r="G9" s="617" t="s">
        <v>85</v>
      </c>
      <c r="H9" s="616">
        <v>2017</v>
      </c>
      <c r="I9" s="616">
        <v>2018</v>
      </c>
      <c r="J9" s="617" t="s">
        <v>85</v>
      </c>
      <c r="K9" s="616">
        <v>2017</v>
      </c>
      <c r="L9" s="616">
        <v>2018</v>
      </c>
      <c r="M9" s="617" t="s">
        <v>85</v>
      </c>
      <c r="N9" s="616">
        <v>2017</v>
      </c>
      <c r="O9" s="616">
        <v>2018</v>
      </c>
      <c r="P9" s="617" t="s">
        <v>85</v>
      </c>
      <c r="Q9" s="616">
        <v>2017</v>
      </c>
      <c r="R9" s="616">
        <v>2018</v>
      </c>
      <c r="S9" s="617" t="s">
        <v>85</v>
      </c>
      <c r="T9" s="616">
        <v>2017</v>
      </c>
      <c r="U9" s="616">
        <v>2018</v>
      </c>
      <c r="V9" s="617" t="s">
        <v>85</v>
      </c>
      <c r="W9" s="616">
        <v>2017</v>
      </c>
      <c r="X9" s="616">
        <v>2018</v>
      </c>
      <c r="Y9" s="617" t="s">
        <v>85</v>
      </c>
      <c r="Z9" s="616">
        <v>2017</v>
      </c>
      <c r="AA9" s="616">
        <v>2018</v>
      </c>
      <c r="AB9" s="617" t="s">
        <v>85</v>
      </c>
      <c r="AC9" s="616">
        <v>2017</v>
      </c>
      <c r="AD9" s="616">
        <v>2018</v>
      </c>
      <c r="AE9" s="617" t="s">
        <v>85</v>
      </c>
      <c r="AF9" s="616">
        <v>2017</v>
      </c>
      <c r="AG9" s="616">
        <v>2018</v>
      </c>
      <c r="AH9" s="617" t="s">
        <v>85</v>
      </c>
      <c r="AI9" s="616">
        <v>2017</v>
      </c>
      <c r="AJ9" s="616">
        <v>2018</v>
      </c>
      <c r="AK9" s="617" t="s">
        <v>85</v>
      </c>
      <c r="AL9" s="616">
        <v>2017</v>
      </c>
      <c r="AM9" s="616">
        <v>2018</v>
      </c>
      <c r="AN9" s="617" t="s">
        <v>85</v>
      </c>
      <c r="AO9" s="616">
        <v>2017</v>
      </c>
      <c r="AP9" s="616">
        <v>2018</v>
      </c>
      <c r="AQ9" s="617" t="s">
        <v>85</v>
      </c>
      <c r="AR9" s="602"/>
    </row>
    <row r="10" spans="1:44" ht="18.75" customHeight="1" x14ac:dyDescent="0.3">
      <c r="A10" s="618"/>
      <c r="B10" s="619"/>
      <c r="C10" s="622"/>
      <c r="D10" s="620"/>
      <c r="E10" s="619"/>
      <c r="F10" s="622"/>
      <c r="G10" s="621"/>
      <c r="H10" s="619"/>
      <c r="I10" s="622"/>
      <c r="J10" s="621"/>
      <c r="K10" s="619"/>
      <c r="L10" s="622"/>
      <c r="M10" s="620"/>
      <c r="N10" s="619"/>
      <c r="O10" s="622"/>
      <c r="P10" s="621"/>
      <c r="Q10" s="619"/>
      <c r="R10" s="622"/>
      <c r="S10" s="621"/>
      <c r="T10" s="619"/>
      <c r="U10" s="622"/>
      <c r="V10" s="621"/>
      <c r="W10" s="619"/>
      <c r="X10" s="622"/>
      <c r="Y10" s="621"/>
      <c r="Z10" s="619"/>
      <c r="AA10" s="622"/>
      <c r="AB10" s="621"/>
      <c r="AC10" s="619"/>
      <c r="AD10" s="622"/>
      <c r="AE10" s="621"/>
      <c r="AF10" s="619"/>
      <c r="AG10" s="622"/>
      <c r="AH10" s="621"/>
      <c r="AI10" s="619"/>
      <c r="AJ10" s="622"/>
      <c r="AK10" s="621"/>
      <c r="AL10" s="620"/>
      <c r="AM10" s="620"/>
      <c r="AN10" s="621"/>
      <c r="AO10" s="622"/>
      <c r="AP10" s="622"/>
      <c r="AQ10" s="621"/>
      <c r="AR10" s="602"/>
    </row>
    <row r="11" spans="1:44" s="602" customFormat="1" ht="18.75" customHeight="1" x14ac:dyDescent="0.3">
      <c r="A11" s="623" t="s">
        <v>376</v>
      </c>
      <c r="B11" s="624"/>
      <c r="C11" s="639"/>
      <c r="D11" s="625"/>
      <c r="E11" s="624"/>
      <c r="F11" s="639"/>
      <c r="G11" s="626"/>
      <c r="H11" s="624"/>
      <c r="I11" s="639"/>
      <c r="J11" s="626"/>
      <c r="K11" s="624"/>
      <c r="L11" s="639"/>
      <c r="M11" s="625"/>
      <c r="N11" s="624"/>
      <c r="O11" s="639"/>
      <c r="P11" s="626"/>
      <c r="Q11" s="624"/>
      <c r="R11" s="639"/>
      <c r="S11" s="626"/>
      <c r="T11" s="624"/>
      <c r="U11" s="639"/>
      <c r="V11" s="626"/>
      <c r="W11" s="624"/>
      <c r="X11" s="639"/>
      <c r="Y11" s="627"/>
      <c r="Z11" s="624"/>
      <c r="AA11" s="639"/>
      <c r="AB11" s="626"/>
      <c r="AC11" s="624"/>
      <c r="AD11" s="639"/>
      <c r="AE11" s="626"/>
      <c r="AF11" s="624"/>
      <c r="AG11" s="639"/>
      <c r="AH11" s="626"/>
      <c r="AI11" s="624"/>
      <c r="AJ11" s="639"/>
      <c r="AK11" s="626"/>
      <c r="AL11" s="625"/>
      <c r="AM11" s="625"/>
      <c r="AN11" s="626"/>
      <c r="AO11" s="628"/>
      <c r="AP11" s="628"/>
      <c r="AQ11" s="626"/>
    </row>
    <row r="12" spans="1:44" s="602" customFormat="1" ht="18.75" customHeight="1" x14ac:dyDescent="0.3">
      <c r="A12" s="629" t="s">
        <v>377</v>
      </c>
      <c r="B12" s="443"/>
      <c r="C12" s="637"/>
      <c r="D12" s="631"/>
      <c r="E12" s="443">
        <v>76.7</v>
      </c>
      <c r="F12" s="637">
        <v>0</v>
      </c>
      <c r="G12" s="632">
        <f>IF(E12=0, "    ---- ", IF(ABS(ROUND(100/E12*F12-100,1))&lt;999,ROUND(100/E12*F12-100,1),IF(ROUND(100/E12*F12-100,1)&gt;999,999,-999)))</f>
        <v>-100</v>
      </c>
      <c r="H12" s="443"/>
      <c r="I12" s="637"/>
      <c r="J12" s="633"/>
      <c r="K12" s="443"/>
      <c r="L12" s="637"/>
      <c r="M12" s="631"/>
      <c r="N12" s="443"/>
      <c r="O12" s="637"/>
      <c r="P12" s="633"/>
      <c r="Q12" s="443"/>
      <c r="R12" s="637"/>
      <c r="S12" s="633"/>
      <c r="T12" s="443"/>
      <c r="U12" s="637"/>
      <c r="V12" s="633"/>
      <c r="W12" s="443">
        <v>6.2277158830626238</v>
      </c>
      <c r="X12" s="637">
        <v>7.0952793831827528</v>
      </c>
      <c r="Y12" s="632">
        <f t="shared" ref="Y12:Y58" si="0">IF(W12=0, "    ---- ", IF(ABS(ROUND(100/W12*X12-100,1))&lt;999,ROUND(100/W12*X12-100,1),IF(ROUND(100/W12*X12-100,1)&gt;999,999,-999)))</f>
        <v>13.9</v>
      </c>
      <c r="Z12" s="443"/>
      <c r="AA12" s="637"/>
      <c r="AB12" s="633"/>
      <c r="AC12" s="443"/>
      <c r="AD12" s="637"/>
      <c r="AE12" s="633"/>
      <c r="AF12" s="443">
        <v>23.625</v>
      </c>
      <c r="AG12" s="637">
        <v>13.345000000000001</v>
      </c>
      <c r="AH12" s="632">
        <f>IF(AF12=0, "    ---- ", IF(ABS(ROUND(100/AF12*AG12-100,1))&lt;999,ROUND(100/AF12*AG12-100,1),IF(ROUND(100/AF12*AG12-100,1)&gt;999,999,-999)))</f>
        <v>-43.5</v>
      </c>
      <c r="AI12" s="443">
        <v>25.9</v>
      </c>
      <c r="AJ12" s="637">
        <v>-7.4</v>
      </c>
      <c r="AK12" s="632">
        <f>IF(AI12=0, "    ---- ", IF(ABS(ROUND(100/AI12*AJ12-100,1))&lt;999,ROUND(100/AI12*AJ12-100,1),IF(ROUND(100/AI12*AJ12-100,1)&gt;999,999,-999)))</f>
        <v>-128.6</v>
      </c>
      <c r="AL12" s="634">
        <f>B12+E12+H12+K12+Q12+T12+W12+Z12+AF12+AI12</f>
        <v>132.45271588306264</v>
      </c>
      <c r="AM12" s="634">
        <f>C12+F12+I12+L12+R12+U12+X12+AA12+AG12+AJ12</f>
        <v>13.040279383182755</v>
      </c>
      <c r="AN12" s="632">
        <f t="shared" ref="AN12:AN22" si="1">IF(AL12=0, "    ---- ", IF(ABS(ROUND(100/AL12*AM12-100,1))&lt;999,ROUND(100/AL12*AM12-100,1),IF(ROUND(100/AL12*AM12-100,1)&gt;999,999,-999)))</f>
        <v>-90.2</v>
      </c>
      <c r="AO12" s="634">
        <f>+B12+E12+H12+K12+N12+Q12+T12+W12+Z12+AC12+AF12+AI12</f>
        <v>132.45271588306264</v>
      </c>
      <c r="AP12" s="634">
        <f>+C12+F12+I12+L12+O12+R12+U12+X12+AA12+AD12+AG12+AJ12</f>
        <v>13.040279383182755</v>
      </c>
      <c r="AQ12" s="632">
        <f t="shared" ref="AQ12:AQ22" si="2">IF(AO12=0, "    ---- ", IF(ABS(ROUND(100/AO12*AP12-100,1))&lt;999,ROUND(100/AO12*AP12-100,1),IF(ROUND(100/AO12*AP12-100,1)&gt;999,999,-999)))</f>
        <v>-90.2</v>
      </c>
    </row>
    <row r="13" spans="1:44" s="602" customFormat="1" ht="18.75" customHeight="1" x14ac:dyDescent="0.3">
      <c r="A13" s="629" t="s">
        <v>378</v>
      </c>
      <c r="B13" s="443"/>
      <c r="C13" s="637"/>
      <c r="D13" s="631"/>
      <c r="E13" s="443"/>
      <c r="F13" s="637"/>
      <c r="G13" s="632"/>
      <c r="H13" s="443"/>
      <c r="I13" s="637"/>
      <c r="J13" s="633"/>
      <c r="K13" s="443"/>
      <c r="L13" s="637"/>
      <c r="M13" s="631"/>
      <c r="N13" s="443"/>
      <c r="O13" s="637"/>
      <c r="P13" s="633"/>
      <c r="Q13" s="443"/>
      <c r="R13" s="637"/>
      <c r="S13" s="633"/>
      <c r="T13" s="443"/>
      <c r="U13" s="637"/>
      <c r="V13" s="633"/>
      <c r="W13" s="443">
        <v>-6.2277158830626238</v>
      </c>
      <c r="X13" s="637">
        <v>-7.0952793831827528</v>
      </c>
      <c r="Y13" s="632">
        <f t="shared" si="0"/>
        <v>13.9</v>
      </c>
      <c r="Z13" s="443"/>
      <c r="AA13" s="637"/>
      <c r="AB13" s="633"/>
      <c r="AC13" s="443"/>
      <c r="AD13" s="637"/>
      <c r="AE13" s="633"/>
      <c r="AF13" s="443"/>
      <c r="AG13" s="637"/>
      <c r="AH13" s="632"/>
      <c r="AI13" s="443"/>
      <c r="AJ13" s="637">
        <v>1.3</v>
      </c>
      <c r="AK13" s="632" t="str">
        <f>IF(AI13=0, "    ---- ", IF(ABS(ROUND(100/AI13*AJ13-100,1))&lt;999,ROUND(100/AI13*AJ13-100,1),IF(ROUND(100/AI13*AJ13-100,1)&gt;999,999,-999)))</f>
        <v xml:space="preserve">    ---- </v>
      </c>
      <c r="AL13" s="634">
        <f t="shared" ref="AL13:AM76" si="3">B13+E13+H13+K13+Q13+T13+W13+Z13+AF13+AI13</f>
        <v>-6.2277158830626238</v>
      </c>
      <c r="AM13" s="634">
        <f t="shared" si="3"/>
        <v>-5.7952793831827529</v>
      </c>
      <c r="AN13" s="632">
        <f t="shared" si="1"/>
        <v>-6.9</v>
      </c>
      <c r="AO13" s="634">
        <f t="shared" ref="AO13:AP76" si="4">+B13+E13+H13+K13+N13+Q13+T13+W13+Z13+AC13+AF13+AI13</f>
        <v>-6.2277158830626238</v>
      </c>
      <c r="AP13" s="634">
        <f t="shared" si="4"/>
        <v>-5.7952793831827529</v>
      </c>
      <c r="AQ13" s="632">
        <f t="shared" si="2"/>
        <v>-6.9</v>
      </c>
    </row>
    <row r="14" spans="1:44" s="602" customFormat="1" ht="18.75" customHeight="1" x14ac:dyDescent="0.3">
      <c r="A14" s="629" t="s">
        <v>379</v>
      </c>
      <c r="B14" s="443"/>
      <c r="C14" s="637"/>
      <c r="D14" s="631"/>
      <c r="E14" s="443">
        <v>21.9</v>
      </c>
      <c r="F14" s="637">
        <v>28</v>
      </c>
      <c r="G14" s="632">
        <f>IF(E14=0, "    ---- ", IF(ABS(ROUND(100/E14*F14-100,1))&lt;999,ROUND(100/E14*F14-100,1),IF(ROUND(100/E14*F14-100,1)&gt;999,999,-999)))</f>
        <v>27.9</v>
      </c>
      <c r="H14" s="443"/>
      <c r="I14" s="637"/>
      <c r="J14" s="633"/>
      <c r="K14" s="443"/>
      <c r="L14" s="637"/>
      <c r="M14" s="631"/>
      <c r="N14" s="443"/>
      <c r="O14" s="637"/>
      <c r="P14" s="633"/>
      <c r="Q14" s="443"/>
      <c r="R14" s="637"/>
      <c r="S14" s="633"/>
      <c r="T14" s="443"/>
      <c r="U14" s="637"/>
      <c r="V14" s="633"/>
      <c r="W14" s="443">
        <v>6.2579918265871424</v>
      </c>
      <c r="X14" s="637">
        <v>4.7729642393528113</v>
      </c>
      <c r="Y14" s="632">
        <f t="shared" si="0"/>
        <v>-23.7</v>
      </c>
      <c r="Z14" s="443"/>
      <c r="AA14" s="637"/>
      <c r="AB14" s="633"/>
      <c r="AC14" s="443"/>
      <c r="AD14" s="637"/>
      <c r="AE14" s="633"/>
      <c r="AF14" s="443">
        <v>-4.9740000000000002</v>
      </c>
      <c r="AG14" s="637">
        <v>-6.3419999999999996</v>
      </c>
      <c r="AH14" s="632">
        <f>IF(AF14=0, "    ---- ", IF(ABS(ROUND(100/AF14*AG14-100,1))&lt;999,ROUND(100/AF14*AG14-100,1),IF(ROUND(100/AF14*AG14-100,1)&gt;999,999,-999)))</f>
        <v>27.5</v>
      </c>
      <c r="AI14" s="443">
        <v>-1.95</v>
      </c>
      <c r="AJ14" s="637">
        <v>0.8</v>
      </c>
      <c r="AK14" s="632">
        <f>IF(AI14=0, "    ---- ", IF(ABS(ROUND(100/AI14*AJ14-100,1))&lt;999,ROUND(100/AI14*AJ14-100,1),IF(ROUND(100/AI14*AJ14-100,1)&gt;999,999,-999)))</f>
        <v>-141</v>
      </c>
      <c r="AL14" s="634">
        <f t="shared" si="3"/>
        <v>21.233991826587143</v>
      </c>
      <c r="AM14" s="634">
        <f t="shared" si="3"/>
        <v>27.230964239352812</v>
      </c>
      <c r="AN14" s="632">
        <f t="shared" si="1"/>
        <v>28.2</v>
      </c>
      <c r="AO14" s="634">
        <f t="shared" si="4"/>
        <v>21.233991826587143</v>
      </c>
      <c r="AP14" s="634">
        <f t="shared" si="4"/>
        <v>27.230964239352812</v>
      </c>
      <c r="AQ14" s="632">
        <f t="shared" si="2"/>
        <v>28.2</v>
      </c>
    </row>
    <row r="15" spans="1:44" s="602" customFormat="1" ht="18.75" customHeight="1" x14ac:dyDescent="0.3">
      <c r="A15" s="629" t="s">
        <v>380</v>
      </c>
      <c r="B15" s="443"/>
      <c r="C15" s="637"/>
      <c r="D15" s="631"/>
      <c r="E15" s="443"/>
      <c r="F15" s="637"/>
      <c r="G15" s="632"/>
      <c r="H15" s="443"/>
      <c r="I15" s="637"/>
      <c r="J15" s="633"/>
      <c r="K15" s="443"/>
      <c r="L15" s="637"/>
      <c r="M15" s="631"/>
      <c r="N15" s="443"/>
      <c r="O15" s="637"/>
      <c r="P15" s="633"/>
      <c r="Q15" s="443"/>
      <c r="R15" s="637"/>
      <c r="S15" s="633"/>
      <c r="T15" s="443"/>
      <c r="U15" s="637"/>
      <c r="V15" s="633"/>
      <c r="W15" s="443"/>
      <c r="X15" s="637"/>
      <c r="Y15" s="632"/>
      <c r="Z15" s="443"/>
      <c r="AA15" s="637"/>
      <c r="AB15" s="633"/>
      <c r="AC15" s="443"/>
      <c r="AD15" s="637"/>
      <c r="AE15" s="633"/>
      <c r="AF15" s="443"/>
      <c r="AG15" s="637"/>
      <c r="AH15" s="632"/>
      <c r="AI15" s="443"/>
      <c r="AJ15" s="637"/>
      <c r="AK15" s="632"/>
      <c r="AL15" s="634">
        <f t="shared" si="3"/>
        <v>0</v>
      </c>
      <c r="AM15" s="634">
        <f t="shared" si="3"/>
        <v>0</v>
      </c>
      <c r="AN15" s="632" t="str">
        <f t="shared" si="1"/>
        <v xml:space="preserve">    ---- </v>
      </c>
      <c r="AO15" s="634">
        <f t="shared" si="4"/>
        <v>0</v>
      </c>
      <c r="AP15" s="634">
        <f t="shared" si="4"/>
        <v>0</v>
      </c>
      <c r="AQ15" s="632" t="str">
        <f t="shared" si="2"/>
        <v xml:space="preserve">    ---- </v>
      </c>
    </row>
    <row r="16" spans="1:44" s="602" customFormat="1" ht="18.75" customHeight="1" x14ac:dyDescent="0.3">
      <c r="A16" s="629" t="s">
        <v>381</v>
      </c>
      <c r="B16" s="443"/>
      <c r="C16" s="637"/>
      <c r="D16" s="631"/>
      <c r="E16" s="443"/>
      <c r="F16" s="637"/>
      <c r="G16" s="632"/>
      <c r="H16" s="443"/>
      <c r="I16" s="637"/>
      <c r="J16" s="633"/>
      <c r="K16" s="443"/>
      <c r="L16" s="637"/>
      <c r="M16" s="631"/>
      <c r="N16" s="443"/>
      <c r="O16" s="637"/>
      <c r="P16" s="633"/>
      <c r="Q16" s="443"/>
      <c r="R16" s="637"/>
      <c r="S16" s="633"/>
      <c r="T16" s="443"/>
      <c r="U16" s="637"/>
      <c r="V16" s="633"/>
      <c r="W16" s="443"/>
      <c r="X16" s="637"/>
      <c r="Y16" s="632"/>
      <c r="Z16" s="443"/>
      <c r="AA16" s="637"/>
      <c r="AB16" s="633"/>
      <c r="AC16" s="443"/>
      <c r="AD16" s="637"/>
      <c r="AE16" s="633"/>
      <c r="AF16" s="443"/>
      <c r="AG16" s="637"/>
      <c r="AH16" s="632"/>
      <c r="AI16" s="443"/>
      <c r="AJ16" s="637"/>
      <c r="AK16" s="632"/>
      <c r="AL16" s="634">
        <f t="shared" si="3"/>
        <v>0</v>
      </c>
      <c r="AM16" s="634">
        <f t="shared" si="3"/>
        <v>0</v>
      </c>
      <c r="AN16" s="632" t="str">
        <f t="shared" si="1"/>
        <v xml:space="preserve">    ---- </v>
      </c>
      <c r="AO16" s="634">
        <f t="shared" si="4"/>
        <v>0</v>
      </c>
      <c r="AP16" s="634">
        <f t="shared" si="4"/>
        <v>0</v>
      </c>
      <c r="AQ16" s="632" t="str">
        <f t="shared" si="2"/>
        <v xml:space="preserve">    ---- </v>
      </c>
    </row>
    <row r="17" spans="1:43" s="602" customFormat="1" ht="18.75" customHeight="1" x14ac:dyDescent="0.3">
      <c r="A17" s="629" t="s">
        <v>382</v>
      </c>
      <c r="B17" s="443"/>
      <c r="C17" s="637"/>
      <c r="D17" s="631"/>
      <c r="E17" s="443">
        <v>59.02</v>
      </c>
      <c r="F17" s="637">
        <v>10</v>
      </c>
      <c r="G17" s="632">
        <f>IF(E17=0, "    ---- ", IF(ABS(ROUND(100/E17*F17-100,1))&lt;999,ROUND(100/E17*F17-100,1),IF(ROUND(100/E17*F17-100,1)&gt;999,999,-999)))</f>
        <v>-83.1</v>
      </c>
      <c r="H17" s="443"/>
      <c r="I17" s="637"/>
      <c r="J17" s="633"/>
      <c r="K17" s="443"/>
      <c r="L17" s="637"/>
      <c r="M17" s="631"/>
      <c r="N17" s="443"/>
      <c r="O17" s="637"/>
      <c r="P17" s="633"/>
      <c r="Q17" s="443"/>
      <c r="R17" s="637"/>
      <c r="S17" s="633"/>
      <c r="T17" s="443"/>
      <c r="U17" s="637"/>
      <c r="V17" s="633"/>
      <c r="W17" s="443">
        <v>11.212142049229177</v>
      </c>
      <c r="X17" s="637">
        <v>7.9663411428452795</v>
      </c>
      <c r="Y17" s="632">
        <f t="shared" si="0"/>
        <v>-28.9</v>
      </c>
      <c r="Z17" s="443"/>
      <c r="AA17" s="637"/>
      <c r="AB17" s="633"/>
      <c r="AC17" s="443"/>
      <c r="AD17" s="637"/>
      <c r="AE17" s="633"/>
      <c r="AF17" s="443">
        <v>-10.069000000000001</v>
      </c>
      <c r="AG17" s="637">
        <v>-0.55200000000000005</v>
      </c>
      <c r="AH17" s="632">
        <f>IF(AF17=0, "    ---- ", IF(ABS(ROUND(100/AF17*AG17-100,1))&lt;999,ROUND(100/AF17*AG17-100,1),IF(ROUND(100/AF17*AG17-100,1)&gt;999,999,-999)))</f>
        <v>-94.5</v>
      </c>
      <c r="AI17" s="443">
        <v>165.33</v>
      </c>
      <c r="AJ17" s="637">
        <v>85</v>
      </c>
      <c r="AK17" s="632">
        <f>IF(AI17=0, "    ---- ", IF(ABS(ROUND(100/AI17*AJ17-100,1))&lt;999,ROUND(100/AI17*AJ17-100,1),IF(ROUND(100/AI17*AJ17-100,1)&gt;999,999,-999)))</f>
        <v>-48.6</v>
      </c>
      <c r="AL17" s="634">
        <f t="shared" si="3"/>
        <v>225.49314204922919</v>
      </c>
      <c r="AM17" s="634">
        <f t="shared" si="3"/>
        <v>102.41434114284527</v>
      </c>
      <c r="AN17" s="632">
        <f t="shared" si="1"/>
        <v>-54.6</v>
      </c>
      <c r="AO17" s="634">
        <f t="shared" si="4"/>
        <v>225.49314204922919</v>
      </c>
      <c r="AP17" s="634">
        <f t="shared" si="4"/>
        <v>102.41434114284527</v>
      </c>
      <c r="AQ17" s="632">
        <f t="shared" si="2"/>
        <v>-54.6</v>
      </c>
    </row>
    <row r="18" spans="1:43" s="602" customFormat="1" ht="18.75" customHeight="1" x14ac:dyDescent="0.3">
      <c r="A18" s="629" t="s">
        <v>383</v>
      </c>
      <c r="B18" s="443"/>
      <c r="C18" s="637"/>
      <c r="D18" s="631"/>
      <c r="E18" s="443"/>
      <c r="F18" s="637"/>
      <c r="G18" s="632"/>
      <c r="H18" s="443"/>
      <c r="I18" s="637"/>
      <c r="J18" s="633"/>
      <c r="K18" s="443"/>
      <c r="L18" s="637"/>
      <c r="M18" s="631"/>
      <c r="N18" s="443"/>
      <c r="O18" s="637"/>
      <c r="P18" s="633"/>
      <c r="Q18" s="443"/>
      <c r="R18" s="637"/>
      <c r="S18" s="633"/>
      <c r="T18" s="443"/>
      <c r="U18" s="637"/>
      <c r="V18" s="633"/>
      <c r="W18" s="443"/>
      <c r="X18" s="637"/>
      <c r="Y18" s="632"/>
      <c r="Z18" s="443"/>
      <c r="AA18" s="637"/>
      <c r="AB18" s="633"/>
      <c r="AC18" s="443"/>
      <c r="AD18" s="637"/>
      <c r="AE18" s="633"/>
      <c r="AF18" s="443"/>
      <c r="AG18" s="637"/>
      <c r="AH18" s="632"/>
      <c r="AI18" s="443"/>
      <c r="AJ18" s="637"/>
      <c r="AK18" s="632"/>
      <c r="AL18" s="634">
        <f t="shared" si="3"/>
        <v>0</v>
      </c>
      <c r="AM18" s="634">
        <f t="shared" si="3"/>
        <v>0</v>
      </c>
      <c r="AN18" s="632" t="str">
        <f t="shared" si="1"/>
        <v xml:space="preserve">    ---- </v>
      </c>
      <c r="AO18" s="634">
        <f t="shared" si="4"/>
        <v>0</v>
      </c>
      <c r="AP18" s="634">
        <f t="shared" si="4"/>
        <v>0</v>
      </c>
      <c r="AQ18" s="632" t="str">
        <f t="shared" si="2"/>
        <v xml:space="preserve">    ---- </v>
      </c>
    </row>
    <row r="19" spans="1:43" s="602" customFormat="1" ht="18.75" customHeight="1" x14ac:dyDescent="0.3">
      <c r="A19" s="629" t="s">
        <v>384</v>
      </c>
      <c r="B19" s="443"/>
      <c r="C19" s="637"/>
      <c r="D19" s="631"/>
      <c r="E19" s="443"/>
      <c r="F19" s="637"/>
      <c r="G19" s="632"/>
      <c r="H19" s="443"/>
      <c r="I19" s="637"/>
      <c r="J19" s="633"/>
      <c r="K19" s="443"/>
      <c r="L19" s="637"/>
      <c r="M19" s="631"/>
      <c r="N19" s="443"/>
      <c r="O19" s="637"/>
      <c r="P19" s="633"/>
      <c r="Q19" s="443"/>
      <c r="R19" s="637"/>
      <c r="S19" s="633"/>
      <c r="T19" s="443"/>
      <c r="U19" s="637"/>
      <c r="V19" s="633"/>
      <c r="W19" s="443"/>
      <c r="X19" s="637"/>
      <c r="Y19" s="632"/>
      <c r="Z19" s="443"/>
      <c r="AA19" s="637"/>
      <c r="AB19" s="633"/>
      <c r="AC19" s="443"/>
      <c r="AD19" s="637"/>
      <c r="AE19" s="633"/>
      <c r="AF19" s="443"/>
      <c r="AG19" s="637"/>
      <c r="AH19" s="632"/>
      <c r="AI19" s="443"/>
      <c r="AJ19" s="637"/>
      <c r="AK19" s="632"/>
      <c r="AL19" s="634">
        <f t="shared" si="3"/>
        <v>0</v>
      </c>
      <c r="AM19" s="634">
        <f t="shared" si="3"/>
        <v>0</v>
      </c>
      <c r="AN19" s="632" t="str">
        <f t="shared" si="1"/>
        <v xml:space="preserve">    ---- </v>
      </c>
      <c r="AO19" s="634">
        <f t="shared" si="4"/>
        <v>0</v>
      </c>
      <c r="AP19" s="634">
        <f t="shared" si="4"/>
        <v>0</v>
      </c>
      <c r="AQ19" s="632" t="str">
        <f t="shared" si="2"/>
        <v xml:space="preserve">    ---- </v>
      </c>
    </row>
    <row r="20" spans="1:43" s="636" customFormat="1" ht="18.75" customHeight="1" x14ac:dyDescent="0.3">
      <c r="A20" s="623" t="s">
        <v>385</v>
      </c>
      <c r="B20" s="624"/>
      <c r="C20" s="639"/>
      <c r="D20" s="625"/>
      <c r="E20" s="624">
        <v>157.62</v>
      </c>
      <c r="F20" s="639">
        <v>38</v>
      </c>
      <c r="G20" s="627">
        <f>IF(E20=0, "    ---- ", IF(ABS(ROUND(100/E20*F20-100,1))&lt;999,ROUND(100/E20*F20-100,1),IF(ROUND(100/E20*F20-100,1)&gt;999,999,-999)))</f>
        <v>-75.900000000000006</v>
      </c>
      <c r="H20" s="624"/>
      <c r="I20" s="639"/>
      <c r="J20" s="626"/>
      <c r="K20" s="624"/>
      <c r="L20" s="639"/>
      <c r="M20" s="625"/>
      <c r="N20" s="624"/>
      <c r="O20" s="639"/>
      <c r="P20" s="626"/>
      <c r="Q20" s="624"/>
      <c r="R20" s="639"/>
      <c r="S20" s="626"/>
      <c r="T20" s="624"/>
      <c r="U20" s="639"/>
      <c r="V20" s="626"/>
      <c r="W20" s="624">
        <v>17.47013387581632</v>
      </c>
      <c r="X20" s="639">
        <v>12.73930538219809</v>
      </c>
      <c r="Y20" s="627">
        <f t="shared" si="0"/>
        <v>-27.1</v>
      </c>
      <c r="Z20" s="624"/>
      <c r="AA20" s="639"/>
      <c r="AB20" s="626"/>
      <c r="AC20" s="624"/>
      <c r="AD20" s="639"/>
      <c r="AE20" s="626"/>
      <c r="AF20" s="624">
        <v>8.581999999999999</v>
      </c>
      <c r="AG20" s="639">
        <v>6.4510000000000005</v>
      </c>
      <c r="AH20" s="627">
        <f>IF(AF20=0, "    ---- ", IF(ABS(ROUND(100/AF20*AG20-100,1))&lt;999,ROUND(100/AF20*AG20-100,1),IF(ROUND(100/AF20*AG20-100,1)&gt;999,999,-999)))</f>
        <v>-24.8</v>
      </c>
      <c r="AI20" s="624">
        <v>189.28</v>
      </c>
      <c r="AJ20" s="639">
        <v>79.7</v>
      </c>
      <c r="AK20" s="627">
        <f>IF(AI20=0, "    ---- ", IF(ABS(ROUND(100/AI20*AJ20-100,1))&lt;999,ROUND(100/AI20*AJ20-100,1),IF(ROUND(100/AI20*AJ20-100,1)&gt;999,999,-999)))</f>
        <v>-57.9</v>
      </c>
      <c r="AL20" s="635">
        <f t="shared" si="3"/>
        <v>372.95213387581634</v>
      </c>
      <c r="AM20" s="635">
        <f t="shared" si="3"/>
        <v>136.89030538219811</v>
      </c>
      <c r="AN20" s="627">
        <f t="shared" si="1"/>
        <v>-63.3</v>
      </c>
      <c r="AO20" s="635">
        <f t="shared" si="4"/>
        <v>372.95213387581634</v>
      </c>
      <c r="AP20" s="635">
        <f t="shared" si="4"/>
        <v>136.89030538219811</v>
      </c>
      <c r="AQ20" s="627">
        <f t="shared" si="2"/>
        <v>-63.3</v>
      </c>
    </row>
    <row r="21" spans="1:43" s="602" customFormat="1" ht="18.75" customHeight="1" x14ac:dyDescent="0.3">
      <c r="A21" s="629" t="s">
        <v>386</v>
      </c>
      <c r="B21" s="443"/>
      <c r="C21" s="637"/>
      <c r="D21" s="631"/>
      <c r="E21" s="443">
        <v>102.46</v>
      </c>
      <c r="F21" s="637">
        <v>25</v>
      </c>
      <c r="G21" s="632">
        <f>IF(E21=0, "    ---- ", IF(ABS(ROUND(100/E21*F21-100,1))&lt;999,ROUND(100/E21*F21-100,1),IF(ROUND(100/E21*F21-100,1)&gt;999,999,-999)))</f>
        <v>-75.599999999999994</v>
      </c>
      <c r="H21" s="443"/>
      <c r="I21" s="637"/>
      <c r="J21" s="633"/>
      <c r="K21" s="443"/>
      <c r="L21" s="637"/>
      <c r="M21" s="631"/>
      <c r="N21" s="443"/>
      <c r="O21" s="637"/>
      <c r="P21" s="633"/>
      <c r="Q21" s="443"/>
      <c r="R21" s="637"/>
      <c r="S21" s="633"/>
      <c r="T21" s="443"/>
      <c r="U21" s="637"/>
      <c r="V21" s="633"/>
      <c r="W21" s="443">
        <v>11.355587019280605</v>
      </c>
      <c r="X21" s="637">
        <v>8.2805484984287592</v>
      </c>
      <c r="Y21" s="632">
        <f t="shared" si="0"/>
        <v>-27.1</v>
      </c>
      <c r="Z21" s="443"/>
      <c r="AA21" s="637"/>
      <c r="AB21" s="633"/>
      <c r="AC21" s="443"/>
      <c r="AD21" s="637"/>
      <c r="AE21" s="633"/>
      <c r="AF21" s="443">
        <v>5.5780000000000003</v>
      </c>
      <c r="AG21" s="637">
        <v>4.1929999999999996</v>
      </c>
      <c r="AH21" s="632">
        <f>IF(AF21=0, "    ---- ", IF(ABS(ROUND(100/AF21*AG21-100,1))&lt;999,ROUND(100/AF21*AG21-100,1),IF(ROUND(100/AF21*AG21-100,1)&gt;999,999,-999)))</f>
        <v>-24.8</v>
      </c>
      <c r="AI21" s="443">
        <v>133.69999999999999</v>
      </c>
      <c r="AJ21" s="637">
        <v>54.7</v>
      </c>
      <c r="AK21" s="632">
        <f>IF(AI21=0, "    ---- ", IF(ABS(ROUND(100/AI21*AJ21-100,1))&lt;999,ROUND(100/AI21*AJ21-100,1),IF(ROUND(100/AI21*AJ21-100,1)&gt;999,999,-999)))</f>
        <v>-59.1</v>
      </c>
      <c r="AL21" s="634">
        <f t="shared" si="3"/>
        <v>253.09358701928059</v>
      </c>
      <c r="AM21" s="634">
        <f t="shared" si="3"/>
        <v>92.173548498428758</v>
      </c>
      <c r="AN21" s="632">
        <f t="shared" si="1"/>
        <v>-63.6</v>
      </c>
      <c r="AO21" s="634">
        <f t="shared" si="4"/>
        <v>253.09358701928059</v>
      </c>
      <c r="AP21" s="634">
        <f t="shared" si="4"/>
        <v>92.173548498428758</v>
      </c>
      <c r="AQ21" s="632">
        <f t="shared" si="2"/>
        <v>-63.6</v>
      </c>
    </row>
    <row r="22" spans="1:43" s="602" customFormat="1" ht="18.75" customHeight="1" x14ac:dyDescent="0.3">
      <c r="A22" s="629" t="s">
        <v>387</v>
      </c>
      <c r="B22" s="443"/>
      <c r="C22" s="637"/>
      <c r="D22" s="631"/>
      <c r="E22" s="443">
        <v>55.17</v>
      </c>
      <c r="F22" s="637">
        <v>13</v>
      </c>
      <c r="G22" s="632">
        <f>IF(E22=0, "    ---- ", IF(ABS(ROUND(100/E22*F22-100,1))&lt;999,ROUND(100/E22*F22-100,1),IF(ROUND(100/E22*F22-100,1)&gt;999,999,-999)))</f>
        <v>-76.400000000000006</v>
      </c>
      <c r="H22" s="443"/>
      <c r="I22" s="637"/>
      <c r="J22" s="633"/>
      <c r="K22" s="443"/>
      <c r="L22" s="637"/>
      <c r="M22" s="631"/>
      <c r="N22" s="443"/>
      <c r="O22" s="637"/>
      <c r="P22" s="633"/>
      <c r="Q22" s="443"/>
      <c r="R22" s="637"/>
      <c r="S22" s="633"/>
      <c r="T22" s="443"/>
      <c r="U22" s="637"/>
      <c r="V22" s="633"/>
      <c r="W22" s="443">
        <v>6.1145468565357142</v>
      </c>
      <c r="X22" s="637">
        <v>4.4587568837693308</v>
      </c>
      <c r="Y22" s="632">
        <f t="shared" si="0"/>
        <v>-27.1</v>
      </c>
      <c r="Z22" s="443"/>
      <c r="AA22" s="637"/>
      <c r="AB22" s="633"/>
      <c r="AC22" s="443"/>
      <c r="AD22" s="637"/>
      <c r="AE22" s="633"/>
      <c r="AF22" s="443">
        <v>3.004</v>
      </c>
      <c r="AG22" s="637">
        <v>2.258</v>
      </c>
      <c r="AH22" s="632">
        <f>IF(AF22=0, "    ---- ", IF(ABS(ROUND(100/AF22*AG22-100,1))&lt;999,ROUND(100/AF22*AG22-100,1),IF(ROUND(100/AF22*AG22-100,1)&gt;999,999,-999)))</f>
        <v>-24.8</v>
      </c>
      <c r="AI22" s="443">
        <v>55.53</v>
      </c>
      <c r="AJ22" s="637">
        <v>25.3</v>
      </c>
      <c r="AK22" s="632">
        <f>IF(AI22=0, "    ---- ", IF(ABS(ROUND(100/AI22*AJ22-100,1))&lt;999,ROUND(100/AI22*AJ22-100,1),IF(ROUND(100/AI22*AJ22-100,1)&gt;999,999,-999)))</f>
        <v>-54.4</v>
      </c>
      <c r="AL22" s="634">
        <f t="shared" si="3"/>
        <v>119.81854685653572</v>
      </c>
      <c r="AM22" s="634">
        <f t="shared" si="3"/>
        <v>45.016756883769332</v>
      </c>
      <c r="AN22" s="632">
        <f t="shared" si="1"/>
        <v>-62.4</v>
      </c>
      <c r="AO22" s="634">
        <f t="shared" si="4"/>
        <v>119.81854685653572</v>
      </c>
      <c r="AP22" s="634">
        <f t="shared" si="4"/>
        <v>45.016756883769332</v>
      </c>
      <c r="AQ22" s="632">
        <f t="shared" si="2"/>
        <v>-62.4</v>
      </c>
    </row>
    <row r="23" spans="1:43" s="602" customFormat="1" ht="18.75" customHeight="1" x14ac:dyDescent="0.3">
      <c r="A23" s="623" t="s">
        <v>388</v>
      </c>
      <c r="B23" s="624"/>
      <c r="C23" s="639"/>
      <c r="D23" s="625"/>
      <c r="E23" s="624"/>
      <c r="F23" s="639"/>
      <c r="G23" s="627"/>
      <c r="H23" s="624"/>
      <c r="I23" s="639"/>
      <c r="J23" s="626"/>
      <c r="K23" s="624"/>
      <c r="L23" s="639"/>
      <c r="M23" s="625"/>
      <c r="N23" s="624"/>
      <c r="O23" s="639"/>
      <c r="P23" s="626"/>
      <c r="Q23" s="624"/>
      <c r="R23" s="639"/>
      <c r="S23" s="626"/>
      <c r="T23" s="624"/>
      <c r="U23" s="639"/>
      <c r="V23" s="626"/>
      <c r="W23" s="624"/>
      <c r="X23" s="639"/>
      <c r="Y23" s="627"/>
      <c r="Z23" s="624"/>
      <c r="AA23" s="639"/>
      <c r="AB23" s="626"/>
      <c r="AC23" s="624"/>
      <c r="AD23" s="639"/>
      <c r="AE23" s="626"/>
      <c r="AF23" s="624"/>
      <c r="AG23" s="639"/>
      <c r="AH23" s="627"/>
      <c r="AI23" s="624"/>
      <c r="AJ23" s="639"/>
      <c r="AK23" s="627"/>
      <c r="AL23" s="635">
        <f t="shared" si="3"/>
        <v>0</v>
      </c>
      <c r="AM23" s="635">
        <f t="shared" si="3"/>
        <v>0</v>
      </c>
      <c r="AN23" s="627"/>
      <c r="AO23" s="635">
        <f t="shared" si="4"/>
        <v>0</v>
      </c>
      <c r="AP23" s="635">
        <f t="shared" si="4"/>
        <v>0</v>
      </c>
      <c r="AQ23" s="627"/>
    </row>
    <row r="24" spans="1:43" s="602" customFormat="1" ht="18.75" customHeight="1" x14ac:dyDescent="0.3">
      <c r="A24" s="629" t="s">
        <v>377</v>
      </c>
      <c r="B24" s="443"/>
      <c r="C24" s="637"/>
      <c r="D24" s="631"/>
      <c r="E24" s="443">
        <v>317.64</v>
      </c>
      <c r="F24" s="637">
        <v>99</v>
      </c>
      <c r="G24" s="632">
        <f t="shared" ref="G24:G29" si="5">IF(E24=0, "    ---- ", IF(ABS(ROUND(100/E24*F24-100,1))&lt;999,ROUND(100/E24*F24-100,1),IF(ROUND(100/E24*F24-100,1)&gt;999,999,-999)))</f>
        <v>-68.8</v>
      </c>
      <c r="H24" s="443"/>
      <c r="I24" s="637"/>
      <c r="J24" s="633"/>
      <c r="K24" s="443"/>
      <c r="L24" s="637"/>
      <c r="M24" s="631"/>
      <c r="N24" s="443"/>
      <c r="O24" s="637"/>
      <c r="P24" s="633"/>
      <c r="Q24" s="443"/>
      <c r="R24" s="637"/>
      <c r="S24" s="633"/>
      <c r="T24" s="443"/>
      <c r="U24" s="637"/>
      <c r="V24" s="633"/>
      <c r="W24" s="443">
        <v>2.7574734305679511</v>
      </c>
      <c r="X24" s="637">
        <v>3.0897052080371297</v>
      </c>
      <c r="Y24" s="632">
        <f t="shared" si="0"/>
        <v>12</v>
      </c>
      <c r="Z24" s="443"/>
      <c r="AA24" s="637"/>
      <c r="AB24" s="633"/>
      <c r="AC24" s="443"/>
      <c r="AD24" s="637"/>
      <c r="AE24" s="633"/>
      <c r="AF24" s="443">
        <v>-2.996</v>
      </c>
      <c r="AG24" s="637">
        <v>3.2</v>
      </c>
      <c r="AH24" s="632">
        <f>IF(AF24=0, "    ---- ", IF(ABS(ROUND(100/AF24*AG24-100,1))&lt;999,ROUND(100/AF24*AG24-100,1),IF(ROUND(100/AF24*AG24-100,1)&gt;999,999,-999)))</f>
        <v>-206.8</v>
      </c>
      <c r="AI24" s="443"/>
      <c r="AJ24" s="637"/>
      <c r="AK24" s="633"/>
      <c r="AL24" s="637">
        <f t="shared" si="3"/>
        <v>317.40147343056793</v>
      </c>
      <c r="AM24" s="637">
        <f t="shared" si="3"/>
        <v>105.28970520803713</v>
      </c>
      <c r="AN24" s="632">
        <f t="shared" ref="AN24:AN87" si="6">IF(AL24=0, "    ---- ", IF(ABS(ROUND(100/AL24*AM24-100,1))&lt;999,ROUND(100/AL24*AM24-100,1),IF(ROUND(100/AL24*AM24-100,1)&gt;999,999,-999)))</f>
        <v>-66.8</v>
      </c>
      <c r="AO24" s="634">
        <f t="shared" si="4"/>
        <v>317.40147343056793</v>
      </c>
      <c r="AP24" s="634">
        <f t="shared" si="4"/>
        <v>105.28970520803713</v>
      </c>
      <c r="AQ24" s="632">
        <f t="shared" ref="AQ24:AQ87" si="7">IF(AO24=0, "    ---- ", IF(ABS(ROUND(100/AO24*AP24-100,1))&lt;999,ROUND(100/AO24*AP24-100,1),IF(ROUND(100/AO24*AP24-100,1)&gt;999,999,-999)))</f>
        <v>-66.8</v>
      </c>
    </row>
    <row r="25" spans="1:43" s="602" customFormat="1" ht="18.75" customHeight="1" x14ac:dyDescent="0.3">
      <c r="A25" s="629" t="s">
        <v>378</v>
      </c>
      <c r="B25" s="443"/>
      <c r="C25" s="637"/>
      <c r="D25" s="631"/>
      <c r="E25" s="443">
        <v>-9</v>
      </c>
      <c r="F25" s="637">
        <v>-1</v>
      </c>
      <c r="G25" s="632">
        <f t="shared" si="5"/>
        <v>-88.9</v>
      </c>
      <c r="H25" s="443"/>
      <c r="I25" s="637"/>
      <c r="J25" s="633"/>
      <c r="K25" s="443"/>
      <c r="L25" s="637"/>
      <c r="M25" s="631"/>
      <c r="N25" s="443"/>
      <c r="O25" s="637"/>
      <c r="P25" s="633"/>
      <c r="Q25" s="443"/>
      <c r="R25" s="637"/>
      <c r="S25" s="633"/>
      <c r="T25" s="443"/>
      <c r="U25" s="637"/>
      <c r="V25" s="633"/>
      <c r="W25" s="443">
        <v>-2.752476726777779</v>
      </c>
      <c r="X25" s="637">
        <v>-3.0847415134355027</v>
      </c>
      <c r="Y25" s="632">
        <f t="shared" si="0"/>
        <v>12.1</v>
      </c>
      <c r="Z25" s="443"/>
      <c r="AA25" s="637"/>
      <c r="AB25" s="633"/>
      <c r="AC25" s="443"/>
      <c r="AD25" s="637"/>
      <c r="AE25" s="633"/>
      <c r="AF25" s="443"/>
      <c r="AG25" s="637"/>
      <c r="AH25" s="632"/>
      <c r="AI25" s="443"/>
      <c r="AJ25" s="637"/>
      <c r="AK25" s="633"/>
      <c r="AL25" s="637">
        <f t="shared" si="3"/>
        <v>-11.752476726777779</v>
      </c>
      <c r="AM25" s="637">
        <f t="shared" si="3"/>
        <v>-4.0847415134355032</v>
      </c>
      <c r="AN25" s="632">
        <f t="shared" si="6"/>
        <v>-65.2</v>
      </c>
      <c r="AO25" s="634">
        <f t="shared" si="4"/>
        <v>-11.752476726777779</v>
      </c>
      <c r="AP25" s="634">
        <f t="shared" si="4"/>
        <v>-4.0847415134355032</v>
      </c>
      <c r="AQ25" s="632">
        <f t="shared" si="7"/>
        <v>-65.2</v>
      </c>
    </row>
    <row r="26" spans="1:43" s="602" customFormat="1" ht="18.75" customHeight="1" x14ac:dyDescent="0.3">
      <c r="A26" s="629" t="s">
        <v>379</v>
      </c>
      <c r="B26" s="443"/>
      <c r="C26" s="637"/>
      <c r="D26" s="631"/>
      <c r="E26" s="443">
        <v>31.07</v>
      </c>
      <c r="F26" s="637">
        <v>34</v>
      </c>
      <c r="G26" s="632">
        <f t="shared" si="5"/>
        <v>9.4</v>
      </c>
      <c r="H26" s="443"/>
      <c r="I26" s="637"/>
      <c r="J26" s="633"/>
      <c r="K26" s="443"/>
      <c r="L26" s="637"/>
      <c r="M26" s="631"/>
      <c r="N26" s="443"/>
      <c r="O26" s="637"/>
      <c r="P26" s="633"/>
      <c r="Q26" s="443"/>
      <c r="R26" s="637"/>
      <c r="S26" s="633"/>
      <c r="T26" s="443"/>
      <c r="U26" s="637"/>
      <c r="V26" s="633"/>
      <c r="W26" s="443">
        <v>-1.1327234545807541</v>
      </c>
      <c r="X26" s="637">
        <v>-1.0843117004939289</v>
      </c>
      <c r="Y26" s="632">
        <f t="shared" si="0"/>
        <v>-4.3</v>
      </c>
      <c r="Z26" s="443"/>
      <c r="AA26" s="637"/>
      <c r="AB26" s="633"/>
      <c r="AC26" s="443"/>
      <c r="AD26" s="637"/>
      <c r="AE26" s="633"/>
      <c r="AF26" s="443">
        <v>-1.2110000000000001</v>
      </c>
      <c r="AG26" s="637">
        <v>-0.29499999999999998</v>
      </c>
      <c r="AH26" s="632">
        <f>IF(AF26=0, "    ---- ", IF(ABS(ROUND(100/AF26*AG26-100,1))&lt;999,ROUND(100/AF26*AG26-100,1),IF(ROUND(100/AF26*AG26-100,1)&gt;999,999,-999)))</f>
        <v>-75.599999999999994</v>
      </c>
      <c r="AI26" s="443"/>
      <c r="AJ26" s="637"/>
      <c r="AK26" s="633"/>
      <c r="AL26" s="637">
        <f t="shared" si="3"/>
        <v>28.726276545419246</v>
      </c>
      <c r="AM26" s="637">
        <f t="shared" si="3"/>
        <v>32.620688299506071</v>
      </c>
      <c r="AN26" s="632">
        <f t="shared" si="6"/>
        <v>13.6</v>
      </c>
      <c r="AO26" s="634">
        <f t="shared" si="4"/>
        <v>28.726276545419246</v>
      </c>
      <c r="AP26" s="634">
        <f t="shared" si="4"/>
        <v>32.620688299506071</v>
      </c>
      <c r="AQ26" s="632">
        <f t="shared" si="7"/>
        <v>13.6</v>
      </c>
    </row>
    <row r="27" spans="1:43" s="602" customFormat="1" ht="18.75" customHeight="1" x14ac:dyDescent="0.3">
      <c r="A27" s="629" t="s">
        <v>380</v>
      </c>
      <c r="B27" s="443"/>
      <c r="C27" s="637"/>
      <c r="D27" s="631"/>
      <c r="E27" s="443">
        <v>0.55000000000000004</v>
      </c>
      <c r="F27" s="637">
        <v>1</v>
      </c>
      <c r="G27" s="632">
        <f t="shared" si="5"/>
        <v>81.8</v>
      </c>
      <c r="H27" s="443"/>
      <c r="I27" s="637"/>
      <c r="J27" s="633"/>
      <c r="K27" s="443"/>
      <c r="L27" s="637"/>
      <c r="M27" s="631"/>
      <c r="N27" s="443"/>
      <c r="O27" s="637"/>
      <c r="P27" s="633"/>
      <c r="Q27" s="443"/>
      <c r="R27" s="637"/>
      <c r="S27" s="633"/>
      <c r="T27" s="443"/>
      <c r="U27" s="637"/>
      <c r="V27" s="633"/>
      <c r="W27" s="443"/>
      <c r="X27" s="637"/>
      <c r="Y27" s="632"/>
      <c r="Z27" s="443"/>
      <c r="AA27" s="637"/>
      <c r="AB27" s="633"/>
      <c r="AC27" s="443"/>
      <c r="AD27" s="637"/>
      <c r="AE27" s="633"/>
      <c r="AF27" s="443"/>
      <c r="AG27" s="637"/>
      <c r="AH27" s="632"/>
      <c r="AI27" s="443"/>
      <c r="AJ27" s="637"/>
      <c r="AK27" s="633"/>
      <c r="AL27" s="637">
        <f t="shared" si="3"/>
        <v>0.55000000000000004</v>
      </c>
      <c r="AM27" s="637">
        <f t="shared" si="3"/>
        <v>1</v>
      </c>
      <c r="AN27" s="632">
        <f t="shared" si="6"/>
        <v>81.8</v>
      </c>
      <c r="AO27" s="634">
        <f t="shared" si="4"/>
        <v>0.55000000000000004</v>
      </c>
      <c r="AP27" s="634">
        <f t="shared" si="4"/>
        <v>1</v>
      </c>
      <c r="AQ27" s="632">
        <f t="shared" si="7"/>
        <v>81.8</v>
      </c>
    </row>
    <row r="28" spans="1:43" s="602" customFormat="1" ht="18.75" customHeight="1" x14ac:dyDescent="0.3">
      <c r="A28" s="629" t="s">
        <v>381</v>
      </c>
      <c r="B28" s="443"/>
      <c r="C28" s="637"/>
      <c r="D28" s="631"/>
      <c r="E28" s="443">
        <v>78.92</v>
      </c>
      <c r="F28" s="637">
        <v>71</v>
      </c>
      <c r="G28" s="632">
        <f t="shared" si="5"/>
        <v>-10</v>
      </c>
      <c r="H28" s="443"/>
      <c r="I28" s="637"/>
      <c r="J28" s="633"/>
      <c r="K28" s="443"/>
      <c r="L28" s="637"/>
      <c r="M28" s="631"/>
      <c r="N28" s="443"/>
      <c r="O28" s="637"/>
      <c r="P28" s="633"/>
      <c r="Q28" s="443"/>
      <c r="R28" s="637"/>
      <c r="S28" s="633"/>
      <c r="T28" s="443"/>
      <c r="U28" s="637"/>
      <c r="V28" s="633"/>
      <c r="W28" s="443">
        <v>0.40314424999999998</v>
      </c>
      <c r="X28" s="637">
        <v>0.41302044999999993</v>
      </c>
      <c r="Y28" s="632">
        <f t="shared" si="0"/>
        <v>2.4</v>
      </c>
      <c r="Z28" s="443"/>
      <c r="AA28" s="637"/>
      <c r="AB28" s="633"/>
      <c r="AC28" s="443"/>
      <c r="AD28" s="637"/>
      <c r="AE28" s="633"/>
      <c r="AF28" s="443"/>
      <c r="AG28" s="637"/>
      <c r="AH28" s="632"/>
      <c r="AI28" s="443"/>
      <c r="AJ28" s="637"/>
      <c r="AK28" s="633"/>
      <c r="AL28" s="637">
        <f t="shared" si="3"/>
        <v>79.323144249999999</v>
      </c>
      <c r="AM28" s="637">
        <f t="shared" si="3"/>
        <v>71.413020450000005</v>
      </c>
      <c r="AN28" s="632">
        <f t="shared" si="6"/>
        <v>-10</v>
      </c>
      <c r="AO28" s="634">
        <f t="shared" si="4"/>
        <v>79.323144249999999</v>
      </c>
      <c r="AP28" s="634">
        <f t="shared" si="4"/>
        <v>71.413020450000005</v>
      </c>
      <c r="AQ28" s="632">
        <f t="shared" si="7"/>
        <v>-10</v>
      </c>
    </row>
    <row r="29" spans="1:43" s="602" customFormat="1" ht="18.75" customHeight="1" x14ac:dyDescent="0.3">
      <c r="A29" s="629" t="s">
        <v>382</v>
      </c>
      <c r="B29" s="443"/>
      <c r="C29" s="637"/>
      <c r="D29" s="631"/>
      <c r="E29" s="443">
        <v>71.819999999999993</v>
      </c>
      <c r="F29" s="637">
        <v>114</v>
      </c>
      <c r="G29" s="632">
        <f t="shared" si="5"/>
        <v>58.7</v>
      </c>
      <c r="H29" s="443"/>
      <c r="I29" s="637"/>
      <c r="J29" s="633"/>
      <c r="K29" s="443"/>
      <c r="L29" s="637"/>
      <c r="M29" s="631"/>
      <c r="N29" s="443"/>
      <c r="O29" s="637"/>
      <c r="P29" s="633"/>
      <c r="Q29" s="443"/>
      <c r="R29" s="637"/>
      <c r="S29" s="633"/>
      <c r="T29" s="443"/>
      <c r="U29" s="637"/>
      <c r="V29" s="633"/>
      <c r="W29" s="443">
        <v>-1.9588029999999999E-2</v>
      </c>
      <c r="X29" s="637">
        <v>2.5323999999999999E-2</v>
      </c>
      <c r="Y29" s="632">
        <f t="shared" si="0"/>
        <v>-229.3</v>
      </c>
      <c r="Z29" s="443"/>
      <c r="AA29" s="637"/>
      <c r="AB29" s="633"/>
      <c r="AC29" s="443"/>
      <c r="AD29" s="637"/>
      <c r="AE29" s="633"/>
      <c r="AF29" s="443">
        <v>-1.2999999999999999E-2</v>
      </c>
      <c r="AG29" s="637">
        <v>0</v>
      </c>
      <c r="AH29" s="632">
        <f>IF(AF29=0, "    ---- ", IF(ABS(ROUND(100/AF29*AG29-100,1))&lt;999,ROUND(100/AF29*AG29-100,1),IF(ROUND(100/AF29*AG29-100,1)&gt;999,999,-999)))</f>
        <v>-100</v>
      </c>
      <c r="AI29" s="443"/>
      <c r="AJ29" s="637"/>
      <c r="AK29" s="633"/>
      <c r="AL29" s="637">
        <f t="shared" si="3"/>
        <v>71.787411969999994</v>
      </c>
      <c r="AM29" s="637">
        <f t="shared" si="3"/>
        <v>114.025324</v>
      </c>
      <c r="AN29" s="632">
        <f t="shared" si="6"/>
        <v>58.8</v>
      </c>
      <c r="AO29" s="634">
        <f t="shared" si="4"/>
        <v>71.787411969999994</v>
      </c>
      <c r="AP29" s="634">
        <f t="shared" si="4"/>
        <v>114.025324</v>
      </c>
      <c r="AQ29" s="632">
        <f t="shared" si="7"/>
        <v>58.8</v>
      </c>
    </row>
    <row r="30" spans="1:43" s="602" customFormat="1" ht="18.75" customHeight="1" x14ac:dyDescent="0.3">
      <c r="A30" s="629" t="s">
        <v>383</v>
      </c>
      <c r="B30" s="443"/>
      <c r="C30" s="637"/>
      <c r="D30" s="631"/>
      <c r="E30" s="443"/>
      <c r="F30" s="637"/>
      <c r="G30" s="632"/>
      <c r="H30" s="443"/>
      <c r="I30" s="637"/>
      <c r="J30" s="633"/>
      <c r="K30" s="443"/>
      <c r="L30" s="637"/>
      <c r="M30" s="631"/>
      <c r="N30" s="443"/>
      <c r="O30" s="637"/>
      <c r="P30" s="633"/>
      <c r="Q30" s="443"/>
      <c r="R30" s="637"/>
      <c r="S30" s="633"/>
      <c r="T30" s="443"/>
      <c r="U30" s="637"/>
      <c r="V30" s="633"/>
      <c r="W30" s="443">
        <v>9.5822972174204014E-8</v>
      </c>
      <c r="X30" s="637">
        <v>1.1344866677583128E-7</v>
      </c>
      <c r="Y30" s="632">
        <f t="shared" si="0"/>
        <v>18.399999999999999</v>
      </c>
      <c r="Z30" s="443"/>
      <c r="AA30" s="637"/>
      <c r="AB30" s="633"/>
      <c r="AC30" s="443"/>
      <c r="AD30" s="637"/>
      <c r="AE30" s="633"/>
      <c r="AF30" s="443"/>
      <c r="AG30" s="637"/>
      <c r="AH30" s="632"/>
      <c r="AI30" s="443"/>
      <c r="AJ30" s="637"/>
      <c r="AK30" s="633"/>
      <c r="AL30" s="637">
        <f t="shared" si="3"/>
        <v>9.5822972174204014E-8</v>
      </c>
      <c r="AM30" s="637">
        <f t="shared" si="3"/>
        <v>1.1344866677583128E-7</v>
      </c>
      <c r="AN30" s="632">
        <f t="shared" si="6"/>
        <v>18.399999999999999</v>
      </c>
      <c r="AO30" s="634">
        <f t="shared" si="4"/>
        <v>9.5822972174204014E-8</v>
      </c>
      <c r="AP30" s="634">
        <f t="shared" si="4"/>
        <v>1.1344866677583128E-7</v>
      </c>
      <c r="AQ30" s="632">
        <f t="shared" si="7"/>
        <v>18.399999999999999</v>
      </c>
    </row>
    <row r="31" spans="1:43" s="602" customFormat="1" ht="18.75" customHeight="1" x14ac:dyDescent="0.3">
      <c r="A31" s="629" t="s">
        <v>384</v>
      </c>
      <c r="B31" s="443"/>
      <c r="C31" s="637"/>
      <c r="D31" s="637"/>
      <c r="E31" s="443"/>
      <c r="F31" s="637"/>
      <c r="G31" s="632"/>
      <c r="H31" s="443"/>
      <c r="I31" s="637"/>
      <c r="J31" s="638"/>
      <c r="K31" s="443"/>
      <c r="L31" s="637"/>
      <c r="M31" s="637"/>
      <c r="N31" s="443"/>
      <c r="O31" s="637"/>
      <c r="P31" s="638"/>
      <c r="Q31" s="443"/>
      <c r="R31" s="637"/>
      <c r="S31" s="638"/>
      <c r="T31" s="443"/>
      <c r="U31" s="637"/>
      <c r="V31" s="638"/>
      <c r="W31" s="443"/>
      <c r="X31" s="637"/>
      <c r="Y31" s="632"/>
      <c r="Z31" s="443"/>
      <c r="AA31" s="637"/>
      <c r="AB31" s="638"/>
      <c r="AC31" s="443"/>
      <c r="AD31" s="637"/>
      <c r="AE31" s="638"/>
      <c r="AF31" s="443"/>
      <c r="AG31" s="637"/>
      <c r="AH31" s="632"/>
      <c r="AI31" s="443"/>
      <c r="AJ31" s="637"/>
      <c r="AK31" s="638"/>
      <c r="AL31" s="637">
        <f t="shared" si="3"/>
        <v>0</v>
      </c>
      <c r="AM31" s="637">
        <f t="shared" si="3"/>
        <v>0</v>
      </c>
      <c r="AN31" s="638" t="str">
        <f t="shared" si="6"/>
        <v xml:space="preserve">    ---- </v>
      </c>
      <c r="AO31" s="634">
        <f t="shared" si="4"/>
        <v>0</v>
      </c>
      <c r="AP31" s="634">
        <f t="shared" si="4"/>
        <v>0</v>
      </c>
      <c r="AQ31" s="632" t="str">
        <f t="shared" si="7"/>
        <v xml:space="preserve">    ---- </v>
      </c>
    </row>
    <row r="32" spans="1:43" s="636" customFormat="1" ht="18.75" customHeight="1" x14ac:dyDescent="0.3">
      <c r="A32" s="623" t="s">
        <v>385</v>
      </c>
      <c r="B32" s="624"/>
      <c r="C32" s="639"/>
      <c r="D32" s="639"/>
      <c r="E32" s="624">
        <v>491</v>
      </c>
      <c r="F32" s="639">
        <v>318</v>
      </c>
      <c r="G32" s="627">
        <f>IF(E32=0, "    ---- ", IF(ABS(ROUND(100/E32*F32-100,1))&lt;999,ROUND(100/E32*F32-100,1),IF(ROUND(100/E32*F32-100,1)&gt;999,999,-999)))</f>
        <v>-35.200000000000003</v>
      </c>
      <c r="H32" s="624"/>
      <c r="I32" s="639"/>
      <c r="J32" s="640"/>
      <c r="K32" s="624"/>
      <c r="L32" s="639"/>
      <c r="M32" s="639"/>
      <c r="N32" s="624"/>
      <c r="O32" s="639"/>
      <c r="P32" s="640"/>
      <c r="Q32" s="624"/>
      <c r="R32" s="639"/>
      <c r="S32" s="640"/>
      <c r="T32" s="624"/>
      <c r="U32" s="639"/>
      <c r="V32" s="640"/>
      <c r="W32" s="624">
        <v>-0.74417053079058193</v>
      </c>
      <c r="X32" s="639">
        <v>-0.64100355589230207</v>
      </c>
      <c r="Y32" s="627">
        <f t="shared" si="0"/>
        <v>-13.9</v>
      </c>
      <c r="Z32" s="624"/>
      <c r="AA32" s="639"/>
      <c r="AB32" s="640"/>
      <c r="AC32" s="624"/>
      <c r="AD32" s="639"/>
      <c r="AE32" s="640"/>
      <c r="AF32" s="624">
        <v>-4.22</v>
      </c>
      <c r="AG32" s="639">
        <v>2.9050000000000002</v>
      </c>
      <c r="AH32" s="627">
        <f>IF(AF32=0, "    ---- ", IF(ABS(ROUND(100/AF32*AG32-100,1))&lt;999,ROUND(100/AF32*AG32-100,1),IF(ROUND(100/AF32*AG32-100,1)&gt;999,999,-999)))</f>
        <v>-168.8</v>
      </c>
      <c r="AI32" s="624"/>
      <c r="AJ32" s="639"/>
      <c r="AK32" s="640"/>
      <c r="AL32" s="639">
        <f t="shared" si="3"/>
        <v>486.03582946920938</v>
      </c>
      <c r="AM32" s="639">
        <f t="shared" si="3"/>
        <v>320.26399644410765</v>
      </c>
      <c r="AN32" s="640">
        <f t="shared" si="6"/>
        <v>-34.1</v>
      </c>
      <c r="AO32" s="639">
        <f t="shared" si="4"/>
        <v>486.03582946920938</v>
      </c>
      <c r="AP32" s="639">
        <f t="shared" si="4"/>
        <v>320.26399644410765</v>
      </c>
      <c r="AQ32" s="640">
        <f t="shared" si="7"/>
        <v>-34.1</v>
      </c>
    </row>
    <row r="33" spans="1:44" s="602" customFormat="1" ht="18.75" customHeight="1" x14ac:dyDescent="0.3">
      <c r="A33" s="629" t="s">
        <v>386</v>
      </c>
      <c r="B33" s="443"/>
      <c r="C33" s="637"/>
      <c r="D33" s="637"/>
      <c r="E33" s="443">
        <v>314.39999999999998</v>
      </c>
      <c r="F33" s="637">
        <v>107</v>
      </c>
      <c r="G33" s="632">
        <f>IF(E33=0, "    ---- ", IF(ABS(ROUND(100/E33*F33-100,1))&lt;999,ROUND(100/E33*F33-100,1),IF(ROUND(100/E33*F33-100,1)&gt;999,999,-999)))</f>
        <v>-66</v>
      </c>
      <c r="H33" s="443"/>
      <c r="I33" s="637"/>
      <c r="J33" s="638"/>
      <c r="K33" s="443"/>
      <c r="L33" s="637"/>
      <c r="M33" s="637"/>
      <c r="N33" s="443"/>
      <c r="O33" s="637"/>
      <c r="P33" s="638"/>
      <c r="Q33" s="443"/>
      <c r="R33" s="637"/>
      <c r="S33" s="638"/>
      <c r="T33" s="443"/>
      <c r="U33" s="637"/>
      <c r="V33" s="638"/>
      <c r="W33" s="443">
        <v>0</v>
      </c>
      <c r="X33" s="637">
        <v>1.2662E-2</v>
      </c>
      <c r="Y33" s="632" t="str">
        <f t="shared" si="0"/>
        <v xml:space="preserve">    ---- </v>
      </c>
      <c r="Z33" s="443"/>
      <c r="AA33" s="637"/>
      <c r="AB33" s="638"/>
      <c r="AC33" s="443"/>
      <c r="AD33" s="637"/>
      <c r="AE33" s="638"/>
      <c r="AF33" s="443"/>
      <c r="AG33" s="637"/>
      <c r="AH33" s="632"/>
      <c r="AI33" s="443"/>
      <c r="AJ33" s="637"/>
      <c r="AK33" s="638"/>
      <c r="AL33" s="637">
        <f t="shared" si="3"/>
        <v>314.39999999999998</v>
      </c>
      <c r="AM33" s="637">
        <f t="shared" si="3"/>
        <v>107.01266200000001</v>
      </c>
      <c r="AN33" s="638">
        <f t="shared" si="6"/>
        <v>-66</v>
      </c>
      <c r="AO33" s="637">
        <f t="shared" si="4"/>
        <v>314.39999999999998</v>
      </c>
      <c r="AP33" s="637">
        <f t="shared" si="4"/>
        <v>107.01266200000001</v>
      </c>
      <c r="AQ33" s="638">
        <f t="shared" si="7"/>
        <v>-66</v>
      </c>
    </row>
    <row r="34" spans="1:44" s="602" customFormat="1" ht="18.75" customHeight="1" x14ac:dyDescent="0.3">
      <c r="A34" s="629" t="s">
        <v>387</v>
      </c>
      <c r="B34" s="443"/>
      <c r="C34" s="637"/>
      <c r="D34" s="637"/>
      <c r="E34" s="443">
        <v>176.6</v>
      </c>
      <c r="F34" s="637">
        <v>211</v>
      </c>
      <c r="G34" s="632">
        <f>IF(E34=0, "    ---- ", IF(ABS(ROUND(100/E34*F34-100,1))&lt;999,ROUND(100/E34*F34-100,1),IF(ROUND(100/E34*F34-100,1)&gt;999,999,-999)))</f>
        <v>19.5</v>
      </c>
      <c r="H34" s="443"/>
      <c r="I34" s="637"/>
      <c r="J34" s="638"/>
      <c r="K34" s="443"/>
      <c r="L34" s="637"/>
      <c r="M34" s="637"/>
      <c r="N34" s="443"/>
      <c r="O34" s="637"/>
      <c r="P34" s="638"/>
      <c r="Q34" s="443"/>
      <c r="R34" s="637"/>
      <c r="S34" s="638"/>
      <c r="T34" s="443"/>
      <c r="U34" s="637"/>
      <c r="V34" s="638"/>
      <c r="W34" s="443">
        <v>-0.74417053079058171</v>
      </c>
      <c r="X34" s="637">
        <v>-0.65366555589230191</v>
      </c>
      <c r="Y34" s="632">
        <f t="shared" si="0"/>
        <v>-12.2</v>
      </c>
      <c r="Z34" s="443"/>
      <c r="AA34" s="637"/>
      <c r="AB34" s="638"/>
      <c r="AC34" s="443"/>
      <c r="AD34" s="637"/>
      <c r="AE34" s="638"/>
      <c r="AF34" s="443">
        <v>-4.22</v>
      </c>
      <c r="AG34" s="637">
        <v>2.9049999999999998</v>
      </c>
      <c r="AH34" s="632">
        <f>IF(AF34=0, "    ---- ", IF(ABS(ROUND(100/AF34*AG34-100,1))&lt;999,ROUND(100/AF34*AG34-100,1),IF(ROUND(100/AF34*AG34-100,1)&gt;999,999,-999)))</f>
        <v>-168.8</v>
      </c>
      <c r="AI34" s="443"/>
      <c r="AJ34" s="637"/>
      <c r="AK34" s="638"/>
      <c r="AL34" s="637">
        <f t="shared" si="3"/>
        <v>171.63582946920943</v>
      </c>
      <c r="AM34" s="637">
        <f t="shared" si="3"/>
        <v>213.2513344441077</v>
      </c>
      <c r="AN34" s="638">
        <f t="shared" si="6"/>
        <v>24.2</v>
      </c>
      <c r="AO34" s="637">
        <f t="shared" si="4"/>
        <v>171.63582946920943</v>
      </c>
      <c r="AP34" s="637">
        <f t="shared" si="4"/>
        <v>213.2513344441077</v>
      </c>
      <c r="AQ34" s="638">
        <f t="shared" si="7"/>
        <v>24.2</v>
      </c>
    </row>
    <row r="35" spans="1:44" s="602" customFormat="1" ht="18.75" customHeight="1" x14ac:dyDescent="0.3">
      <c r="A35" s="623" t="s">
        <v>389</v>
      </c>
      <c r="B35" s="443"/>
      <c r="C35" s="637"/>
      <c r="D35" s="637"/>
      <c r="E35" s="443"/>
      <c r="F35" s="637"/>
      <c r="G35" s="632"/>
      <c r="H35" s="443"/>
      <c r="I35" s="637"/>
      <c r="J35" s="638"/>
      <c r="K35" s="443"/>
      <c r="L35" s="637"/>
      <c r="M35" s="637"/>
      <c r="N35" s="443"/>
      <c r="O35" s="637"/>
      <c r="P35" s="638"/>
      <c r="Q35" s="443"/>
      <c r="R35" s="637"/>
      <c r="S35" s="638"/>
      <c r="T35" s="443"/>
      <c r="U35" s="637"/>
      <c r="V35" s="638"/>
      <c r="W35" s="443"/>
      <c r="X35" s="637"/>
      <c r="Y35" s="632"/>
      <c r="Z35" s="443"/>
      <c r="AA35" s="637"/>
      <c r="AB35" s="638"/>
      <c r="AC35" s="443"/>
      <c r="AD35" s="637"/>
      <c r="AE35" s="638"/>
      <c r="AF35" s="443"/>
      <c r="AG35" s="637"/>
      <c r="AH35" s="632"/>
      <c r="AI35" s="443"/>
      <c r="AJ35" s="637"/>
      <c r="AK35" s="638"/>
      <c r="AL35" s="637">
        <f t="shared" si="3"/>
        <v>0</v>
      </c>
      <c r="AM35" s="637">
        <f t="shared" si="3"/>
        <v>0</v>
      </c>
      <c r="AN35" s="638"/>
      <c r="AO35" s="637">
        <f t="shared" si="4"/>
        <v>0</v>
      </c>
      <c r="AP35" s="637">
        <f t="shared" si="4"/>
        <v>0</v>
      </c>
      <c r="AQ35" s="638"/>
    </row>
    <row r="36" spans="1:44" s="602" customFormat="1" ht="18.75" customHeight="1" x14ac:dyDescent="0.3">
      <c r="A36" s="629" t="s">
        <v>377</v>
      </c>
      <c r="B36" s="443"/>
      <c r="C36" s="637">
        <v>2.7450000000000001</v>
      </c>
      <c r="D36" s="637" t="str">
        <f>IF(B36=0, "    ---- ", IF(ABS(ROUND(100/B36*C36-100,1))&lt;999,ROUND(100/B36*C36-100,1),IF(ROUND(100/B36*C36-100,1)&gt;999,999,-999)))</f>
        <v xml:space="preserve">    ---- </v>
      </c>
      <c r="E36" s="443"/>
      <c r="F36" s="637"/>
      <c r="G36" s="632"/>
      <c r="H36" s="443">
        <v>11.702999999999999</v>
      </c>
      <c r="I36" s="637">
        <v>2.23</v>
      </c>
      <c r="J36" s="638">
        <f>IF(H36=0, "    ---- ", IF(ABS(ROUND(100/H36*I36-100,1))&lt;999,ROUND(100/H36*I36-100,1),IF(ROUND(100/H36*I36-100,1)&gt;999,999,-999)))</f>
        <v>-80.900000000000006</v>
      </c>
      <c r="K36" s="443"/>
      <c r="L36" s="637"/>
      <c r="M36" s="637"/>
      <c r="N36" s="443">
        <v>0.999</v>
      </c>
      <c r="O36" s="637">
        <v>1.0700256165292501</v>
      </c>
      <c r="P36" s="638">
        <f>IF(N36=0, "    ---- ", IF(ABS(ROUND(100/N36*O36-100,1))&lt;999,ROUND(100/N36*O36-100,1),IF(ROUND(100/N36*O36-100,1)&gt;999,999,-999)))</f>
        <v>7.1</v>
      </c>
      <c r="Q36" s="443"/>
      <c r="R36" s="637"/>
      <c r="S36" s="638"/>
      <c r="T36" s="443"/>
      <c r="U36" s="637"/>
      <c r="V36" s="638"/>
      <c r="W36" s="443">
        <v>3.9901222330103772</v>
      </c>
      <c r="X36" s="637">
        <v>10.414160174379047</v>
      </c>
      <c r="Y36" s="632">
        <f t="shared" si="0"/>
        <v>161</v>
      </c>
      <c r="Z36" s="443"/>
      <c r="AA36" s="637"/>
      <c r="AB36" s="638"/>
      <c r="AC36" s="443"/>
      <c r="AD36" s="637"/>
      <c r="AE36" s="638"/>
      <c r="AF36" s="443">
        <v>18.452000000000002</v>
      </c>
      <c r="AG36" s="637">
        <v>36.948</v>
      </c>
      <c r="AH36" s="632">
        <f>IF(AF36=0, "    ---- ", IF(ABS(ROUND(100/AF36*AG36-100,1))&lt;999,ROUND(100/AF36*AG36-100,1),IF(ROUND(100/AF36*AG36-100,1)&gt;999,999,-999)))</f>
        <v>100.2</v>
      </c>
      <c r="AI36" s="443">
        <v>7.28</v>
      </c>
      <c r="AJ36" s="637">
        <v>-2.9</v>
      </c>
      <c r="AK36" s="638">
        <f>IF(AI36=0, "    ---- ", IF(ABS(ROUND(100/AI36*AJ36-100,1))&lt;999,ROUND(100/AI36*AJ36-100,1),IF(ROUND(100/AI36*AJ36-100,1)&gt;999,999,-999)))</f>
        <v>-139.80000000000001</v>
      </c>
      <c r="AL36" s="637">
        <f t="shared" si="3"/>
        <v>41.425122233010377</v>
      </c>
      <c r="AM36" s="637">
        <f t="shared" si="3"/>
        <v>49.437160174379052</v>
      </c>
      <c r="AN36" s="638">
        <f t="shared" si="6"/>
        <v>19.3</v>
      </c>
      <c r="AO36" s="637">
        <f t="shared" si="4"/>
        <v>42.42412223301038</v>
      </c>
      <c r="AP36" s="637">
        <f t="shared" si="4"/>
        <v>50.507185790908302</v>
      </c>
      <c r="AQ36" s="638">
        <f t="shared" si="7"/>
        <v>19.100000000000001</v>
      </c>
    </row>
    <row r="37" spans="1:44" s="602" customFormat="1" ht="18.75" customHeight="1" x14ac:dyDescent="0.3">
      <c r="A37" s="629" t="s">
        <v>378</v>
      </c>
      <c r="B37" s="443"/>
      <c r="C37" s="637"/>
      <c r="D37" s="637"/>
      <c r="E37" s="443"/>
      <c r="F37" s="637"/>
      <c r="G37" s="632"/>
      <c r="H37" s="443"/>
      <c r="I37" s="637"/>
      <c r="J37" s="638"/>
      <c r="K37" s="443"/>
      <c r="L37" s="637"/>
      <c r="M37" s="637"/>
      <c r="N37" s="443"/>
      <c r="O37" s="637"/>
      <c r="P37" s="638"/>
      <c r="Q37" s="443"/>
      <c r="R37" s="637"/>
      <c r="S37" s="638"/>
      <c r="T37" s="443"/>
      <c r="U37" s="637"/>
      <c r="V37" s="638"/>
      <c r="W37" s="443"/>
      <c r="X37" s="637"/>
      <c r="Y37" s="632"/>
      <c r="Z37" s="443"/>
      <c r="AA37" s="637"/>
      <c r="AB37" s="638"/>
      <c r="AC37" s="443"/>
      <c r="AD37" s="637"/>
      <c r="AE37" s="638"/>
      <c r="AF37" s="443"/>
      <c r="AG37" s="637"/>
      <c r="AH37" s="632"/>
      <c r="AI37" s="443"/>
      <c r="AJ37" s="637"/>
      <c r="AK37" s="638"/>
      <c r="AL37" s="637">
        <f t="shared" si="3"/>
        <v>0</v>
      </c>
      <c r="AM37" s="637">
        <f t="shared" si="3"/>
        <v>0</v>
      </c>
      <c r="AN37" s="638" t="str">
        <f t="shared" si="6"/>
        <v xml:space="preserve">    ---- </v>
      </c>
      <c r="AO37" s="637">
        <f t="shared" si="4"/>
        <v>0</v>
      </c>
      <c r="AP37" s="637">
        <f t="shared" si="4"/>
        <v>0</v>
      </c>
      <c r="AQ37" s="638" t="str">
        <f t="shared" si="7"/>
        <v xml:space="preserve">    ---- </v>
      </c>
    </row>
    <row r="38" spans="1:44" s="602" customFormat="1" ht="18.75" customHeight="1" x14ac:dyDescent="0.3">
      <c r="A38" s="629" t="s">
        <v>379</v>
      </c>
      <c r="B38" s="443">
        <v>-14.831</v>
      </c>
      <c r="C38" s="637">
        <v>-17.242999999999999</v>
      </c>
      <c r="D38" s="637">
        <f>IF(B38=0, "    ---- ", IF(ABS(ROUND(100/B38*C38-100,1))&lt;999,ROUND(100/B38*C38-100,1),IF(ROUND(100/B38*C38-100,1)&gt;999,999,-999)))</f>
        <v>16.3</v>
      </c>
      <c r="E38" s="443"/>
      <c r="F38" s="637"/>
      <c r="G38" s="632"/>
      <c r="H38" s="443">
        <v>-3.5920000000000001</v>
      </c>
      <c r="I38" s="637">
        <v>-7.53</v>
      </c>
      <c r="J38" s="638">
        <f>IF(H38=0, "    ---- ", IF(ABS(ROUND(100/H38*I38-100,1))&lt;999,ROUND(100/H38*I38-100,1),IF(ROUND(100/H38*I38-100,1)&gt;999,999,-999)))</f>
        <v>109.6</v>
      </c>
      <c r="K38" s="443"/>
      <c r="L38" s="637"/>
      <c r="M38" s="637"/>
      <c r="N38" s="443">
        <v>7.6970000000000001</v>
      </c>
      <c r="O38" s="637">
        <v>6.6679656970702599</v>
      </c>
      <c r="P38" s="638">
        <f>IF(N38=0, "    ---- ", IF(ABS(ROUND(100/N38*O38-100,1))&lt;999,ROUND(100/N38*O38-100,1),IF(ROUND(100/N38*O38-100,1)&gt;999,999,-999)))</f>
        <v>-13.4</v>
      </c>
      <c r="Q38" s="443"/>
      <c r="R38" s="637"/>
      <c r="S38" s="638"/>
      <c r="T38" s="443"/>
      <c r="U38" s="637"/>
      <c r="V38" s="638"/>
      <c r="W38" s="443">
        <v>19.054112330487744</v>
      </c>
      <c r="X38" s="637">
        <v>23.25413997439432</v>
      </c>
      <c r="Y38" s="632">
        <f t="shared" si="0"/>
        <v>22</v>
      </c>
      <c r="Z38" s="443"/>
      <c r="AA38" s="637"/>
      <c r="AB38" s="638"/>
      <c r="AC38" s="443"/>
      <c r="AD38" s="637"/>
      <c r="AE38" s="638"/>
      <c r="AF38" s="443">
        <v>57.526000000000003</v>
      </c>
      <c r="AG38" s="637">
        <v>56.323999999999998</v>
      </c>
      <c r="AH38" s="632">
        <f>IF(AF38=0, "    ---- ", IF(ABS(ROUND(100/AF38*AG38-100,1))&lt;999,ROUND(100/AF38*AG38-100,1),IF(ROUND(100/AF38*AG38-100,1)&gt;999,999,-999)))</f>
        <v>-2.1</v>
      </c>
      <c r="AI38" s="443">
        <v>-44.1</v>
      </c>
      <c r="AJ38" s="637">
        <v>-28.9</v>
      </c>
      <c r="AK38" s="638">
        <f>IF(AI38=0, "    ---- ", IF(ABS(ROUND(100/AI38*AJ38-100,1))&lt;999,ROUND(100/AI38*AJ38-100,1),IF(ROUND(100/AI38*AJ38-100,1)&gt;999,999,-999)))</f>
        <v>-34.5</v>
      </c>
      <c r="AL38" s="637">
        <f t="shared" si="3"/>
        <v>14.057112330487747</v>
      </c>
      <c r="AM38" s="637">
        <f t="shared" si="3"/>
        <v>25.905139974394324</v>
      </c>
      <c r="AN38" s="638">
        <f t="shared" si="6"/>
        <v>84.3</v>
      </c>
      <c r="AO38" s="637">
        <f t="shared" si="4"/>
        <v>21.75411233048775</v>
      </c>
      <c r="AP38" s="637">
        <f t="shared" si="4"/>
        <v>32.573105671464582</v>
      </c>
      <c r="AQ38" s="638">
        <f t="shared" si="7"/>
        <v>49.7</v>
      </c>
    </row>
    <row r="39" spans="1:44" s="602" customFormat="1" ht="18.75" customHeight="1" x14ac:dyDescent="0.3">
      <c r="A39" s="629" t="s">
        <v>380</v>
      </c>
      <c r="B39" s="443"/>
      <c r="C39" s="637"/>
      <c r="D39" s="637"/>
      <c r="E39" s="443"/>
      <c r="F39" s="637"/>
      <c r="G39" s="632"/>
      <c r="H39" s="443"/>
      <c r="I39" s="637"/>
      <c r="J39" s="638"/>
      <c r="K39" s="443"/>
      <c r="L39" s="637"/>
      <c r="M39" s="637"/>
      <c r="N39" s="443"/>
      <c r="O39" s="637"/>
      <c r="P39" s="638"/>
      <c r="Q39" s="443"/>
      <c r="R39" s="637"/>
      <c r="S39" s="638"/>
      <c r="T39" s="443"/>
      <c r="U39" s="637"/>
      <c r="V39" s="638"/>
      <c r="W39" s="443"/>
      <c r="X39" s="637"/>
      <c r="Y39" s="632"/>
      <c r="Z39" s="443"/>
      <c r="AA39" s="637"/>
      <c r="AB39" s="638"/>
      <c r="AC39" s="443"/>
      <c r="AD39" s="637"/>
      <c r="AE39" s="638"/>
      <c r="AF39" s="443"/>
      <c r="AG39" s="637"/>
      <c r="AH39" s="632"/>
      <c r="AI39" s="443"/>
      <c r="AJ39" s="637"/>
      <c r="AK39" s="638"/>
      <c r="AL39" s="637">
        <f t="shared" si="3"/>
        <v>0</v>
      </c>
      <c r="AM39" s="637">
        <f t="shared" si="3"/>
        <v>0</v>
      </c>
      <c r="AN39" s="638" t="str">
        <f t="shared" si="6"/>
        <v xml:space="preserve">    ---- </v>
      </c>
      <c r="AO39" s="637">
        <f t="shared" si="4"/>
        <v>0</v>
      </c>
      <c r="AP39" s="637">
        <f t="shared" si="4"/>
        <v>0</v>
      </c>
      <c r="AQ39" s="638" t="str">
        <f t="shared" si="7"/>
        <v xml:space="preserve">    ---- </v>
      </c>
    </row>
    <row r="40" spans="1:44" s="602" customFormat="1" ht="18.75" customHeight="1" x14ac:dyDescent="0.3">
      <c r="A40" s="629" t="s">
        <v>381</v>
      </c>
      <c r="B40" s="443"/>
      <c r="C40" s="637"/>
      <c r="D40" s="637"/>
      <c r="E40" s="443"/>
      <c r="F40" s="637"/>
      <c r="G40" s="632"/>
      <c r="H40" s="443"/>
      <c r="I40" s="637"/>
      <c r="J40" s="638"/>
      <c r="K40" s="443"/>
      <c r="L40" s="637"/>
      <c r="M40" s="637"/>
      <c r="N40" s="443"/>
      <c r="O40" s="637"/>
      <c r="P40" s="638"/>
      <c r="Q40" s="443"/>
      <c r="R40" s="637"/>
      <c r="S40" s="638"/>
      <c r="T40" s="443"/>
      <c r="U40" s="637"/>
      <c r="V40" s="638"/>
      <c r="W40" s="443"/>
      <c r="X40" s="637"/>
      <c r="Y40" s="632"/>
      <c r="Z40" s="443"/>
      <c r="AA40" s="637"/>
      <c r="AB40" s="638"/>
      <c r="AC40" s="443"/>
      <c r="AD40" s="637"/>
      <c r="AE40" s="638"/>
      <c r="AF40" s="443"/>
      <c r="AG40" s="637"/>
      <c r="AH40" s="632"/>
      <c r="AI40" s="443"/>
      <c r="AJ40" s="637"/>
      <c r="AK40" s="638"/>
      <c r="AL40" s="637">
        <f t="shared" si="3"/>
        <v>0</v>
      </c>
      <c r="AM40" s="637">
        <f t="shared" si="3"/>
        <v>0</v>
      </c>
      <c r="AN40" s="638" t="str">
        <f t="shared" si="6"/>
        <v xml:space="preserve">    ---- </v>
      </c>
      <c r="AO40" s="637">
        <f t="shared" si="4"/>
        <v>0</v>
      </c>
      <c r="AP40" s="637">
        <f t="shared" si="4"/>
        <v>0</v>
      </c>
      <c r="AQ40" s="638" t="str">
        <f t="shared" si="7"/>
        <v xml:space="preserve">    ---- </v>
      </c>
    </row>
    <row r="41" spans="1:44" s="602" customFormat="1" ht="18.75" customHeight="1" x14ac:dyDescent="0.3">
      <c r="A41" s="629" t="s">
        <v>382</v>
      </c>
      <c r="B41" s="443">
        <v>100.355</v>
      </c>
      <c r="C41" s="637">
        <v>56.186999999999998</v>
      </c>
      <c r="D41" s="637">
        <f>IF(B41=0, "    ---- ", IF(ABS(ROUND(100/B41*C41-100,1))&lt;999,ROUND(100/B41*C41-100,1),IF(ROUND(100/B41*C41-100,1)&gt;999,999,-999)))</f>
        <v>-44</v>
      </c>
      <c r="E41" s="443"/>
      <c r="F41" s="637"/>
      <c r="G41" s="632"/>
      <c r="H41" s="443">
        <v>84.311000000000007</v>
      </c>
      <c r="I41" s="637">
        <v>74.47</v>
      </c>
      <c r="J41" s="638">
        <f>IF(H41=0, "    ---- ", IF(ABS(ROUND(100/H41*I41-100,1))&lt;999,ROUND(100/H41*I41-100,1),IF(ROUND(100/H41*I41-100,1)&gt;999,999,-999)))</f>
        <v>-11.7</v>
      </c>
      <c r="K41" s="443"/>
      <c r="L41" s="637"/>
      <c r="M41" s="637"/>
      <c r="N41" s="443">
        <v>14.007</v>
      </c>
      <c r="O41" s="637">
        <v>18.157448800000001</v>
      </c>
      <c r="P41" s="638">
        <f>IF(N41=0, "    ---- ", IF(ABS(ROUND(100/N41*O41-100,1))&lt;999,ROUND(100/N41*O41-100,1),IF(ROUND(100/N41*O41-100,1)&gt;999,999,-999)))</f>
        <v>29.6</v>
      </c>
      <c r="Q41" s="443"/>
      <c r="R41" s="637"/>
      <c r="S41" s="638"/>
      <c r="T41" s="443"/>
      <c r="U41" s="637"/>
      <c r="V41" s="638"/>
      <c r="W41" s="443">
        <v>143.13850582372419</v>
      </c>
      <c r="X41" s="637">
        <v>158.19030542296235</v>
      </c>
      <c r="Y41" s="632">
        <f t="shared" si="0"/>
        <v>10.5</v>
      </c>
      <c r="Z41" s="443"/>
      <c r="AA41" s="637"/>
      <c r="AB41" s="638"/>
      <c r="AC41" s="443"/>
      <c r="AD41" s="637"/>
      <c r="AE41" s="638"/>
      <c r="AF41" s="443">
        <v>303.58</v>
      </c>
      <c r="AG41" s="637">
        <v>326.3</v>
      </c>
      <c r="AH41" s="632">
        <f>IF(AF41=0, "    ---- ", IF(ABS(ROUND(100/AF41*AG41-100,1))&lt;999,ROUND(100/AF41*AG41-100,1),IF(ROUND(100/AF41*AG41-100,1)&gt;999,999,-999)))</f>
        <v>7.5</v>
      </c>
      <c r="AI41" s="443">
        <v>170.88</v>
      </c>
      <c r="AJ41" s="637">
        <v>188.3</v>
      </c>
      <c r="AK41" s="638">
        <f>IF(AI41=0, "    ---- ", IF(ABS(ROUND(100/AI41*AJ41-100,1))&lt;999,ROUND(100/AI41*AJ41-100,1),IF(ROUND(100/AI41*AJ41-100,1)&gt;999,999,-999)))</f>
        <v>10.199999999999999</v>
      </c>
      <c r="AL41" s="637">
        <f t="shared" si="3"/>
        <v>802.26450582372411</v>
      </c>
      <c r="AM41" s="637">
        <f t="shared" si="3"/>
        <v>803.44730542296224</v>
      </c>
      <c r="AN41" s="638">
        <f t="shared" si="6"/>
        <v>0.1</v>
      </c>
      <c r="AO41" s="637">
        <f t="shared" si="4"/>
        <v>816.27150582372417</v>
      </c>
      <c r="AP41" s="637">
        <f t="shared" si="4"/>
        <v>821.60475422296236</v>
      </c>
      <c r="AQ41" s="638">
        <f t="shared" si="7"/>
        <v>0.7</v>
      </c>
    </row>
    <row r="42" spans="1:44" s="602" customFormat="1" ht="18.75" customHeight="1" x14ac:dyDescent="0.3">
      <c r="A42" s="629" t="s">
        <v>383</v>
      </c>
      <c r="B42" s="443"/>
      <c r="C42" s="637"/>
      <c r="D42" s="637"/>
      <c r="E42" s="443"/>
      <c r="F42" s="637"/>
      <c r="G42" s="632"/>
      <c r="H42" s="443"/>
      <c r="I42" s="637"/>
      <c r="J42" s="638"/>
      <c r="K42" s="443"/>
      <c r="L42" s="637"/>
      <c r="M42" s="637"/>
      <c r="N42" s="443"/>
      <c r="O42" s="637"/>
      <c r="P42" s="638"/>
      <c r="Q42" s="443"/>
      <c r="R42" s="637"/>
      <c r="S42" s="638"/>
      <c r="T42" s="443"/>
      <c r="U42" s="637"/>
      <c r="V42" s="638"/>
      <c r="W42" s="443"/>
      <c r="X42" s="637"/>
      <c r="Y42" s="632"/>
      <c r="Z42" s="443"/>
      <c r="AA42" s="637"/>
      <c r="AB42" s="638"/>
      <c r="AC42" s="443"/>
      <c r="AD42" s="637"/>
      <c r="AE42" s="638"/>
      <c r="AF42" s="443"/>
      <c r="AG42" s="637"/>
      <c r="AH42" s="632"/>
      <c r="AI42" s="443"/>
      <c r="AJ42" s="637"/>
      <c r="AK42" s="638"/>
      <c r="AL42" s="637">
        <f t="shared" si="3"/>
        <v>0</v>
      </c>
      <c r="AM42" s="637">
        <f t="shared" si="3"/>
        <v>0</v>
      </c>
      <c r="AN42" s="638" t="str">
        <f t="shared" si="6"/>
        <v xml:space="preserve">    ---- </v>
      </c>
      <c r="AO42" s="637">
        <f t="shared" si="4"/>
        <v>0</v>
      </c>
      <c r="AP42" s="637">
        <f t="shared" si="4"/>
        <v>0</v>
      </c>
      <c r="AQ42" s="638" t="str">
        <f t="shared" si="7"/>
        <v xml:space="preserve">    ---- </v>
      </c>
    </row>
    <row r="43" spans="1:44" s="602" customFormat="1" ht="18.75" customHeight="1" x14ac:dyDescent="0.3">
      <c r="A43" s="629" t="s">
        <v>384</v>
      </c>
      <c r="B43" s="443"/>
      <c r="C43" s="637"/>
      <c r="D43" s="637"/>
      <c r="E43" s="443"/>
      <c r="F43" s="637"/>
      <c r="G43" s="632"/>
      <c r="H43" s="443"/>
      <c r="I43" s="637"/>
      <c r="J43" s="638"/>
      <c r="K43" s="443"/>
      <c r="L43" s="637"/>
      <c r="M43" s="637"/>
      <c r="N43" s="443"/>
      <c r="O43" s="637"/>
      <c r="P43" s="638"/>
      <c r="Q43" s="443"/>
      <c r="R43" s="637"/>
      <c r="S43" s="638"/>
      <c r="T43" s="443"/>
      <c r="U43" s="637"/>
      <c r="V43" s="638"/>
      <c r="W43" s="443"/>
      <c r="X43" s="637"/>
      <c r="Y43" s="632"/>
      <c r="Z43" s="443"/>
      <c r="AA43" s="637"/>
      <c r="AB43" s="638"/>
      <c r="AC43" s="443"/>
      <c r="AD43" s="637"/>
      <c r="AE43" s="638"/>
      <c r="AF43" s="443"/>
      <c r="AG43" s="637"/>
      <c r="AH43" s="632"/>
      <c r="AI43" s="443"/>
      <c r="AJ43" s="637"/>
      <c r="AK43" s="638"/>
      <c r="AL43" s="637">
        <f t="shared" si="3"/>
        <v>0</v>
      </c>
      <c r="AM43" s="637">
        <f t="shared" si="3"/>
        <v>0</v>
      </c>
      <c r="AN43" s="638" t="str">
        <f t="shared" si="6"/>
        <v xml:space="preserve">    ---- </v>
      </c>
      <c r="AO43" s="637">
        <f t="shared" si="4"/>
        <v>0</v>
      </c>
      <c r="AP43" s="637">
        <f t="shared" si="4"/>
        <v>0</v>
      </c>
      <c r="AQ43" s="638" t="str">
        <f t="shared" si="7"/>
        <v xml:space="preserve">    ---- </v>
      </c>
    </row>
    <row r="44" spans="1:44" s="636" customFormat="1" ht="18.75" customHeight="1" x14ac:dyDescent="0.3">
      <c r="A44" s="623" t="s">
        <v>385</v>
      </c>
      <c r="B44" s="624">
        <v>85.524000000000001</v>
      </c>
      <c r="C44" s="639">
        <v>41.689</v>
      </c>
      <c r="D44" s="639">
        <f>IF(B44=0, "    ---- ", IF(ABS(ROUND(100/B44*C44-100,1))&lt;999,ROUND(100/B44*C44-100,1),IF(ROUND(100/B44*C44-100,1)&gt;999,999,-999)))</f>
        <v>-51.3</v>
      </c>
      <c r="E44" s="624"/>
      <c r="F44" s="639"/>
      <c r="G44" s="627"/>
      <c r="H44" s="624">
        <v>92.422000000000011</v>
      </c>
      <c r="I44" s="639">
        <v>69.17</v>
      </c>
      <c r="J44" s="640">
        <f>IF(H44=0, "    ---- ", IF(ABS(ROUND(100/H44*I44-100,1))&lt;999,ROUND(100/H44*I44-100,1),IF(ROUND(100/H44*I44-100,1)&gt;999,999,-999)))</f>
        <v>-25.2</v>
      </c>
      <c r="K44" s="624"/>
      <c r="L44" s="639"/>
      <c r="M44" s="639"/>
      <c r="N44" s="624">
        <v>22.702999999999999</v>
      </c>
      <c r="O44" s="639">
        <v>25.895440113599513</v>
      </c>
      <c r="P44" s="640">
        <f>IF(N44=0, "    ---- ", IF(ABS(ROUND(100/N44*O44-100,1))&lt;999,ROUND(100/N44*O44-100,1),IF(ROUND(100/N44*O44-100,1)&gt;999,999,-999)))</f>
        <v>14.1</v>
      </c>
      <c r="Q44" s="624"/>
      <c r="R44" s="639"/>
      <c r="S44" s="640"/>
      <c r="T44" s="624"/>
      <c r="U44" s="639"/>
      <c r="V44" s="640"/>
      <c r="W44" s="624">
        <v>166.18274038722231</v>
      </c>
      <c r="X44" s="639">
        <v>191.85860557173572</v>
      </c>
      <c r="Y44" s="627">
        <f t="shared" si="0"/>
        <v>15.5</v>
      </c>
      <c r="Z44" s="624"/>
      <c r="AA44" s="639"/>
      <c r="AB44" s="640"/>
      <c r="AC44" s="624"/>
      <c r="AD44" s="639"/>
      <c r="AE44" s="640"/>
      <c r="AF44" s="624">
        <v>379.55799999999999</v>
      </c>
      <c r="AG44" s="639">
        <v>419.572</v>
      </c>
      <c r="AH44" s="627">
        <f>IF(AF44=0, "    ---- ", IF(ABS(ROUND(100/AF44*AG44-100,1))&lt;999,ROUND(100/AF44*AG44-100,1),IF(ROUND(100/AF44*AG44-100,1)&gt;999,999,-999)))</f>
        <v>10.5</v>
      </c>
      <c r="AI44" s="624">
        <v>134.06</v>
      </c>
      <c r="AJ44" s="639">
        <v>156.5</v>
      </c>
      <c r="AK44" s="640">
        <f>IF(AI44=0, "    ---- ", IF(ABS(ROUND(100/AI44*AJ44-100,1))&lt;999,ROUND(100/AI44*AJ44-100,1),IF(ROUND(100/AI44*AJ44-100,1)&gt;999,999,-999)))</f>
        <v>16.7</v>
      </c>
      <c r="AL44" s="639">
        <f t="shared" si="3"/>
        <v>857.74674038722242</v>
      </c>
      <c r="AM44" s="639">
        <f t="shared" si="3"/>
        <v>878.78960557173571</v>
      </c>
      <c r="AN44" s="640">
        <f t="shared" si="6"/>
        <v>2.5</v>
      </c>
      <c r="AO44" s="639">
        <f t="shared" si="4"/>
        <v>880.44974038722239</v>
      </c>
      <c r="AP44" s="639">
        <f t="shared" si="4"/>
        <v>904.68504568533524</v>
      </c>
      <c r="AQ44" s="640">
        <f t="shared" si="7"/>
        <v>2.8</v>
      </c>
    </row>
    <row r="45" spans="1:44" s="602" customFormat="1" ht="18.75" customHeight="1" x14ac:dyDescent="0.3">
      <c r="A45" s="629" t="s">
        <v>386</v>
      </c>
      <c r="B45" s="443"/>
      <c r="C45" s="637"/>
      <c r="D45" s="637"/>
      <c r="E45" s="443"/>
      <c r="F45" s="637"/>
      <c r="G45" s="632"/>
      <c r="H45" s="443"/>
      <c r="I45" s="637"/>
      <c r="J45" s="638"/>
      <c r="K45" s="443"/>
      <c r="L45" s="637"/>
      <c r="M45" s="637"/>
      <c r="N45" s="443"/>
      <c r="O45" s="637"/>
      <c r="P45" s="638"/>
      <c r="Q45" s="443"/>
      <c r="R45" s="637"/>
      <c r="S45" s="638"/>
      <c r="T45" s="443"/>
      <c r="U45" s="637"/>
      <c r="V45" s="638"/>
      <c r="W45" s="443"/>
      <c r="X45" s="637"/>
      <c r="Y45" s="632"/>
      <c r="Z45" s="443"/>
      <c r="AA45" s="637"/>
      <c r="AB45" s="638"/>
      <c r="AC45" s="443"/>
      <c r="AD45" s="637"/>
      <c r="AE45" s="638"/>
      <c r="AF45" s="443"/>
      <c r="AG45" s="637"/>
      <c r="AH45" s="632"/>
      <c r="AI45" s="443"/>
      <c r="AJ45" s="637"/>
      <c r="AK45" s="638"/>
      <c r="AL45" s="637">
        <f t="shared" si="3"/>
        <v>0</v>
      </c>
      <c r="AM45" s="637">
        <f t="shared" si="3"/>
        <v>0</v>
      </c>
      <c r="AN45" s="638" t="str">
        <f t="shared" si="6"/>
        <v xml:space="preserve">    ---- </v>
      </c>
      <c r="AO45" s="637">
        <f t="shared" si="4"/>
        <v>0</v>
      </c>
      <c r="AP45" s="637">
        <f t="shared" si="4"/>
        <v>0</v>
      </c>
      <c r="AQ45" s="638" t="str">
        <f t="shared" si="7"/>
        <v xml:space="preserve">    ---- </v>
      </c>
    </row>
    <row r="46" spans="1:44" s="602" customFormat="1" ht="18.75" customHeight="1" x14ac:dyDescent="0.3">
      <c r="A46" s="629" t="s">
        <v>387</v>
      </c>
      <c r="B46" s="443">
        <v>85.524000000000001</v>
      </c>
      <c r="C46" s="637">
        <v>41.689</v>
      </c>
      <c r="D46" s="637">
        <f>IF(B46=0, "    ---- ", IF(ABS(ROUND(100/B46*C46-100,1))&lt;999,ROUND(100/B46*C46-100,1),IF(ROUND(100/B46*C46-100,1)&gt;999,999,-999)))</f>
        <v>-51.3</v>
      </c>
      <c r="E46" s="443"/>
      <c r="F46" s="637"/>
      <c r="G46" s="632"/>
      <c r="H46" s="443">
        <v>92.422000000000011</v>
      </c>
      <c r="I46" s="637">
        <v>69.17</v>
      </c>
      <c r="J46" s="638">
        <f>IF(H46=0, "    ---- ", IF(ABS(ROUND(100/H46*I46-100,1))&lt;999,ROUND(100/H46*I46-100,1),IF(ROUND(100/H46*I46-100,1)&gt;999,999,-999)))</f>
        <v>-25.2</v>
      </c>
      <c r="K46" s="443"/>
      <c r="L46" s="637"/>
      <c r="M46" s="637"/>
      <c r="N46" s="443">
        <v>22.702999999999999</v>
      </c>
      <c r="O46" s="637">
        <v>25.895440113599498</v>
      </c>
      <c r="P46" s="638">
        <f>IF(N46=0, "    ---- ", IF(ABS(ROUND(100/N46*O46-100,1))&lt;999,ROUND(100/N46*O46-100,1),IF(ROUND(100/N46*O46-100,1)&gt;999,999,-999)))</f>
        <v>14.1</v>
      </c>
      <c r="Q46" s="443"/>
      <c r="R46" s="637"/>
      <c r="S46" s="638"/>
      <c r="T46" s="443"/>
      <c r="U46" s="637"/>
      <c r="V46" s="638"/>
      <c r="W46" s="443">
        <v>166.18274038722231</v>
      </c>
      <c r="X46" s="637">
        <v>191.85860557173572</v>
      </c>
      <c r="Y46" s="632">
        <f t="shared" si="0"/>
        <v>15.5</v>
      </c>
      <c r="Z46" s="443"/>
      <c r="AA46" s="637"/>
      <c r="AB46" s="638"/>
      <c r="AC46" s="443"/>
      <c r="AD46" s="637"/>
      <c r="AE46" s="638"/>
      <c r="AF46" s="443">
        <v>379.55799999999999</v>
      </c>
      <c r="AG46" s="637">
        <v>419.572</v>
      </c>
      <c r="AH46" s="632">
        <f>IF(AF46=0, "    ---- ", IF(ABS(ROUND(100/AF46*AG46-100,1))&lt;999,ROUND(100/AF46*AG46-100,1),IF(ROUND(100/AF46*AG46-100,1)&gt;999,999,-999)))</f>
        <v>10.5</v>
      </c>
      <c r="AI46" s="443">
        <v>134.06</v>
      </c>
      <c r="AJ46" s="637">
        <v>156.5</v>
      </c>
      <c r="AK46" s="638">
        <f>IF(AI46=0, "    ---- ", IF(ABS(ROUND(100/AI46*AJ46-100,1))&lt;999,ROUND(100/AI46*AJ46-100,1),IF(ROUND(100/AI46*AJ46-100,1)&gt;999,999,-999)))</f>
        <v>16.7</v>
      </c>
      <c r="AL46" s="637">
        <f t="shared" si="3"/>
        <v>857.74674038722242</v>
      </c>
      <c r="AM46" s="637">
        <f t="shared" si="3"/>
        <v>878.78960557173571</v>
      </c>
      <c r="AN46" s="638">
        <f t="shared" si="6"/>
        <v>2.5</v>
      </c>
      <c r="AO46" s="637">
        <f t="shared" si="4"/>
        <v>880.44974038722239</v>
      </c>
      <c r="AP46" s="637">
        <f t="shared" si="4"/>
        <v>904.68504568533524</v>
      </c>
      <c r="AQ46" s="638">
        <f t="shared" si="7"/>
        <v>2.8</v>
      </c>
      <c r="AR46" s="636"/>
    </row>
    <row r="47" spans="1:44" s="636" customFormat="1" ht="18.75" customHeight="1" x14ac:dyDescent="0.3">
      <c r="A47" s="623" t="s">
        <v>390</v>
      </c>
      <c r="B47" s="624"/>
      <c r="C47" s="639"/>
      <c r="D47" s="639"/>
      <c r="E47" s="624"/>
      <c r="F47" s="639"/>
      <c r="G47" s="627"/>
      <c r="H47" s="624"/>
      <c r="I47" s="639"/>
      <c r="J47" s="640"/>
      <c r="K47" s="624"/>
      <c r="L47" s="639"/>
      <c r="M47" s="639"/>
      <c r="N47" s="624"/>
      <c r="O47" s="639"/>
      <c r="P47" s="640"/>
      <c r="Q47" s="624"/>
      <c r="R47" s="639"/>
      <c r="S47" s="640"/>
      <c r="T47" s="624"/>
      <c r="U47" s="639"/>
      <c r="V47" s="640"/>
      <c r="W47" s="624"/>
      <c r="X47" s="639"/>
      <c r="Y47" s="627"/>
      <c r="Z47" s="624"/>
      <c r="AA47" s="639"/>
      <c r="AB47" s="640"/>
      <c r="AC47" s="624"/>
      <c r="AD47" s="639"/>
      <c r="AE47" s="640"/>
      <c r="AF47" s="624"/>
      <c r="AG47" s="639"/>
      <c r="AH47" s="627"/>
      <c r="AI47" s="624"/>
      <c r="AJ47" s="639"/>
      <c r="AK47" s="640"/>
      <c r="AL47" s="639">
        <f t="shared" si="3"/>
        <v>0</v>
      </c>
      <c r="AM47" s="639">
        <f t="shared" si="3"/>
        <v>0</v>
      </c>
      <c r="AN47" s="640"/>
      <c r="AO47" s="639">
        <f t="shared" si="4"/>
        <v>0</v>
      </c>
      <c r="AP47" s="639">
        <f t="shared" si="4"/>
        <v>0</v>
      </c>
      <c r="AQ47" s="640"/>
    </row>
    <row r="48" spans="1:44" s="602" customFormat="1" ht="18.75" customHeight="1" x14ac:dyDescent="0.3">
      <c r="A48" s="629" t="s">
        <v>377</v>
      </c>
      <c r="B48" s="443"/>
      <c r="C48" s="637"/>
      <c r="D48" s="637"/>
      <c r="E48" s="443">
        <v>713</v>
      </c>
      <c r="F48" s="637">
        <v>-235</v>
      </c>
      <c r="G48" s="632">
        <f>IF(E48=0, "    ---- ", IF(ABS(ROUND(100/E48*F48-100,1))&lt;999,ROUND(100/E48*F48-100,1),IF(ROUND(100/E48*F48-100,1)&gt;999,999,-999)))</f>
        <v>-133</v>
      </c>
      <c r="H48" s="443"/>
      <c r="I48" s="637"/>
      <c r="J48" s="638"/>
      <c r="K48" s="443"/>
      <c r="L48" s="637"/>
      <c r="M48" s="637"/>
      <c r="N48" s="443"/>
      <c r="O48" s="637"/>
      <c r="P48" s="638"/>
      <c r="Q48" s="443"/>
      <c r="R48" s="637"/>
      <c r="S48" s="638"/>
      <c r="T48" s="443"/>
      <c r="U48" s="637"/>
      <c r="V48" s="638"/>
      <c r="W48" s="443"/>
      <c r="X48" s="637"/>
      <c r="Y48" s="632"/>
      <c r="Z48" s="443"/>
      <c r="AA48" s="637"/>
      <c r="AB48" s="638"/>
      <c r="AC48" s="443"/>
      <c r="AD48" s="637"/>
      <c r="AE48" s="638"/>
      <c r="AF48" s="443">
        <v>3.3000000000000002E-2</v>
      </c>
      <c r="AG48" s="637">
        <v>0.221</v>
      </c>
      <c r="AH48" s="632">
        <f>IF(AF48=0, "    ---- ", IF(ABS(ROUND(100/AF48*AG48-100,1))&lt;999,ROUND(100/AF48*AG48-100,1),IF(ROUND(100/AF48*AG48-100,1)&gt;999,999,-999)))</f>
        <v>569.70000000000005</v>
      </c>
      <c r="AI48" s="443"/>
      <c r="AJ48" s="637"/>
      <c r="AK48" s="638"/>
      <c r="AL48" s="637">
        <f t="shared" si="3"/>
        <v>713.03300000000002</v>
      </c>
      <c r="AM48" s="637">
        <f t="shared" si="3"/>
        <v>-234.779</v>
      </c>
      <c r="AN48" s="638">
        <f t="shared" si="6"/>
        <v>-132.9</v>
      </c>
      <c r="AO48" s="637">
        <f t="shared" si="4"/>
        <v>713.03300000000002</v>
      </c>
      <c r="AP48" s="637">
        <f t="shared" si="4"/>
        <v>-234.779</v>
      </c>
      <c r="AQ48" s="638">
        <f t="shared" si="7"/>
        <v>-132.9</v>
      </c>
    </row>
    <row r="49" spans="1:43" s="602" customFormat="1" ht="18.75" customHeight="1" x14ac:dyDescent="0.3">
      <c r="A49" s="629" t="s">
        <v>378</v>
      </c>
      <c r="B49" s="443"/>
      <c r="C49" s="637"/>
      <c r="D49" s="637"/>
      <c r="E49" s="443"/>
      <c r="F49" s="637"/>
      <c r="G49" s="632"/>
      <c r="H49" s="443"/>
      <c r="I49" s="637"/>
      <c r="J49" s="638"/>
      <c r="K49" s="443"/>
      <c r="L49" s="637"/>
      <c r="M49" s="637"/>
      <c r="N49" s="443"/>
      <c r="O49" s="637"/>
      <c r="P49" s="638"/>
      <c r="Q49" s="443"/>
      <c r="R49" s="637"/>
      <c r="S49" s="638"/>
      <c r="T49" s="443"/>
      <c r="U49" s="637"/>
      <c r="V49" s="638"/>
      <c r="W49" s="443"/>
      <c r="X49" s="637"/>
      <c r="Y49" s="632"/>
      <c r="Z49" s="443"/>
      <c r="AA49" s="637"/>
      <c r="AB49" s="638"/>
      <c r="AC49" s="443"/>
      <c r="AD49" s="637"/>
      <c r="AE49" s="638"/>
      <c r="AF49" s="443"/>
      <c r="AG49" s="637"/>
      <c r="AH49" s="632"/>
      <c r="AI49" s="443"/>
      <c r="AJ49" s="637"/>
      <c r="AK49" s="638"/>
      <c r="AL49" s="637">
        <f t="shared" si="3"/>
        <v>0</v>
      </c>
      <c r="AM49" s="637">
        <f t="shared" si="3"/>
        <v>0</v>
      </c>
      <c r="AN49" s="638" t="str">
        <f t="shared" si="6"/>
        <v xml:space="preserve">    ---- </v>
      </c>
      <c r="AO49" s="637">
        <f t="shared" si="4"/>
        <v>0</v>
      </c>
      <c r="AP49" s="637">
        <f t="shared" si="4"/>
        <v>0</v>
      </c>
      <c r="AQ49" s="638" t="str">
        <f t="shared" si="7"/>
        <v xml:space="preserve">    ---- </v>
      </c>
    </row>
    <row r="50" spans="1:43" s="602" customFormat="1" ht="18.75" customHeight="1" x14ac:dyDescent="0.3">
      <c r="A50" s="629" t="s">
        <v>379</v>
      </c>
      <c r="B50" s="443">
        <v>13.846</v>
      </c>
      <c r="C50" s="637">
        <v>5.6289999999999996</v>
      </c>
      <c r="D50" s="637">
        <f>IF(B50=0, "    ---- ", IF(ABS(ROUND(100/B50*C50-100,1))&lt;999,ROUND(100/B50*C50-100,1),IF(ROUND(100/B50*C50-100,1)&gt;999,999,-999)))</f>
        <v>-59.3</v>
      </c>
      <c r="E50" s="443">
        <v>8</v>
      </c>
      <c r="F50" s="637">
        <v>2</v>
      </c>
      <c r="G50" s="632">
        <f>IF(E50=0, "    ---- ", IF(ABS(ROUND(100/E50*F50-100,1))&lt;999,ROUND(100/E50*F50-100,1),IF(ROUND(100/E50*F50-100,1)&gt;999,999,-999)))</f>
        <v>-75</v>
      </c>
      <c r="H50" s="443"/>
      <c r="I50" s="637"/>
      <c r="J50" s="638"/>
      <c r="K50" s="443"/>
      <c r="L50" s="637"/>
      <c r="M50" s="637"/>
      <c r="N50" s="443"/>
      <c r="O50" s="637"/>
      <c r="P50" s="638"/>
      <c r="Q50" s="443"/>
      <c r="R50" s="637"/>
      <c r="S50" s="638"/>
      <c r="T50" s="443"/>
      <c r="U50" s="637"/>
      <c r="V50" s="638"/>
      <c r="W50" s="443">
        <v>109.90014841494241</v>
      </c>
      <c r="X50" s="637">
        <v>110.20610510615782</v>
      </c>
      <c r="Y50" s="632">
        <f t="shared" si="0"/>
        <v>0.3</v>
      </c>
      <c r="Z50" s="443"/>
      <c r="AA50" s="637"/>
      <c r="AB50" s="638"/>
      <c r="AC50" s="443">
        <v>-0.41099999999999998</v>
      </c>
      <c r="AD50" s="637">
        <v>-0.47195695882580002</v>
      </c>
      <c r="AE50" s="638">
        <f>IF(AC50=0, "    ---- ", IF(ABS(ROUND(100/AC50*AD50-100,1))&lt;999,ROUND(100/AC50*AD50-100,1),IF(ROUND(100/AC50*AD50-100,1)&gt;999,999,-999)))</f>
        <v>14.8</v>
      </c>
      <c r="AF50" s="443">
        <v>-6.907</v>
      </c>
      <c r="AG50" s="637">
        <v>-6.2939999999999996</v>
      </c>
      <c r="AH50" s="632">
        <f>IF(AF50=0, "    ---- ", IF(ABS(ROUND(100/AF50*AG50-100,1))&lt;999,ROUND(100/AF50*AG50-100,1),IF(ROUND(100/AF50*AG50-100,1)&gt;999,999,-999)))</f>
        <v>-8.9</v>
      </c>
      <c r="AI50" s="443">
        <v>21.34</v>
      </c>
      <c r="AJ50" s="637">
        <v>8.8000000000000007</v>
      </c>
      <c r="AK50" s="638">
        <f>IF(AI50=0, "    ---- ", IF(ABS(ROUND(100/AI50*AJ50-100,1))&lt;999,ROUND(100/AI50*AJ50-100,1),IF(ROUND(100/AI50*AJ50-100,1)&gt;999,999,-999)))</f>
        <v>-58.8</v>
      </c>
      <c r="AL50" s="637">
        <f t="shared" si="3"/>
        <v>146.1791484149424</v>
      </c>
      <c r="AM50" s="637">
        <f t="shared" si="3"/>
        <v>120.34110510615783</v>
      </c>
      <c r="AN50" s="638">
        <f t="shared" si="6"/>
        <v>-17.7</v>
      </c>
      <c r="AO50" s="637">
        <f t="shared" si="4"/>
        <v>145.7681484149424</v>
      </c>
      <c r="AP50" s="637">
        <f t="shared" si="4"/>
        <v>119.86914814733203</v>
      </c>
      <c r="AQ50" s="638">
        <f t="shared" si="7"/>
        <v>-17.8</v>
      </c>
    </row>
    <row r="51" spans="1:43" s="602" customFormat="1" ht="18.75" customHeight="1" x14ac:dyDescent="0.3">
      <c r="A51" s="629" t="s">
        <v>380</v>
      </c>
      <c r="B51" s="443"/>
      <c r="C51" s="637"/>
      <c r="D51" s="637"/>
      <c r="E51" s="443"/>
      <c r="F51" s="637"/>
      <c r="G51" s="632"/>
      <c r="H51" s="443"/>
      <c r="I51" s="637"/>
      <c r="J51" s="638"/>
      <c r="K51" s="443"/>
      <c r="L51" s="637"/>
      <c r="M51" s="637"/>
      <c r="N51" s="443"/>
      <c r="O51" s="637"/>
      <c r="P51" s="638"/>
      <c r="Q51" s="443"/>
      <c r="R51" s="637"/>
      <c r="S51" s="638"/>
      <c r="T51" s="443"/>
      <c r="U51" s="637"/>
      <c r="V51" s="638"/>
      <c r="W51" s="443"/>
      <c r="X51" s="637"/>
      <c r="Y51" s="632"/>
      <c r="Z51" s="443"/>
      <c r="AA51" s="637"/>
      <c r="AB51" s="638"/>
      <c r="AC51" s="443"/>
      <c r="AD51" s="637"/>
      <c r="AE51" s="638"/>
      <c r="AF51" s="443"/>
      <c r="AG51" s="637"/>
      <c r="AH51" s="632"/>
      <c r="AI51" s="443"/>
      <c r="AJ51" s="637"/>
      <c r="AK51" s="638"/>
      <c r="AL51" s="637">
        <f t="shared" si="3"/>
        <v>0</v>
      </c>
      <c r="AM51" s="637">
        <f t="shared" si="3"/>
        <v>0</v>
      </c>
      <c r="AN51" s="638" t="str">
        <f t="shared" si="6"/>
        <v xml:space="preserve">    ---- </v>
      </c>
      <c r="AO51" s="637">
        <f t="shared" si="4"/>
        <v>0</v>
      </c>
      <c r="AP51" s="637">
        <f t="shared" si="4"/>
        <v>0</v>
      </c>
      <c r="AQ51" s="638" t="str">
        <f t="shared" si="7"/>
        <v xml:space="preserve">    ---- </v>
      </c>
    </row>
    <row r="52" spans="1:43" s="602" customFormat="1" ht="18.75" customHeight="1" x14ac:dyDescent="0.3">
      <c r="A52" s="629" t="s">
        <v>381</v>
      </c>
      <c r="B52" s="443"/>
      <c r="C52" s="637"/>
      <c r="D52" s="637"/>
      <c r="E52" s="443"/>
      <c r="F52" s="637"/>
      <c r="G52" s="632"/>
      <c r="H52" s="443"/>
      <c r="I52" s="637"/>
      <c r="J52" s="638"/>
      <c r="K52" s="443"/>
      <c r="L52" s="637"/>
      <c r="M52" s="637"/>
      <c r="N52" s="443"/>
      <c r="O52" s="637"/>
      <c r="P52" s="638"/>
      <c r="Q52" s="443"/>
      <c r="R52" s="637"/>
      <c r="S52" s="638"/>
      <c r="T52" s="443"/>
      <c r="U52" s="637"/>
      <c r="V52" s="638"/>
      <c r="W52" s="443"/>
      <c r="X52" s="637"/>
      <c r="Y52" s="632"/>
      <c r="Z52" s="443"/>
      <c r="AA52" s="637"/>
      <c r="AB52" s="638"/>
      <c r="AC52" s="443"/>
      <c r="AD52" s="637"/>
      <c r="AE52" s="638"/>
      <c r="AF52" s="443"/>
      <c r="AG52" s="637"/>
      <c r="AH52" s="632"/>
      <c r="AI52" s="443"/>
      <c r="AJ52" s="637"/>
      <c r="AK52" s="638"/>
      <c r="AL52" s="637">
        <f t="shared" si="3"/>
        <v>0</v>
      </c>
      <c r="AM52" s="637">
        <f t="shared" si="3"/>
        <v>0</v>
      </c>
      <c r="AN52" s="638" t="str">
        <f t="shared" si="6"/>
        <v xml:space="preserve">    ---- </v>
      </c>
      <c r="AO52" s="637">
        <f t="shared" si="4"/>
        <v>0</v>
      </c>
      <c r="AP52" s="637">
        <f t="shared" si="4"/>
        <v>0</v>
      </c>
      <c r="AQ52" s="638" t="str">
        <f t="shared" si="7"/>
        <v xml:space="preserve">    ---- </v>
      </c>
    </row>
    <row r="53" spans="1:43" s="602" customFormat="1" ht="18.75" customHeight="1" x14ac:dyDescent="0.3">
      <c r="A53" s="629" t="s">
        <v>382</v>
      </c>
      <c r="B53" s="443"/>
      <c r="C53" s="637"/>
      <c r="D53" s="637"/>
      <c r="E53" s="443">
        <v>0</v>
      </c>
      <c r="F53" s="637">
        <v>0</v>
      </c>
      <c r="G53" s="632" t="str">
        <f>IF(E53=0, "    ---- ", IF(ABS(ROUND(100/E53*F53-100,1))&lt;999,ROUND(100/E53*F53-100,1),IF(ROUND(100/E53*F53-100,1)&gt;999,999,-999)))</f>
        <v xml:space="preserve">    ---- </v>
      </c>
      <c r="H53" s="443"/>
      <c r="I53" s="637"/>
      <c r="J53" s="638"/>
      <c r="K53" s="443"/>
      <c r="L53" s="637"/>
      <c r="M53" s="637"/>
      <c r="N53" s="443"/>
      <c r="O53" s="637"/>
      <c r="P53" s="638"/>
      <c r="Q53" s="443"/>
      <c r="R53" s="637"/>
      <c r="S53" s="638"/>
      <c r="T53" s="443"/>
      <c r="U53" s="637"/>
      <c r="V53" s="638"/>
      <c r="W53" s="443">
        <v>3.8515826500000006</v>
      </c>
      <c r="X53" s="637">
        <v>4.0320806400000002</v>
      </c>
      <c r="Y53" s="632">
        <f t="shared" si="0"/>
        <v>4.7</v>
      </c>
      <c r="Z53" s="443"/>
      <c r="AA53" s="637"/>
      <c r="AB53" s="638"/>
      <c r="AC53" s="443"/>
      <c r="AD53" s="637"/>
      <c r="AE53" s="638"/>
      <c r="AF53" s="443">
        <v>-1E-3</v>
      </c>
      <c r="AG53" s="637"/>
      <c r="AH53" s="632">
        <f>IF(AF53=0, "    ---- ", IF(ABS(ROUND(100/AF53*AG53-100,1))&lt;999,ROUND(100/AF53*AG53-100,1),IF(ROUND(100/AF53*AG53-100,1)&gt;999,999,-999)))</f>
        <v>-100</v>
      </c>
      <c r="AI53" s="443"/>
      <c r="AJ53" s="637"/>
      <c r="AK53" s="638"/>
      <c r="AL53" s="637">
        <f t="shared" si="3"/>
        <v>3.8505826500000007</v>
      </c>
      <c r="AM53" s="637">
        <f t="shared" si="3"/>
        <v>4.0320806400000002</v>
      </c>
      <c r="AN53" s="638">
        <f t="shared" si="6"/>
        <v>4.7</v>
      </c>
      <c r="AO53" s="637">
        <f t="shared" si="4"/>
        <v>3.8505826500000007</v>
      </c>
      <c r="AP53" s="637">
        <f t="shared" si="4"/>
        <v>4.0320806400000002</v>
      </c>
      <c r="AQ53" s="638">
        <f t="shared" si="7"/>
        <v>4.7</v>
      </c>
    </row>
    <row r="54" spans="1:43" s="602" customFormat="1" ht="18.75" customHeight="1" x14ac:dyDescent="0.3">
      <c r="A54" s="629" t="s">
        <v>383</v>
      </c>
      <c r="B54" s="443"/>
      <c r="C54" s="637"/>
      <c r="D54" s="637"/>
      <c r="E54" s="443"/>
      <c r="F54" s="637"/>
      <c r="G54" s="632"/>
      <c r="H54" s="443"/>
      <c r="I54" s="637"/>
      <c r="J54" s="638"/>
      <c r="K54" s="443"/>
      <c r="L54" s="637"/>
      <c r="M54" s="637"/>
      <c r="N54" s="443"/>
      <c r="O54" s="637"/>
      <c r="P54" s="638"/>
      <c r="Q54" s="443"/>
      <c r="R54" s="637"/>
      <c r="S54" s="638"/>
      <c r="T54" s="443"/>
      <c r="U54" s="637"/>
      <c r="V54" s="638"/>
      <c r="W54" s="443"/>
      <c r="X54" s="637"/>
      <c r="Y54" s="632"/>
      <c r="Z54" s="443"/>
      <c r="AA54" s="637"/>
      <c r="AB54" s="638"/>
      <c r="AC54" s="443"/>
      <c r="AD54" s="637"/>
      <c r="AE54" s="638"/>
      <c r="AF54" s="443"/>
      <c r="AG54" s="637"/>
      <c r="AH54" s="632"/>
      <c r="AI54" s="443"/>
      <c r="AJ54" s="637"/>
      <c r="AK54" s="638"/>
      <c r="AL54" s="637">
        <f t="shared" si="3"/>
        <v>0</v>
      </c>
      <c r="AM54" s="637">
        <f t="shared" si="3"/>
        <v>0</v>
      </c>
      <c r="AN54" s="638" t="str">
        <f t="shared" si="6"/>
        <v xml:space="preserve">    ---- </v>
      </c>
      <c r="AO54" s="637">
        <f t="shared" si="4"/>
        <v>0</v>
      </c>
      <c r="AP54" s="637">
        <f t="shared" si="4"/>
        <v>0</v>
      </c>
      <c r="AQ54" s="638" t="str">
        <f t="shared" si="7"/>
        <v xml:space="preserve">    ---- </v>
      </c>
    </row>
    <row r="55" spans="1:43" s="602" customFormat="1" ht="18.75" customHeight="1" x14ac:dyDescent="0.3">
      <c r="A55" s="629" t="s">
        <v>384</v>
      </c>
      <c r="B55" s="443"/>
      <c r="C55" s="637"/>
      <c r="D55" s="637"/>
      <c r="E55" s="443"/>
      <c r="F55" s="637"/>
      <c r="G55" s="632"/>
      <c r="H55" s="443"/>
      <c r="I55" s="637"/>
      <c r="J55" s="638"/>
      <c r="K55" s="443"/>
      <c r="L55" s="637"/>
      <c r="M55" s="637"/>
      <c r="N55" s="443"/>
      <c r="O55" s="637"/>
      <c r="P55" s="638"/>
      <c r="Q55" s="443"/>
      <c r="R55" s="637"/>
      <c r="S55" s="638"/>
      <c r="T55" s="443"/>
      <c r="U55" s="637"/>
      <c r="V55" s="638"/>
      <c r="W55" s="443"/>
      <c r="X55" s="637"/>
      <c r="Y55" s="632"/>
      <c r="Z55" s="443"/>
      <c r="AA55" s="637"/>
      <c r="AB55" s="638"/>
      <c r="AC55" s="443"/>
      <c r="AD55" s="637"/>
      <c r="AE55" s="638"/>
      <c r="AF55" s="443"/>
      <c r="AG55" s="637"/>
      <c r="AH55" s="632"/>
      <c r="AI55" s="443"/>
      <c r="AJ55" s="637">
        <v>-6.2</v>
      </c>
      <c r="AK55" s="638" t="str">
        <f>IF(AI55=0, "    ---- ", IF(ABS(ROUND(100/AI55*AJ55-100,1))&lt;999,ROUND(100/AI55*AJ55-100,1),IF(ROUND(100/AI55*AJ55-100,1)&gt;999,999,-999)))</f>
        <v xml:space="preserve">    ---- </v>
      </c>
      <c r="AL55" s="637">
        <f t="shared" si="3"/>
        <v>0</v>
      </c>
      <c r="AM55" s="637">
        <f t="shared" si="3"/>
        <v>-6.2</v>
      </c>
      <c r="AN55" s="638" t="str">
        <f t="shared" si="6"/>
        <v xml:space="preserve">    ---- </v>
      </c>
      <c r="AO55" s="637">
        <f t="shared" si="4"/>
        <v>0</v>
      </c>
      <c r="AP55" s="637">
        <f t="shared" si="4"/>
        <v>-6.2</v>
      </c>
      <c r="AQ55" s="638" t="str">
        <f t="shared" si="7"/>
        <v xml:space="preserve">    ---- </v>
      </c>
    </row>
    <row r="56" spans="1:43" s="636" customFormat="1" ht="18.75" customHeight="1" x14ac:dyDescent="0.3">
      <c r="A56" s="623" t="s">
        <v>385</v>
      </c>
      <c r="B56" s="624">
        <v>13.846</v>
      </c>
      <c r="C56" s="639">
        <v>5.6289999999999996</v>
      </c>
      <c r="D56" s="639">
        <f>IF(B56=0, "    ---- ", IF(ABS(ROUND(100/B56*C56-100,1))&lt;999,ROUND(100/B56*C56-100,1),IF(ROUND(100/B56*C56-100,1)&gt;999,999,-999)))</f>
        <v>-59.3</v>
      </c>
      <c r="E56" s="624">
        <v>721</v>
      </c>
      <c r="F56" s="639">
        <v>-233</v>
      </c>
      <c r="G56" s="627">
        <f>IF(E56=0, "    ---- ", IF(ABS(ROUND(100/E56*F56-100,1))&lt;999,ROUND(100/E56*F56-100,1),IF(ROUND(100/E56*F56-100,1)&gt;999,999,-999)))</f>
        <v>-132.30000000000001</v>
      </c>
      <c r="H56" s="624"/>
      <c r="I56" s="639"/>
      <c r="J56" s="640"/>
      <c r="K56" s="624"/>
      <c r="L56" s="639"/>
      <c r="M56" s="639"/>
      <c r="N56" s="624"/>
      <c r="O56" s="639"/>
      <c r="P56" s="640"/>
      <c r="Q56" s="624"/>
      <c r="R56" s="639"/>
      <c r="S56" s="640"/>
      <c r="T56" s="624"/>
      <c r="U56" s="639"/>
      <c r="V56" s="640"/>
      <c r="W56" s="624">
        <v>113.7517310649424</v>
      </c>
      <c r="X56" s="639">
        <v>114.23818574615782</v>
      </c>
      <c r="Y56" s="627">
        <f t="shared" si="0"/>
        <v>0.4</v>
      </c>
      <c r="Z56" s="624"/>
      <c r="AA56" s="639"/>
      <c r="AB56" s="640"/>
      <c r="AC56" s="624">
        <v>-0.41099999999999998</v>
      </c>
      <c r="AD56" s="639">
        <v>-0.47195695882580002</v>
      </c>
      <c r="AE56" s="640">
        <f>IF(AC56=0, "    ---- ", IF(ABS(ROUND(100/AC56*AD56-100,1))&lt;999,ROUND(100/AC56*AD56-100,1),IF(ROUND(100/AC56*AD56-100,1)&gt;999,999,-999)))</f>
        <v>14.8</v>
      </c>
      <c r="AF56" s="624">
        <v>-6.875</v>
      </c>
      <c r="AG56" s="639">
        <v>-6.0729999999999995</v>
      </c>
      <c r="AH56" s="627">
        <f>IF(AF56=0, "    ---- ", IF(ABS(ROUND(100/AF56*AG56-100,1))&lt;999,ROUND(100/AF56*AG56-100,1),IF(ROUND(100/AF56*AG56-100,1)&gt;999,999,-999)))</f>
        <v>-11.7</v>
      </c>
      <c r="AI56" s="624">
        <v>21.34</v>
      </c>
      <c r="AJ56" s="639">
        <v>2.6000000000000005</v>
      </c>
      <c r="AK56" s="640">
        <f>IF(AI56=0, "    ---- ", IF(ABS(ROUND(100/AI56*AJ56-100,1))&lt;999,ROUND(100/AI56*AJ56-100,1),IF(ROUND(100/AI56*AJ56-100,1)&gt;999,999,-999)))</f>
        <v>-87.8</v>
      </c>
      <c r="AL56" s="639">
        <f t="shared" si="3"/>
        <v>863.06273106494245</v>
      </c>
      <c r="AM56" s="639">
        <f t="shared" si="3"/>
        <v>-116.60581425384218</v>
      </c>
      <c r="AN56" s="640">
        <f t="shared" si="6"/>
        <v>-113.5</v>
      </c>
      <c r="AO56" s="639">
        <f t="shared" si="4"/>
        <v>862.65173106494251</v>
      </c>
      <c r="AP56" s="639">
        <f t="shared" si="4"/>
        <v>-117.07777121266798</v>
      </c>
      <c r="AQ56" s="640">
        <f t="shared" si="7"/>
        <v>-113.6</v>
      </c>
    </row>
    <row r="57" spans="1:43" s="602" customFormat="1" ht="18.75" customHeight="1" x14ac:dyDescent="0.3">
      <c r="A57" s="629" t="s">
        <v>386</v>
      </c>
      <c r="B57" s="443"/>
      <c r="C57" s="637"/>
      <c r="D57" s="637"/>
      <c r="E57" s="443">
        <v>713</v>
      </c>
      <c r="F57" s="637">
        <v>-235</v>
      </c>
      <c r="G57" s="627">
        <f>IF(E57=0, "    ---- ", IF(ABS(ROUND(100/E57*F57-100,1))&lt;999,ROUND(100/E57*F57-100,1),IF(ROUND(100/E57*F57-100,1)&gt;999,999,-999)))</f>
        <v>-133</v>
      </c>
      <c r="H57" s="443"/>
      <c r="I57" s="637"/>
      <c r="J57" s="638"/>
      <c r="K57" s="443"/>
      <c r="L57" s="637"/>
      <c r="M57" s="637"/>
      <c r="N57" s="443"/>
      <c r="O57" s="637"/>
      <c r="P57" s="638"/>
      <c r="Q57" s="443"/>
      <c r="R57" s="637"/>
      <c r="S57" s="638"/>
      <c r="T57" s="443"/>
      <c r="U57" s="637"/>
      <c r="V57" s="638"/>
      <c r="W57" s="443"/>
      <c r="X57" s="637"/>
      <c r="Y57" s="632"/>
      <c r="Z57" s="443"/>
      <c r="AA57" s="637"/>
      <c r="AB57" s="638"/>
      <c r="AC57" s="443"/>
      <c r="AD57" s="637"/>
      <c r="AE57" s="638"/>
      <c r="AF57" s="443"/>
      <c r="AG57" s="637"/>
      <c r="AH57" s="632"/>
      <c r="AI57" s="443"/>
      <c r="AJ57" s="637"/>
      <c r="AK57" s="638"/>
      <c r="AL57" s="637">
        <f t="shared" si="3"/>
        <v>713</v>
      </c>
      <c r="AM57" s="637">
        <f t="shared" si="3"/>
        <v>-235</v>
      </c>
      <c r="AN57" s="638">
        <f t="shared" si="6"/>
        <v>-133</v>
      </c>
      <c r="AO57" s="637">
        <f t="shared" si="4"/>
        <v>713</v>
      </c>
      <c r="AP57" s="637">
        <f t="shared" si="4"/>
        <v>-235</v>
      </c>
      <c r="AQ57" s="638">
        <f t="shared" si="7"/>
        <v>-133</v>
      </c>
    </row>
    <row r="58" spans="1:43" s="602" customFormat="1" ht="18.75" customHeight="1" x14ac:dyDescent="0.3">
      <c r="A58" s="629" t="s">
        <v>387</v>
      </c>
      <c r="B58" s="443">
        <v>13.846</v>
      </c>
      <c r="C58" s="637">
        <v>5.6289999999999996</v>
      </c>
      <c r="D58" s="637">
        <f>IF(B58=0, "    ---- ", IF(ABS(ROUND(100/B58*C58-100,1))&lt;999,ROUND(100/B58*C58-100,1),IF(ROUND(100/B58*C58-100,1)&gt;999,999,-999)))</f>
        <v>-59.3</v>
      </c>
      <c r="E58" s="443">
        <v>8</v>
      </c>
      <c r="F58" s="637">
        <v>2</v>
      </c>
      <c r="G58" s="632">
        <f>IF(E58=0, "    ---- ", IF(ABS(ROUND(100/E58*F58-100,1))&lt;999,ROUND(100/E58*F58-100,1),IF(ROUND(100/E58*F58-100,1)&gt;999,999,-999)))</f>
        <v>-75</v>
      </c>
      <c r="H58" s="443"/>
      <c r="I58" s="637"/>
      <c r="J58" s="638"/>
      <c r="K58" s="443"/>
      <c r="L58" s="637"/>
      <c r="M58" s="637"/>
      <c r="N58" s="443"/>
      <c r="O58" s="637"/>
      <c r="P58" s="638"/>
      <c r="Q58" s="443"/>
      <c r="R58" s="637"/>
      <c r="S58" s="638"/>
      <c r="T58" s="443"/>
      <c r="U58" s="637"/>
      <c r="V58" s="638"/>
      <c r="W58" s="443">
        <v>113.7517310649424</v>
      </c>
      <c r="X58" s="637">
        <v>114.23818574615782</v>
      </c>
      <c r="Y58" s="632">
        <f t="shared" si="0"/>
        <v>0.4</v>
      </c>
      <c r="Z58" s="443"/>
      <c r="AA58" s="637"/>
      <c r="AB58" s="638"/>
      <c r="AC58" s="443">
        <v>-0.41099999999999998</v>
      </c>
      <c r="AD58" s="637"/>
      <c r="AE58" s="638">
        <f>IF(AC58=0, "    ---- ", IF(ABS(ROUND(100/AC58*AD58-100,1))&lt;999,ROUND(100/AC58*AD58-100,1),IF(ROUND(100/AC58*AD58-100,1)&gt;999,999,-999)))</f>
        <v>-100</v>
      </c>
      <c r="AF58" s="443">
        <v>-6.875</v>
      </c>
      <c r="AG58" s="637">
        <v>-6.0730000000000004</v>
      </c>
      <c r="AH58" s="632">
        <f>IF(AF58=0, "    ---- ", IF(ABS(ROUND(100/AF58*AG58-100,1))&lt;999,ROUND(100/AF58*AG58-100,1),IF(ROUND(100/AF58*AG58-100,1)&gt;999,999,-999)))</f>
        <v>-11.7</v>
      </c>
      <c r="AI58" s="443">
        <v>21.34</v>
      </c>
      <c r="AJ58" s="637">
        <v>2.6</v>
      </c>
      <c r="AK58" s="638">
        <f>IF(AI58=0, "    ---- ", IF(ABS(ROUND(100/AI58*AJ58-100,1))&lt;999,ROUND(100/AI58*AJ58-100,1),IF(ROUND(100/AI58*AJ58-100,1)&gt;999,999,-999)))</f>
        <v>-87.8</v>
      </c>
      <c r="AL58" s="637">
        <f t="shared" si="3"/>
        <v>150.0627310649424</v>
      </c>
      <c r="AM58" s="637">
        <f t="shared" si="3"/>
        <v>118.39418574615783</v>
      </c>
      <c r="AN58" s="638">
        <f t="shared" si="6"/>
        <v>-21.1</v>
      </c>
      <c r="AO58" s="637">
        <f t="shared" si="4"/>
        <v>149.6517310649424</v>
      </c>
      <c r="AP58" s="637">
        <f t="shared" si="4"/>
        <v>118.39418574615783</v>
      </c>
      <c r="AQ58" s="638">
        <f t="shared" si="7"/>
        <v>-20.9</v>
      </c>
    </row>
    <row r="59" spans="1:43" s="602" customFormat="1" ht="18.75" customHeight="1" x14ac:dyDescent="0.3">
      <c r="A59" s="641"/>
      <c r="B59" s="642"/>
      <c r="C59" s="643"/>
      <c r="D59" s="643"/>
      <c r="E59" s="642"/>
      <c r="F59" s="643"/>
      <c r="G59" s="644"/>
      <c r="H59" s="642"/>
      <c r="I59" s="643"/>
      <c r="J59" s="645"/>
      <c r="K59" s="642"/>
      <c r="L59" s="643"/>
      <c r="M59" s="643"/>
      <c r="N59" s="642"/>
      <c r="O59" s="643"/>
      <c r="P59" s="645"/>
      <c r="Q59" s="642"/>
      <c r="R59" s="643"/>
      <c r="S59" s="645"/>
      <c r="T59" s="642"/>
      <c r="U59" s="643"/>
      <c r="V59" s="645"/>
      <c r="W59" s="642"/>
      <c r="X59" s="643"/>
      <c r="Y59" s="644"/>
      <c r="Z59" s="642"/>
      <c r="AA59" s="643"/>
      <c r="AB59" s="645"/>
      <c r="AC59" s="642"/>
      <c r="AD59" s="643"/>
      <c r="AE59" s="645"/>
      <c r="AF59" s="642"/>
      <c r="AG59" s="643"/>
      <c r="AH59" s="644"/>
      <c r="AI59" s="642"/>
      <c r="AJ59" s="643"/>
      <c r="AK59" s="645"/>
      <c r="AL59" s="643"/>
      <c r="AM59" s="643"/>
      <c r="AN59" s="645"/>
      <c r="AO59" s="643"/>
      <c r="AP59" s="643"/>
      <c r="AQ59" s="645"/>
    </row>
    <row r="60" spans="1:43" s="602" customFormat="1" ht="18.75" customHeight="1" x14ac:dyDescent="0.3">
      <c r="A60" s="646"/>
      <c r="B60" s="647"/>
      <c r="C60" s="648"/>
      <c r="D60" s="648"/>
      <c r="E60" s="647"/>
      <c r="F60" s="648"/>
      <c r="G60" s="649"/>
      <c r="H60" s="647"/>
      <c r="I60" s="648"/>
      <c r="J60" s="650"/>
      <c r="K60" s="647"/>
      <c r="L60" s="648"/>
      <c r="M60" s="648"/>
      <c r="N60" s="647"/>
      <c r="O60" s="648"/>
      <c r="P60" s="650"/>
      <c r="Q60" s="647"/>
      <c r="R60" s="648"/>
      <c r="S60" s="650"/>
      <c r="T60" s="647"/>
      <c r="U60" s="648"/>
      <c r="V60" s="650"/>
      <c r="W60" s="647"/>
      <c r="X60" s="648"/>
      <c r="Y60" s="649"/>
      <c r="Z60" s="647"/>
      <c r="AA60" s="648"/>
      <c r="AB60" s="650"/>
      <c r="AC60" s="647"/>
      <c r="AD60" s="648"/>
      <c r="AE60" s="650"/>
      <c r="AF60" s="647"/>
      <c r="AG60" s="648"/>
      <c r="AH60" s="649"/>
      <c r="AI60" s="647"/>
      <c r="AJ60" s="648"/>
      <c r="AK60" s="650"/>
      <c r="AL60" s="648"/>
      <c r="AM60" s="648"/>
      <c r="AN60" s="650"/>
      <c r="AO60" s="648"/>
      <c r="AP60" s="648"/>
      <c r="AQ60" s="650"/>
    </row>
    <row r="61" spans="1:43" s="636" customFormat="1" ht="18.75" customHeight="1" x14ac:dyDescent="0.3">
      <c r="A61" s="623" t="s">
        <v>391</v>
      </c>
      <c r="B61" s="624"/>
      <c r="C61" s="639"/>
      <c r="D61" s="639"/>
      <c r="E61" s="624"/>
      <c r="F61" s="639"/>
      <c r="G61" s="627"/>
      <c r="H61" s="624"/>
      <c r="I61" s="639"/>
      <c r="J61" s="640"/>
      <c r="K61" s="624"/>
      <c r="L61" s="639"/>
      <c r="M61" s="639"/>
      <c r="N61" s="624"/>
      <c r="O61" s="639"/>
      <c r="P61" s="640"/>
      <c r="Q61" s="624"/>
      <c r="R61" s="639"/>
      <c r="S61" s="640"/>
      <c r="T61" s="624"/>
      <c r="U61" s="639"/>
      <c r="V61" s="640"/>
      <c r="W61" s="624"/>
      <c r="X61" s="639"/>
      <c r="Y61" s="627"/>
      <c r="Z61" s="624"/>
      <c r="AA61" s="639"/>
      <c r="AB61" s="640"/>
      <c r="AC61" s="624"/>
      <c r="AD61" s="639"/>
      <c r="AE61" s="640"/>
      <c r="AF61" s="624"/>
      <c r="AG61" s="639"/>
      <c r="AH61" s="627"/>
      <c r="AI61" s="624"/>
      <c r="AJ61" s="639"/>
      <c r="AK61" s="640"/>
      <c r="AL61" s="639">
        <f t="shared" si="3"/>
        <v>0</v>
      </c>
      <c r="AM61" s="639">
        <f t="shared" si="3"/>
        <v>0</v>
      </c>
      <c r="AN61" s="640"/>
      <c r="AO61" s="639">
        <f t="shared" si="4"/>
        <v>0</v>
      </c>
      <c r="AP61" s="639">
        <f t="shared" si="4"/>
        <v>0</v>
      </c>
      <c r="AQ61" s="640"/>
    </row>
    <row r="62" spans="1:43" s="602" customFormat="1" ht="18.75" customHeight="1" x14ac:dyDescent="0.3">
      <c r="A62" s="629" t="s">
        <v>377</v>
      </c>
      <c r="B62" s="443"/>
      <c r="C62" s="637"/>
      <c r="D62" s="637"/>
      <c r="E62" s="443">
        <v>370.02</v>
      </c>
      <c r="F62" s="637">
        <v>-31</v>
      </c>
      <c r="G62" s="632">
        <f>IF(E62=0, "    ---- ", IF(ABS(ROUND(100/E62*F62-100,1))&lt;999,ROUND(100/E62*F62-100,1),IF(ROUND(100/E62*F62-100,1)&gt;999,999,-999)))</f>
        <v>-108.4</v>
      </c>
      <c r="H62" s="443"/>
      <c r="I62" s="637"/>
      <c r="J62" s="638"/>
      <c r="K62" s="443"/>
      <c r="L62" s="637"/>
      <c r="M62" s="637"/>
      <c r="N62" s="443"/>
      <c r="O62" s="637"/>
      <c r="P62" s="638"/>
      <c r="Q62" s="443"/>
      <c r="R62" s="637"/>
      <c r="S62" s="638"/>
      <c r="T62" s="443"/>
      <c r="U62" s="637"/>
      <c r="V62" s="638"/>
      <c r="W62" s="443">
        <v>34.496564398271843</v>
      </c>
      <c r="X62" s="637">
        <v>40.011051967644384</v>
      </c>
      <c r="Y62" s="632">
        <f t="shared" ref="Y62:Y108" si="8">IF(W62=0, "    ---- ", IF(ABS(ROUND(100/W62*X62-100,1))&lt;999,ROUND(100/W62*X62-100,1),IF(ROUND(100/W62*X62-100,1)&gt;999,999,-999)))</f>
        <v>16</v>
      </c>
      <c r="Z62" s="443"/>
      <c r="AA62" s="637"/>
      <c r="AB62" s="638"/>
      <c r="AC62" s="443"/>
      <c r="AD62" s="637"/>
      <c r="AE62" s="638"/>
      <c r="AF62" s="443">
        <v>145.69999999999999</v>
      </c>
      <c r="AG62" s="637">
        <v>79.152000000000001</v>
      </c>
      <c r="AH62" s="632">
        <f>IF(AF62=0, "    ---- ", IF(ABS(ROUND(100/AF62*AG62-100,1))&lt;999,ROUND(100/AF62*AG62-100,1),IF(ROUND(100/AF62*AG62-100,1)&gt;999,999,-999)))</f>
        <v>-45.7</v>
      </c>
      <c r="AI62" s="443">
        <v>126.26</v>
      </c>
      <c r="AJ62" s="637">
        <v>-50.9</v>
      </c>
      <c r="AK62" s="638">
        <f>IF(AI62=0, "    ---- ", IF(ABS(ROUND(100/AI62*AJ62-100,1))&lt;999,ROUND(100/AI62*AJ62-100,1),IF(ROUND(100/AI62*AJ62-100,1)&gt;999,999,-999)))</f>
        <v>-140.30000000000001</v>
      </c>
      <c r="AL62" s="637">
        <f t="shared" si="3"/>
        <v>676.47656439827188</v>
      </c>
      <c r="AM62" s="637">
        <f t="shared" si="3"/>
        <v>37.26305196764438</v>
      </c>
      <c r="AN62" s="638">
        <f t="shared" si="6"/>
        <v>-94.5</v>
      </c>
      <c r="AO62" s="637">
        <f t="shared" si="4"/>
        <v>676.47656439827188</v>
      </c>
      <c r="AP62" s="637">
        <f t="shared" si="4"/>
        <v>37.26305196764438</v>
      </c>
      <c r="AQ62" s="638">
        <f t="shared" si="7"/>
        <v>-94.5</v>
      </c>
    </row>
    <row r="63" spans="1:43" s="602" customFormat="1" ht="18.75" customHeight="1" x14ac:dyDescent="0.3">
      <c r="A63" s="629" t="s">
        <v>378</v>
      </c>
      <c r="B63" s="443"/>
      <c r="C63" s="637"/>
      <c r="D63" s="637"/>
      <c r="E63" s="443"/>
      <c r="F63" s="637">
        <v>53</v>
      </c>
      <c r="G63" s="632" t="str">
        <f>IF(E63=0, "    ---- ", IF(ABS(ROUND(100/E63*F63-100,1))&lt;999,ROUND(100/E63*F63-100,1),IF(ROUND(100/E63*F63-100,1)&gt;999,999,-999)))</f>
        <v xml:space="preserve">    ---- </v>
      </c>
      <c r="H63" s="443"/>
      <c r="I63" s="637"/>
      <c r="J63" s="638"/>
      <c r="K63" s="443"/>
      <c r="L63" s="637"/>
      <c r="M63" s="637"/>
      <c r="N63" s="443"/>
      <c r="O63" s="637"/>
      <c r="P63" s="638"/>
      <c r="Q63" s="443"/>
      <c r="R63" s="637"/>
      <c r="S63" s="638"/>
      <c r="T63" s="443"/>
      <c r="U63" s="637"/>
      <c r="V63" s="638"/>
      <c r="W63" s="443">
        <v>-34.496564398271843</v>
      </c>
      <c r="X63" s="637">
        <v>-40.011051967644384</v>
      </c>
      <c r="Y63" s="632">
        <f t="shared" si="8"/>
        <v>16</v>
      </c>
      <c r="Z63" s="443"/>
      <c r="AA63" s="637"/>
      <c r="AB63" s="638"/>
      <c r="AC63" s="443"/>
      <c r="AD63" s="637"/>
      <c r="AE63" s="638"/>
      <c r="AF63" s="443"/>
      <c r="AG63" s="637"/>
      <c r="AH63" s="632"/>
      <c r="AI63" s="443"/>
      <c r="AJ63" s="637">
        <v>53.9</v>
      </c>
      <c r="AK63" s="638" t="str">
        <f>IF(AI63=0, "    ---- ", IF(ABS(ROUND(100/AI63*AJ63-100,1))&lt;999,ROUND(100/AI63*AJ63-100,1),IF(ROUND(100/AI63*AJ63-100,1)&gt;999,999,-999)))</f>
        <v xml:space="preserve">    ---- </v>
      </c>
      <c r="AL63" s="637">
        <f t="shared" si="3"/>
        <v>-34.496564398271843</v>
      </c>
      <c r="AM63" s="637">
        <f t="shared" si="3"/>
        <v>66.888948032355614</v>
      </c>
      <c r="AN63" s="638">
        <f t="shared" si="6"/>
        <v>-293.89999999999998</v>
      </c>
      <c r="AO63" s="637">
        <f t="shared" si="4"/>
        <v>-34.496564398271843</v>
      </c>
      <c r="AP63" s="637">
        <f t="shared" si="4"/>
        <v>66.888948032355614</v>
      </c>
      <c r="AQ63" s="638">
        <f t="shared" si="7"/>
        <v>-293.89999999999998</v>
      </c>
    </row>
    <row r="64" spans="1:43" s="602" customFormat="1" ht="18.75" customHeight="1" x14ac:dyDescent="0.3">
      <c r="A64" s="629" t="s">
        <v>379</v>
      </c>
      <c r="B64" s="443"/>
      <c r="C64" s="637"/>
      <c r="D64" s="637"/>
      <c r="E64" s="443">
        <v>106.5</v>
      </c>
      <c r="F64" s="637">
        <v>101</v>
      </c>
      <c r="G64" s="632">
        <f>IF(E64=0, "    ---- ", IF(ABS(ROUND(100/E64*F64-100,1))&lt;999,ROUND(100/E64*F64-100,1),IF(ROUND(100/E64*F64-100,1)&gt;999,999,-999)))</f>
        <v>-5.2</v>
      </c>
      <c r="H64" s="443"/>
      <c r="I64" s="637"/>
      <c r="J64" s="638"/>
      <c r="K64" s="443"/>
      <c r="L64" s="637"/>
      <c r="M64" s="637"/>
      <c r="N64" s="443"/>
      <c r="O64" s="637"/>
      <c r="P64" s="638"/>
      <c r="Q64" s="443"/>
      <c r="R64" s="637"/>
      <c r="S64" s="638"/>
      <c r="T64" s="443"/>
      <c r="U64" s="637"/>
      <c r="V64" s="638"/>
      <c r="W64" s="443">
        <v>5.9471603663736623</v>
      </c>
      <c r="X64" s="637">
        <v>4.6385884511823061</v>
      </c>
      <c r="Y64" s="632">
        <f t="shared" si="8"/>
        <v>-22</v>
      </c>
      <c r="Z64" s="443"/>
      <c r="AA64" s="637"/>
      <c r="AB64" s="638"/>
      <c r="AC64" s="443"/>
      <c r="AD64" s="637"/>
      <c r="AE64" s="638"/>
      <c r="AF64" s="443">
        <v>-10.445</v>
      </c>
      <c r="AG64" s="637">
        <v>-7.9480000000000004</v>
      </c>
      <c r="AH64" s="632">
        <f>IF(AF64=0, "    ---- ", IF(ABS(ROUND(100/AF64*AG64-100,1))&lt;999,ROUND(100/AF64*AG64-100,1),IF(ROUND(100/AF64*AG64-100,1)&gt;999,999,-999)))</f>
        <v>-23.9</v>
      </c>
      <c r="AI64" s="443">
        <v>-15.66</v>
      </c>
      <c r="AJ64" s="637">
        <v>-16.399999999999999</v>
      </c>
      <c r="AK64" s="638">
        <f>IF(AI64=0, "    ---- ", IF(ABS(ROUND(100/AI64*AJ64-100,1))&lt;999,ROUND(100/AI64*AJ64-100,1),IF(ROUND(100/AI64*AJ64-100,1)&gt;999,999,-999)))</f>
        <v>4.7</v>
      </c>
      <c r="AL64" s="637">
        <f t="shared" si="3"/>
        <v>86.342160366373662</v>
      </c>
      <c r="AM64" s="637">
        <f t="shared" si="3"/>
        <v>81.290588451182288</v>
      </c>
      <c r="AN64" s="638">
        <f t="shared" si="6"/>
        <v>-5.9</v>
      </c>
      <c r="AO64" s="637">
        <f t="shared" si="4"/>
        <v>86.342160366373662</v>
      </c>
      <c r="AP64" s="637">
        <f t="shared" si="4"/>
        <v>81.290588451182288</v>
      </c>
      <c r="AQ64" s="638">
        <f t="shared" si="7"/>
        <v>-5.9</v>
      </c>
    </row>
    <row r="65" spans="1:43" s="602" customFormat="1" ht="18.75" customHeight="1" x14ac:dyDescent="0.3">
      <c r="A65" s="629" t="s">
        <v>380</v>
      </c>
      <c r="B65" s="443"/>
      <c r="C65" s="637"/>
      <c r="D65" s="637"/>
      <c r="E65" s="443"/>
      <c r="F65" s="637"/>
      <c r="G65" s="632"/>
      <c r="H65" s="443"/>
      <c r="I65" s="637"/>
      <c r="J65" s="638"/>
      <c r="K65" s="443"/>
      <c r="L65" s="637"/>
      <c r="M65" s="637"/>
      <c r="N65" s="443"/>
      <c r="O65" s="637"/>
      <c r="P65" s="638"/>
      <c r="Q65" s="443"/>
      <c r="R65" s="637"/>
      <c r="S65" s="638"/>
      <c r="T65" s="443"/>
      <c r="U65" s="637"/>
      <c r="V65" s="638"/>
      <c r="W65" s="443"/>
      <c r="X65" s="637"/>
      <c r="Y65" s="632"/>
      <c r="Z65" s="443"/>
      <c r="AA65" s="637"/>
      <c r="AB65" s="638"/>
      <c r="AC65" s="443"/>
      <c r="AD65" s="637"/>
      <c r="AE65" s="638"/>
      <c r="AF65" s="443"/>
      <c r="AG65" s="637"/>
      <c r="AH65" s="632"/>
      <c r="AI65" s="443"/>
      <c r="AJ65" s="637"/>
      <c r="AK65" s="638"/>
      <c r="AL65" s="637">
        <f t="shared" si="3"/>
        <v>0</v>
      </c>
      <c r="AM65" s="637">
        <f t="shared" si="3"/>
        <v>0</v>
      </c>
      <c r="AN65" s="638" t="str">
        <f t="shared" si="6"/>
        <v xml:space="preserve">    ---- </v>
      </c>
      <c r="AO65" s="637">
        <f t="shared" si="4"/>
        <v>0</v>
      </c>
      <c r="AP65" s="637">
        <f t="shared" si="4"/>
        <v>0</v>
      </c>
      <c r="AQ65" s="638" t="str">
        <f t="shared" si="7"/>
        <v xml:space="preserve">    ---- </v>
      </c>
    </row>
    <row r="66" spans="1:43" s="602" customFormat="1" ht="18.75" customHeight="1" x14ac:dyDescent="0.3">
      <c r="A66" s="629" t="s">
        <v>381</v>
      </c>
      <c r="B66" s="443"/>
      <c r="C66" s="637"/>
      <c r="D66" s="637"/>
      <c r="E66" s="443"/>
      <c r="F66" s="637"/>
      <c r="G66" s="632"/>
      <c r="H66" s="443"/>
      <c r="I66" s="637"/>
      <c r="J66" s="638"/>
      <c r="K66" s="443"/>
      <c r="L66" s="637"/>
      <c r="M66" s="637"/>
      <c r="N66" s="443"/>
      <c r="O66" s="637"/>
      <c r="P66" s="638"/>
      <c r="Q66" s="443"/>
      <c r="R66" s="637"/>
      <c r="S66" s="638"/>
      <c r="T66" s="443"/>
      <c r="U66" s="637"/>
      <c r="V66" s="638"/>
      <c r="W66" s="443"/>
      <c r="X66" s="637"/>
      <c r="Y66" s="632"/>
      <c r="Z66" s="443"/>
      <c r="AA66" s="637"/>
      <c r="AB66" s="638"/>
      <c r="AC66" s="443"/>
      <c r="AD66" s="637"/>
      <c r="AE66" s="638"/>
      <c r="AF66" s="443"/>
      <c r="AG66" s="637"/>
      <c r="AH66" s="632"/>
      <c r="AI66" s="443"/>
      <c r="AJ66" s="637"/>
      <c r="AK66" s="638"/>
      <c r="AL66" s="637">
        <f t="shared" si="3"/>
        <v>0</v>
      </c>
      <c r="AM66" s="637">
        <f t="shared" si="3"/>
        <v>0</v>
      </c>
      <c r="AN66" s="638" t="str">
        <f t="shared" si="6"/>
        <v xml:space="preserve">    ---- </v>
      </c>
      <c r="AO66" s="637">
        <f t="shared" si="4"/>
        <v>0</v>
      </c>
      <c r="AP66" s="637">
        <f t="shared" si="4"/>
        <v>0</v>
      </c>
      <c r="AQ66" s="638" t="str">
        <f t="shared" si="7"/>
        <v xml:space="preserve">    ---- </v>
      </c>
    </row>
    <row r="67" spans="1:43" s="602" customFormat="1" ht="18.75" customHeight="1" x14ac:dyDescent="0.3">
      <c r="A67" s="629" t="s">
        <v>382</v>
      </c>
      <c r="B67" s="443"/>
      <c r="C67" s="637"/>
      <c r="D67" s="637"/>
      <c r="E67" s="443">
        <v>43.8</v>
      </c>
      <c r="F67" s="637">
        <v>34</v>
      </c>
      <c r="G67" s="632">
        <f>IF(E67=0, "    ---- ", IF(ABS(ROUND(100/E67*F67-100,1))&lt;999,ROUND(100/E67*F67-100,1),IF(ROUND(100/E67*F67-100,1)&gt;999,999,-999)))</f>
        <v>-22.4</v>
      </c>
      <c r="H67" s="443"/>
      <c r="I67" s="637"/>
      <c r="J67" s="638"/>
      <c r="K67" s="443"/>
      <c r="L67" s="637"/>
      <c r="M67" s="637"/>
      <c r="N67" s="443"/>
      <c r="O67" s="637"/>
      <c r="P67" s="638"/>
      <c r="Q67" s="443"/>
      <c r="R67" s="637"/>
      <c r="S67" s="638"/>
      <c r="T67" s="443"/>
      <c r="U67" s="637"/>
      <c r="V67" s="638"/>
      <c r="W67" s="443">
        <v>7.9250243374435785</v>
      </c>
      <c r="X67" s="637">
        <v>10.839044202259762</v>
      </c>
      <c r="Y67" s="632">
        <f t="shared" si="8"/>
        <v>36.799999999999997</v>
      </c>
      <c r="Z67" s="443"/>
      <c r="AA67" s="637"/>
      <c r="AB67" s="638"/>
      <c r="AC67" s="443"/>
      <c r="AD67" s="637"/>
      <c r="AE67" s="638"/>
      <c r="AF67" s="443">
        <v>2.6139999999999999</v>
      </c>
      <c r="AG67" s="637">
        <v>4.6440000000000001</v>
      </c>
      <c r="AH67" s="632">
        <f>IF(AF67=0, "    ---- ", IF(ABS(ROUND(100/AF67*AG67-100,1))&lt;999,ROUND(100/AF67*AG67-100,1),IF(ROUND(100/AF67*AG67-100,1)&gt;999,999,-999)))</f>
        <v>77.7</v>
      </c>
      <c r="AI67" s="443">
        <v>48.37</v>
      </c>
      <c r="AJ67" s="637">
        <v>27.6</v>
      </c>
      <c r="AK67" s="638">
        <f>IF(AI67=0, "    ---- ", IF(ABS(ROUND(100/AI67*AJ67-100,1))&lt;999,ROUND(100/AI67*AJ67-100,1),IF(ROUND(100/AI67*AJ67-100,1)&gt;999,999,-999)))</f>
        <v>-42.9</v>
      </c>
      <c r="AL67" s="637">
        <f t="shared" si="3"/>
        <v>102.70902433744357</v>
      </c>
      <c r="AM67" s="637">
        <f t="shared" si="3"/>
        <v>77.083044202259771</v>
      </c>
      <c r="AN67" s="638">
        <f t="shared" si="6"/>
        <v>-25</v>
      </c>
      <c r="AO67" s="637">
        <f t="shared" si="4"/>
        <v>102.70902433744357</v>
      </c>
      <c r="AP67" s="637">
        <f t="shared" si="4"/>
        <v>77.083044202259771</v>
      </c>
      <c r="AQ67" s="638">
        <f t="shared" si="7"/>
        <v>-25</v>
      </c>
    </row>
    <row r="68" spans="1:43" s="602" customFormat="1" ht="18.75" customHeight="1" x14ac:dyDescent="0.3">
      <c r="A68" s="629" t="s">
        <v>383</v>
      </c>
      <c r="B68" s="443"/>
      <c r="C68" s="637"/>
      <c r="D68" s="637"/>
      <c r="E68" s="443"/>
      <c r="F68" s="637"/>
      <c r="G68" s="632"/>
      <c r="H68" s="443"/>
      <c r="I68" s="637"/>
      <c r="J68" s="638"/>
      <c r="K68" s="443"/>
      <c r="L68" s="637"/>
      <c r="M68" s="637"/>
      <c r="N68" s="443"/>
      <c r="O68" s="637"/>
      <c r="P68" s="638"/>
      <c r="Q68" s="443"/>
      <c r="R68" s="637"/>
      <c r="S68" s="638"/>
      <c r="T68" s="443"/>
      <c r="U68" s="637"/>
      <c r="V68" s="638"/>
      <c r="W68" s="443"/>
      <c r="X68" s="637"/>
      <c r="Y68" s="632"/>
      <c r="Z68" s="443"/>
      <c r="AA68" s="637"/>
      <c r="AB68" s="638"/>
      <c r="AC68" s="443"/>
      <c r="AD68" s="637"/>
      <c r="AE68" s="638"/>
      <c r="AF68" s="443"/>
      <c r="AG68" s="637"/>
      <c r="AH68" s="632"/>
      <c r="AI68" s="443"/>
      <c r="AJ68" s="637"/>
      <c r="AK68" s="638"/>
      <c r="AL68" s="637">
        <f t="shared" si="3"/>
        <v>0</v>
      </c>
      <c r="AM68" s="637">
        <f t="shared" si="3"/>
        <v>0</v>
      </c>
      <c r="AN68" s="638" t="str">
        <f t="shared" si="6"/>
        <v xml:space="preserve">    ---- </v>
      </c>
      <c r="AO68" s="637">
        <f t="shared" si="4"/>
        <v>0</v>
      </c>
      <c r="AP68" s="637">
        <f t="shared" si="4"/>
        <v>0</v>
      </c>
      <c r="AQ68" s="638" t="str">
        <f t="shared" si="7"/>
        <v xml:space="preserve">    ---- </v>
      </c>
    </row>
    <row r="69" spans="1:43" s="602" customFormat="1" ht="18.75" customHeight="1" x14ac:dyDescent="0.3">
      <c r="A69" s="629" t="s">
        <v>384</v>
      </c>
      <c r="B69" s="443"/>
      <c r="C69" s="637"/>
      <c r="D69" s="637"/>
      <c r="E69" s="443"/>
      <c r="F69" s="637"/>
      <c r="G69" s="632"/>
      <c r="H69" s="443"/>
      <c r="I69" s="637"/>
      <c r="J69" s="638"/>
      <c r="K69" s="443"/>
      <c r="L69" s="637"/>
      <c r="M69" s="637"/>
      <c r="N69" s="443"/>
      <c r="O69" s="637"/>
      <c r="P69" s="638"/>
      <c r="Q69" s="443"/>
      <c r="R69" s="637"/>
      <c r="S69" s="638"/>
      <c r="T69" s="443"/>
      <c r="U69" s="637"/>
      <c r="V69" s="638"/>
      <c r="W69" s="443"/>
      <c r="X69" s="637"/>
      <c r="Y69" s="632"/>
      <c r="Z69" s="443"/>
      <c r="AA69" s="637"/>
      <c r="AB69" s="638"/>
      <c r="AC69" s="443"/>
      <c r="AD69" s="637"/>
      <c r="AE69" s="638"/>
      <c r="AF69" s="443"/>
      <c r="AG69" s="637"/>
      <c r="AH69" s="632"/>
      <c r="AI69" s="443"/>
      <c r="AJ69" s="637"/>
      <c r="AK69" s="638"/>
      <c r="AL69" s="637">
        <f t="shared" si="3"/>
        <v>0</v>
      </c>
      <c r="AM69" s="637">
        <f t="shared" si="3"/>
        <v>0</v>
      </c>
      <c r="AN69" s="638" t="str">
        <f t="shared" si="6"/>
        <v xml:space="preserve">    ---- </v>
      </c>
      <c r="AO69" s="637">
        <f t="shared" si="4"/>
        <v>0</v>
      </c>
      <c r="AP69" s="637">
        <f t="shared" si="4"/>
        <v>0</v>
      </c>
      <c r="AQ69" s="638" t="str">
        <f t="shared" si="7"/>
        <v xml:space="preserve">    ---- </v>
      </c>
    </row>
    <row r="70" spans="1:43" s="636" customFormat="1" ht="18.75" customHeight="1" x14ac:dyDescent="0.3">
      <c r="A70" s="623" t="s">
        <v>385</v>
      </c>
      <c r="B70" s="624"/>
      <c r="C70" s="639"/>
      <c r="D70" s="639"/>
      <c r="E70" s="624">
        <v>520.31999999999994</v>
      </c>
      <c r="F70" s="639">
        <v>157</v>
      </c>
      <c r="G70" s="627">
        <f>IF(E70=0, "    ---- ", IF(ABS(ROUND(100/E70*F70-100,1))&lt;999,ROUND(100/E70*F70-100,1),IF(ROUND(100/E70*F70-100,1)&gt;999,999,-999)))</f>
        <v>-69.8</v>
      </c>
      <c r="H70" s="624"/>
      <c r="I70" s="639"/>
      <c r="J70" s="640"/>
      <c r="K70" s="624"/>
      <c r="L70" s="639"/>
      <c r="M70" s="639"/>
      <c r="N70" s="624"/>
      <c r="O70" s="639"/>
      <c r="P70" s="640"/>
      <c r="Q70" s="624"/>
      <c r="R70" s="639"/>
      <c r="S70" s="640"/>
      <c r="T70" s="624"/>
      <c r="U70" s="639"/>
      <c r="V70" s="640"/>
      <c r="W70" s="624">
        <v>13.87218470381724</v>
      </c>
      <c r="X70" s="639">
        <v>15.477632653442068</v>
      </c>
      <c r="Y70" s="627">
        <f t="shared" si="8"/>
        <v>11.6</v>
      </c>
      <c r="Z70" s="624"/>
      <c r="AA70" s="639"/>
      <c r="AB70" s="640"/>
      <c r="AC70" s="624"/>
      <c r="AD70" s="639"/>
      <c r="AE70" s="640"/>
      <c r="AF70" s="624">
        <v>137.869</v>
      </c>
      <c r="AG70" s="639">
        <v>75.848000000000013</v>
      </c>
      <c r="AH70" s="627">
        <f>IF(AF70=0, "    ---- ", IF(ABS(ROUND(100/AF70*AG70-100,1))&lt;999,ROUND(100/AF70*AG70-100,1),IF(ROUND(100/AF70*AG70-100,1)&gt;999,999,-999)))</f>
        <v>-45</v>
      </c>
      <c r="AI70" s="624">
        <v>158.97</v>
      </c>
      <c r="AJ70" s="639">
        <v>14.200000000000003</v>
      </c>
      <c r="AK70" s="640">
        <f>IF(AI70=0, "    ---- ", IF(ABS(ROUND(100/AI70*AJ70-100,1))&lt;999,ROUND(100/AI70*AJ70-100,1),IF(ROUND(100/AI70*AJ70-100,1)&gt;999,999,-999)))</f>
        <v>-91.1</v>
      </c>
      <c r="AL70" s="639">
        <f t="shared" si="3"/>
        <v>831.03118470381719</v>
      </c>
      <c r="AM70" s="639">
        <f t="shared" si="3"/>
        <v>262.52563265344207</v>
      </c>
      <c r="AN70" s="640">
        <f t="shared" si="6"/>
        <v>-68.400000000000006</v>
      </c>
      <c r="AO70" s="639">
        <f t="shared" si="4"/>
        <v>831.03118470381719</v>
      </c>
      <c r="AP70" s="639">
        <f t="shared" si="4"/>
        <v>262.52563265344207</v>
      </c>
      <c r="AQ70" s="640">
        <f t="shared" si="7"/>
        <v>-68.400000000000006</v>
      </c>
    </row>
    <row r="71" spans="1:43" s="602" customFormat="1" ht="18.75" customHeight="1" x14ac:dyDescent="0.3">
      <c r="A71" s="629" t="s">
        <v>386</v>
      </c>
      <c r="B71" s="443"/>
      <c r="C71" s="637"/>
      <c r="D71" s="637"/>
      <c r="E71" s="443">
        <v>338.22</v>
      </c>
      <c r="F71" s="637">
        <v>109</v>
      </c>
      <c r="G71" s="632">
        <f>IF(E71=0, "    ---- ", IF(ABS(ROUND(100/E71*F71-100,1))&lt;999,ROUND(100/E71*F71-100,1),IF(ROUND(100/E71*F71-100,1)&gt;999,999,-999)))</f>
        <v>-67.8</v>
      </c>
      <c r="H71" s="443"/>
      <c r="I71" s="637"/>
      <c r="J71" s="638"/>
      <c r="K71" s="443"/>
      <c r="L71" s="637"/>
      <c r="M71" s="637"/>
      <c r="N71" s="443"/>
      <c r="O71" s="637"/>
      <c r="P71" s="638"/>
      <c r="Q71" s="443"/>
      <c r="R71" s="637"/>
      <c r="S71" s="638"/>
      <c r="T71" s="443"/>
      <c r="U71" s="637"/>
      <c r="V71" s="638"/>
      <c r="W71" s="443">
        <v>9.0169200574812063</v>
      </c>
      <c r="X71" s="637">
        <v>10.060461224737342</v>
      </c>
      <c r="Y71" s="632">
        <f t="shared" si="8"/>
        <v>11.6</v>
      </c>
      <c r="Z71" s="443"/>
      <c r="AA71" s="637"/>
      <c r="AB71" s="638"/>
      <c r="AC71" s="443"/>
      <c r="AD71" s="637"/>
      <c r="AE71" s="638"/>
      <c r="AF71" s="443">
        <v>89.614999999999995</v>
      </c>
      <c r="AG71" s="637">
        <v>49.301000000000002</v>
      </c>
      <c r="AH71" s="632">
        <f>IF(AF71=0, "    ---- ", IF(ABS(ROUND(100/AF71*AG71-100,1))&lt;999,ROUND(100/AF71*AG71-100,1),IF(ROUND(100/AF71*AG71-100,1)&gt;999,999,-999)))</f>
        <v>-45</v>
      </c>
      <c r="AI71" s="443">
        <v>136.31</v>
      </c>
      <c r="AJ71" s="637">
        <v>4.0999999999999996</v>
      </c>
      <c r="AK71" s="638">
        <f>IF(AI71=0, "    ---- ", IF(ABS(ROUND(100/AI71*AJ71-100,1))&lt;999,ROUND(100/AI71*AJ71-100,1),IF(ROUND(100/AI71*AJ71-100,1)&gt;999,999,-999)))</f>
        <v>-97</v>
      </c>
      <c r="AL71" s="637">
        <f t="shared" si="3"/>
        <v>573.16192005748121</v>
      </c>
      <c r="AM71" s="637">
        <f t="shared" si="3"/>
        <v>172.46146122473735</v>
      </c>
      <c r="AN71" s="638">
        <f t="shared" si="6"/>
        <v>-69.900000000000006</v>
      </c>
      <c r="AO71" s="637">
        <f t="shared" si="4"/>
        <v>573.16192005748121</v>
      </c>
      <c r="AP71" s="637">
        <f t="shared" si="4"/>
        <v>172.46146122473735</v>
      </c>
      <c r="AQ71" s="638">
        <f t="shared" si="7"/>
        <v>-69.900000000000006</v>
      </c>
    </row>
    <row r="72" spans="1:43" s="602" customFormat="1" ht="18.75" customHeight="1" x14ac:dyDescent="0.3">
      <c r="A72" s="629" t="s">
        <v>387</v>
      </c>
      <c r="B72" s="443"/>
      <c r="C72" s="637"/>
      <c r="D72" s="637"/>
      <c r="E72" s="443">
        <v>182.12</v>
      </c>
      <c r="F72" s="637">
        <v>48</v>
      </c>
      <c r="G72" s="632">
        <f>IF(E72=0, "    ---- ", IF(ABS(ROUND(100/E72*F72-100,1))&lt;999,ROUND(100/E72*F72-100,1),IF(ROUND(100/E72*F72-100,1)&gt;999,999,-999)))</f>
        <v>-73.599999999999994</v>
      </c>
      <c r="H72" s="443"/>
      <c r="I72" s="637"/>
      <c r="J72" s="638"/>
      <c r="K72" s="443"/>
      <c r="L72" s="637"/>
      <c r="M72" s="637"/>
      <c r="N72" s="443"/>
      <c r="O72" s="637"/>
      <c r="P72" s="638"/>
      <c r="Q72" s="443"/>
      <c r="R72" s="637"/>
      <c r="S72" s="638"/>
      <c r="T72" s="443"/>
      <c r="U72" s="637"/>
      <c r="V72" s="638"/>
      <c r="W72" s="443">
        <v>4.8552646463360336</v>
      </c>
      <c r="X72" s="637">
        <v>5.4171714287047266</v>
      </c>
      <c r="Y72" s="632">
        <f t="shared" si="8"/>
        <v>11.6</v>
      </c>
      <c r="Z72" s="443"/>
      <c r="AA72" s="637"/>
      <c r="AB72" s="638"/>
      <c r="AC72" s="443"/>
      <c r="AD72" s="637"/>
      <c r="AE72" s="638"/>
      <c r="AF72" s="443">
        <v>48.253999999999998</v>
      </c>
      <c r="AG72" s="637">
        <v>26.547000000000001</v>
      </c>
      <c r="AH72" s="632">
        <f>IF(AF72=0, "    ---- ", IF(ABS(ROUND(100/AF72*AG72-100,1))&lt;999,ROUND(100/AF72*AG72-100,1),IF(ROUND(100/AF72*AG72-100,1)&gt;999,999,-999)))</f>
        <v>-45</v>
      </c>
      <c r="AI72" s="443">
        <v>22.66</v>
      </c>
      <c r="AJ72" s="637">
        <v>10.1</v>
      </c>
      <c r="AK72" s="638">
        <f>IF(AI72=0, "    ---- ", IF(ABS(ROUND(100/AI72*AJ72-100,1))&lt;999,ROUND(100/AI72*AJ72-100,1),IF(ROUND(100/AI72*AJ72-100,1)&gt;999,999,-999)))</f>
        <v>-55.4</v>
      </c>
      <c r="AL72" s="637">
        <f t="shared" si="3"/>
        <v>257.88926464633602</v>
      </c>
      <c r="AM72" s="637">
        <f t="shared" si="3"/>
        <v>90.064171428704725</v>
      </c>
      <c r="AN72" s="638">
        <f t="shared" si="6"/>
        <v>-65.099999999999994</v>
      </c>
      <c r="AO72" s="637">
        <f t="shared" si="4"/>
        <v>257.88926464633602</v>
      </c>
      <c r="AP72" s="637">
        <f t="shared" si="4"/>
        <v>90.064171428704725</v>
      </c>
      <c r="AQ72" s="638">
        <f t="shared" si="7"/>
        <v>-65.099999999999994</v>
      </c>
    </row>
    <row r="73" spans="1:43" s="636" customFormat="1" ht="18.75" customHeight="1" x14ac:dyDescent="0.3">
      <c r="A73" s="623" t="s">
        <v>392</v>
      </c>
      <c r="B73" s="624"/>
      <c r="C73" s="639"/>
      <c r="D73" s="639"/>
      <c r="E73" s="624"/>
      <c r="F73" s="639"/>
      <c r="G73" s="627"/>
      <c r="H73" s="624"/>
      <c r="I73" s="639"/>
      <c r="J73" s="640"/>
      <c r="K73" s="624"/>
      <c r="L73" s="639"/>
      <c r="M73" s="639"/>
      <c r="N73" s="624"/>
      <c r="O73" s="639"/>
      <c r="P73" s="640"/>
      <c r="Q73" s="624"/>
      <c r="R73" s="639"/>
      <c r="S73" s="640"/>
      <c r="T73" s="624"/>
      <c r="U73" s="639"/>
      <c r="V73" s="640"/>
      <c r="W73" s="624"/>
      <c r="X73" s="639"/>
      <c r="Y73" s="627"/>
      <c r="Z73" s="624"/>
      <c r="AA73" s="639"/>
      <c r="AB73" s="640"/>
      <c r="AC73" s="624"/>
      <c r="AD73" s="639"/>
      <c r="AE73" s="640"/>
      <c r="AF73" s="624"/>
      <c r="AG73" s="639"/>
      <c r="AH73" s="627"/>
      <c r="AI73" s="624"/>
      <c r="AJ73" s="639"/>
      <c r="AK73" s="640"/>
      <c r="AL73" s="639">
        <f t="shared" si="3"/>
        <v>0</v>
      </c>
      <c r="AM73" s="639">
        <f t="shared" si="3"/>
        <v>0</v>
      </c>
      <c r="AN73" s="640"/>
      <c r="AO73" s="639">
        <f t="shared" si="4"/>
        <v>0</v>
      </c>
      <c r="AP73" s="639">
        <f t="shared" si="4"/>
        <v>0</v>
      </c>
      <c r="AQ73" s="640"/>
    </row>
    <row r="74" spans="1:43" s="602" customFormat="1" ht="18.75" customHeight="1" x14ac:dyDescent="0.3">
      <c r="A74" s="629" t="s">
        <v>377</v>
      </c>
      <c r="B74" s="443">
        <v>0</v>
      </c>
      <c r="C74" s="637">
        <v>0.49299999999999999</v>
      </c>
      <c r="D74" s="632" t="str">
        <f>IF(B74=0, "    ---- ", IF(ABS(ROUND(100/B74*C74-100,1))&lt;999,ROUND(100/B74*C74-100,1),IF(ROUND(100/B74*C74-100,1)&gt;999,999,-999)))</f>
        <v xml:space="preserve">    ---- </v>
      </c>
      <c r="E74" s="443">
        <v>80.272999999999996</v>
      </c>
      <c r="F74" s="637">
        <v>26</v>
      </c>
      <c r="G74" s="632">
        <f t="shared" ref="G74:G79" si="9">IF(E74=0, "    ---- ", IF(ABS(ROUND(100/E74*F74-100,1))&lt;999,ROUND(100/E74*F74-100,1),IF(ROUND(100/E74*F74-100,1)&gt;999,999,-999)))</f>
        <v>-67.599999999999994</v>
      </c>
      <c r="H74" s="443"/>
      <c r="I74" s="637"/>
      <c r="J74" s="638"/>
      <c r="K74" s="443"/>
      <c r="L74" s="637"/>
      <c r="M74" s="637"/>
      <c r="N74" s="443"/>
      <c r="O74" s="637"/>
      <c r="P74" s="638"/>
      <c r="Q74" s="443"/>
      <c r="R74" s="637"/>
      <c r="S74" s="638"/>
      <c r="T74" s="443"/>
      <c r="U74" s="637"/>
      <c r="V74" s="638"/>
      <c r="W74" s="443">
        <v>10.712833521566811</v>
      </c>
      <c r="X74" s="637">
        <v>12.437762684076162</v>
      </c>
      <c r="Y74" s="632">
        <f t="shared" si="8"/>
        <v>16.100000000000001</v>
      </c>
      <c r="Z74" s="443"/>
      <c r="AA74" s="637"/>
      <c r="AB74" s="638"/>
      <c r="AC74" s="443"/>
      <c r="AD74" s="637"/>
      <c r="AE74" s="638"/>
      <c r="AF74" s="443">
        <v>3.1869999999999998</v>
      </c>
      <c r="AG74" s="637">
        <v>0.89600000000000002</v>
      </c>
      <c r="AH74" s="632">
        <f>IF(AF74=0, "    ---- ", IF(ABS(ROUND(100/AF74*AG74-100,1))&lt;999,ROUND(100/AF74*AG74-100,1),IF(ROUND(100/AF74*AG74-100,1)&gt;999,999,-999)))</f>
        <v>-71.900000000000006</v>
      </c>
      <c r="AI74" s="443"/>
      <c r="AJ74" s="637"/>
      <c r="AK74" s="638"/>
      <c r="AL74" s="637">
        <f t="shared" si="3"/>
        <v>94.172833521566801</v>
      </c>
      <c r="AM74" s="637">
        <f t="shared" si="3"/>
        <v>39.826762684076158</v>
      </c>
      <c r="AN74" s="638">
        <f t="shared" si="6"/>
        <v>-57.7</v>
      </c>
      <c r="AO74" s="637">
        <f t="shared" si="4"/>
        <v>94.172833521566801</v>
      </c>
      <c r="AP74" s="637">
        <f t="shared" si="4"/>
        <v>39.826762684076158</v>
      </c>
      <c r="AQ74" s="638">
        <f t="shared" si="7"/>
        <v>-57.7</v>
      </c>
    </row>
    <row r="75" spans="1:43" s="602" customFormat="1" ht="18.75" customHeight="1" x14ac:dyDescent="0.3">
      <c r="A75" s="629" t="s">
        <v>378</v>
      </c>
      <c r="B75" s="443"/>
      <c r="C75" s="637"/>
      <c r="D75" s="637"/>
      <c r="E75" s="443">
        <v>-9</v>
      </c>
      <c r="F75" s="637">
        <v>0</v>
      </c>
      <c r="G75" s="632">
        <f t="shared" si="9"/>
        <v>-100</v>
      </c>
      <c r="H75" s="443"/>
      <c r="I75" s="637"/>
      <c r="J75" s="638"/>
      <c r="K75" s="443"/>
      <c r="L75" s="637"/>
      <c r="M75" s="637"/>
      <c r="N75" s="443"/>
      <c r="O75" s="637"/>
      <c r="P75" s="638"/>
      <c r="Q75" s="443"/>
      <c r="R75" s="637"/>
      <c r="S75" s="638"/>
      <c r="T75" s="443"/>
      <c r="U75" s="637"/>
      <c r="V75" s="638"/>
      <c r="W75" s="443">
        <v>-10.604275742889762</v>
      </c>
      <c r="X75" s="637">
        <v>-12.296146215851744</v>
      </c>
      <c r="Y75" s="632">
        <f t="shared" si="8"/>
        <v>16</v>
      </c>
      <c r="Z75" s="443"/>
      <c r="AA75" s="637"/>
      <c r="AB75" s="638"/>
      <c r="AC75" s="443"/>
      <c r="AD75" s="637"/>
      <c r="AE75" s="638"/>
      <c r="AF75" s="443">
        <v>-3.1859999999999999</v>
      </c>
      <c r="AG75" s="637">
        <v>-0.89700000000000002</v>
      </c>
      <c r="AH75" s="632">
        <f>IF(AF75=0, "    ---- ", IF(ABS(ROUND(100/AF75*AG75-100,1))&lt;999,ROUND(100/AF75*AG75-100,1),IF(ROUND(100/AF75*AG75-100,1)&gt;999,999,-999)))</f>
        <v>-71.8</v>
      </c>
      <c r="AI75" s="443"/>
      <c r="AJ75" s="637"/>
      <c r="AK75" s="638"/>
      <c r="AL75" s="637">
        <f t="shared" si="3"/>
        <v>-22.790275742889762</v>
      </c>
      <c r="AM75" s="637">
        <f t="shared" si="3"/>
        <v>-13.193146215851744</v>
      </c>
      <c r="AN75" s="638">
        <f t="shared" si="6"/>
        <v>-42.1</v>
      </c>
      <c r="AO75" s="637">
        <f t="shared" si="4"/>
        <v>-22.790275742889762</v>
      </c>
      <c r="AP75" s="637">
        <f t="shared" si="4"/>
        <v>-13.193146215851744</v>
      </c>
      <c r="AQ75" s="638">
        <f t="shared" si="7"/>
        <v>-42.1</v>
      </c>
    </row>
    <row r="76" spans="1:43" s="602" customFormat="1" ht="18.75" customHeight="1" x14ac:dyDescent="0.3">
      <c r="A76" s="629" t="s">
        <v>379</v>
      </c>
      <c r="B76" s="443">
        <v>-0.65400000000000003</v>
      </c>
      <c r="C76" s="637">
        <v>-0.69499999999999995</v>
      </c>
      <c r="D76" s="632">
        <f>IF(B76=0, "    ---- ", IF(ABS(ROUND(100/B76*C76-100,1))&lt;999,ROUND(100/B76*C76-100,1),IF(ROUND(100/B76*C76-100,1)&gt;999,999,-999)))</f>
        <v>6.3</v>
      </c>
      <c r="E76" s="443">
        <v>9.16</v>
      </c>
      <c r="F76" s="637">
        <v>12</v>
      </c>
      <c r="G76" s="632">
        <f t="shared" si="9"/>
        <v>31</v>
      </c>
      <c r="H76" s="443"/>
      <c r="I76" s="637"/>
      <c r="J76" s="638"/>
      <c r="K76" s="443"/>
      <c r="L76" s="637"/>
      <c r="M76" s="637"/>
      <c r="N76" s="443"/>
      <c r="O76" s="637"/>
      <c r="P76" s="638"/>
      <c r="Q76" s="443"/>
      <c r="R76" s="637"/>
      <c r="S76" s="638"/>
      <c r="T76" s="443"/>
      <c r="U76" s="637"/>
      <c r="V76" s="638"/>
      <c r="W76" s="443">
        <v>2.0469455793044866</v>
      </c>
      <c r="X76" s="637">
        <v>2.0652886690246737</v>
      </c>
      <c r="Y76" s="632">
        <f t="shared" si="8"/>
        <v>0.9</v>
      </c>
      <c r="Z76" s="443"/>
      <c r="AA76" s="637"/>
      <c r="AB76" s="638"/>
      <c r="AC76" s="443"/>
      <c r="AD76" s="637"/>
      <c r="AE76" s="638"/>
      <c r="AF76" s="443">
        <v>0.17799999999999999</v>
      </c>
      <c r="AG76" s="637">
        <v>9.2999999999999999E-2</v>
      </c>
      <c r="AH76" s="632">
        <f>IF(AF76=0, "    ---- ", IF(ABS(ROUND(100/AF76*AG76-100,1))&lt;999,ROUND(100/AF76*AG76-100,1),IF(ROUND(100/AF76*AG76-100,1)&gt;999,999,-999)))</f>
        <v>-47.8</v>
      </c>
      <c r="AI76" s="443"/>
      <c r="AJ76" s="637"/>
      <c r="AK76" s="638"/>
      <c r="AL76" s="637">
        <f t="shared" si="3"/>
        <v>10.730945579304487</v>
      </c>
      <c r="AM76" s="637">
        <f t="shared" si="3"/>
        <v>13.463288669024674</v>
      </c>
      <c r="AN76" s="638">
        <f t="shared" si="6"/>
        <v>25.5</v>
      </c>
      <c r="AO76" s="637">
        <f t="shared" si="4"/>
        <v>10.730945579304487</v>
      </c>
      <c r="AP76" s="637">
        <f t="shared" si="4"/>
        <v>13.463288669024674</v>
      </c>
      <c r="AQ76" s="638">
        <f t="shared" si="7"/>
        <v>25.5</v>
      </c>
    </row>
    <row r="77" spans="1:43" s="602" customFormat="1" ht="18.75" customHeight="1" x14ac:dyDescent="0.3">
      <c r="A77" s="629" t="s">
        <v>380</v>
      </c>
      <c r="B77" s="443"/>
      <c r="C77" s="637"/>
      <c r="D77" s="637"/>
      <c r="E77" s="443">
        <v>0.35</v>
      </c>
      <c r="F77" s="637">
        <v>0</v>
      </c>
      <c r="G77" s="632">
        <f t="shared" si="9"/>
        <v>-100</v>
      </c>
      <c r="H77" s="443"/>
      <c r="I77" s="637"/>
      <c r="J77" s="638"/>
      <c r="K77" s="443"/>
      <c r="L77" s="637"/>
      <c r="M77" s="637"/>
      <c r="N77" s="443"/>
      <c r="O77" s="637"/>
      <c r="P77" s="638"/>
      <c r="Q77" s="443"/>
      <c r="R77" s="637"/>
      <c r="S77" s="638"/>
      <c r="T77" s="443"/>
      <c r="U77" s="637"/>
      <c r="V77" s="638"/>
      <c r="W77" s="443"/>
      <c r="X77" s="637"/>
      <c r="Y77" s="632"/>
      <c r="Z77" s="443"/>
      <c r="AA77" s="637"/>
      <c r="AB77" s="638"/>
      <c r="AC77" s="443"/>
      <c r="AD77" s="637"/>
      <c r="AE77" s="638"/>
      <c r="AF77" s="443"/>
      <c r="AG77" s="637"/>
      <c r="AH77" s="632"/>
      <c r="AI77" s="443"/>
      <c r="AJ77" s="637"/>
      <c r="AK77" s="638"/>
      <c r="AL77" s="637">
        <f t="shared" ref="AL77:AM108" si="10">B77+E77+H77+K77+Q77+T77+W77+Z77+AF77+AI77</f>
        <v>0.35</v>
      </c>
      <c r="AM77" s="637">
        <f t="shared" si="10"/>
        <v>0</v>
      </c>
      <c r="AN77" s="638">
        <f t="shared" si="6"/>
        <v>-100</v>
      </c>
      <c r="AO77" s="637">
        <f t="shared" ref="AO77:AP108" si="11">+B77+E77+H77+K77+N77+Q77+T77+W77+Z77+AC77+AF77+AI77</f>
        <v>0.35</v>
      </c>
      <c r="AP77" s="637">
        <f t="shared" si="11"/>
        <v>0</v>
      </c>
      <c r="AQ77" s="638">
        <f t="shared" si="7"/>
        <v>-100</v>
      </c>
    </row>
    <row r="78" spans="1:43" s="602" customFormat="1" ht="18.75" customHeight="1" x14ac:dyDescent="0.3">
      <c r="A78" s="629" t="s">
        <v>381</v>
      </c>
      <c r="B78" s="443"/>
      <c r="C78" s="637"/>
      <c r="D78" s="637"/>
      <c r="E78" s="443">
        <v>19.13</v>
      </c>
      <c r="F78" s="637">
        <v>19</v>
      </c>
      <c r="G78" s="632">
        <f t="shared" si="9"/>
        <v>-0.7</v>
      </c>
      <c r="H78" s="443"/>
      <c r="I78" s="637"/>
      <c r="J78" s="638"/>
      <c r="K78" s="443"/>
      <c r="L78" s="637"/>
      <c r="M78" s="637"/>
      <c r="N78" s="443"/>
      <c r="O78" s="637"/>
      <c r="P78" s="638"/>
      <c r="Q78" s="443"/>
      <c r="R78" s="637"/>
      <c r="S78" s="638"/>
      <c r="T78" s="443"/>
      <c r="U78" s="637"/>
      <c r="V78" s="638"/>
      <c r="W78" s="443">
        <v>2.1221030166666668</v>
      </c>
      <c r="X78" s="637">
        <v>2.0923584833333337</v>
      </c>
      <c r="Y78" s="632">
        <f t="shared" si="8"/>
        <v>-1.4</v>
      </c>
      <c r="Z78" s="443"/>
      <c r="AA78" s="637"/>
      <c r="AB78" s="638"/>
      <c r="AC78" s="443"/>
      <c r="AD78" s="637"/>
      <c r="AE78" s="638"/>
      <c r="AF78" s="443">
        <v>0.627</v>
      </c>
      <c r="AG78" s="637">
        <v>0.51600000000000001</v>
      </c>
      <c r="AH78" s="632">
        <f>IF(AF78=0, "    ---- ", IF(ABS(ROUND(100/AF78*AG78-100,1))&lt;999,ROUND(100/AF78*AG78-100,1),IF(ROUND(100/AF78*AG78-100,1)&gt;999,999,-999)))</f>
        <v>-17.7</v>
      </c>
      <c r="AI78" s="443"/>
      <c r="AJ78" s="637"/>
      <c r="AK78" s="638"/>
      <c r="AL78" s="637">
        <f t="shared" si="10"/>
        <v>21.879103016666665</v>
      </c>
      <c r="AM78" s="637">
        <f t="shared" si="10"/>
        <v>21.608358483333333</v>
      </c>
      <c r="AN78" s="638">
        <f t="shared" si="6"/>
        <v>-1.2</v>
      </c>
      <c r="AO78" s="637">
        <f t="shared" si="11"/>
        <v>21.879103016666665</v>
      </c>
      <c r="AP78" s="637">
        <f t="shared" si="11"/>
        <v>21.608358483333333</v>
      </c>
      <c r="AQ78" s="638">
        <f t="shared" si="7"/>
        <v>-1.2</v>
      </c>
    </row>
    <row r="79" spans="1:43" s="602" customFormat="1" ht="18.75" customHeight="1" x14ac:dyDescent="0.3">
      <c r="A79" s="629" t="s">
        <v>382</v>
      </c>
      <c r="B79" s="443">
        <v>-1.55</v>
      </c>
      <c r="C79" s="637">
        <v>3.6669999999999998</v>
      </c>
      <c r="D79" s="632">
        <f>IF(B79=0, "    ---- ", IF(ABS(ROUND(100/B79*C79-100,1))&lt;999,ROUND(100/B79*C79-100,1),IF(ROUND(100/B79*C79-100,1)&gt;999,999,-999)))</f>
        <v>-336.6</v>
      </c>
      <c r="E79" s="443">
        <v>2.64</v>
      </c>
      <c r="F79" s="637">
        <v>2</v>
      </c>
      <c r="G79" s="632">
        <f t="shared" si="9"/>
        <v>-24.2</v>
      </c>
      <c r="H79" s="443"/>
      <c r="I79" s="637"/>
      <c r="J79" s="638"/>
      <c r="K79" s="443"/>
      <c r="L79" s="637"/>
      <c r="M79" s="637"/>
      <c r="N79" s="443"/>
      <c r="O79" s="637"/>
      <c r="P79" s="638"/>
      <c r="Q79" s="443"/>
      <c r="R79" s="637"/>
      <c r="S79" s="638"/>
      <c r="T79" s="443"/>
      <c r="U79" s="637"/>
      <c r="V79" s="638"/>
      <c r="W79" s="443">
        <v>0.20346331234932866</v>
      </c>
      <c r="X79" s="637">
        <v>0.80095726972854575</v>
      </c>
      <c r="Y79" s="632">
        <f t="shared" si="8"/>
        <v>293.7</v>
      </c>
      <c r="Z79" s="443"/>
      <c r="AA79" s="637"/>
      <c r="AB79" s="638"/>
      <c r="AC79" s="443"/>
      <c r="AD79" s="637"/>
      <c r="AE79" s="638"/>
      <c r="AF79" s="443">
        <v>-0.29599999999999999</v>
      </c>
      <c r="AG79" s="637">
        <v>-0.48899999999999999</v>
      </c>
      <c r="AH79" s="632">
        <f>IF(AF79=0, "    ---- ", IF(ABS(ROUND(100/AF79*AG79-100,1))&lt;999,ROUND(100/AF79*AG79-100,1),IF(ROUND(100/AF79*AG79-100,1)&gt;999,999,-999)))</f>
        <v>65.2</v>
      </c>
      <c r="AI79" s="443"/>
      <c r="AJ79" s="637"/>
      <c r="AK79" s="638"/>
      <c r="AL79" s="637">
        <f t="shared" si="10"/>
        <v>0.99746331234932861</v>
      </c>
      <c r="AM79" s="637">
        <f t="shared" si="10"/>
        <v>5.9789572697285456</v>
      </c>
      <c r="AN79" s="638">
        <f t="shared" si="6"/>
        <v>499.4</v>
      </c>
      <c r="AO79" s="637">
        <f t="shared" si="11"/>
        <v>0.99746331234932861</v>
      </c>
      <c r="AP79" s="637">
        <f t="shared" si="11"/>
        <v>5.9789572697285456</v>
      </c>
      <c r="AQ79" s="638">
        <f t="shared" si="7"/>
        <v>499.4</v>
      </c>
    </row>
    <row r="80" spans="1:43" s="602" customFormat="1" ht="18.75" customHeight="1" x14ac:dyDescent="0.3">
      <c r="A80" s="629" t="s">
        <v>383</v>
      </c>
      <c r="B80" s="443"/>
      <c r="C80" s="637"/>
      <c r="D80" s="637"/>
      <c r="E80" s="443"/>
      <c r="F80" s="637"/>
      <c r="G80" s="632"/>
      <c r="H80" s="443"/>
      <c r="I80" s="637"/>
      <c r="J80" s="638"/>
      <c r="K80" s="443"/>
      <c r="L80" s="637"/>
      <c r="M80" s="637"/>
      <c r="N80" s="443"/>
      <c r="O80" s="637"/>
      <c r="P80" s="638"/>
      <c r="Q80" s="443"/>
      <c r="R80" s="637"/>
      <c r="S80" s="638"/>
      <c r="T80" s="443"/>
      <c r="U80" s="637"/>
      <c r="V80" s="638"/>
      <c r="W80" s="443">
        <v>2.6710954795467443</v>
      </c>
      <c r="X80" s="637">
        <v>3.2131905826354354</v>
      </c>
      <c r="Y80" s="632">
        <f t="shared" si="8"/>
        <v>20.3</v>
      </c>
      <c r="Z80" s="443"/>
      <c r="AA80" s="637"/>
      <c r="AB80" s="638"/>
      <c r="AC80" s="443"/>
      <c r="AD80" s="637"/>
      <c r="AE80" s="638"/>
      <c r="AF80" s="443"/>
      <c r="AG80" s="637"/>
      <c r="AH80" s="632"/>
      <c r="AI80" s="443"/>
      <c r="AJ80" s="637"/>
      <c r="AK80" s="638"/>
      <c r="AL80" s="637">
        <f t="shared" si="10"/>
        <v>2.6710954795467443</v>
      </c>
      <c r="AM80" s="637">
        <f t="shared" si="10"/>
        <v>3.2131905826354354</v>
      </c>
      <c r="AN80" s="638">
        <f t="shared" si="6"/>
        <v>20.3</v>
      </c>
      <c r="AO80" s="637">
        <f t="shared" si="11"/>
        <v>2.6710954795467443</v>
      </c>
      <c r="AP80" s="637">
        <f t="shared" si="11"/>
        <v>3.2131905826354354</v>
      </c>
      <c r="AQ80" s="638">
        <f t="shared" si="7"/>
        <v>20.3</v>
      </c>
    </row>
    <row r="81" spans="1:43" s="602" customFormat="1" ht="18.75" customHeight="1" x14ac:dyDescent="0.3">
      <c r="A81" s="629" t="s">
        <v>384</v>
      </c>
      <c r="B81" s="443"/>
      <c r="C81" s="637"/>
      <c r="D81" s="637"/>
      <c r="E81" s="443"/>
      <c r="F81" s="637"/>
      <c r="G81" s="632"/>
      <c r="H81" s="443"/>
      <c r="I81" s="637"/>
      <c r="J81" s="638"/>
      <c r="K81" s="443"/>
      <c r="L81" s="637"/>
      <c r="M81" s="637"/>
      <c r="N81" s="443"/>
      <c r="O81" s="637"/>
      <c r="P81" s="638"/>
      <c r="Q81" s="443"/>
      <c r="R81" s="637"/>
      <c r="S81" s="638"/>
      <c r="T81" s="443"/>
      <c r="U81" s="637"/>
      <c r="V81" s="638"/>
      <c r="W81" s="443"/>
      <c r="X81" s="637"/>
      <c r="Y81" s="632"/>
      <c r="Z81" s="443"/>
      <c r="AA81" s="637"/>
      <c r="AB81" s="638"/>
      <c r="AC81" s="443"/>
      <c r="AD81" s="637"/>
      <c r="AE81" s="638"/>
      <c r="AF81" s="443"/>
      <c r="AG81" s="637"/>
      <c r="AH81" s="632"/>
      <c r="AI81" s="443"/>
      <c r="AJ81" s="637"/>
      <c r="AK81" s="638"/>
      <c r="AL81" s="637">
        <f t="shared" si="10"/>
        <v>0</v>
      </c>
      <c r="AM81" s="637">
        <f t="shared" si="10"/>
        <v>0</v>
      </c>
      <c r="AN81" s="638" t="str">
        <f t="shared" si="6"/>
        <v xml:space="preserve">    ---- </v>
      </c>
      <c r="AO81" s="637">
        <f t="shared" si="11"/>
        <v>0</v>
      </c>
      <c r="AP81" s="637">
        <f t="shared" si="11"/>
        <v>0</v>
      </c>
      <c r="AQ81" s="638" t="str">
        <f t="shared" si="7"/>
        <v xml:space="preserve">    ---- </v>
      </c>
    </row>
    <row r="82" spans="1:43" s="636" customFormat="1" ht="18.75" customHeight="1" x14ac:dyDescent="0.3">
      <c r="A82" s="623" t="s">
        <v>385</v>
      </c>
      <c r="B82" s="624">
        <v>-2.2040000000000002</v>
      </c>
      <c r="C82" s="639">
        <v>3.4649999999999999</v>
      </c>
      <c r="D82" s="632">
        <f>IF(B82=0, "    ---- ", IF(ABS(ROUND(100/B82*C82-100,1))&lt;999,ROUND(100/B82*C82-100,1),IF(ROUND(100/B82*C82-100,1)&gt;999,999,-999)))</f>
        <v>-257.2</v>
      </c>
      <c r="E82" s="624">
        <v>102.55299999999998</v>
      </c>
      <c r="F82" s="639">
        <v>59</v>
      </c>
      <c r="G82" s="627">
        <f>IF(E82=0, "    ---- ", IF(ABS(ROUND(100/E82*F82-100,1))&lt;999,ROUND(100/E82*F82-100,1),IF(ROUND(100/E82*F82-100,1)&gt;999,999,-999)))</f>
        <v>-42.5</v>
      </c>
      <c r="H82" s="624"/>
      <c r="I82" s="639"/>
      <c r="J82" s="640"/>
      <c r="K82" s="624"/>
      <c r="L82" s="639"/>
      <c r="M82" s="639"/>
      <c r="N82" s="624"/>
      <c r="O82" s="639"/>
      <c r="P82" s="640"/>
      <c r="Q82" s="624"/>
      <c r="R82" s="639"/>
      <c r="S82" s="640"/>
      <c r="T82" s="624"/>
      <c r="U82" s="639"/>
      <c r="V82" s="640"/>
      <c r="W82" s="624">
        <v>4.4810696869975315</v>
      </c>
      <c r="X82" s="639">
        <v>5.1002208903109718</v>
      </c>
      <c r="Y82" s="627">
        <f t="shared" si="8"/>
        <v>13.8</v>
      </c>
      <c r="Z82" s="624"/>
      <c r="AA82" s="639"/>
      <c r="AB82" s="640"/>
      <c r="AC82" s="624"/>
      <c r="AD82" s="639"/>
      <c r="AE82" s="640"/>
      <c r="AF82" s="624">
        <v>0.50999999999999979</v>
      </c>
      <c r="AG82" s="639">
        <v>0.11899999999999999</v>
      </c>
      <c r="AH82" s="627">
        <f>IF(AF82=0, "    ---- ", IF(ABS(ROUND(100/AF82*AG82-100,1))&lt;999,ROUND(100/AF82*AG82-100,1),IF(ROUND(100/AF82*AG82-100,1)&gt;999,999,-999)))</f>
        <v>-76.7</v>
      </c>
      <c r="AI82" s="624"/>
      <c r="AJ82" s="639"/>
      <c r="AK82" s="640"/>
      <c r="AL82" s="639">
        <f t="shared" si="10"/>
        <v>105.34006968699752</v>
      </c>
      <c r="AM82" s="639">
        <f t="shared" si="10"/>
        <v>67.684220890310968</v>
      </c>
      <c r="AN82" s="640">
        <f t="shared" si="6"/>
        <v>-35.700000000000003</v>
      </c>
      <c r="AO82" s="639">
        <f t="shared" si="11"/>
        <v>105.34006968699752</v>
      </c>
      <c r="AP82" s="639">
        <f t="shared" si="11"/>
        <v>67.684220890310968</v>
      </c>
      <c r="AQ82" s="640">
        <f t="shared" si="7"/>
        <v>-35.700000000000003</v>
      </c>
    </row>
    <row r="83" spans="1:43" s="602" customFormat="1" ht="18.75" customHeight="1" x14ac:dyDescent="0.3">
      <c r="A83" s="629" t="s">
        <v>386</v>
      </c>
      <c r="B83" s="443"/>
      <c r="C83" s="637"/>
      <c r="D83" s="632"/>
      <c r="E83" s="443">
        <v>72.59</v>
      </c>
      <c r="F83" s="637">
        <v>26</v>
      </c>
      <c r="G83" s="632">
        <f>IF(E83=0, "    ---- ", IF(ABS(ROUND(100/E83*F83-100,1))&lt;999,ROUND(100/E83*F83-100,1),IF(ROUND(100/E83*F83-100,1)&gt;999,999,-999)))</f>
        <v>-64.2</v>
      </c>
      <c r="H83" s="443"/>
      <c r="I83" s="637"/>
      <c r="J83" s="638"/>
      <c r="K83" s="443"/>
      <c r="L83" s="637"/>
      <c r="M83" s="637"/>
      <c r="N83" s="443"/>
      <c r="O83" s="637"/>
      <c r="P83" s="638"/>
      <c r="Q83" s="443"/>
      <c r="R83" s="637"/>
      <c r="S83" s="638"/>
      <c r="T83" s="443"/>
      <c r="U83" s="637"/>
      <c r="V83" s="638"/>
      <c r="W83" s="443">
        <v>0.10173165617466345</v>
      </c>
      <c r="X83" s="637">
        <v>0.40047863486427254</v>
      </c>
      <c r="Y83" s="632">
        <f t="shared" si="8"/>
        <v>293.7</v>
      </c>
      <c r="Z83" s="443"/>
      <c r="AA83" s="637"/>
      <c r="AB83" s="638"/>
      <c r="AC83" s="443"/>
      <c r="AD83" s="637"/>
      <c r="AE83" s="638"/>
      <c r="AF83" s="443"/>
      <c r="AG83" s="637"/>
      <c r="AH83" s="632"/>
      <c r="AI83" s="443"/>
      <c r="AJ83" s="637"/>
      <c r="AK83" s="638"/>
      <c r="AL83" s="637">
        <f t="shared" si="10"/>
        <v>72.691731656174667</v>
      </c>
      <c r="AM83" s="637">
        <f t="shared" si="10"/>
        <v>26.400478634864271</v>
      </c>
      <c r="AN83" s="638">
        <f t="shared" si="6"/>
        <v>-63.7</v>
      </c>
      <c r="AO83" s="637">
        <f t="shared" si="11"/>
        <v>72.691731656174667</v>
      </c>
      <c r="AP83" s="637">
        <f t="shared" si="11"/>
        <v>26.400478634864271</v>
      </c>
      <c r="AQ83" s="638">
        <f t="shared" si="7"/>
        <v>-63.7</v>
      </c>
    </row>
    <row r="84" spans="1:43" s="602" customFormat="1" ht="18.75" customHeight="1" x14ac:dyDescent="0.3">
      <c r="A84" s="629" t="s">
        <v>387</v>
      </c>
      <c r="B84" s="443">
        <v>-2.2040000000000002</v>
      </c>
      <c r="C84" s="637">
        <v>3.4649999999999999</v>
      </c>
      <c r="D84" s="632">
        <f>IF(B84=0, "    ---- ", IF(ABS(ROUND(100/B84*C84-100,1))&lt;999,ROUND(100/B84*C84-100,1),IF(ROUND(100/B84*C84-100,1)&gt;999,999,-999)))</f>
        <v>-257.2</v>
      </c>
      <c r="E84" s="443">
        <v>29.97</v>
      </c>
      <c r="F84" s="637">
        <v>33</v>
      </c>
      <c r="G84" s="632">
        <f>IF(E84=0, "    ---- ", IF(ABS(ROUND(100/E84*F84-100,1))&lt;999,ROUND(100/E84*F84-100,1),IF(ROUND(100/E84*F84-100,1)&gt;999,999,-999)))</f>
        <v>10.1</v>
      </c>
      <c r="H84" s="443"/>
      <c r="I84" s="637"/>
      <c r="J84" s="638"/>
      <c r="K84" s="443"/>
      <c r="L84" s="637"/>
      <c r="M84" s="637"/>
      <c r="N84" s="443"/>
      <c r="O84" s="637"/>
      <c r="P84" s="638"/>
      <c r="Q84" s="443"/>
      <c r="R84" s="637"/>
      <c r="S84" s="638"/>
      <c r="T84" s="443"/>
      <c r="U84" s="637"/>
      <c r="V84" s="638"/>
      <c r="W84" s="443">
        <v>4.3793380308228684</v>
      </c>
      <c r="X84" s="637">
        <v>4.699742255446699</v>
      </c>
      <c r="Y84" s="632">
        <f t="shared" si="8"/>
        <v>7.3</v>
      </c>
      <c r="Z84" s="443"/>
      <c r="AA84" s="637"/>
      <c r="AB84" s="638"/>
      <c r="AC84" s="443"/>
      <c r="AD84" s="637"/>
      <c r="AE84" s="638"/>
      <c r="AF84" s="443">
        <v>0.51</v>
      </c>
      <c r="AG84" s="637">
        <v>0.11899999999999999</v>
      </c>
      <c r="AH84" s="632">
        <f>IF(AF84=0, "    ---- ", IF(ABS(ROUND(100/AF84*AG84-100,1))&lt;999,ROUND(100/AF84*AG84-100,1),IF(ROUND(100/AF84*AG84-100,1)&gt;999,999,-999)))</f>
        <v>-76.7</v>
      </c>
      <c r="AI84" s="443"/>
      <c r="AJ84" s="637"/>
      <c r="AK84" s="638"/>
      <c r="AL84" s="637">
        <f t="shared" si="10"/>
        <v>32.655338030822868</v>
      </c>
      <c r="AM84" s="637">
        <f t="shared" si="10"/>
        <v>41.283742255446704</v>
      </c>
      <c r="AN84" s="638">
        <f t="shared" si="6"/>
        <v>26.4</v>
      </c>
      <c r="AO84" s="637">
        <f t="shared" si="11"/>
        <v>32.655338030822868</v>
      </c>
      <c r="AP84" s="637">
        <f t="shared" si="11"/>
        <v>41.283742255446704</v>
      </c>
      <c r="AQ84" s="638">
        <f t="shared" si="7"/>
        <v>26.4</v>
      </c>
    </row>
    <row r="85" spans="1:43" s="636" customFormat="1" ht="18.75" customHeight="1" x14ac:dyDescent="0.3">
      <c r="A85" s="623" t="s">
        <v>393</v>
      </c>
      <c r="B85" s="624"/>
      <c r="C85" s="639"/>
      <c r="D85" s="639"/>
      <c r="E85" s="624"/>
      <c r="F85" s="639"/>
      <c r="G85" s="627"/>
      <c r="H85" s="624"/>
      <c r="I85" s="639"/>
      <c r="J85" s="640"/>
      <c r="K85" s="624"/>
      <c r="L85" s="639"/>
      <c r="M85" s="639"/>
      <c r="N85" s="624"/>
      <c r="O85" s="639"/>
      <c r="P85" s="640"/>
      <c r="Q85" s="624"/>
      <c r="R85" s="639"/>
      <c r="S85" s="640"/>
      <c r="T85" s="624"/>
      <c r="U85" s="639"/>
      <c r="V85" s="640"/>
      <c r="W85" s="624"/>
      <c r="X85" s="639"/>
      <c r="Y85" s="627"/>
      <c r="Z85" s="624"/>
      <c r="AA85" s="639"/>
      <c r="AB85" s="640"/>
      <c r="AC85" s="624"/>
      <c r="AD85" s="639"/>
      <c r="AE85" s="640"/>
      <c r="AF85" s="624"/>
      <c r="AG85" s="639"/>
      <c r="AH85" s="627"/>
      <c r="AI85" s="624"/>
      <c r="AJ85" s="639"/>
      <c r="AK85" s="640"/>
      <c r="AL85" s="639">
        <f t="shared" si="10"/>
        <v>0</v>
      </c>
      <c r="AM85" s="639">
        <f t="shared" si="10"/>
        <v>0</v>
      </c>
      <c r="AN85" s="640"/>
      <c r="AO85" s="639">
        <f t="shared" si="11"/>
        <v>0</v>
      </c>
      <c r="AP85" s="639">
        <f t="shared" si="11"/>
        <v>0</v>
      </c>
      <c r="AQ85" s="640"/>
    </row>
    <row r="86" spans="1:43" s="602" customFormat="1" ht="18.75" customHeight="1" x14ac:dyDescent="0.3">
      <c r="A86" s="629" t="s">
        <v>377</v>
      </c>
      <c r="B86" s="443"/>
      <c r="C86" s="637">
        <v>0.59</v>
      </c>
      <c r="D86" s="632" t="str">
        <f>IF(B86=0, "    ---- ", IF(ABS(ROUND(100/B86*C86-100,1))&lt;999,ROUND(100/B86*C86-100,1),IF(ROUND(100/B86*C86-100,1)&gt;999,999,-999)))</f>
        <v xml:space="preserve">    ---- </v>
      </c>
      <c r="E86" s="443"/>
      <c r="F86" s="637"/>
      <c r="G86" s="632"/>
      <c r="H86" s="443">
        <v>12.429</v>
      </c>
      <c r="I86" s="637">
        <v>2.08</v>
      </c>
      <c r="J86" s="632">
        <f>IF(H86=0, "    ---- ", IF(ABS(ROUND(100/H86*I86-100,1))&lt;999,ROUND(100/H86*I86-100,1),IF(ROUND(100/H86*I86-100,1)&gt;999,999,-999)))</f>
        <v>-83.3</v>
      </c>
      <c r="K86" s="443">
        <v>20.263999999999999</v>
      </c>
      <c r="L86" s="637">
        <v>23.7</v>
      </c>
      <c r="M86" s="634">
        <f>IF(K86=0, "    ---- ", IF(ABS(ROUND(100/K86*L86-100,1))&lt;999,ROUND(100/K86*L86-100,1),IF(ROUND(100/K86*L86-100,1)&gt;999,999,-999)))</f>
        <v>17</v>
      </c>
      <c r="N86" s="443"/>
      <c r="O86" s="637"/>
      <c r="P86" s="652"/>
      <c r="Q86" s="443"/>
      <c r="R86" s="637"/>
      <c r="S86" s="652"/>
      <c r="T86" s="443"/>
      <c r="U86" s="637"/>
      <c r="V86" s="652"/>
      <c r="W86" s="443">
        <v>9.8961944179785455</v>
      </c>
      <c r="X86" s="637">
        <v>11.526350272341963</v>
      </c>
      <c r="Y86" s="632">
        <f t="shared" si="8"/>
        <v>16.5</v>
      </c>
      <c r="Z86" s="443"/>
      <c r="AA86" s="637"/>
      <c r="AB86" s="632"/>
      <c r="AC86" s="443"/>
      <c r="AD86" s="637"/>
      <c r="AE86" s="652"/>
      <c r="AF86" s="443">
        <v>84.158000000000001</v>
      </c>
      <c r="AG86" s="637">
        <v>223.65899999999999</v>
      </c>
      <c r="AH86" s="632">
        <f>IF(AF86=0, "    ---- ", IF(ABS(ROUND(100/AF86*AG86-100,1))&lt;999,ROUND(100/AF86*AG86-100,1),IF(ROUND(100/AF86*AG86-100,1)&gt;999,999,-999)))</f>
        <v>165.8</v>
      </c>
      <c r="AI86" s="443"/>
      <c r="AJ86" s="637"/>
      <c r="AK86" s="632"/>
      <c r="AL86" s="634">
        <f t="shared" si="10"/>
        <v>126.74719441797855</v>
      </c>
      <c r="AM86" s="634">
        <f t="shared" si="10"/>
        <v>261.55535027234197</v>
      </c>
      <c r="AN86" s="632">
        <f t="shared" si="6"/>
        <v>106.4</v>
      </c>
      <c r="AO86" s="637">
        <f t="shared" si="11"/>
        <v>126.74719441797855</v>
      </c>
      <c r="AP86" s="637">
        <f t="shared" si="11"/>
        <v>261.55535027234197</v>
      </c>
      <c r="AQ86" s="632">
        <f t="shared" si="7"/>
        <v>106.4</v>
      </c>
    </row>
    <row r="87" spans="1:43" s="602" customFormat="1" ht="18.75" customHeight="1" x14ac:dyDescent="0.3">
      <c r="A87" s="629" t="s">
        <v>378</v>
      </c>
      <c r="B87" s="443"/>
      <c r="C87" s="637"/>
      <c r="D87" s="651"/>
      <c r="E87" s="443"/>
      <c r="F87" s="637"/>
      <c r="G87" s="632"/>
      <c r="H87" s="443"/>
      <c r="I87" s="637"/>
      <c r="J87" s="652"/>
      <c r="K87" s="443"/>
      <c r="L87" s="637"/>
      <c r="M87" s="651"/>
      <c r="N87" s="443"/>
      <c r="O87" s="637"/>
      <c r="P87" s="652"/>
      <c r="Q87" s="443"/>
      <c r="R87" s="637"/>
      <c r="S87" s="652"/>
      <c r="T87" s="443"/>
      <c r="U87" s="637"/>
      <c r="V87" s="652"/>
      <c r="W87" s="443"/>
      <c r="X87" s="637"/>
      <c r="Y87" s="632"/>
      <c r="Z87" s="443"/>
      <c r="AA87" s="637"/>
      <c r="AB87" s="652"/>
      <c r="AC87" s="443"/>
      <c r="AD87" s="637"/>
      <c r="AE87" s="652"/>
      <c r="AF87" s="443"/>
      <c r="AG87" s="637"/>
      <c r="AH87" s="632"/>
      <c r="AI87" s="443"/>
      <c r="AJ87" s="637"/>
      <c r="AK87" s="652"/>
      <c r="AL87" s="651">
        <f t="shared" si="10"/>
        <v>0</v>
      </c>
      <c r="AM87" s="651">
        <f t="shared" si="10"/>
        <v>0</v>
      </c>
      <c r="AN87" s="652" t="str">
        <f t="shared" si="6"/>
        <v xml:space="preserve">    ---- </v>
      </c>
      <c r="AO87" s="637">
        <f t="shared" si="11"/>
        <v>0</v>
      </c>
      <c r="AP87" s="637">
        <f t="shared" si="11"/>
        <v>0</v>
      </c>
      <c r="AQ87" s="652" t="str">
        <f t="shared" si="7"/>
        <v xml:space="preserve">    ---- </v>
      </c>
    </row>
    <row r="88" spans="1:43" s="602" customFormat="1" ht="18.75" customHeight="1" x14ac:dyDescent="0.3">
      <c r="A88" s="629" t="s">
        <v>379</v>
      </c>
      <c r="B88" s="443">
        <v>-6.806</v>
      </c>
      <c r="C88" s="637">
        <v>-6.05</v>
      </c>
      <c r="D88" s="632">
        <f>IF(B88=0, "    ---- ", IF(ABS(ROUND(100/B88*C88-100,1))&lt;999,ROUND(100/B88*C88-100,1),IF(ROUND(100/B88*C88-100,1)&gt;999,999,-999)))</f>
        <v>-11.1</v>
      </c>
      <c r="E88" s="443"/>
      <c r="F88" s="637"/>
      <c r="G88" s="632"/>
      <c r="H88" s="443">
        <v>-18.173999999999999</v>
      </c>
      <c r="I88" s="637">
        <v>-19.39</v>
      </c>
      <c r="J88" s="638">
        <f>IF(H88=0, "    ---- ", IF(ABS(ROUND(100/H88*I88-100,1))&lt;999,ROUND(100/H88*I88-100,1),IF(ROUND(100/H88*I88-100,1)&gt;999,999,-999)))</f>
        <v>6.7</v>
      </c>
      <c r="K88" s="443">
        <v>26.727</v>
      </c>
      <c r="L88" s="637">
        <v>36.5</v>
      </c>
      <c r="M88" s="637">
        <f>IF(K88=0, "    ---- ", IF(ABS(ROUND(100/K88*L88-100,1))&lt;999,ROUND(100/K88*L88-100,1),IF(ROUND(100/K88*L88-100,1)&gt;999,999,-999)))</f>
        <v>36.6</v>
      </c>
      <c r="N88" s="443"/>
      <c r="O88" s="637"/>
      <c r="P88" s="638"/>
      <c r="Q88" s="443"/>
      <c r="R88" s="637"/>
      <c r="S88" s="638"/>
      <c r="T88" s="443"/>
      <c r="U88" s="637"/>
      <c r="V88" s="638"/>
      <c r="W88" s="443">
        <v>4.5441012068953661</v>
      </c>
      <c r="X88" s="637">
        <v>5.7638930580640215</v>
      </c>
      <c r="Y88" s="632">
        <f t="shared" si="8"/>
        <v>26.8</v>
      </c>
      <c r="Z88" s="443"/>
      <c r="AA88" s="637"/>
      <c r="AB88" s="638"/>
      <c r="AC88" s="443"/>
      <c r="AD88" s="637"/>
      <c r="AE88" s="638"/>
      <c r="AF88" s="443">
        <v>15.555</v>
      </c>
      <c r="AG88" s="637">
        <v>48.136000000000003</v>
      </c>
      <c r="AH88" s="632">
        <f>IF(AF88=0, "    ---- ", IF(ABS(ROUND(100/AF88*AG88-100,1))&lt;999,ROUND(100/AF88*AG88-100,1),IF(ROUND(100/AF88*AG88-100,1)&gt;999,999,-999)))</f>
        <v>209.5</v>
      </c>
      <c r="AI88" s="443"/>
      <c r="AJ88" s="637"/>
      <c r="AK88" s="638"/>
      <c r="AL88" s="637">
        <f t="shared" si="10"/>
        <v>21.846101206895366</v>
      </c>
      <c r="AM88" s="637">
        <f t="shared" si="10"/>
        <v>64.959893058064026</v>
      </c>
      <c r="AN88" s="638">
        <f t="shared" ref="AN88:AN108" si="12">IF(AL88=0, "    ---- ", IF(ABS(ROUND(100/AL88*AM88-100,1))&lt;999,ROUND(100/AL88*AM88-100,1),IF(ROUND(100/AL88*AM88-100,1)&gt;999,999,-999)))</f>
        <v>197.4</v>
      </c>
      <c r="AO88" s="637">
        <f t="shared" si="11"/>
        <v>21.846101206895366</v>
      </c>
      <c r="AP88" s="637">
        <f t="shared" si="11"/>
        <v>64.959893058064026</v>
      </c>
      <c r="AQ88" s="638">
        <f t="shared" ref="AQ88:AQ108" si="13">IF(AO88=0, "    ---- ", IF(ABS(ROUND(100/AO88*AP88-100,1))&lt;999,ROUND(100/AO88*AP88-100,1),IF(ROUND(100/AO88*AP88-100,1)&gt;999,999,-999)))</f>
        <v>197.4</v>
      </c>
    </row>
    <row r="89" spans="1:43" s="602" customFormat="1" ht="18.75" customHeight="1" x14ac:dyDescent="0.3">
      <c r="A89" s="629" t="s">
        <v>380</v>
      </c>
      <c r="B89" s="443"/>
      <c r="C89" s="637"/>
      <c r="D89" s="637"/>
      <c r="E89" s="443"/>
      <c r="F89" s="637"/>
      <c r="G89" s="632"/>
      <c r="H89" s="443"/>
      <c r="I89" s="637"/>
      <c r="J89" s="638"/>
      <c r="K89" s="443"/>
      <c r="L89" s="637"/>
      <c r="M89" s="637"/>
      <c r="N89" s="443"/>
      <c r="O89" s="637"/>
      <c r="P89" s="638"/>
      <c r="Q89" s="443"/>
      <c r="R89" s="637"/>
      <c r="S89" s="638"/>
      <c r="T89" s="443"/>
      <c r="U89" s="637"/>
      <c r="V89" s="638"/>
      <c r="W89" s="443"/>
      <c r="X89" s="637"/>
      <c r="Y89" s="632"/>
      <c r="Z89" s="443"/>
      <c r="AA89" s="637"/>
      <c r="AB89" s="638"/>
      <c r="AC89" s="443"/>
      <c r="AD89" s="637"/>
      <c r="AE89" s="638"/>
      <c r="AF89" s="443"/>
      <c r="AG89" s="637"/>
      <c r="AH89" s="632"/>
      <c r="AI89" s="443"/>
      <c r="AJ89" s="637"/>
      <c r="AK89" s="638"/>
      <c r="AL89" s="637">
        <f t="shared" si="10"/>
        <v>0</v>
      </c>
      <c r="AM89" s="637">
        <f t="shared" si="10"/>
        <v>0</v>
      </c>
      <c r="AN89" s="638" t="str">
        <f t="shared" si="12"/>
        <v xml:space="preserve">    ---- </v>
      </c>
      <c r="AO89" s="637">
        <f t="shared" si="11"/>
        <v>0</v>
      </c>
      <c r="AP89" s="637">
        <f t="shared" si="11"/>
        <v>0</v>
      </c>
      <c r="AQ89" s="638" t="str">
        <f t="shared" si="13"/>
        <v xml:space="preserve">    ---- </v>
      </c>
    </row>
    <row r="90" spans="1:43" s="602" customFormat="1" ht="18.75" customHeight="1" x14ac:dyDescent="0.3">
      <c r="A90" s="629" t="s">
        <v>381</v>
      </c>
      <c r="B90" s="443"/>
      <c r="C90" s="637"/>
      <c r="D90" s="637"/>
      <c r="E90" s="443"/>
      <c r="F90" s="637"/>
      <c r="G90" s="632"/>
      <c r="H90" s="443"/>
      <c r="I90" s="637"/>
      <c r="J90" s="638"/>
      <c r="K90" s="443"/>
      <c r="L90" s="637"/>
      <c r="M90" s="637"/>
      <c r="N90" s="443"/>
      <c r="O90" s="637"/>
      <c r="P90" s="638"/>
      <c r="Q90" s="443"/>
      <c r="R90" s="637"/>
      <c r="S90" s="638"/>
      <c r="T90" s="443"/>
      <c r="U90" s="637"/>
      <c r="V90" s="638"/>
      <c r="W90" s="443"/>
      <c r="X90" s="637"/>
      <c r="Y90" s="632"/>
      <c r="Z90" s="443"/>
      <c r="AA90" s="637"/>
      <c r="AB90" s="638"/>
      <c r="AC90" s="443"/>
      <c r="AD90" s="637"/>
      <c r="AE90" s="638"/>
      <c r="AF90" s="443"/>
      <c r="AG90" s="637"/>
      <c r="AH90" s="632"/>
      <c r="AI90" s="443"/>
      <c r="AJ90" s="637"/>
      <c r="AK90" s="638"/>
      <c r="AL90" s="637">
        <f t="shared" si="10"/>
        <v>0</v>
      </c>
      <c r="AM90" s="637">
        <f t="shared" si="10"/>
        <v>0</v>
      </c>
      <c r="AN90" s="638" t="str">
        <f t="shared" si="12"/>
        <v xml:space="preserve">    ---- </v>
      </c>
      <c r="AO90" s="637">
        <f t="shared" si="11"/>
        <v>0</v>
      </c>
      <c r="AP90" s="637">
        <f t="shared" si="11"/>
        <v>0</v>
      </c>
      <c r="AQ90" s="638" t="str">
        <f t="shared" si="13"/>
        <v xml:space="preserve">    ---- </v>
      </c>
    </row>
    <row r="91" spans="1:43" s="602" customFormat="1" ht="18.75" customHeight="1" x14ac:dyDescent="0.3">
      <c r="A91" s="629" t="s">
        <v>382</v>
      </c>
      <c r="B91" s="443">
        <v>10.288</v>
      </c>
      <c r="C91" s="637">
        <v>-7.0140000000000002</v>
      </c>
      <c r="D91" s="632">
        <f>IF(B91=0, "    ---- ", IF(ABS(ROUND(100/B91*C91-100,1))&lt;999,ROUND(100/B91*C91-100,1),IF(ROUND(100/B91*C91-100,1)&gt;999,999,-999)))</f>
        <v>-168.2</v>
      </c>
      <c r="E91" s="443"/>
      <c r="F91" s="637"/>
      <c r="G91" s="632"/>
      <c r="H91" s="443">
        <v>31.695</v>
      </c>
      <c r="I91" s="637">
        <v>17.57</v>
      </c>
      <c r="J91" s="638">
        <f>IF(H91=0, "    ---- ", IF(ABS(ROUND(100/H91*I91-100,1))&lt;999,ROUND(100/H91*I91-100,1),IF(ROUND(100/H91*I91-100,1)&gt;999,999,-999)))</f>
        <v>-44.6</v>
      </c>
      <c r="K91" s="443">
        <v>-18.248000000000001</v>
      </c>
      <c r="L91" s="637">
        <v>-39.200000000000003</v>
      </c>
      <c r="M91" s="637">
        <f>IF(K91=0, "    ---- ", IF(ABS(ROUND(100/K91*L91-100,1))&lt;999,ROUND(100/K91*L91-100,1),IF(ROUND(100/K91*L91-100,1)&gt;999,999,-999)))</f>
        <v>114.8</v>
      </c>
      <c r="N91" s="443"/>
      <c r="O91" s="637"/>
      <c r="P91" s="638"/>
      <c r="Q91" s="443"/>
      <c r="R91" s="637"/>
      <c r="S91" s="638"/>
      <c r="T91" s="443"/>
      <c r="U91" s="637"/>
      <c r="V91" s="638"/>
      <c r="W91" s="443">
        <v>18.12540004331985</v>
      </c>
      <c r="X91" s="637">
        <v>13.013717422065071</v>
      </c>
      <c r="Y91" s="632">
        <f t="shared" si="8"/>
        <v>-28.2</v>
      </c>
      <c r="Z91" s="443"/>
      <c r="AA91" s="637"/>
      <c r="AB91" s="638"/>
      <c r="AC91" s="443"/>
      <c r="AD91" s="637"/>
      <c r="AE91" s="638"/>
      <c r="AF91" s="443">
        <v>-57.311999999999998</v>
      </c>
      <c r="AG91" s="637">
        <v>-93.692999999999998</v>
      </c>
      <c r="AH91" s="632">
        <f>IF(AF91=0, "    ---- ", IF(ABS(ROUND(100/AF91*AG91-100,1))&lt;999,ROUND(100/AF91*AG91-100,1),IF(ROUND(100/AF91*AG91-100,1)&gt;999,999,-999)))</f>
        <v>63.5</v>
      </c>
      <c r="AI91" s="443"/>
      <c r="AJ91" s="637"/>
      <c r="AK91" s="638"/>
      <c r="AL91" s="637">
        <f t="shared" si="10"/>
        <v>-15.451599956680141</v>
      </c>
      <c r="AM91" s="637">
        <f t="shared" si="10"/>
        <v>-109.32328257793493</v>
      </c>
      <c r="AN91" s="638">
        <f t="shared" si="12"/>
        <v>607.5</v>
      </c>
      <c r="AO91" s="637">
        <f t="shared" si="11"/>
        <v>-15.451599956680141</v>
      </c>
      <c r="AP91" s="637">
        <f t="shared" si="11"/>
        <v>-109.32328257793493</v>
      </c>
      <c r="AQ91" s="638">
        <f t="shared" si="13"/>
        <v>607.5</v>
      </c>
    </row>
    <row r="92" spans="1:43" s="602" customFormat="1" ht="18.75" customHeight="1" x14ac:dyDescent="0.3">
      <c r="A92" s="629" t="s">
        <v>383</v>
      </c>
      <c r="B92" s="443"/>
      <c r="C92" s="637"/>
      <c r="D92" s="637"/>
      <c r="E92" s="443"/>
      <c r="F92" s="637"/>
      <c r="G92" s="632"/>
      <c r="H92" s="443"/>
      <c r="I92" s="637"/>
      <c r="J92" s="638"/>
      <c r="K92" s="443"/>
      <c r="L92" s="637"/>
      <c r="M92" s="637"/>
      <c r="N92" s="443"/>
      <c r="O92" s="637"/>
      <c r="P92" s="638"/>
      <c r="Q92" s="443"/>
      <c r="R92" s="637"/>
      <c r="S92" s="638"/>
      <c r="T92" s="443"/>
      <c r="U92" s="637"/>
      <c r="V92" s="638"/>
      <c r="W92" s="443"/>
      <c r="X92" s="637"/>
      <c r="Y92" s="632"/>
      <c r="Z92" s="443"/>
      <c r="AA92" s="637"/>
      <c r="AB92" s="638"/>
      <c r="AC92" s="443"/>
      <c r="AD92" s="637"/>
      <c r="AE92" s="638"/>
      <c r="AF92" s="443"/>
      <c r="AG92" s="637"/>
      <c r="AH92" s="632"/>
      <c r="AI92" s="443"/>
      <c r="AJ92" s="637"/>
      <c r="AK92" s="638"/>
      <c r="AL92" s="637">
        <f t="shared" si="10"/>
        <v>0</v>
      </c>
      <c r="AM92" s="637">
        <f t="shared" si="10"/>
        <v>0</v>
      </c>
      <c r="AN92" s="638" t="str">
        <f t="shared" si="12"/>
        <v xml:space="preserve">    ---- </v>
      </c>
      <c r="AO92" s="637">
        <f t="shared" si="11"/>
        <v>0</v>
      </c>
      <c r="AP92" s="637">
        <f t="shared" si="11"/>
        <v>0</v>
      </c>
      <c r="AQ92" s="638" t="str">
        <f t="shared" si="13"/>
        <v xml:space="preserve">    ---- </v>
      </c>
    </row>
    <row r="93" spans="1:43" s="602" customFormat="1" ht="18.75" customHeight="1" x14ac:dyDescent="0.3">
      <c r="A93" s="629" t="s">
        <v>384</v>
      </c>
      <c r="B93" s="443"/>
      <c r="C93" s="637"/>
      <c r="D93" s="637"/>
      <c r="E93" s="443"/>
      <c r="F93" s="637"/>
      <c r="G93" s="632"/>
      <c r="H93" s="443"/>
      <c r="I93" s="637"/>
      <c r="J93" s="638"/>
      <c r="K93" s="443"/>
      <c r="L93" s="637"/>
      <c r="M93" s="637"/>
      <c r="N93" s="443"/>
      <c r="O93" s="637"/>
      <c r="P93" s="638"/>
      <c r="Q93" s="443"/>
      <c r="R93" s="637"/>
      <c r="S93" s="638"/>
      <c r="T93" s="443"/>
      <c r="U93" s="637"/>
      <c r="V93" s="638"/>
      <c r="W93" s="443"/>
      <c r="X93" s="637"/>
      <c r="Y93" s="632"/>
      <c r="Z93" s="443"/>
      <c r="AA93" s="637"/>
      <c r="AB93" s="638"/>
      <c r="AC93" s="443"/>
      <c r="AD93" s="637"/>
      <c r="AE93" s="638"/>
      <c r="AF93" s="443"/>
      <c r="AG93" s="637"/>
      <c r="AH93" s="632"/>
      <c r="AI93" s="443"/>
      <c r="AJ93" s="637"/>
      <c r="AK93" s="638"/>
      <c r="AL93" s="637">
        <f t="shared" si="10"/>
        <v>0</v>
      </c>
      <c r="AM93" s="637">
        <f t="shared" si="10"/>
        <v>0</v>
      </c>
      <c r="AN93" s="638" t="str">
        <f t="shared" si="12"/>
        <v xml:space="preserve">    ---- </v>
      </c>
      <c r="AO93" s="637">
        <f t="shared" si="11"/>
        <v>0</v>
      </c>
      <c r="AP93" s="637">
        <f t="shared" si="11"/>
        <v>0</v>
      </c>
      <c r="AQ93" s="638" t="str">
        <f t="shared" si="13"/>
        <v xml:space="preserve">    ---- </v>
      </c>
    </row>
    <row r="94" spans="1:43" s="636" customFormat="1" ht="18.75" customHeight="1" x14ac:dyDescent="0.3">
      <c r="A94" s="623" t="s">
        <v>385</v>
      </c>
      <c r="B94" s="624">
        <v>3.4820000000000002</v>
      </c>
      <c r="C94" s="639">
        <v>-12.474</v>
      </c>
      <c r="D94" s="632">
        <f>IF(B94=0, "    ---- ", IF(ABS(ROUND(100/B94*C94-100,1))&lt;999,ROUND(100/B94*C94-100,1),IF(ROUND(100/B94*C94-100,1)&gt;999,999,-999)))</f>
        <v>-458.2</v>
      </c>
      <c r="E94" s="624"/>
      <c r="F94" s="639"/>
      <c r="G94" s="627"/>
      <c r="H94" s="624">
        <v>25.950000000000003</v>
      </c>
      <c r="I94" s="639">
        <v>0.25999999999999801</v>
      </c>
      <c r="J94" s="640">
        <f>IF(H94=0, "    ---- ", IF(ABS(ROUND(100/H94*I94-100,1))&lt;999,ROUND(100/H94*I94-100,1),IF(ROUND(100/H94*I94-100,1)&gt;999,999,-999)))</f>
        <v>-99</v>
      </c>
      <c r="K94" s="624">
        <v>28.742999999999999</v>
      </c>
      <c r="L94" s="639">
        <v>21</v>
      </c>
      <c r="M94" s="639">
        <f>IF(K94=0, "    ---- ", IF(ABS(ROUND(100/K94*L94-100,1))&lt;999,ROUND(100/K94*L94-100,1),IF(ROUND(100/K94*L94-100,1)&gt;999,999,-999)))</f>
        <v>-26.9</v>
      </c>
      <c r="N94" s="624"/>
      <c r="O94" s="639"/>
      <c r="P94" s="640"/>
      <c r="Q94" s="624"/>
      <c r="R94" s="639"/>
      <c r="S94" s="640"/>
      <c r="T94" s="624"/>
      <c r="U94" s="639"/>
      <c r="V94" s="640"/>
      <c r="W94" s="624">
        <v>32.565695668193761</v>
      </c>
      <c r="X94" s="639">
        <v>30.303960752471056</v>
      </c>
      <c r="Y94" s="627">
        <f t="shared" si="8"/>
        <v>-6.9</v>
      </c>
      <c r="Z94" s="624"/>
      <c r="AA94" s="639"/>
      <c r="AB94" s="640"/>
      <c r="AC94" s="624"/>
      <c r="AD94" s="639"/>
      <c r="AE94" s="640"/>
      <c r="AF94" s="624">
        <v>42.400999999999996</v>
      </c>
      <c r="AG94" s="639">
        <v>178.10200000000003</v>
      </c>
      <c r="AH94" s="627">
        <f>IF(AF94=0, "    ---- ", IF(ABS(ROUND(100/AF94*AG94-100,1))&lt;999,ROUND(100/AF94*AG94-100,1),IF(ROUND(100/AF94*AG94-100,1)&gt;999,999,-999)))</f>
        <v>320</v>
      </c>
      <c r="AI94" s="624"/>
      <c r="AJ94" s="639"/>
      <c r="AK94" s="640"/>
      <c r="AL94" s="639">
        <f t="shared" si="10"/>
        <v>133.14169566819373</v>
      </c>
      <c r="AM94" s="639">
        <f t="shared" si="10"/>
        <v>217.19196075247109</v>
      </c>
      <c r="AN94" s="640">
        <f t="shared" si="12"/>
        <v>63.1</v>
      </c>
      <c r="AO94" s="639">
        <f t="shared" si="11"/>
        <v>133.14169566819373</v>
      </c>
      <c r="AP94" s="639">
        <f t="shared" si="11"/>
        <v>217.19196075247109</v>
      </c>
      <c r="AQ94" s="640">
        <f t="shared" si="13"/>
        <v>63.1</v>
      </c>
    </row>
    <row r="95" spans="1:43" s="602" customFormat="1" ht="18.75" customHeight="1" x14ac:dyDescent="0.3">
      <c r="A95" s="629" t="s">
        <v>386</v>
      </c>
      <c r="B95" s="443"/>
      <c r="C95" s="637"/>
      <c r="D95" s="637"/>
      <c r="E95" s="443"/>
      <c r="F95" s="637"/>
      <c r="G95" s="632"/>
      <c r="H95" s="443"/>
      <c r="I95" s="637"/>
      <c r="J95" s="638"/>
      <c r="K95" s="443"/>
      <c r="L95" s="637">
        <v>1</v>
      </c>
      <c r="M95" s="637" t="str">
        <f>IF(K95=0, "    ---- ", IF(ABS(ROUND(100/K95*L95-100,1))&lt;999,ROUND(100/K95*L95-100,1),IF(ROUND(100/K95*L95-100,1)&gt;999,999,-999)))</f>
        <v xml:space="preserve">    ---- </v>
      </c>
      <c r="N95" s="443"/>
      <c r="O95" s="637"/>
      <c r="P95" s="638"/>
      <c r="Q95" s="443"/>
      <c r="R95" s="637"/>
      <c r="S95" s="638"/>
      <c r="T95" s="443"/>
      <c r="U95" s="637"/>
      <c r="V95" s="638"/>
      <c r="W95" s="443"/>
      <c r="X95" s="637">
        <v>-6.1435532111721258</v>
      </c>
      <c r="Y95" s="632" t="str">
        <f t="shared" si="8"/>
        <v xml:space="preserve">    ---- </v>
      </c>
      <c r="Z95" s="443"/>
      <c r="AA95" s="637"/>
      <c r="AB95" s="638"/>
      <c r="AC95" s="443"/>
      <c r="AD95" s="637"/>
      <c r="AE95" s="638"/>
      <c r="AF95" s="443"/>
      <c r="AG95" s="637"/>
      <c r="AH95" s="632"/>
      <c r="AI95" s="443"/>
      <c r="AJ95" s="637"/>
      <c r="AK95" s="638"/>
      <c r="AL95" s="637">
        <f t="shared" si="10"/>
        <v>0</v>
      </c>
      <c r="AM95" s="637">
        <f t="shared" si="10"/>
        <v>-5.1435532111721258</v>
      </c>
      <c r="AN95" s="638" t="str">
        <f t="shared" si="12"/>
        <v xml:space="preserve">    ---- </v>
      </c>
      <c r="AO95" s="637">
        <f t="shared" si="11"/>
        <v>0</v>
      </c>
      <c r="AP95" s="637">
        <f t="shared" si="11"/>
        <v>-5.1435532111721258</v>
      </c>
      <c r="AQ95" s="638" t="str">
        <f t="shared" si="13"/>
        <v xml:space="preserve">    ---- </v>
      </c>
    </row>
    <row r="96" spans="1:43" s="602" customFormat="1" ht="18.75" customHeight="1" x14ac:dyDescent="0.3">
      <c r="A96" s="629" t="s">
        <v>387</v>
      </c>
      <c r="B96" s="443">
        <v>3.4820000000000002</v>
      </c>
      <c r="C96" s="637">
        <v>-12.474</v>
      </c>
      <c r="D96" s="632">
        <f>IF(B96=0, "    ---- ", IF(ABS(ROUND(100/B96*C96-100,1))&lt;999,ROUND(100/B96*C96-100,1),IF(ROUND(100/B96*C96-100,1)&gt;999,999,-999)))</f>
        <v>-458.2</v>
      </c>
      <c r="E96" s="443"/>
      <c r="F96" s="637"/>
      <c r="G96" s="632"/>
      <c r="H96" s="443">
        <v>25.950000000000003</v>
      </c>
      <c r="I96" s="637">
        <v>0.26</v>
      </c>
      <c r="J96" s="638">
        <f>IF(H96=0, "    ---- ", IF(ABS(ROUND(100/H96*I96-100,1))&lt;999,ROUND(100/H96*I96-100,1),IF(ROUND(100/H96*I96-100,1)&gt;999,999,-999)))</f>
        <v>-99</v>
      </c>
      <c r="K96" s="443">
        <v>28.742999999999999</v>
      </c>
      <c r="L96" s="637">
        <v>20</v>
      </c>
      <c r="M96" s="637">
        <f>IF(K96=0, "    ---- ", IF(ABS(ROUND(100/K96*L96-100,1))&lt;999,ROUND(100/K96*L96-100,1),IF(ROUND(100/K96*L96-100,1)&gt;999,999,-999)))</f>
        <v>-30.4</v>
      </c>
      <c r="N96" s="443"/>
      <c r="O96" s="637"/>
      <c r="P96" s="638"/>
      <c r="Q96" s="443"/>
      <c r="R96" s="637"/>
      <c r="S96" s="638"/>
      <c r="T96" s="443"/>
      <c r="U96" s="637"/>
      <c r="V96" s="638"/>
      <c r="W96" s="443">
        <v>32.565695668193761</v>
      </c>
      <c r="X96" s="637">
        <v>36.447513963643182</v>
      </c>
      <c r="Y96" s="632">
        <f t="shared" si="8"/>
        <v>11.9</v>
      </c>
      <c r="Z96" s="443"/>
      <c r="AA96" s="637"/>
      <c r="AB96" s="638"/>
      <c r="AC96" s="443"/>
      <c r="AD96" s="637"/>
      <c r="AE96" s="638"/>
      <c r="AF96" s="443">
        <v>42.401000000000003</v>
      </c>
      <c r="AG96" s="637">
        <v>178.102</v>
      </c>
      <c r="AH96" s="632">
        <f>IF(AF96=0, "    ---- ", IF(ABS(ROUND(100/AF96*AG96-100,1))&lt;999,ROUND(100/AF96*AG96-100,1),IF(ROUND(100/AF96*AG96-100,1)&gt;999,999,-999)))</f>
        <v>320</v>
      </c>
      <c r="AI96" s="443"/>
      <c r="AJ96" s="637"/>
      <c r="AK96" s="638"/>
      <c r="AL96" s="637">
        <f t="shared" si="10"/>
        <v>133.14169566819376</v>
      </c>
      <c r="AM96" s="637">
        <f t="shared" si="10"/>
        <v>222.33551396364319</v>
      </c>
      <c r="AN96" s="638">
        <f t="shared" si="12"/>
        <v>67</v>
      </c>
      <c r="AO96" s="637">
        <f t="shared" si="11"/>
        <v>133.14169566819376</v>
      </c>
      <c r="AP96" s="637">
        <f t="shared" si="11"/>
        <v>222.33551396364319</v>
      </c>
      <c r="AQ96" s="638">
        <f t="shared" si="13"/>
        <v>67</v>
      </c>
    </row>
    <row r="97" spans="1:43" s="602" customFormat="1" ht="18.75" customHeight="1" x14ac:dyDescent="0.3">
      <c r="A97" s="623" t="s">
        <v>394</v>
      </c>
      <c r="B97" s="443"/>
      <c r="C97" s="637"/>
      <c r="D97" s="637"/>
      <c r="E97" s="443"/>
      <c r="F97" s="637"/>
      <c r="G97" s="632"/>
      <c r="H97" s="443"/>
      <c r="I97" s="637"/>
      <c r="J97" s="638"/>
      <c r="K97" s="443"/>
      <c r="L97" s="637"/>
      <c r="M97" s="637"/>
      <c r="N97" s="443"/>
      <c r="O97" s="637"/>
      <c r="P97" s="638"/>
      <c r="Q97" s="443"/>
      <c r="R97" s="637"/>
      <c r="S97" s="638"/>
      <c r="T97" s="443"/>
      <c r="U97" s="637"/>
      <c r="V97" s="638"/>
      <c r="W97" s="443"/>
      <c r="X97" s="637"/>
      <c r="Y97" s="632"/>
      <c r="Z97" s="443"/>
      <c r="AA97" s="637"/>
      <c r="AB97" s="638"/>
      <c r="AC97" s="443"/>
      <c r="AD97" s="637"/>
      <c r="AE97" s="638"/>
      <c r="AF97" s="443"/>
      <c r="AG97" s="637"/>
      <c r="AH97" s="632"/>
      <c r="AI97" s="443"/>
      <c r="AJ97" s="637"/>
      <c r="AK97" s="638"/>
      <c r="AL97" s="637">
        <f t="shared" si="10"/>
        <v>0</v>
      </c>
      <c r="AM97" s="637">
        <f t="shared" si="10"/>
        <v>0</v>
      </c>
      <c r="AN97" s="638"/>
      <c r="AO97" s="637">
        <f t="shared" si="11"/>
        <v>0</v>
      </c>
      <c r="AP97" s="637">
        <f t="shared" si="11"/>
        <v>0</v>
      </c>
      <c r="AQ97" s="638"/>
    </row>
    <row r="98" spans="1:43" s="602" customFormat="1" ht="18.75" customHeight="1" x14ac:dyDescent="0.3">
      <c r="A98" s="629" t="s">
        <v>377</v>
      </c>
      <c r="B98" s="443"/>
      <c r="C98" s="637"/>
      <c r="D98" s="637"/>
      <c r="E98" s="443">
        <v>697.83</v>
      </c>
      <c r="F98" s="637">
        <v>-227</v>
      </c>
      <c r="G98" s="632">
        <f>IF(E98=0, "    ---- ", IF(ABS(ROUND(100/E98*F98-100,1))&lt;999,ROUND(100/E98*F98-100,1),IF(ROUND(100/E98*F98-100,1)&gt;999,999,-999)))</f>
        <v>-132.5</v>
      </c>
      <c r="H98" s="443"/>
      <c r="I98" s="637"/>
      <c r="J98" s="638"/>
      <c r="K98" s="443"/>
      <c r="L98" s="637"/>
      <c r="M98" s="637"/>
      <c r="N98" s="443"/>
      <c r="O98" s="637"/>
      <c r="P98" s="638"/>
      <c r="Q98" s="443"/>
      <c r="R98" s="637"/>
      <c r="S98" s="638"/>
      <c r="T98" s="443"/>
      <c r="U98" s="637"/>
      <c r="V98" s="638"/>
      <c r="W98" s="443"/>
      <c r="X98" s="637"/>
      <c r="Y98" s="632"/>
      <c r="Z98" s="443"/>
      <c r="AA98" s="637"/>
      <c r="AB98" s="638"/>
      <c r="AC98" s="443"/>
      <c r="AD98" s="637"/>
      <c r="AE98" s="638"/>
      <c r="AF98" s="443">
        <v>0.41899999999999998</v>
      </c>
      <c r="AG98" s="637">
        <v>2E-3</v>
      </c>
      <c r="AH98" s="632">
        <f>IF(AF98=0, "    ---- ", IF(ABS(ROUND(100/AF98*AG98-100,1))&lt;999,ROUND(100/AF98*AG98-100,1),IF(ROUND(100/AF98*AG98-100,1)&gt;999,999,-999)))</f>
        <v>-99.5</v>
      </c>
      <c r="AI98" s="443"/>
      <c r="AJ98" s="637"/>
      <c r="AK98" s="638"/>
      <c r="AL98" s="637">
        <f t="shared" si="10"/>
        <v>698.24900000000002</v>
      </c>
      <c r="AM98" s="637">
        <f t="shared" si="10"/>
        <v>-226.99799999999999</v>
      </c>
      <c r="AN98" s="638">
        <f t="shared" si="12"/>
        <v>-132.5</v>
      </c>
      <c r="AO98" s="637">
        <f t="shared" si="11"/>
        <v>698.24900000000002</v>
      </c>
      <c r="AP98" s="637">
        <f t="shared" si="11"/>
        <v>-226.99799999999999</v>
      </c>
      <c r="AQ98" s="638">
        <f t="shared" si="13"/>
        <v>-132.5</v>
      </c>
    </row>
    <row r="99" spans="1:43" s="602" customFormat="1" ht="18.75" customHeight="1" x14ac:dyDescent="0.3">
      <c r="A99" s="629" t="s">
        <v>378</v>
      </c>
      <c r="B99" s="443"/>
      <c r="C99" s="637"/>
      <c r="D99" s="637"/>
      <c r="E99" s="443"/>
      <c r="F99" s="637"/>
      <c r="G99" s="632"/>
      <c r="H99" s="443"/>
      <c r="I99" s="637"/>
      <c r="J99" s="638"/>
      <c r="K99" s="443"/>
      <c r="L99" s="637"/>
      <c r="M99" s="637"/>
      <c r="N99" s="443"/>
      <c r="O99" s="637"/>
      <c r="P99" s="638"/>
      <c r="Q99" s="443"/>
      <c r="R99" s="637"/>
      <c r="S99" s="638"/>
      <c r="T99" s="443"/>
      <c r="U99" s="637"/>
      <c r="V99" s="638"/>
      <c r="W99" s="443"/>
      <c r="X99" s="637"/>
      <c r="Y99" s="632"/>
      <c r="Z99" s="443"/>
      <c r="AA99" s="637"/>
      <c r="AB99" s="638"/>
      <c r="AC99" s="443"/>
      <c r="AD99" s="637"/>
      <c r="AE99" s="638"/>
      <c r="AF99" s="443"/>
      <c r="AG99" s="637"/>
      <c r="AH99" s="632"/>
      <c r="AI99" s="443"/>
      <c r="AJ99" s="637"/>
      <c r="AK99" s="638"/>
      <c r="AL99" s="637">
        <f t="shared" si="10"/>
        <v>0</v>
      </c>
      <c r="AM99" s="637">
        <f t="shared" si="10"/>
        <v>0</v>
      </c>
      <c r="AN99" s="638" t="str">
        <f t="shared" si="12"/>
        <v xml:space="preserve">    ---- </v>
      </c>
      <c r="AO99" s="637">
        <f t="shared" si="11"/>
        <v>0</v>
      </c>
      <c r="AP99" s="637">
        <f t="shared" si="11"/>
        <v>0</v>
      </c>
      <c r="AQ99" s="638" t="str">
        <f t="shared" si="13"/>
        <v xml:space="preserve">    ---- </v>
      </c>
    </row>
    <row r="100" spans="1:43" s="602" customFormat="1" ht="18.75" customHeight="1" x14ac:dyDescent="0.3">
      <c r="A100" s="629" t="s">
        <v>379</v>
      </c>
      <c r="B100" s="443">
        <v>-0.89300000000000002</v>
      </c>
      <c r="C100" s="637">
        <v>7.3079999999999998</v>
      </c>
      <c r="D100" s="637">
        <f>IF(B100=0, "    ---- ", IF(ABS(ROUND(100/B100*C100-100,1))&lt;999,ROUND(100/B100*C100-100,1),IF(ROUND(100/B100*C100-100,1)&gt;999,999,-999)))</f>
        <v>-918.4</v>
      </c>
      <c r="E100" s="443">
        <v>-3.8029999999999999</v>
      </c>
      <c r="F100" s="637">
        <v>15</v>
      </c>
      <c r="G100" s="632">
        <f>IF(E100=0, "    ---- ", IF(ABS(ROUND(100/E100*F100-100,1))&lt;999,ROUND(100/E100*F100-100,1),IF(ROUND(100/E100*F100-100,1)&gt;999,999,-999)))</f>
        <v>-494.4</v>
      </c>
      <c r="H100" s="443"/>
      <c r="I100" s="637"/>
      <c r="J100" s="638"/>
      <c r="K100" s="443">
        <v>-4.9219999999999997</v>
      </c>
      <c r="L100" s="637">
        <v>11.3</v>
      </c>
      <c r="M100" s="637">
        <f>IF(K100=0, "    ---- ", IF(ABS(ROUND(100/K100*L100-100,1))&lt;999,ROUND(100/K100*L100-100,1),IF(ROUND(100/K100*L100-100,1)&gt;999,999,-999)))</f>
        <v>-329.6</v>
      </c>
      <c r="N100" s="443"/>
      <c r="O100" s="637"/>
      <c r="P100" s="638"/>
      <c r="Q100" s="443"/>
      <c r="R100" s="637"/>
      <c r="S100" s="638"/>
      <c r="T100" s="443"/>
      <c r="U100" s="637"/>
      <c r="V100" s="638"/>
      <c r="W100" s="443">
        <v>20.852610344304328</v>
      </c>
      <c r="X100" s="637">
        <v>16.63814811986774</v>
      </c>
      <c r="Y100" s="632">
        <f t="shared" si="8"/>
        <v>-20.2</v>
      </c>
      <c r="Z100" s="443"/>
      <c r="AA100" s="637"/>
      <c r="AB100" s="638"/>
      <c r="AC100" s="443">
        <v>11.247999999999999</v>
      </c>
      <c r="AD100" s="637">
        <v>12.4179365693701</v>
      </c>
      <c r="AE100" s="638">
        <f>IF(AC100=0, "    ---- ", IF(ABS(ROUND(100/AC100*AD100-100,1))&lt;999,ROUND(100/AC100*AD100-100,1),IF(ROUND(100/AC100*AD100-100,1)&gt;999,999,-999)))</f>
        <v>10.4</v>
      </c>
      <c r="AF100" s="443">
        <v>10.250999999999999</v>
      </c>
      <c r="AG100" s="637">
        <v>-5.1050000000000004</v>
      </c>
      <c r="AH100" s="632">
        <f>IF(AF100=0, "    ---- ", IF(ABS(ROUND(100/AF100*AG100-100,1))&lt;999,ROUND(100/AF100*AG100-100,1),IF(ROUND(100/AF100*AG100-100,1)&gt;999,999,-999)))</f>
        <v>-149.80000000000001</v>
      </c>
      <c r="AI100" s="443">
        <v>14.4</v>
      </c>
      <c r="AJ100" s="637">
        <v>-6.6</v>
      </c>
      <c r="AK100" s="638">
        <f>IF(AI100=0, "    ---- ", IF(ABS(ROUND(100/AI100*AJ100-100,1))&lt;999,ROUND(100/AI100*AJ100-100,1),IF(ROUND(100/AI100*AJ100-100,1)&gt;999,999,-999)))</f>
        <v>-145.80000000000001</v>
      </c>
      <c r="AL100" s="637">
        <f t="shared" si="10"/>
        <v>35.885610344304325</v>
      </c>
      <c r="AM100" s="637">
        <f t="shared" si="10"/>
        <v>38.541148119867735</v>
      </c>
      <c r="AN100" s="638">
        <f t="shared" si="12"/>
        <v>7.4</v>
      </c>
      <c r="AO100" s="637">
        <f t="shared" si="11"/>
        <v>47.133610344304323</v>
      </c>
      <c r="AP100" s="637">
        <f t="shared" si="11"/>
        <v>50.959084689237834</v>
      </c>
      <c r="AQ100" s="638">
        <f t="shared" si="13"/>
        <v>8.1</v>
      </c>
    </row>
    <row r="101" spans="1:43" s="602" customFormat="1" ht="18.75" customHeight="1" x14ac:dyDescent="0.3">
      <c r="A101" s="629" t="s">
        <v>380</v>
      </c>
      <c r="B101" s="443"/>
      <c r="C101" s="637"/>
      <c r="D101" s="637"/>
      <c r="E101" s="443"/>
      <c r="F101" s="637"/>
      <c r="G101" s="632"/>
      <c r="H101" s="443"/>
      <c r="I101" s="637"/>
      <c r="J101" s="638"/>
      <c r="K101" s="443"/>
      <c r="L101" s="637"/>
      <c r="M101" s="637"/>
      <c r="N101" s="443"/>
      <c r="O101" s="637"/>
      <c r="P101" s="638"/>
      <c r="Q101" s="443"/>
      <c r="R101" s="637"/>
      <c r="S101" s="638"/>
      <c r="T101" s="443"/>
      <c r="U101" s="637"/>
      <c r="V101" s="638"/>
      <c r="W101" s="443"/>
      <c r="X101" s="637"/>
      <c r="Y101" s="632"/>
      <c r="Z101" s="443"/>
      <c r="AA101" s="637"/>
      <c r="AB101" s="638"/>
      <c r="AC101" s="443"/>
      <c r="AD101" s="637"/>
      <c r="AE101" s="638"/>
      <c r="AF101" s="443"/>
      <c r="AG101" s="637"/>
      <c r="AH101" s="632"/>
      <c r="AI101" s="443"/>
      <c r="AJ101" s="637"/>
      <c r="AK101" s="638"/>
      <c r="AL101" s="637">
        <f t="shared" si="10"/>
        <v>0</v>
      </c>
      <c r="AM101" s="637">
        <f t="shared" si="10"/>
        <v>0</v>
      </c>
      <c r="AN101" s="638" t="str">
        <f t="shared" si="12"/>
        <v xml:space="preserve">    ---- </v>
      </c>
      <c r="AO101" s="637">
        <f t="shared" si="11"/>
        <v>0</v>
      </c>
      <c r="AP101" s="637">
        <f t="shared" si="11"/>
        <v>0</v>
      </c>
      <c r="AQ101" s="638" t="str">
        <f t="shared" si="13"/>
        <v xml:space="preserve">    ---- </v>
      </c>
    </row>
    <row r="102" spans="1:43" s="602" customFormat="1" ht="18.75" customHeight="1" x14ac:dyDescent="0.3">
      <c r="A102" s="629" t="s">
        <v>381</v>
      </c>
      <c r="B102" s="443"/>
      <c r="C102" s="637"/>
      <c r="D102" s="637"/>
      <c r="E102" s="443"/>
      <c r="F102" s="637"/>
      <c r="G102" s="632"/>
      <c r="H102" s="443"/>
      <c r="I102" s="637"/>
      <c r="J102" s="638"/>
      <c r="K102" s="443"/>
      <c r="L102" s="637"/>
      <c r="M102" s="637"/>
      <c r="N102" s="443"/>
      <c r="O102" s="637"/>
      <c r="P102" s="638"/>
      <c r="Q102" s="443"/>
      <c r="R102" s="637"/>
      <c r="S102" s="638"/>
      <c r="T102" s="443"/>
      <c r="U102" s="637"/>
      <c r="V102" s="638"/>
      <c r="W102" s="443"/>
      <c r="X102" s="637"/>
      <c r="Y102" s="632"/>
      <c r="Z102" s="443"/>
      <c r="AA102" s="637"/>
      <c r="AB102" s="638"/>
      <c r="AC102" s="443"/>
      <c r="AD102" s="637"/>
      <c r="AE102" s="638"/>
      <c r="AF102" s="443"/>
      <c r="AG102" s="637"/>
      <c r="AH102" s="632"/>
      <c r="AI102" s="443"/>
      <c r="AJ102" s="637"/>
      <c r="AK102" s="638"/>
      <c r="AL102" s="637">
        <f t="shared" si="10"/>
        <v>0</v>
      </c>
      <c r="AM102" s="637">
        <f t="shared" si="10"/>
        <v>0</v>
      </c>
      <c r="AN102" s="638" t="str">
        <f t="shared" si="12"/>
        <v xml:space="preserve">    ---- </v>
      </c>
      <c r="AO102" s="637">
        <f t="shared" si="11"/>
        <v>0</v>
      </c>
      <c r="AP102" s="637">
        <f t="shared" si="11"/>
        <v>0</v>
      </c>
      <c r="AQ102" s="638" t="str">
        <f t="shared" si="13"/>
        <v xml:space="preserve">    ---- </v>
      </c>
    </row>
    <row r="103" spans="1:43" s="602" customFormat="1" ht="18.75" customHeight="1" x14ac:dyDescent="0.3">
      <c r="A103" s="629" t="s">
        <v>382</v>
      </c>
      <c r="B103" s="443">
        <v>3.0270000000000001</v>
      </c>
      <c r="C103" s="637">
        <v>2.36</v>
      </c>
      <c r="D103" s="637">
        <f>IF(B103=0, "    ---- ", IF(ABS(ROUND(100/B103*C103-100,1))&lt;999,ROUND(100/B103*C103-100,1),IF(ROUND(100/B103*C103-100,1)&gt;999,999,-999)))</f>
        <v>-22</v>
      </c>
      <c r="E103" s="443">
        <v>-2.6269999999999998</v>
      </c>
      <c r="F103" s="637">
        <v>-1</v>
      </c>
      <c r="G103" s="632">
        <f>IF(E103=0, "    ---- ", IF(ABS(ROUND(100/E103*F103-100,1))&lt;999,ROUND(100/E103*F103-100,1),IF(ROUND(100/E103*F103-100,1)&gt;999,999,-999)))</f>
        <v>-61.9</v>
      </c>
      <c r="H103" s="443"/>
      <c r="I103" s="637"/>
      <c r="J103" s="638"/>
      <c r="K103" s="443">
        <v>1.1319999999999999</v>
      </c>
      <c r="L103" s="637">
        <v>1.2</v>
      </c>
      <c r="M103" s="637">
        <f>IF(K103=0, "    ---- ", IF(ABS(ROUND(100/K103*L103-100,1))&lt;999,ROUND(100/K103*L103-100,1),IF(ROUND(100/K103*L103-100,1)&gt;999,999,-999)))</f>
        <v>6</v>
      </c>
      <c r="N103" s="443"/>
      <c r="O103" s="637"/>
      <c r="P103" s="638"/>
      <c r="Q103" s="443"/>
      <c r="R103" s="637"/>
      <c r="S103" s="638"/>
      <c r="T103" s="443"/>
      <c r="U103" s="637"/>
      <c r="V103" s="638"/>
      <c r="W103" s="443">
        <v>-3.8573314300000017</v>
      </c>
      <c r="X103" s="637">
        <v>-4.0377220000000014</v>
      </c>
      <c r="Y103" s="632">
        <f t="shared" si="8"/>
        <v>4.7</v>
      </c>
      <c r="Z103" s="443"/>
      <c r="AA103" s="637"/>
      <c r="AB103" s="638"/>
      <c r="AC103" s="443"/>
      <c r="AD103" s="637"/>
      <c r="AE103" s="638"/>
      <c r="AF103" s="443">
        <v>-1.9990000000000001</v>
      </c>
      <c r="AG103" s="637">
        <v>-1.5349999999999999</v>
      </c>
      <c r="AH103" s="632">
        <f>IF(AF103=0, "    ---- ", IF(ABS(ROUND(100/AF103*AG103-100,1))&lt;999,ROUND(100/AF103*AG103-100,1),IF(ROUND(100/AF103*AG103-100,1)&gt;999,999,-999)))</f>
        <v>-23.2</v>
      </c>
      <c r="AI103" s="443"/>
      <c r="AJ103" s="637"/>
      <c r="AK103" s="638"/>
      <c r="AL103" s="637">
        <f t="shared" si="10"/>
        <v>-4.3243314300000009</v>
      </c>
      <c r="AM103" s="637">
        <f t="shared" si="10"/>
        <v>-3.0127220000000019</v>
      </c>
      <c r="AN103" s="638">
        <f t="shared" si="12"/>
        <v>-30.3</v>
      </c>
      <c r="AO103" s="637">
        <f t="shared" si="11"/>
        <v>-4.3243314300000009</v>
      </c>
      <c r="AP103" s="637">
        <f t="shared" si="11"/>
        <v>-3.0127220000000019</v>
      </c>
      <c r="AQ103" s="638">
        <f t="shared" si="13"/>
        <v>-30.3</v>
      </c>
    </row>
    <row r="104" spans="1:43" s="602" customFormat="1" ht="18.75" customHeight="1" x14ac:dyDescent="0.3">
      <c r="A104" s="629" t="s">
        <v>383</v>
      </c>
      <c r="B104" s="443"/>
      <c r="C104" s="637"/>
      <c r="D104" s="637"/>
      <c r="E104" s="443"/>
      <c r="F104" s="637"/>
      <c r="G104" s="632"/>
      <c r="H104" s="443"/>
      <c r="I104" s="637"/>
      <c r="J104" s="638"/>
      <c r="K104" s="443"/>
      <c r="L104" s="637"/>
      <c r="M104" s="637"/>
      <c r="N104" s="443"/>
      <c r="O104" s="637"/>
      <c r="P104" s="638"/>
      <c r="Q104" s="443"/>
      <c r="R104" s="637"/>
      <c r="S104" s="638"/>
      <c r="T104" s="443"/>
      <c r="U104" s="637"/>
      <c r="V104" s="638"/>
      <c r="W104" s="443"/>
      <c r="X104" s="637"/>
      <c r="Y104" s="632"/>
      <c r="Z104" s="443"/>
      <c r="AA104" s="637"/>
      <c r="AB104" s="638"/>
      <c r="AC104" s="443"/>
      <c r="AD104" s="637"/>
      <c r="AE104" s="638"/>
      <c r="AF104" s="443"/>
      <c r="AG104" s="637"/>
      <c r="AH104" s="632"/>
      <c r="AI104" s="443"/>
      <c r="AJ104" s="637"/>
      <c r="AK104" s="638"/>
      <c r="AL104" s="637">
        <f t="shared" si="10"/>
        <v>0</v>
      </c>
      <c r="AM104" s="637">
        <f t="shared" si="10"/>
        <v>0</v>
      </c>
      <c r="AN104" s="638" t="str">
        <f t="shared" si="12"/>
        <v xml:space="preserve">    ---- </v>
      </c>
      <c r="AO104" s="637">
        <f t="shared" si="11"/>
        <v>0</v>
      </c>
      <c r="AP104" s="637">
        <f t="shared" si="11"/>
        <v>0</v>
      </c>
      <c r="AQ104" s="638" t="str">
        <f t="shared" si="13"/>
        <v xml:space="preserve">    ---- </v>
      </c>
    </row>
    <row r="105" spans="1:43" s="602" customFormat="1" ht="18.75" customHeight="1" x14ac:dyDescent="0.3">
      <c r="A105" s="629" t="s">
        <v>384</v>
      </c>
      <c r="B105" s="443"/>
      <c r="C105" s="637"/>
      <c r="D105" s="637"/>
      <c r="E105" s="443"/>
      <c r="F105" s="637"/>
      <c r="G105" s="632"/>
      <c r="H105" s="443"/>
      <c r="I105" s="637"/>
      <c r="J105" s="638"/>
      <c r="K105" s="443">
        <v>18.236999999999998</v>
      </c>
      <c r="L105" s="637"/>
      <c r="M105" s="637">
        <f>IF(K105=0, "    ---- ", IF(ABS(ROUND(100/K105*L105-100,1))&lt;999,ROUND(100/K105*L105-100,1),IF(ROUND(100/K105*L105-100,1)&gt;999,999,-999)))</f>
        <v>-100</v>
      </c>
      <c r="N105" s="443"/>
      <c r="O105" s="637"/>
      <c r="P105" s="638"/>
      <c r="Q105" s="443"/>
      <c r="R105" s="637"/>
      <c r="S105" s="638"/>
      <c r="T105" s="443"/>
      <c r="U105" s="637"/>
      <c r="V105" s="638"/>
      <c r="W105" s="443"/>
      <c r="X105" s="637"/>
      <c r="Y105" s="632"/>
      <c r="Z105" s="443"/>
      <c r="AA105" s="637"/>
      <c r="AB105" s="638"/>
      <c r="AC105" s="443"/>
      <c r="AD105" s="637"/>
      <c r="AE105" s="638"/>
      <c r="AF105" s="443"/>
      <c r="AG105" s="637"/>
      <c r="AH105" s="632"/>
      <c r="AI105" s="443"/>
      <c r="AJ105" s="637">
        <v>-2</v>
      </c>
      <c r="AK105" s="638" t="str">
        <f>IF(AI105=0, "    ---- ", IF(ABS(ROUND(100/AI105*AJ105-100,1))&lt;999,ROUND(100/AI105*AJ105-100,1),IF(ROUND(100/AI105*AJ105-100,1)&gt;999,999,-999)))</f>
        <v xml:space="preserve">    ---- </v>
      </c>
      <c r="AL105" s="637">
        <f t="shared" si="10"/>
        <v>18.236999999999998</v>
      </c>
      <c r="AM105" s="637">
        <f t="shared" si="10"/>
        <v>-2</v>
      </c>
      <c r="AN105" s="638">
        <f t="shared" si="12"/>
        <v>-111</v>
      </c>
      <c r="AO105" s="637">
        <f t="shared" si="11"/>
        <v>18.236999999999998</v>
      </c>
      <c r="AP105" s="637">
        <f t="shared" si="11"/>
        <v>-2</v>
      </c>
      <c r="AQ105" s="638">
        <f t="shared" si="13"/>
        <v>-111</v>
      </c>
    </row>
    <row r="106" spans="1:43" s="636" customFormat="1" ht="18.75" customHeight="1" x14ac:dyDescent="0.3">
      <c r="A106" s="623" t="s">
        <v>385</v>
      </c>
      <c r="B106" s="624">
        <v>2.1340000000000003</v>
      </c>
      <c r="C106" s="639">
        <v>9.6679999999999993</v>
      </c>
      <c r="D106" s="639">
        <f>IF(B106=0, "    ---- ", IF(ABS(ROUND(100/B106*C106-100,1))&lt;999,ROUND(100/B106*C106-100,1),IF(ROUND(100/B106*C106-100,1)&gt;999,999,-999)))</f>
        <v>353</v>
      </c>
      <c r="E106" s="624">
        <v>691.40000000000009</v>
      </c>
      <c r="F106" s="639">
        <v>-213</v>
      </c>
      <c r="G106" s="627">
        <f>IF(E106=0, "    ---- ", IF(ABS(ROUND(100/E106*F106-100,1))&lt;999,ROUND(100/E106*F106-100,1),IF(ROUND(100/E106*F106-100,1)&gt;999,999,-999)))</f>
        <v>-130.80000000000001</v>
      </c>
      <c r="H106" s="624"/>
      <c r="I106" s="639"/>
      <c r="J106" s="640"/>
      <c r="K106" s="624">
        <v>14.446999999999999</v>
      </c>
      <c r="L106" s="639">
        <v>12.5</v>
      </c>
      <c r="M106" s="639">
        <f>IF(K106=0, "    ---- ", IF(ABS(ROUND(100/K106*L106-100,1))&lt;999,ROUND(100/K106*L106-100,1),IF(ROUND(100/K106*L106-100,1)&gt;999,999,-999)))</f>
        <v>-13.5</v>
      </c>
      <c r="N106" s="624"/>
      <c r="O106" s="639"/>
      <c r="P106" s="640"/>
      <c r="Q106" s="624"/>
      <c r="R106" s="639"/>
      <c r="S106" s="640"/>
      <c r="T106" s="624"/>
      <c r="U106" s="639"/>
      <c r="V106" s="640"/>
      <c r="W106" s="624">
        <v>16.995278914304325</v>
      </c>
      <c r="X106" s="639">
        <v>12.600426119867738</v>
      </c>
      <c r="Y106" s="627">
        <f t="shared" si="8"/>
        <v>-25.9</v>
      </c>
      <c r="Z106" s="624"/>
      <c r="AA106" s="639"/>
      <c r="AB106" s="640"/>
      <c r="AC106" s="624">
        <v>11.247999999999999</v>
      </c>
      <c r="AD106" s="639">
        <v>12.4179365693701</v>
      </c>
      <c r="AE106" s="640">
        <f>IF(AC106=0, "    ---- ", IF(ABS(ROUND(100/AC106*AD106-100,1))&lt;999,ROUND(100/AC106*AD106-100,1),IF(ROUND(100/AC106*AD106-100,1)&gt;999,999,-999)))</f>
        <v>10.4</v>
      </c>
      <c r="AF106" s="624">
        <v>8.6709999999999994</v>
      </c>
      <c r="AG106" s="639">
        <v>-6.6380000000000008</v>
      </c>
      <c r="AH106" s="627">
        <f>IF(AF106=0, "    ---- ", IF(ABS(ROUND(100/AF106*AG106-100,1))&lt;999,ROUND(100/AF106*AG106-100,1),IF(ROUND(100/AF106*AG106-100,1)&gt;999,999,-999)))</f>
        <v>-176.6</v>
      </c>
      <c r="AI106" s="624">
        <v>14.4</v>
      </c>
      <c r="AJ106" s="639">
        <v>-8.6</v>
      </c>
      <c r="AK106" s="640">
        <f>IF(AI106=0, "    ---- ", IF(ABS(ROUND(100/AI106*AJ106-100,1))&lt;999,ROUND(100/AI106*AJ106-100,1),IF(ROUND(100/AI106*AJ106-100,1)&gt;999,999,-999)))</f>
        <v>-159.69999999999999</v>
      </c>
      <c r="AL106" s="639">
        <f t="shared" si="10"/>
        <v>748.04727891430446</v>
      </c>
      <c r="AM106" s="639">
        <f t="shared" si="10"/>
        <v>-193.46957388013226</v>
      </c>
      <c r="AN106" s="640">
        <f t="shared" si="12"/>
        <v>-125.9</v>
      </c>
      <c r="AO106" s="639">
        <f t="shared" si="11"/>
        <v>759.2952789143045</v>
      </c>
      <c r="AP106" s="639">
        <f t="shared" si="11"/>
        <v>-181.05163731076215</v>
      </c>
      <c r="AQ106" s="640">
        <f t="shared" si="13"/>
        <v>-123.8</v>
      </c>
    </row>
    <row r="107" spans="1:43" s="602" customFormat="1" ht="18.75" customHeight="1" x14ac:dyDescent="0.3">
      <c r="A107" s="629" t="s">
        <v>386</v>
      </c>
      <c r="B107" s="443"/>
      <c r="C107" s="637"/>
      <c r="D107" s="637"/>
      <c r="E107" s="443">
        <v>697.83199999999999</v>
      </c>
      <c r="F107" s="637">
        <v>-227</v>
      </c>
      <c r="G107" s="632">
        <f>IF(E107=0, "    ---- ", IF(ABS(ROUND(100/E107*F107-100,1))&lt;999,ROUND(100/E107*F107-100,1),IF(ROUND(100/E107*F107-100,1)&gt;999,999,-999)))</f>
        <v>-132.5</v>
      </c>
      <c r="H107" s="443"/>
      <c r="I107" s="637"/>
      <c r="J107" s="638"/>
      <c r="K107" s="443"/>
      <c r="L107" s="637"/>
      <c r="M107" s="637"/>
      <c r="N107" s="443"/>
      <c r="O107" s="637"/>
      <c r="P107" s="638"/>
      <c r="Q107" s="443"/>
      <c r="R107" s="637"/>
      <c r="S107" s="638"/>
      <c r="T107" s="443"/>
      <c r="U107" s="637"/>
      <c r="V107" s="638"/>
      <c r="W107" s="443"/>
      <c r="X107" s="637"/>
      <c r="Y107" s="632"/>
      <c r="Z107" s="443"/>
      <c r="AA107" s="637"/>
      <c r="AB107" s="638"/>
      <c r="AC107" s="443"/>
      <c r="AD107" s="637"/>
      <c r="AE107" s="638"/>
      <c r="AF107" s="443"/>
      <c r="AG107" s="637"/>
      <c r="AH107" s="632"/>
      <c r="AI107" s="443"/>
      <c r="AJ107" s="637"/>
      <c r="AK107" s="638"/>
      <c r="AL107" s="637">
        <f t="shared" si="10"/>
        <v>697.83199999999999</v>
      </c>
      <c r="AM107" s="637">
        <f t="shared" si="10"/>
        <v>-227</v>
      </c>
      <c r="AN107" s="638">
        <f t="shared" si="12"/>
        <v>-132.5</v>
      </c>
      <c r="AO107" s="637">
        <f t="shared" si="11"/>
        <v>697.83199999999999</v>
      </c>
      <c r="AP107" s="637">
        <f t="shared" si="11"/>
        <v>-227</v>
      </c>
      <c r="AQ107" s="638">
        <f t="shared" si="13"/>
        <v>-132.5</v>
      </c>
    </row>
    <row r="108" spans="1:43" s="602" customFormat="1" ht="18.75" customHeight="1" x14ac:dyDescent="0.3">
      <c r="A108" s="641" t="s">
        <v>387</v>
      </c>
      <c r="B108" s="642">
        <v>2.133</v>
      </c>
      <c r="C108" s="643">
        <v>9.6679999999999993</v>
      </c>
      <c r="D108" s="643">
        <f>IF(B108=0, "    ---- ", IF(ABS(ROUND(100/B108*C108-100,1))&lt;999,ROUND(100/B108*C108-100,1),IF(ROUND(100/B108*C108-100,1)&gt;999,999,-999)))</f>
        <v>353.3</v>
      </c>
      <c r="E108" s="642">
        <v>-6.4320000000000004</v>
      </c>
      <c r="F108" s="643">
        <v>14</v>
      </c>
      <c r="G108" s="644">
        <f>IF(E108=0, "    ---- ", IF(ABS(ROUND(100/E108*F108-100,1))&lt;999,ROUND(100/E108*F108-100,1),IF(ROUND(100/E108*F108-100,1)&gt;999,999,-999)))</f>
        <v>-317.7</v>
      </c>
      <c r="H108" s="642"/>
      <c r="I108" s="643"/>
      <c r="J108" s="645"/>
      <c r="K108" s="642">
        <v>14.446999999999999</v>
      </c>
      <c r="L108" s="643">
        <v>12.5</v>
      </c>
      <c r="M108" s="643">
        <f>IF(K108=0, "    ---- ", IF(ABS(ROUND(100/K108*L108-100,1))&lt;999,ROUND(100/K108*L108-100,1),IF(ROUND(100/K108*L108-100,1)&gt;999,999,-999)))</f>
        <v>-13.5</v>
      </c>
      <c r="N108" s="642"/>
      <c r="O108" s="643"/>
      <c r="P108" s="645"/>
      <c r="Q108" s="642"/>
      <c r="R108" s="643"/>
      <c r="S108" s="645"/>
      <c r="T108" s="642"/>
      <c r="U108" s="643"/>
      <c r="V108" s="645"/>
      <c r="W108" s="642">
        <v>16.995278914304325</v>
      </c>
      <c r="X108" s="643">
        <v>12.600426119867738</v>
      </c>
      <c r="Y108" s="644">
        <f t="shared" si="8"/>
        <v>-25.9</v>
      </c>
      <c r="Z108" s="642"/>
      <c r="AA108" s="643"/>
      <c r="AB108" s="645"/>
      <c r="AC108" s="642">
        <v>11.247999999999999</v>
      </c>
      <c r="AD108" s="643">
        <v>12.4179365693701</v>
      </c>
      <c r="AE108" s="645"/>
      <c r="AF108" s="642">
        <v>8.6709999999999994</v>
      </c>
      <c r="AG108" s="643">
        <v>-6.6379999999999999</v>
      </c>
      <c r="AH108" s="644">
        <f>IF(AF108=0, "    ---- ", IF(ABS(ROUND(100/AF108*AG108-100,1))&lt;999,ROUND(100/AF108*AG108-100,1),IF(ROUND(100/AF108*AG108-100,1)&gt;999,999,-999)))</f>
        <v>-176.6</v>
      </c>
      <c r="AI108" s="642">
        <v>14.08</v>
      </c>
      <c r="AJ108" s="643">
        <v>-8.8000000000000007</v>
      </c>
      <c r="AK108" s="645">
        <f>IF(AI108=0, "    ---- ", IF(ABS(ROUND(100/AI108*AJ108-100,1))&lt;999,ROUND(100/AI108*AJ108-100,1),IF(ROUND(100/AI108*AJ108-100,1)&gt;999,999,-999)))</f>
        <v>-162.5</v>
      </c>
      <c r="AL108" s="642">
        <f t="shared" si="10"/>
        <v>49.894278914304323</v>
      </c>
      <c r="AM108" s="642">
        <f t="shared" si="10"/>
        <v>33.330426119867738</v>
      </c>
      <c r="AN108" s="645">
        <f t="shared" si="12"/>
        <v>-33.200000000000003</v>
      </c>
      <c r="AO108" s="643">
        <f t="shared" si="11"/>
        <v>61.14227891430432</v>
      </c>
      <c r="AP108" s="643">
        <f t="shared" si="11"/>
        <v>45.748362689237837</v>
      </c>
      <c r="AQ108" s="645">
        <f t="shared" si="13"/>
        <v>-25.2</v>
      </c>
    </row>
    <row r="109" spans="1:43" s="602" customFormat="1" ht="18.75" customHeight="1" x14ac:dyDescent="0.3">
      <c r="A109" s="602" t="s">
        <v>261</v>
      </c>
      <c r="B109" s="654"/>
      <c r="C109" s="654"/>
      <c r="D109" s="654"/>
      <c r="E109" s="655"/>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4"/>
      <c r="AL109" s="654"/>
      <c r="AM109" s="654"/>
      <c r="AN109" s="654"/>
      <c r="AO109" s="654"/>
      <c r="AP109" s="654"/>
      <c r="AQ109" s="654"/>
    </row>
    <row r="110" spans="1:43" ht="18.75" x14ac:dyDescent="0.3">
      <c r="A110" s="602"/>
    </row>
    <row r="111" spans="1:43" ht="18.75" x14ac:dyDescent="0.3">
      <c r="A111" s="602"/>
    </row>
    <row r="112" spans="1:43" ht="18.75" x14ac:dyDescent="0.3">
      <c r="A112" s="602"/>
    </row>
    <row r="113" spans="1:1" ht="18.75" x14ac:dyDescent="0.3">
      <c r="A113" s="602"/>
    </row>
    <row r="114" spans="1:1" ht="18.75" x14ac:dyDescent="0.3">
      <c r="A114" s="602"/>
    </row>
    <row r="115" spans="1:1" ht="18.75" x14ac:dyDescent="0.3">
      <c r="A115" s="602"/>
    </row>
    <row r="116" spans="1:1" ht="18.75" x14ac:dyDescent="0.3">
      <c r="A116" s="602"/>
    </row>
    <row r="117" spans="1:1" ht="18.75" x14ac:dyDescent="0.3">
      <c r="A117" s="602"/>
    </row>
    <row r="118" spans="1:1" ht="18.75" x14ac:dyDescent="0.3">
      <c r="A118" s="602"/>
    </row>
    <row r="119" spans="1:1" ht="18.75" x14ac:dyDescent="0.3">
      <c r="A119" s="602"/>
    </row>
    <row r="120" spans="1:1" ht="18.75" x14ac:dyDescent="0.3">
      <c r="A120" s="602"/>
    </row>
    <row r="121" spans="1:1" ht="18.75" x14ac:dyDescent="0.3">
      <c r="A121" s="602"/>
    </row>
    <row r="122" spans="1:1" ht="18.75" x14ac:dyDescent="0.3">
      <c r="A122" s="602"/>
    </row>
    <row r="123" spans="1:1" ht="18.75" x14ac:dyDescent="0.3">
      <c r="A123" s="602"/>
    </row>
    <row r="124" spans="1:1" ht="18.75" x14ac:dyDescent="0.3">
      <c r="A124" s="602"/>
    </row>
    <row r="125" spans="1:1" ht="18.75" x14ac:dyDescent="0.3">
      <c r="A125" s="602"/>
    </row>
    <row r="126" spans="1:1" ht="18.75" x14ac:dyDescent="0.3">
      <c r="A126" s="602"/>
    </row>
    <row r="127" spans="1:1" ht="18.75" x14ac:dyDescent="0.3">
      <c r="A127" s="602"/>
    </row>
    <row r="128" spans="1:1" ht="18.75" x14ac:dyDescent="0.3">
      <c r="A128" s="602"/>
    </row>
    <row r="129" spans="1:1" ht="18.75" x14ac:dyDescent="0.3">
      <c r="A129" s="602"/>
    </row>
    <row r="130" spans="1:1" ht="18.75" x14ac:dyDescent="0.3">
      <c r="A130" s="602"/>
    </row>
    <row r="131" spans="1:1" ht="18.75" x14ac:dyDescent="0.3">
      <c r="A131" s="602"/>
    </row>
    <row r="132" spans="1:1" ht="18.75" x14ac:dyDescent="0.3">
      <c r="A132" s="602"/>
    </row>
    <row r="133" spans="1:1" ht="18.75" x14ac:dyDescent="0.3">
      <c r="A133" s="602"/>
    </row>
    <row r="134" spans="1:1" ht="18.75" x14ac:dyDescent="0.3">
      <c r="A134" s="602"/>
    </row>
    <row r="135" spans="1:1" ht="18.75" x14ac:dyDescent="0.3">
      <c r="A135" s="602"/>
    </row>
    <row r="136" spans="1:1" ht="18.75" x14ac:dyDescent="0.3">
      <c r="A136" s="602"/>
    </row>
    <row r="137" spans="1:1" ht="18.75" x14ac:dyDescent="0.3">
      <c r="A137" s="602"/>
    </row>
    <row r="138" spans="1:1" ht="18.75" x14ac:dyDescent="0.3">
      <c r="A138" s="602"/>
    </row>
    <row r="139" spans="1:1" ht="18.75" x14ac:dyDescent="0.3">
      <c r="A139" s="602"/>
    </row>
    <row r="140" spans="1:1" ht="18.75" x14ac:dyDescent="0.3">
      <c r="A140" s="602"/>
    </row>
    <row r="141" spans="1:1" ht="18.75" x14ac:dyDescent="0.3">
      <c r="A141" s="602"/>
    </row>
    <row r="142" spans="1:1" ht="18.75" x14ac:dyDescent="0.3">
      <c r="A142" s="602"/>
    </row>
    <row r="143" spans="1:1" ht="18.75" x14ac:dyDescent="0.3">
      <c r="A143" s="602"/>
    </row>
    <row r="144" spans="1:1" ht="18.75" x14ac:dyDescent="0.3">
      <c r="A144" s="602"/>
    </row>
    <row r="145" spans="1:1" ht="18.75" x14ac:dyDescent="0.3">
      <c r="A145" s="602"/>
    </row>
    <row r="146" spans="1:1" ht="18.75" x14ac:dyDescent="0.3">
      <c r="A146" s="602"/>
    </row>
    <row r="147" spans="1:1" ht="18.75" x14ac:dyDescent="0.3">
      <c r="A147" s="602"/>
    </row>
    <row r="148" spans="1:1" ht="18.75" x14ac:dyDescent="0.3">
      <c r="A148" s="602"/>
    </row>
    <row r="149" spans="1:1" ht="18.75" x14ac:dyDescent="0.3">
      <c r="A149" s="602"/>
    </row>
    <row r="150" spans="1:1" ht="18.75" x14ac:dyDescent="0.3">
      <c r="A150" s="602"/>
    </row>
    <row r="151" spans="1:1" ht="18.75" x14ac:dyDescent="0.3">
      <c r="A151" s="602"/>
    </row>
    <row r="152" spans="1:1" ht="18.75" x14ac:dyDescent="0.3">
      <c r="A152" s="602"/>
    </row>
    <row r="153" spans="1:1" ht="18.75" x14ac:dyDescent="0.3">
      <c r="A153" s="602"/>
    </row>
    <row r="154" spans="1:1" ht="18.75" x14ac:dyDescent="0.3">
      <c r="A154" s="602"/>
    </row>
    <row r="155" spans="1:1" ht="18.75" x14ac:dyDescent="0.3">
      <c r="A155" s="602"/>
    </row>
    <row r="156" spans="1:1" ht="18.75" x14ac:dyDescent="0.3">
      <c r="A156" s="602"/>
    </row>
    <row r="157" spans="1:1" ht="18.75" x14ac:dyDescent="0.3">
      <c r="A157" s="602"/>
    </row>
    <row r="158" spans="1:1" ht="18.75" x14ac:dyDescent="0.3">
      <c r="A158" s="602"/>
    </row>
    <row r="159" spans="1:1" ht="18.75" x14ac:dyDescent="0.3">
      <c r="A159" s="602"/>
    </row>
    <row r="160" spans="1:1" ht="18.75" x14ac:dyDescent="0.3">
      <c r="A160" s="602"/>
    </row>
    <row r="161" spans="1:1" ht="18.75" x14ac:dyDescent="0.3">
      <c r="A161" s="602"/>
    </row>
    <row r="162" spans="1:1" ht="18.75" x14ac:dyDescent="0.3">
      <c r="A162" s="602"/>
    </row>
    <row r="163" spans="1:1" ht="18.75" x14ac:dyDescent="0.3">
      <c r="A163" s="602"/>
    </row>
    <row r="164" spans="1:1" ht="18.75" x14ac:dyDescent="0.3">
      <c r="A164" s="602"/>
    </row>
    <row r="165" spans="1:1" ht="18.75" x14ac:dyDescent="0.3">
      <c r="A165" s="602"/>
    </row>
    <row r="166" spans="1:1" ht="18.75" x14ac:dyDescent="0.3">
      <c r="A166" s="602"/>
    </row>
    <row r="167" spans="1:1" ht="18.75" x14ac:dyDescent="0.3">
      <c r="A167" s="602"/>
    </row>
    <row r="168" spans="1:1" ht="18.75" x14ac:dyDescent="0.3">
      <c r="A168" s="602"/>
    </row>
    <row r="169" spans="1:1" ht="18.75" x14ac:dyDescent="0.3">
      <c r="A169" s="602"/>
    </row>
    <row r="170" spans="1:1" ht="18.75" x14ac:dyDescent="0.3">
      <c r="A170" s="602"/>
    </row>
    <row r="171" spans="1:1" ht="18.75" x14ac:dyDescent="0.3">
      <c r="A171" s="602"/>
    </row>
    <row r="172" spans="1:1" ht="18.75" x14ac:dyDescent="0.3">
      <c r="A172" s="602"/>
    </row>
    <row r="173" spans="1:1" ht="18.75" x14ac:dyDescent="0.3">
      <c r="A173" s="602"/>
    </row>
    <row r="174" spans="1:1" ht="18.75" x14ac:dyDescent="0.3">
      <c r="A174" s="602"/>
    </row>
    <row r="175" spans="1:1" ht="18.75" x14ac:dyDescent="0.3">
      <c r="A175" s="602"/>
    </row>
    <row r="176" spans="1:1" ht="18.75" x14ac:dyDescent="0.3">
      <c r="A176" s="602"/>
    </row>
    <row r="177" spans="1:1" ht="18.75" x14ac:dyDescent="0.3">
      <c r="A177" s="602"/>
    </row>
    <row r="178" spans="1:1" ht="18.75" x14ac:dyDescent="0.3">
      <c r="A178" s="602"/>
    </row>
    <row r="179" spans="1:1" ht="18.75" x14ac:dyDescent="0.3">
      <c r="A179" s="602"/>
    </row>
    <row r="180" spans="1:1" ht="18.75" x14ac:dyDescent="0.3">
      <c r="A180" s="602"/>
    </row>
    <row r="181" spans="1:1" ht="18.75" x14ac:dyDescent="0.3">
      <c r="A181" s="602"/>
    </row>
    <row r="182" spans="1:1" ht="18.75" x14ac:dyDescent="0.3">
      <c r="A182" s="602"/>
    </row>
    <row r="183" spans="1:1" ht="18.75" x14ac:dyDescent="0.3">
      <c r="A183" s="602"/>
    </row>
    <row r="184" spans="1:1" ht="18.75" x14ac:dyDescent="0.3">
      <c r="A184" s="602"/>
    </row>
    <row r="185" spans="1:1" ht="18.75" x14ac:dyDescent="0.3">
      <c r="A185" s="602"/>
    </row>
    <row r="186" spans="1:1" ht="18.75" x14ac:dyDescent="0.3">
      <c r="A186" s="602"/>
    </row>
    <row r="187" spans="1:1" ht="18.75" x14ac:dyDescent="0.3">
      <c r="A187" s="602"/>
    </row>
    <row r="188" spans="1:1" ht="18.75" x14ac:dyDescent="0.3">
      <c r="A188" s="602"/>
    </row>
    <row r="189" spans="1:1" ht="18.75" x14ac:dyDescent="0.3">
      <c r="A189" s="602"/>
    </row>
  </sheetData>
  <mergeCells count="25">
    <mergeCell ref="AL7:AN7"/>
    <mergeCell ref="AO7:AQ7"/>
    <mergeCell ref="T7:V7"/>
    <mergeCell ref="W7:Y7"/>
    <mergeCell ref="Z7:AB7"/>
    <mergeCell ref="AC7:AE7"/>
    <mergeCell ref="AF7:AH7"/>
    <mergeCell ref="B7:D7"/>
    <mergeCell ref="E7:G7"/>
    <mergeCell ref="H7:J7"/>
    <mergeCell ref="K7:M7"/>
    <mergeCell ref="N7:P7"/>
    <mergeCell ref="Q7:S7"/>
    <mergeCell ref="Z6:AB6"/>
    <mergeCell ref="AF6:AH6"/>
    <mergeCell ref="AI6:AK6"/>
    <mergeCell ref="AI7:AK7"/>
    <mergeCell ref="AL6:AN6"/>
    <mergeCell ref="AO6:AQ6"/>
    <mergeCell ref="B6:D6"/>
    <mergeCell ref="E6:G6"/>
    <mergeCell ref="H6:J6"/>
    <mergeCell ref="K6:M6"/>
    <mergeCell ref="N6:P6"/>
    <mergeCell ref="T6:V6"/>
  </mergeCells>
  <conditionalFormatting sqref="K20">
    <cfRule type="expression" dxfId="836" priority="449">
      <formula>#REF!="20≠21+22"</formula>
    </cfRule>
    <cfRule type="expression" dxfId="835" priority="450">
      <formula>#REF!="20≠12+13+14+15+16+17+19"</formula>
    </cfRule>
  </conditionalFormatting>
  <conditionalFormatting sqref="K32">
    <cfRule type="expression" dxfId="834" priority="451">
      <formula>#REF!="32≠33+34"</formula>
    </cfRule>
  </conditionalFormatting>
  <conditionalFormatting sqref="K44">
    <cfRule type="expression" dxfId="833" priority="452">
      <formula>#REF!="44≠45+46"</formula>
    </cfRule>
  </conditionalFormatting>
  <conditionalFormatting sqref="K56">
    <cfRule type="expression" dxfId="832" priority="453">
      <formula>#REF!="56≠57+58"</formula>
    </cfRule>
  </conditionalFormatting>
  <conditionalFormatting sqref="K70">
    <cfRule type="expression" dxfId="831" priority="454">
      <formula>#REF!="70≠62+63+64+65+66+67+69"</formula>
    </cfRule>
  </conditionalFormatting>
  <conditionalFormatting sqref="K82">
    <cfRule type="expression" dxfId="830" priority="455">
      <formula>#REF!="82≠83+84"</formula>
    </cfRule>
  </conditionalFormatting>
  <conditionalFormatting sqref="K94">
    <cfRule type="expression" dxfId="829" priority="456">
      <formula>#REF!="94≠95+96"</formula>
    </cfRule>
  </conditionalFormatting>
  <conditionalFormatting sqref="K106">
    <cfRule type="expression" dxfId="828" priority="457">
      <formula>#REF!="106≠107+108"</formula>
    </cfRule>
  </conditionalFormatting>
  <conditionalFormatting sqref="K32">
    <cfRule type="expression" dxfId="827" priority="458">
      <formula>#REF!="32≠24+25+26+27+28+29+31"</formula>
    </cfRule>
  </conditionalFormatting>
  <conditionalFormatting sqref="K44">
    <cfRule type="expression" dxfId="826" priority="459">
      <formula>#REF!="44≠36+37+38+39+40+41+43"</formula>
    </cfRule>
  </conditionalFormatting>
  <conditionalFormatting sqref="K56">
    <cfRule type="expression" dxfId="825" priority="460">
      <formula>#REF!="56≠48+49+50+51+52+53+55"</formula>
    </cfRule>
  </conditionalFormatting>
  <conditionalFormatting sqref="K70">
    <cfRule type="expression" dxfId="824" priority="461">
      <formula>#REF!="70≠71+72"</formula>
    </cfRule>
  </conditionalFormatting>
  <conditionalFormatting sqref="K82">
    <cfRule type="expression" dxfId="823" priority="462">
      <formula>#REF!="82≠74+75+76+77+78+79+81"</formula>
    </cfRule>
  </conditionalFormatting>
  <conditionalFormatting sqref="K94">
    <cfRule type="expression" dxfId="822" priority="463">
      <formula>#REF!="94≠86+87+88+89+90+91+93"</formula>
    </cfRule>
  </conditionalFormatting>
  <conditionalFormatting sqref="K106">
    <cfRule type="expression" dxfId="821" priority="464">
      <formula>#REF!="106≠98+99+100+101+102+103+105"</formula>
    </cfRule>
  </conditionalFormatting>
  <conditionalFormatting sqref="W20">
    <cfRule type="expression" dxfId="820" priority="417">
      <formula>#REF!="20≠21+22"</formula>
    </cfRule>
    <cfRule type="expression" dxfId="819" priority="418">
      <formula>#REF!="20≠12+13+14+15+16+17+19"</formula>
    </cfRule>
  </conditionalFormatting>
  <conditionalFormatting sqref="W32">
    <cfRule type="expression" dxfId="818" priority="419">
      <formula>#REF!="32≠33+34"</formula>
    </cfRule>
  </conditionalFormatting>
  <conditionalFormatting sqref="W44">
    <cfRule type="expression" dxfId="817" priority="420">
      <formula>#REF!="44≠45+46"</formula>
    </cfRule>
  </conditionalFormatting>
  <conditionalFormatting sqref="W56">
    <cfRule type="expression" dxfId="816" priority="421">
      <formula>#REF!="56≠57+58"</formula>
    </cfRule>
  </conditionalFormatting>
  <conditionalFormatting sqref="W70">
    <cfRule type="expression" dxfId="815" priority="422">
      <formula>#REF!="70≠62+63+64+65+66+67+69"</formula>
    </cfRule>
  </conditionalFormatting>
  <conditionalFormatting sqref="W82">
    <cfRule type="expression" dxfId="814" priority="423">
      <formula>#REF!="82≠83+84"</formula>
    </cfRule>
  </conditionalFormatting>
  <conditionalFormatting sqref="W94">
    <cfRule type="expression" dxfId="813" priority="424">
      <formula>#REF!="94≠95+96"</formula>
    </cfRule>
  </conditionalFormatting>
  <conditionalFormatting sqref="W106">
    <cfRule type="expression" dxfId="812" priority="425">
      <formula>#REF!="106≠107+108"</formula>
    </cfRule>
  </conditionalFormatting>
  <conditionalFormatting sqref="W32">
    <cfRule type="expression" dxfId="811" priority="426">
      <formula>#REF!="32≠24+25+26+27+28+29+31"</formula>
    </cfRule>
  </conditionalFormatting>
  <conditionalFormatting sqref="W44">
    <cfRule type="expression" dxfId="810" priority="427">
      <formula>#REF!="44≠36+37+38+39+40+41+43"</formula>
    </cfRule>
  </conditionalFormatting>
  <conditionalFormatting sqref="W56">
    <cfRule type="expression" dxfId="809" priority="428">
      <formula>#REF!="56≠48+49+50+51+52+53+55"</formula>
    </cfRule>
  </conditionalFormatting>
  <conditionalFormatting sqref="W70">
    <cfRule type="expression" dxfId="808" priority="429">
      <formula>#REF!="70≠71+72"</formula>
    </cfRule>
  </conditionalFormatting>
  <conditionalFormatting sqref="W82">
    <cfRule type="expression" dxfId="807" priority="430">
      <formula>#REF!="82≠74+75+76+77+78+79+81"</formula>
    </cfRule>
  </conditionalFormatting>
  <conditionalFormatting sqref="W94">
    <cfRule type="expression" dxfId="806" priority="431">
      <formula>#REF!="94≠86+87+88+89+90+91+93"</formula>
    </cfRule>
  </conditionalFormatting>
  <conditionalFormatting sqref="W106">
    <cfRule type="expression" dxfId="805" priority="432">
      <formula>#REF!="106≠98+99+100+101+102+103+105"</formula>
    </cfRule>
  </conditionalFormatting>
  <conditionalFormatting sqref="AI20">
    <cfRule type="expression" dxfId="804" priority="385">
      <formula>#REF!="20≠21+22"</formula>
    </cfRule>
    <cfRule type="expression" dxfId="803" priority="386">
      <formula>#REF!="20≠12+13+14+15+16+17+19"</formula>
    </cfRule>
  </conditionalFormatting>
  <conditionalFormatting sqref="AI32">
    <cfRule type="expression" dxfId="802" priority="387">
      <formula>#REF!="32≠33+34"</formula>
    </cfRule>
  </conditionalFormatting>
  <conditionalFormatting sqref="AI44">
    <cfRule type="expression" dxfId="801" priority="388">
      <formula>#REF!="44≠45+46"</formula>
    </cfRule>
  </conditionalFormatting>
  <conditionalFormatting sqref="AI56">
    <cfRule type="expression" dxfId="800" priority="389">
      <formula>#REF!="56≠57+58"</formula>
    </cfRule>
  </conditionalFormatting>
  <conditionalFormatting sqref="AI70">
    <cfRule type="expression" dxfId="799" priority="390">
      <formula>#REF!="70≠62+63+64+65+66+67+69"</formula>
    </cfRule>
  </conditionalFormatting>
  <conditionalFormatting sqref="AI82">
    <cfRule type="expression" dxfId="798" priority="391">
      <formula>#REF!="82≠83+84"</formula>
    </cfRule>
  </conditionalFormatting>
  <conditionalFormatting sqref="AI94">
    <cfRule type="expression" dxfId="797" priority="392">
      <formula>#REF!="94≠95+96"</formula>
    </cfRule>
  </conditionalFormatting>
  <conditionalFormatting sqref="AI106">
    <cfRule type="expression" dxfId="796" priority="393">
      <formula>#REF!="106≠107+108"</formula>
    </cfRule>
  </conditionalFormatting>
  <conditionalFormatting sqref="AI32">
    <cfRule type="expression" dxfId="795" priority="394">
      <formula>#REF!="32≠24+25+26+27+28+29+31"</formula>
    </cfRule>
  </conditionalFormatting>
  <conditionalFormatting sqref="AI44">
    <cfRule type="expression" dxfId="794" priority="395">
      <formula>#REF!="44≠36+37+38+39+40+41+43"</formula>
    </cfRule>
  </conditionalFormatting>
  <conditionalFormatting sqref="AI56">
    <cfRule type="expression" dxfId="793" priority="396">
      <formula>#REF!="56≠48+49+50+51+52+53+55"</formula>
    </cfRule>
  </conditionalFormatting>
  <conditionalFormatting sqref="AI70">
    <cfRule type="expression" dxfId="792" priority="397">
      <formula>#REF!="70≠71+72"</formula>
    </cfRule>
  </conditionalFormatting>
  <conditionalFormatting sqref="AI82">
    <cfRule type="expression" dxfId="791" priority="398">
      <formula>#REF!="82≠74+75+76+77+78+79+81"</formula>
    </cfRule>
  </conditionalFormatting>
  <conditionalFormatting sqref="AI94">
    <cfRule type="expression" dxfId="790" priority="399">
      <formula>#REF!="94≠86+87+88+89+90+91+93"</formula>
    </cfRule>
  </conditionalFormatting>
  <conditionalFormatting sqref="AI106">
    <cfRule type="expression" dxfId="789" priority="400">
      <formula>#REF!="106≠98+99+100+101+102+103+105"</formula>
    </cfRule>
  </conditionalFormatting>
  <conditionalFormatting sqref="B20">
    <cfRule type="expression" dxfId="788" priority="353">
      <formula>#REF!="20≠21+22"</formula>
    </cfRule>
    <cfRule type="expression" dxfId="787" priority="354">
      <formula>#REF!="20≠12+13+14+15+16+17+19"</formula>
    </cfRule>
  </conditionalFormatting>
  <conditionalFormatting sqref="B32">
    <cfRule type="expression" dxfId="786" priority="355">
      <formula>#REF!="32≠33+34"</formula>
    </cfRule>
  </conditionalFormatting>
  <conditionalFormatting sqref="B44">
    <cfRule type="expression" dxfId="785" priority="356">
      <formula>#REF!="44≠45+46"</formula>
    </cfRule>
  </conditionalFormatting>
  <conditionalFormatting sqref="B56">
    <cfRule type="expression" dxfId="784" priority="357">
      <formula>#REF!="56≠57+58"</formula>
    </cfRule>
  </conditionalFormatting>
  <conditionalFormatting sqref="B70">
    <cfRule type="expression" dxfId="783" priority="358">
      <formula>#REF!="70≠62+63+64+65+66+67+69"</formula>
    </cfRule>
  </conditionalFormatting>
  <conditionalFormatting sqref="B82">
    <cfRule type="expression" dxfId="782" priority="359">
      <formula>#REF!="82≠83+84"</formula>
    </cfRule>
  </conditionalFormatting>
  <conditionalFormatting sqref="B94">
    <cfRule type="expression" dxfId="781" priority="360">
      <formula>#REF!="94≠95+96"</formula>
    </cfRule>
  </conditionalFormatting>
  <conditionalFormatting sqref="B106">
    <cfRule type="expression" dxfId="780" priority="361">
      <formula>#REF!="106≠107+108"</formula>
    </cfRule>
  </conditionalFormatting>
  <conditionalFormatting sqref="B32">
    <cfRule type="expression" dxfId="779" priority="362">
      <formula>#REF!="32≠24+25+26+27+28+29+31"</formula>
    </cfRule>
  </conditionalFormatting>
  <conditionalFormatting sqref="B44">
    <cfRule type="expression" dxfId="778" priority="363">
      <formula>#REF!="44≠36+37+38+39+40+41+43"</formula>
    </cfRule>
  </conditionalFormatting>
  <conditionalFormatting sqref="B56">
    <cfRule type="expression" dxfId="777" priority="364">
      <formula>#REF!="56≠48+49+50+51+52+53+55"</formula>
    </cfRule>
  </conditionalFormatting>
  <conditionalFormatting sqref="B70">
    <cfRule type="expression" dxfId="776" priority="365">
      <formula>#REF!="70≠71+72"</formula>
    </cfRule>
  </conditionalFormatting>
  <conditionalFormatting sqref="B82">
    <cfRule type="expression" dxfId="775" priority="366">
      <formula>#REF!="82≠74+75+76+77+78+79+81"</formula>
    </cfRule>
  </conditionalFormatting>
  <conditionalFormatting sqref="B94">
    <cfRule type="expression" dxfId="774" priority="367">
      <formula>#REF!="94≠86+87+88+89+90+91+93"</formula>
    </cfRule>
  </conditionalFormatting>
  <conditionalFormatting sqref="B106">
    <cfRule type="expression" dxfId="773" priority="368">
      <formula>#REF!="106≠98+99+100+101+102+103+105"</formula>
    </cfRule>
  </conditionalFormatting>
  <conditionalFormatting sqref="Z20">
    <cfRule type="expression" dxfId="772" priority="321">
      <formula>#REF!="20≠21+22"</formula>
    </cfRule>
    <cfRule type="expression" dxfId="771" priority="322">
      <formula>#REF!="20≠12+13+14+15+16+17+19"</formula>
    </cfRule>
  </conditionalFormatting>
  <conditionalFormatting sqref="Z32">
    <cfRule type="expression" dxfId="770" priority="323">
      <formula>#REF!="32≠33+34"</formula>
    </cfRule>
  </conditionalFormatting>
  <conditionalFormatting sqref="Z44">
    <cfRule type="expression" dxfId="769" priority="324">
      <formula>#REF!="44≠45+46"</formula>
    </cfRule>
  </conditionalFormatting>
  <conditionalFormatting sqref="Z56">
    <cfRule type="expression" dxfId="768" priority="325">
      <formula>#REF!="56≠57+58"</formula>
    </cfRule>
  </conditionalFormatting>
  <conditionalFormatting sqref="Z70">
    <cfRule type="expression" dxfId="767" priority="326">
      <formula>#REF!="70≠62+63+64+65+66+67+69"</formula>
    </cfRule>
  </conditionalFormatting>
  <conditionalFormatting sqref="Z82">
    <cfRule type="expression" dxfId="766" priority="327">
      <formula>#REF!="82≠83+84"</formula>
    </cfRule>
  </conditionalFormatting>
  <conditionalFormatting sqref="Z94">
    <cfRule type="expression" dxfId="765" priority="328">
      <formula>#REF!="94≠95+96"</formula>
    </cfRule>
  </conditionalFormatting>
  <conditionalFormatting sqref="Z106">
    <cfRule type="expression" dxfId="764" priority="329">
      <formula>#REF!="106≠107+108"</formula>
    </cfRule>
  </conditionalFormatting>
  <conditionalFormatting sqref="Z32">
    <cfRule type="expression" dxfId="763" priority="330">
      <formula>#REF!="32≠24+25+26+27+28+29+31"</formula>
    </cfRule>
  </conditionalFormatting>
  <conditionalFormatting sqref="Z44">
    <cfRule type="expression" dxfId="762" priority="331">
      <formula>#REF!="44≠36+37+38+39+40+41+43"</formula>
    </cfRule>
  </conditionalFormatting>
  <conditionalFormatting sqref="Z56">
    <cfRule type="expression" dxfId="761" priority="332">
      <formula>#REF!="56≠48+49+50+51+52+53+55"</formula>
    </cfRule>
  </conditionalFormatting>
  <conditionalFormatting sqref="Z70">
    <cfRule type="expression" dxfId="760" priority="333">
      <formula>#REF!="70≠71+72"</formula>
    </cfRule>
  </conditionalFormatting>
  <conditionalFormatting sqref="Z82">
    <cfRule type="expression" dxfId="759" priority="334">
      <formula>#REF!="82≠74+75+76+77+78+79+81"</formula>
    </cfRule>
  </conditionalFormatting>
  <conditionalFormatting sqref="Z94">
    <cfRule type="expression" dxfId="758" priority="335">
      <formula>#REF!="94≠86+87+88+89+90+91+93"</formula>
    </cfRule>
  </conditionalFormatting>
  <conditionalFormatting sqref="Z106">
    <cfRule type="expression" dxfId="757" priority="336">
      <formula>#REF!="106≠98+99+100+101+102+103+105"</formula>
    </cfRule>
  </conditionalFormatting>
  <conditionalFormatting sqref="T20">
    <cfRule type="expression" dxfId="756" priority="289">
      <formula>#REF!="20≠21+22"</formula>
    </cfRule>
    <cfRule type="expression" dxfId="755" priority="290">
      <formula>#REF!="20≠12+13+14+15+16+17+19"</formula>
    </cfRule>
  </conditionalFormatting>
  <conditionalFormatting sqref="T32">
    <cfRule type="expression" dxfId="754" priority="291">
      <formula>#REF!="32≠33+34"</formula>
    </cfRule>
  </conditionalFormatting>
  <conditionalFormatting sqref="T44">
    <cfRule type="expression" dxfId="753" priority="292">
      <formula>#REF!="44≠45+46"</formula>
    </cfRule>
  </conditionalFormatting>
  <conditionalFormatting sqref="T56">
    <cfRule type="expression" dxfId="752" priority="293">
      <formula>#REF!="56≠57+58"</formula>
    </cfRule>
  </conditionalFormatting>
  <conditionalFormatting sqref="T70">
    <cfRule type="expression" dxfId="751" priority="294">
      <formula>#REF!="70≠62+63+64+65+66+67+69"</formula>
    </cfRule>
  </conditionalFormatting>
  <conditionalFormatting sqref="T82">
    <cfRule type="expression" dxfId="750" priority="295">
      <formula>#REF!="82≠83+84"</formula>
    </cfRule>
  </conditionalFormatting>
  <conditionalFormatting sqref="T94">
    <cfRule type="expression" dxfId="749" priority="296">
      <formula>#REF!="94≠95+96"</formula>
    </cfRule>
  </conditionalFormatting>
  <conditionalFormatting sqref="T106">
    <cfRule type="expression" dxfId="748" priority="297">
      <formula>#REF!="106≠107+108"</formula>
    </cfRule>
  </conditionalFormatting>
  <conditionalFormatting sqref="T32">
    <cfRule type="expression" dxfId="747" priority="298">
      <formula>#REF!="32≠24+25+26+27+28+29+31"</formula>
    </cfRule>
  </conditionalFormatting>
  <conditionalFormatting sqref="T44">
    <cfRule type="expression" dxfId="746" priority="299">
      <formula>#REF!="44≠36+37+38+39+40+41+43"</formula>
    </cfRule>
  </conditionalFormatting>
  <conditionalFormatting sqref="T56">
    <cfRule type="expression" dxfId="745" priority="300">
      <formula>#REF!="56≠48+49+50+51+52+53+55"</formula>
    </cfRule>
  </conditionalFormatting>
  <conditionalFormatting sqref="T70">
    <cfRule type="expression" dxfId="744" priority="301">
      <formula>#REF!="70≠71+72"</formula>
    </cfRule>
  </conditionalFormatting>
  <conditionalFormatting sqref="T82">
    <cfRule type="expression" dxfId="743" priority="302">
      <formula>#REF!="82≠74+75+76+77+78+79+81"</formula>
    </cfRule>
  </conditionalFormatting>
  <conditionalFormatting sqref="T94">
    <cfRule type="expression" dxfId="742" priority="303">
      <formula>#REF!="94≠86+87+88+89+90+91+93"</formula>
    </cfRule>
  </conditionalFormatting>
  <conditionalFormatting sqref="T106">
    <cfRule type="expression" dxfId="741" priority="304">
      <formula>#REF!="106≠98+99+100+101+102+103+105"</formula>
    </cfRule>
  </conditionalFormatting>
  <conditionalFormatting sqref="Q20">
    <cfRule type="expression" dxfId="740" priority="257">
      <formula>#REF!="20≠21+22"</formula>
    </cfRule>
    <cfRule type="expression" dxfId="739" priority="258">
      <formula>#REF!="20≠12+13+14+15+16+17+19"</formula>
    </cfRule>
  </conditionalFormatting>
  <conditionalFormatting sqref="Q32">
    <cfRule type="expression" dxfId="738" priority="259">
      <formula>#REF!="32≠33+34"</formula>
    </cfRule>
  </conditionalFormatting>
  <conditionalFormatting sqref="Q44">
    <cfRule type="expression" dxfId="737" priority="260">
      <formula>#REF!="44≠45+46"</formula>
    </cfRule>
  </conditionalFormatting>
  <conditionalFormatting sqref="Q56">
    <cfRule type="expression" dxfId="736" priority="261">
      <formula>#REF!="56≠57+58"</formula>
    </cfRule>
  </conditionalFormatting>
  <conditionalFormatting sqref="Q70">
    <cfRule type="expression" dxfId="735" priority="262">
      <formula>#REF!="70≠62+63+64+65+66+67+69"</formula>
    </cfRule>
  </conditionalFormatting>
  <conditionalFormatting sqref="Q82">
    <cfRule type="expression" dxfId="734" priority="263">
      <formula>#REF!="82≠83+84"</formula>
    </cfRule>
  </conditionalFormatting>
  <conditionalFormatting sqref="Q94">
    <cfRule type="expression" dxfId="733" priority="264">
      <formula>#REF!="94≠95+96"</formula>
    </cfRule>
  </conditionalFormatting>
  <conditionalFormatting sqref="Q106">
    <cfRule type="expression" dxfId="732" priority="265">
      <formula>#REF!="106≠107+108"</formula>
    </cfRule>
  </conditionalFormatting>
  <conditionalFormatting sqref="Q32">
    <cfRule type="expression" dxfId="731" priority="266">
      <formula>#REF!="32≠24+25+26+27+28+29+31"</formula>
    </cfRule>
  </conditionalFormatting>
  <conditionalFormatting sqref="Q44">
    <cfRule type="expression" dxfId="730" priority="267">
      <formula>#REF!="44≠36+37+38+39+40+41+43"</formula>
    </cfRule>
  </conditionalFormatting>
  <conditionalFormatting sqref="Q56">
    <cfRule type="expression" dxfId="729" priority="268">
      <formula>#REF!="56≠48+49+50+51+52+53+55"</formula>
    </cfRule>
  </conditionalFormatting>
  <conditionalFormatting sqref="Q70">
    <cfRule type="expression" dxfId="728" priority="269">
      <formula>#REF!="70≠71+72"</formula>
    </cfRule>
  </conditionalFormatting>
  <conditionalFormatting sqref="Q82">
    <cfRule type="expression" dxfId="727" priority="270">
      <formula>#REF!="82≠74+75+76+77+78+79+81"</formula>
    </cfRule>
  </conditionalFormatting>
  <conditionalFormatting sqref="Q94">
    <cfRule type="expression" dxfId="726" priority="271">
      <formula>#REF!="94≠86+87+88+89+90+91+93"</formula>
    </cfRule>
  </conditionalFormatting>
  <conditionalFormatting sqref="Q106">
    <cfRule type="expression" dxfId="725" priority="272">
      <formula>#REF!="106≠98+99+100+101+102+103+105"</formula>
    </cfRule>
  </conditionalFormatting>
  <conditionalFormatting sqref="N20">
    <cfRule type="expression" dxfId="724" priority="193">
      <formula>#REF!="20≠21+22"</formula>
    </cfRule>
    <cfRule type="expression" dxfId="723" priority="194">
      <formula>#REF!="20≠12+13+14+15+16+17+19"</formula>
    </cfRule>
  </conditionalFormatting>
  <conditionalFormatting sqref="N32">
    <cfRule type="expression" dxfId="722" priority="195">
      <formula>#REF!="32≠33+34"</formula>
    </cfRule>
  </conditionalFormatting>
  <conditionalFormatting sqref="N44">
    <cfRule type="expression" dxfId="721" priority="196">
      <formula>#REF!="44≠45+46"</formula>
    </cfRule>
  </conditionalFormatting>
  <conditionalFormatting sqref="N56">
    <cfRule type="expression" dxfId="720" priority="197">
      <formula>#REF!="56≠57+58"</formula>
    </cfRule>
  </conditionalFormatting>
  <conditionalFormatting sqref="N70">
    <cfRule type="expression" dxfId="719" priority="198">
      <formula>#REF!="70≠62+63+64+65+66+67+69"</formula>
    </cfRule>
  </conditionalFormatting>
  <conditionalFormatting sqref="N82">
    <cfRule type="expression" dxfId="718" priority="199">
      <formula>#REF!="82≠83+84"</formula>
    </cfRule>
  </conditionalFormatting>
  <conditionalFormatting sqref="N94">
    <cfRule type="expression" dxfId="717" priority="200">
      <formula>#REF!="94≠95+96"</formula>
    </cfRule>
  </conditionalFormatting>
  <conditionalFormatting sqref="N106">
    <cfRule type="expression" dxfId="716" priority="201">
      <formula>#REF!="106≠107+108"</formula>
    </cfRule>
  </conditionalFormatting>
  <conditionalFormatting sqref="N32">
    <cfRule type="expression" dxfId="715" priority="202">
      <formula>#REF!="32≠24+25+26+27+28+29+31"</formula>
    </cfRule>
  </conditionalFormatting>
  <conditionalFormatting sqref="N44">
    <cfRule type="expression" dxfId="714" priority="203">
      <formula>#REF!="44≠36+37+38+39+40+41+43"</formula>
    </cfRule>
  </conditionalFormatting>
  <conditionalFormatting sqref="N56">
    <cfRule type="expression" dxfId="713" priority="204">
      <formula>#REF!="56≠48+49+50+51+52+53+55"</formula>
    </cfRule>
  </conditionalFormatting>
  <conditionalFormatting sqref="N70">
    <cfRule type="expression" dxfId="712" priority="205">
      <formula>#REF!="70≠71+72"</formula>
    </cfRule>
  </conditionalFormatting>
  <conditionalFormatting sqref="N82">
    <cfRule type="expression" dxfId="711" priority="206">
      <formula>#REF!="82≠74+75+76+77+78+79+81"</formula>
    </cfRule>
  </conditionalFormatting>
  <conditionalFormatting sqref="N94">
    <cfRule type="expression" dxfId="710" priority="207">
      <formula>#REF!="94≠86+87+88+89+90+91+93"</formula>
    </cfRule>
  </conditionalFormatting>
  <conditionalFormatting sqref="N106">
    <cfRule type="expression" dxfId="709" priority="208">
      <formula>#REF!="106≠98+99+100+101+102+103+105"</formula>
    </cfRule>
  </conditionalFormatting>
  <conditionalFormatting sqref="AC20">
    <cfRule type="expression" dxfId="708" priority="161">
      <formula>#REF!="20≠21+22"</formula>
    </cfRule>
    <cfRule type="expression" dxfId="707" priority="162">
      <formula>#REF!="20≠12+13+14+15+16+17+19"</formula>
    </cfRule>
  </conditionalFormatting>
  <conditionalFormatting sqref="AC32">
    <cfRule type="expression" dxfId="706" priority="163">
      <formula>#REF!="32≠33+34"</formula>
    </cfRule>
  </conditionalFormatting>
  <conditionalFormatting sqref="AC44">
    <cfRule type="expression" dxfId="705" priority="164">
      <formula>#REF!="44≠45+46"</formula>
    </cfRule>
  </conditionalFormatting>
  <conditionalFormatting sqref="AC56">
    <cfRule type="expression" dxfId="704" priority="165">
      <formula>#REF!="56≠57+58"</formula>
    </cfRule>
  </conditionalFormatting>
  <conditionalFormatting sqref="AC70">
    <cfRule type="expression" dxfId="703" priority="166">
      <formula>#REF!="70≠62+63+64+65+66+67+69"</formula>
    </cfRule>
  </conditionalFormatting>
  <conditionalFormatting sqref="AC82">
    <cfRule type="expression" dxfId="702" priority="167">
      <formula>#REF!="82≠83+84"</formula>
    </cfRule>
  </conditionalFormatting>
  <conditionalFormatting sqref="AC94">
    <cfRule type="expression" dxfId="701" priority="168">
      <formula>#REF!="94≠95+96"</formula>
    </cfRule>
  </conditionalFormatting>
  <conditionalFormatting sqref="AC106">
    <cfRule type="expression" dxfId="700" priority="169">
      <formula>#REF!="106≠107+108"</formula>
    </cfRule>
  </conditionalFormatting>
  <conditionalFormatting sqref="AC32">
    <cfRule type="expression" dxfId="699" priority="170">
      <formula>#REF!="32≠24+25+26+27+28+29+31"</formula>
    </cfRule>
  </conditionalFormatting>
  <conditionalFormatting sqref="AC44">
    <cfRule type="expression" dxfId="698" priority="171">
      <formula>#REF!="44≠36+37+38+39+40+41+43"</formula>
    </cfRule>
  </conditionalFormatting>
  <conditionalFormatting sqref="AC56">
    <cfRule type="expression" dxfId="697" priority="172">
      <formula>#REF!="56≠48+49+50+51+52+53+55"</formula>
    </cfRule>
  </conditionalFormatting>
  <conditionalFormatting sqref="AC70">
    <cfRule type="expression" dxfId="696" priority="173">
      <formula>#REF!="70≠71+72"</formula>
    </cfRule>
  </conditionalFormatting>
  <conditionalFormatting sqref="AC82">
    <cfRule type="expression" dxfId="695" priority="174">
      <formula>#REF!="82≠74+75+76+77+78+79+81"</formula>
    </cfRule>
  </conditionalFormatting>
  <conditionalFormatting sqref="AC94">
    <cfRule type="expression" dxfId="694" priority="175">
      <formula>#REF!="94≠86+87+88+89+90+91+93"</formula>
    </cfRule>
  </conditionalFormatting>
  <conditionalFormatting sqref="AC106">
    <cfRule type="expression" dxfId="693" priority="176">
      <formula>#REF!="106≠98+99+100+101+102+103+105"</formula>
    </cfRule>
  </conditionalFormatting>
  <conditionalFormatting sqref="AF20">
    <cfRule type="expression" dxfId="692" priority="111">
      <formula>#REF!="20≠21+22"</formula>
    </cfRule>
    <cfRule type="expression" dxfId="691" priority="111">
      <formula>#REF!="20≠12+13+14+15+16+17+19"</formula>
    </cfRule>
  </conditionalFormatting>
  <conditionalFormatting sqref="AF32">
    <cfRule type="expression" dxfId="690" priority="110">
      <formula>#REF!="32≠33+34"</formula>
    </cfRule>
  </conditionalFormatting>
  <conditionalFormatting sqref="AF44">
    <cfRule type="expression" dxfId="689" priority="109">
      <formula>#REF!="44≠45+46"</formula>
    </cfRule>
  </conditionalFormatting>
  <conditionalFormatting sqref="AF56">
    <cfRule type="expression" dxfId="688" priority="108">
      <formula>#REF!="56≠57+58"</formula>
    </cfRule>
  </conditionalFormatting>
  <conditionalFormatting sqref="AF70">
    <cfRule type="expression" dxfId="687" priority="107">
      <formula>#REF!="70≠62+63+64+65+66+67+69"</formula>
    </cfRule>
  </conditionalFormatting>
  <conditionalFormatting sqref="AF82">
    <cfRule type="expression" dxfId="686" priority="106">
      <formula>#REF!="82≠83+84"</formula>
    </cfRule>
  </conditionalFormatting>
  <conditionalFormatting sqref="AF94">
    <cfRule type="expression" dxfId="685" priority="105">
      <formula>#REF!="94≠95+96"</formula>
    </cfRule>
  </conditionalFormatting>
  <conditionalFormatting sqref="AF106">
    <cfRule type="expression" dxfId="684" priority="501">
      <formula>#REF!="106≠107+108"</formula>
    </cfRule>
  </conditionalFormatting>
  <conditionalFormatting sqref="AF32">
    <cfRule type="expression" dxfId="683" priority="502">
      <formula>#REF!="32≠24+25+26+27+28+29+31"</formula>
    </cfRule>
  </conditionalFormatting>
  <conditionalFormatting sqref="AF44">
    <cfRule type="expression" dxfId="682" priority="503">
      <formula>#REF!="44≠36+37+38+39+40+41+43"</formula>
    </cfRule>
  </conditionalFormatting>
  <conditionalFormatting sqref="AF56">
    <cfRule type="expression" dxfId="681" priority="504">
      <formula>#REF!="56≠48+49+50+51+52+53+55"</formula>
    </cfRule>
  </conditionalFormatting>
  <conditionalFormatting sqref="AF70">
    <cfRule type="expression" dxfId="680" priority="505">
      <formula>#REF!="70≠71+72"</formula>
    </cfRule>
  </conditionalFormatting>
  <conditionalFormatting sqref="AF82">
    <cfRule type="expression" dxfId="679" priority="506">
      <formula>#REF!="82≠74+75+76+77+78+79+81"</formula>
    </cfRule>
  </conditionalFormatting>
  <conditionalFormatting sqref="AF94">
    <cfRule type="expression" dxfId="678" priority="507">
      <formula>#REF!="94≠86+87+88+89+90+91+93"</formula>
    </cfRule>
  </conditionalFormatting>
  <conditionalFormatting sqref="AF106">
    <cfRule type="expression" dxfId="677" priority="112">
      <formula>#REF!="106≠98+99+100+101+102+103+105"</formula>
    </cfRule>
  </conditionalFormatting>
  <conditionalFormatting sqref="H20">
    <cfRule type="expression" dxfId="676" priority="65">
      <formula>#REF!="20≠21+22"</formula>
    </cfRule>
    <cfRule type="expression" dxfId="675" priority="66">
      <formula>#REF!="20≠12+13+14+15+16+17+19"</formula>
    </cfRule>
  </conditionalFormatting>
  <conditionalFormatting sqref="H32">
    <cfRule type="expression" dxfId="674" priority="67">
      <formula>#REF!="32≠33+34"</formula>
    </cfRule>
  </conditionalFormatting>
  <conditionalFormatting sqref="H44">
    <cfRule type="expression" dxfId="673" priority="68">
      <formula>#REF!="44≠45+46"</formula>
    </cfRule>
  </conditionalFormatting>
  <conditionalFormatting sqref="H56">
    <cfRule type="expression" dxfId="672" priority="69">
      <formula>#REF!="56≠57+58"</formula>
    </cfRule>
  </conditionalFormatting>
  <conditionalFormatting sqref="H70">
    <cfRule type="expression" dxfId="671" priority="70">
      <formula>#REF!="70≠62+63+64+65+66+67+69"</formula>
    </cfRule>
  </conditionalFormatting>
  <conditionalFormatting sqref="H82">
    <cfRule type="expression" dxfId="670" priority="71">
      <formula>#REF!="82≠83+84"</formula>
    </cfRule>
  </conditionalFormatting>
  <conditionalFormatting sqref="H94">
    <cfRule type="expression" dxfId="669" priority="72">
      <formula>#REF!="94≠95+96"</formula>
    </cfRule>
  </conditionalFormatting>
  <conditionalFormatting sqref="H106">
    <cfRule type="expression" dxfId="668" priority="73">
      <formula>#REF!="106≠107+108"</formula>
    </cfRule>
  </conditionalFormatting>
  <conditionalFormatting sqref="H32">
    <cfRule type="expression" dxfId="667" priority="74">
      <formula>#REF!="32≠24+25+26+27+28+29+31"</formula>
    </cfRule>
  </conditionalFormatting>
  <conditionalFormatting sqref="H44">
    <cfRule type="expression" dxfId="666" priority="75">
      <formula>#REF!="44≠36+37+38+39+40+41+43"</formula>
    </cfRule>
  </conditionalFormatting>
  <conditionalFormatting sqref="H56">
    <cfRule type="expression" dxfId="665" priority="76">
      <formula>#REF!="56≠48+49+50+51+52+53+55"</formula>
    </cfRule>
  </conditionalFormatting>
  <conditionalFormatting sqref="H70">
    <cfRule type="expression" dxfId="664" priority="77">
      <formula>#REF!="70≠71+72"</formula>
    </cfRule>
  </conditionalFormatting>
  <conditionalFormatting sqref="H82">
    <cfRule type="expression" dxfId="663" priority="78">
      <formula>#REF!="82≠74+75+76+77+78+79+81"</formula>
    </cfRule>
  </conditionalFormatting>
  <conditionalFormatting sqref="H94">
    <cfRule type="expression" dxfId="662" priority="79">
      <formula>#REF!="94≠86+87+88+89+90+91+93"</formula>
    </cfRule>
  </conditionalFormatting>
  <conditionalFormatting sqref="H106">
    <cfRule type="expression" dxfId="661" priority="80">
      <formula>#REF!="106≠98+99+100+101+102+103+105"</formula>
    </cfRule>
  </conditionalFormatting>
  <conditionalFormatting sqref="E20">
    <cfRule type="expression" dxfId="660" priority="33">
      <formula>#REF!="20≠21+22"</formula>
    </cfRule>
    <cfRule type="expression" dxfId="659" priority="34">
      <formula>#REF!="20≠12+13+14+15+16+17+19"</formula>
    </cfRule>
  </conditionalFormatting>
  <conditionalFormatting sqref="E32">
    <cfRule type="expression" dxfId="658" priority="35">
      <formula>#REF!="32≠33+34"</formula>
    </cfRule>
  </conditionalFormatting>
  <conditionalFormatting sqref="E44">
    <cfRule type="expression" dxfId="657" priority="36">
      <formula>#REF!="44≠45+46"</formula>
    </cfRule>
  </conditionalFormatting>
  <conditionalFormatting sqref="E56">
    <cfRule type="expression" dxfId="656" priority="37">
      <formula>#REF!="56≠57+58"</formula>
    </cfRule>
  </conditionalFormatting>
  <conditionalFormatting sqref="E70">
    <cfRule type="expression" dxfId="655" priority="38">
      <formula>#REF!="70≠62+63+64+65+66+67+69"</formula>
    </cfRule>
  </conditionalFormatting>
  <conditionalFormatting sqref="E82">
    <cfRule type="expression" dxfId="654" priority="39">
      <formula>#REF!="82≠83+84"</formula>
    </cfRule>
  </conditionalFormatting>
  <conditionalFormatting sqref="E94">
    <cfRule type="expression" dxfId="653" priority="40">
      <formula>#REF!="94≠95+96"</formula>
    </cfRule>
  </conditionalFormatting>
  <conditionalFormatting sqref="E106">
    <cfRule type="expression" dxfId="652" priority="41">
      <formula>#REF!="106≠107+108"</formula>
    </cfRule>
  </conditionalFormatting>
  <conditionalFormatting sqref="E32">
    <cfRule type="expression" dxfId="651" priority="42">
      <formula>#REF!="32≠24+25+26+27+28+29+31"</formula>
    </cfRule>
  </conditionalFormatting>
  <conditionalFormatting sqref="E44">
    <cfRule type="expression" dxfId="650" priority="43">
      <formula>#REF!="44≠36+37+38+39+40+41+43"</formula>
    </cfRule>
  </conditionalFormatting>
  <conditionalFormatting sqref="E56">
    <cfRule type="expression" dxfId="649" priority="44">
      <formula>#REF!="56≠48+49+50+51+52+53+55"</formula>
    </cfRule>
  </conditionalFormatting>
  <conditionalFormatting sqref="E70">
    <cfRule type="expression" dxfId="648" priority="45">
      <formula>#REF!="70≠71+72"</formula>
    </cfRule>
  </conditionalFormatting>
  <conditionalFormatting sqref="E82">
    <cfRule type="expression" dxfId="647" priority="46">
      <formula>#REF!="82≠74+75+76+77+78+79+81"</formula>
    </cfRule>
  </conditionalFormatting>
  <conditionalFormatting sqref="E94">
    <cfRule type="expression" dxfId="646" priority="47">
      <formula>#REF!="94≠86+87+88+89+90+91+93"</formula>
    </cfRule>
  </conditionalFormatting>
  <conditionalFormatting sqref="E106">
    <cfRule type="expression" dxfId="645" priority="48">
      <formula>#REF!="106≠98+99+100+101+102+103+105"</formula>
    </cfRule>
  </conditionalFormatting>
  <conditionalFormatting sqref="L20 X20 AJ20 C20 AA20 U20 R20 O20 AD20 AG20 I20 F20 AL20:AM20 AO20:AP20">
    <cfRule type="expression" dxfId="644" priority="662">
      <formula>#REF!="20≠21+22"</formula>
    </cfRule>
    <cfRule type="expression" dxfId="643" priority="663">
      <formula>#REF!="20≠12+13+14+15+16+17+19"</formula>
    </cfRule>
  </conditionalFormatting>
  <conditionalFormatting sqref="L32 X32 AJ32 C32 AA32 U32 R32 O32 AD32 AG32 I32 F32 AL32:AM32 AO32:AP32">
    <cfRule type="expression" dxfId="642" priority="666">
      <formula>#REF!="32≠33+34"</formula>
    </cfRule>
  </conditionalFormatting>
  <conditionalFormatting sqref="L44 X44 AJ44 C44 AA44 U44 R44 O44 AD44 AG44 I44 F44 AL44:AM44 AO44:AP44">
    <cfRule type="expression" dxfId="641" priority="668">
      <formula>#REF!="44≠45+46"</formula>
    </cfRule>
  </conditionalFormatting>
  <conditionalFormatting sqref="L56 X56 AJ56 C56 AA56 U56 R56 O56 AD56 AG56 I56 F56 AL56:AM56 AO56:AP56">
    <cfRule type="expression" dxfId="640" priority="670">
      <formula>#REF!="56≠57+58"</formula>
    </cfRule>
  </conditionalFormatting>
  <conditionalFormatting sqref="AL70:AM70 AO70:AP70">
    <cfRule type="expression" dxfId="639" priority="672">
      <formula>#REF!="70≠62+63+64+65+66+67+69"</formula>
    </cfRule>
  </conditionalFormatting>
  <conditionalFormatting sqref="L82 X82 AJ82 C82 AA82 U82 R82 O82 AD82 AG82 I82 F82 AL82:AM82 AO82:AP82">
    <cfRule type="expression" dxfId="638" priority="674">
      <formula>#REF!="82≠83+84"</formula>
    </cfRule>
  </conditionalFormatting>
  <conditionalFormatting sqref="L94 X94 AJ94 C94 AA94 U94 R94 O94 AD94 AG94 I94 F94 AL94:AM94 AO94:AP94">
    <cfRule type="expression" dxfId="637" priority="676">
      <formula>#REF!="94≠95+96"</formula>
    </cfRule>
  </conditionalFormatting>
  <conditionalFormatting sqref="L106 X106 AJ106 C106 AA106 U106 R106 O106 AD106 AG106 I106 F106 AL106:AM106 AO106:AP106">
    <cfRule type="expression" dxfId="636" priority="678">
      <formula>#REF!="106≠107+108"</formula>
    </cfRule>
  </conditionalFormatting>
  <conditionalFormatting sqref="L32 X32 AJ32 C32 AA32 U32 R32 O32 AD32 AG32 I32 F32 AL32:AM32 AO32:AP32">
    <cfRule type="expression" dxfId="635" priority="680">
      <formula>#REF!="32≠24+25+26+27+28+29+31"</formula>
    </cfRule>
  </conditionalFormatting>
  <conditionalFormatting sqref="AL44:AM44 AO44:AP44">
    <cfRule type="expression" dxfId="634" priority="682">
      <formula>#REF!="44≠36+37+38+39+40+41+43"</formula>
    </cfRule>
  </conditionalFormatting>
  <conditionalFormatting sqref="L56 X56 AJ56 C56 AA56 U56 R56 O56 AD56 AG56 I56 F56 AL56:AM56 AO56:AP56">
    <cfRule type="expression" dxfId="633" priority="684">
      <formula>#REF!="56≠48+49+50+51+52+53+55"</formula>
    </cfRule>
  </conditionalFormatting>
  <conditionalFormatting sqref="L70 X70 AJ70 C70 AA70 U70 R70 O70 AD70 AG70 I70 F70 AL70:AM70 AO70:AP70">
    <cfRule type="expression" dxfId="632" priority="686">
      <formula>#REF!="70≠71+72"</formula>
    </cfRule>
  </conditionalFormatting>
  <conditionalFormatting sqref="AL82:AM82 AO82:AP82">
    <cfRule type="expression" dxfId="631" priority="688">
      <formula>#REF!="82≠74+75+76+77+78+79+81"</formula>
    </cfRule>
  </conditionalFormatting>
  <conditionalFormatting sqref="AL94:AM94 AO94:AP94">
    <cfRule type="expression" dxfId="630" priority="690">
      <formula>#REF!="94≠86+87+88+89+90+91+93"</formula>
    </cfRule>
  </conditionalFormatting>
  <conditionalFormatting sqref="AL106:AM106 AO106:AP106">
    <cfRule type="expression" dxfId="629" priority="692">
      <formula>#REF!="106≠98+99+100+101+102+103+105"</formula>
    </cfRule>
  </conditionalFormatting>
  <conditionalFormatting sqref="L70 X70 AJ70 C70 AA70 U70 R70 O70 AD70 AG70 I70 F70">
    <cfRule type="expression" dxfId="628" priority="699">
      <formula>#REF!="70≠62+63+64+65+66+67+69"</formula>
    </cfRule>
  </conditionalFormatting>
  <conditionalFormatting sqref="L44 X44 AJ44 C44 AA44 U44 R44 O44 AD44 AG44 I44 F44">
    <cfRule type="expression" dxfId="627" priority="704">
      <formula>#REF!="44≠36+37+38+39+40+41+43"</formula>
    </cfRule>
  </conditionalFormatting>
  <conditionalFormatting sqref="L82 X82 AJ82 C82 AA82 U82 R82 O82 AD82 AG82 I82 F82">
    <cfRule type="expression" dxfId="626" priority="707">
      <formula>#REF!="82≠74+75+76+77+78+79+81"</formula>
    </cfRule>
  </conditionalFormatting>
  <conditionalFormatting sqref="L94 X94 AJ94 C94 AA94 U94 R94 O94 AD94 AG94 I94 F94">
    <cfRule type="expression" dxfId="625" priority="708">
      <formula>#REF!="94≠86+87+88+89+90+91+93"</formula>
    </cfRule>
  </conditionalFormatting>
  <conditionalFormatting sqref="L106 X106 AJ106 C106 AA106 U106 R106 O106 AD106 AG106 I106 F106">
    <cfRule type="expression" dxfId="624" priority="709">
      <formula>#REF!="106≠98+99+100+101+102+103+105"</formula>
    </cfRule>
  </conditionalFormatting>
  <hyperlinks>
    <hyperlink ref="B1" location="Innhold!A1" display="Tilbake" xr:uid="{00000000-0004-0000-1F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0" min="1" max="108" man="1"/>
    <brk id="19" min="1" max="108" man="1"/>
    <brk id="28" min="1" max="108" man="1"/>
    <brk id="34" min="1" max="10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U221"/>
  <sheetViews>
    <sheetView showGridLines="0" zoomScale="70" zoomScaleNormal="7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90.7109375" style="657" customWidth="1"/>
    <col min="2" max="43" width="11.7109375" style="657" customWidth="1"/>
    <col min="44" max="44" width="0" style="657" hidden="1" customWidth="1"/>
    <col min="45" max="16384" width="12.5703125" style="657"/>
  </cols>
  <sheetData>
    <row r="1" spans="1:47" ht="20.25" customHeight="1" x14ac:dyDescent="0.3">
      <c r="A1" s="601" t="s">
        <v>180</v>
      </c>
      <c r="B1" s="480" t="s">
        <v>52</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row>
    <row r="2" spans="1:47" ht="20.100000000000001" customHeight="1" x14ac:dyDescent="0.3">
      <c r="A2" s="658" t="s">
        <v>269</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row>
    <row r="3" spans="1:47" ht="20.100000000000001" customHeight="1" x14ac:dyDescent="0.3">
      <c r="A3" s="659" t="s">
        <v>395</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row>
    <row r="4" spans="1:47" ht="20.100000000000001" customHeight="1" x14ac:dyDescent="0.3">
      <c r="A4" s="660" t="s">
        <v>396</v>
      </c>
      <c r="B4" s="661"/>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61"/>
      <c r="AD4" s="661"/>
      <c r="AE4" s="661"/>
      <c r="AF4" s="656"/>
      <c r="AG4" s="656"/>
      <c r="AH4" s="656"/>
      <c r="AI4" s="656"/>
      <c r="AJ4" s="656"/>
      <c r="AK4" s="656"/>
      <c r="AL4" s="656"/>
      <c r="AM4" s="656"/>
      <c r="AN4" s="656"/>
      <c r="AO4" s="656"/>
      <c r="AP4" s="656"/>
      <c r="AQ4" s="656"/>
      <c r="AR4" s="661"/>
      <c r="AS4" s="656"/>
      <c r="AT4" s="656"/>
      <c r="AU4" s="656"/>
    </row>
    <row r="5" spans="1:47" ht="18.75" customHeight="1" x14ac:dyDescent="0.3">
      <c r="A5" s="662" t="s">
        <v>371</v>
      </c>
      <c r="B5" s="663"/>
      <c r="C5" s="663"/>
      <c r="D5" s="664"/>
      <c r="E5" s="665"/>
      <c r="F5" s="663"/>
      <c r="G5" s="664"/>
      <c r="H5" s="665"/>
      <c r="I5" s="663"/>
      <c r="J5" s="664"/>
      <c r="K5" s="663"/>
      <c r="L5" s="663"/>
      <c r="M5" s="663"/>
      <c r="N5" s="663"/>
      <c r="O5" s="663"/>
      <c r="P5" s="664"/>
      <c r="Q5" s="665"/>
      <c r="R5" s="663"/>
      <c r="S5" s="664"/>
      <c r="T5" s="665"/>
      <c r="U5" s="663"/>
      <c r="V5" s="664"/>
      <c r="W5" s="665"/>
      <c r="X5" s="663"/>
      <c r="Y5" s="664"/>
      <c r="Z5" s="665"/>
      <c r="AA5" s="663"/>
      <c r="AB5" s="664"/>
      <c r="AC5" s="665"/>
      <c r="AD5" s="663"/>
      <c r="AE5" s="664"/>
      <c r="AF5" s="665"/>
      <c r="AG5" s="663"/>
      <c r="AH5" s="664"/>
      <c r="AI5" s="665"/>
      <c r="AJ5" s="663"/>
      <c r="AK5" s="664"/>
      <c r="AL5" s="665"/>
      <c r="AM5" s="663"/>
      <c r="AN5" s="664"/>
      <c r="AO5" s="665"/>
      <c r="AP5" s="663"/>
      <c r="AQ5" s="664"/>
      <c r="AR5" s="661"/>
      <c r="AS5" s="661"/>
      <c r="AT5" s="656"/>
      <c r="AU5" s="656"/>
    </row>
    <row r="6" spans="1:47" ht="18.75" customHeight="1" x14ac:dyDescent="0.3">
      <c r="A6" s="666" t="s">
        <v>106</v>
      </c>
      <c r="B6" s="997" t="s">
        <v>183</v>
      </c>
      <c r="C6" s="998"/>
      <c r="D6" s="999"/>
      <c r="E6" s="997" t="s">
        <v>184</v>
      </c>
      <c r="F6" s="998"/>
      <c r="G6" s="999"/>
      <c r="H6" s="997" t="s">
        <v>185</v>
      </c>
      <c r="I6" s="998"/>
      <c r="J6" s="999"/>
      <c r="K6" s="997" t="s">
        <v>186</v>
      </c>
      <c r="L6" s="998"/>
      <c r="M6" s="999"/>
      <c r="N6" s="997" t="s">
        <v>187</v>
      </c>
      <c r="O6" s="998"/>
      <c r="P6" s="999"/>
      <c r="Q6" s="903" t="s">
        <v>187</v>
      </c>
      <c r="R6" s="904"/>
      <c r="S6" s="905"/>
      <c r="T6" s="997" t="s">
        <v>64</v>
      </c>
      <c r="U6" s="998"/>
      <c r="V6" s="999"/>
      <c r="W6" s="849"/>
      <c r="X6" s="850"/>
      <c r="Y6" s="851"/>
      <c r="Z6" s="997" t="s">
        <v>188</v>
      </c>
      <c r="AA6" s="998"/>
      <c r="AB6" s="999"/>
      <c r="AC6" s="918"/>
      <c r="AD6" s="919"/>
      <c r="AE6" s="920"/>
      <c r="AF6" s="997"/>
      <c r="AG6" s="998"/>
      <c r="AH6" s="999"/>
      <c r="AI6" s="997" t="s">
        <v>75</v>
      </c>
      <c r="AJ6" s="998"/>
      <c r="AK6" s="999"/>
      <c r="AL6" s="994" t="s">
        <v>2</v>
      </c>
      <c r="AM6" s="995"/>
      <c r="AN6" s="996"/>
      <c r="AO6" s="997" t="s">
        <v>2</v>
      </c>
      <c r="AP6" s="998"/>
      <c r="AQ6" s="999"/>
      <c r="AR6" s="661"/>
      <c r="AS6" s="661"/>
      <c r="AT6" s="656"/>
      <c r="AU6" s="656"/>
    </row>
    <row r="7" spans="1:47" ht="18.75" customHeight="1" x14ac:dyDescent="0.3">
      <c r="A7" s="667"/>
      <c r="B7" s="1000" t="s">
        <v>189</v>
      </c>
      <c r="C7" s="1001"/>
      <c r="D7" s="1002"/>
      <c r="E7" s="1000" t="s">
        <v>190</v>
      </c>
      <c r="F7" s="1001"/>
      <c r="G7" s="1002"/>
      <c r="H7" s="1000" t="s">
        <v>190</v>
      </c>
      <c r="I7" s="1001"/>
      <c r="J7" s="1002"/>
      <c r="K7" s="1000" t="s">
        <v>191</v>
      </c>
      <c r="L7" s="1001"/>
      <c r="M7" s="1002"/>
      <c r="N7" s="1000" t="s">
        <v>94</v>
      </c>
      <c r="O7" s="1001"/>
      <c r="P7" s="1002"/>
      <c r="Q7" s="1000" t="s">
        <v>64</v>
      </c>
      <c r="R7" s="1001"/>
      <c r="S7" s="1002"/>
      <c r="T7" s="1000" t="s">
        <v>192</v>
      </c>
      <c r="U7" s="1001"/>
      <c r="V7" s="1002"/>
      <c r="W7" s="1000" t="s">
        <v>68</v>
      </c>
      <c r="X7" s="1001"/>
      <c r="Y7" s="1002"/>
      <c r="Z7" s="1000" t="s">
        <v>189</v>
      </c>
      <c r="AA7" s="1001"/>
      <c r="AB7" s="1002"/>
      <c r="AC7" s="1000" t="s">
        <v>74</v>
      </c>
      <c r="AD7" s="1001"/>
      <c r="AE7" s="1002"/>
      <c r="AF7" s="1000" t="s">
        <v>70</v>
      </c>
      <c r="AG7" s="1001"/>
      <c r="AH7" s="1002"/>
      <c r="AI7" s="1000" t="s">
        <v>190</v>
      </c>
      <c r="AJ7" s="1001"/>
      <c r="AK7" s="1002"/>
      <c r="AL7" s="1003" t="s">
        <v>295</v>
      </c>
      <c r="AM7" s="1004"/>
      <c r="AN7" s="1005"/>
      <c r="AO7" s="1006" t="s">
        <v>296</v>
      </c>
      <c r="AP7" s="1007"/>
      <c r="AQ7" s="1008"/>
      <c r="AR7" s="661"/>
      <c r="AS7" s="661"/>
      <c r="AT7" s="656"/>
      <c r="AU7" s="656"/>
    </row>
    <row r="8" spans="1:47" ht="18.75" customHeight="1" x14ac:dyDescent="0.3">
      <c r="A8" s="667"/>
      <c r="B8" s="613"/>
      <c r="C8" s="613"/>
      <c r="D8" s="614" t="s">
        <v>83</v>
      </c>
      <c r="E8" s="613"/>
      <c r="F8" s="613"/>
      <c r="G8" s="614" t="s">
        <v>83</v>
      </c>
      <c r="H8" s="613"/>
      <c r="I8" s="613"/>
      <c r="J8" s="614" t="s">
        <v>83</v>
      </c>
      <c r="K8" s="613"/>
      <c r="L8" s="613"/>
      <c r="M8" s="614" t="s">
        <v>83</v>
      </c>
      <c r="N8" s="613"/>
      <c r="O8" s="613"/>
      <c r="P8" s="614" t="s">
        <v>83</v>
      </c>
      <c r="Q8" s="613"/>
      <c r="R8" s="613"/>
      <c r="S8" s="614" t="s">
        <v>83</v>
      </c>
      <c r="T8" s="613"/>
      <c r="U8" s="613"/>
      <c r="V8" s="614" t="s">
        <v>83</v>
      </c>
      <c r="W8" s="613"/>
      <c r="X8" s="613"/>
      <c r="Y8" s="614" t="s">
        <v>83</v>
      </c>
      <c r="Z8" s="613"/>
      <c r="AA8" s="613"/>
      <c r="AB8" s="614" t="s">
        <v>83</v>
      </c>
      <c r="AC8" s="613"/>
      <c r="AD8" s="613"/>
      <c r="AE8" s="614" t="s">
        <v>83</v>
      </c>
      <c r="AF8" s="613"/>
      <c r="AG8" s="613"/>
      <c r="AH8" s="614" t="s">
        <v>83</v>
      </c>
      <c r="AI8" s="613"/>
      <c r="AJ8" s="613"/>
      <c r="AK8" s="614" t="s">
        <v>83</v>
      </c>
      <c r="AL8" s="613"/>
      <c r="AM8" s="613"/>
      <c r="AN8" s="614" t="s">
        <v>83</v>
      </c>
      <c r="AO8" s="613"/>
      <c r="AP8" s="613"/>
      <c r="AQ8" s="614" t="s">
        <v>83</v>
      </c>
      <c r="AR8" s="661"/>
      <c r="AS8" s="661"/>
      <c r="AT8" s="656"/>
      <c r="AU8" s="656"/>
    </row>
    <row r="9" spans="1:47" ht="18.75" customHeight="1" x14ac:dyDescent="0.3">
      <c r="A9" s="668" t="s">
        <v>297</v>
      </c>
      <c r="B9" s="616">
        <v>2017</v>
      </c>
      <c r="C9" s="616">
        <v>2018</v>
      </c>
      <c r="D9" s="617" t="s">
        <v>85</v>
      </c>
      <c r="E9" s="616">
        <v>2017</v>
      </c>
      <c r="F9" s="616">
        <v>2018</v>
      </c>
      <c r="G9" s="617" t="s">
        <v>85</v>
      </c>
      <c r="H9" s="616">
        <v>2017</v>
      </c>
      <c r="I9" s="616">
        <v>2018</v>
      </c>
      <c r="J9" s="617" t="s">
        <v>85</v>
      </c>
      <c r="K9" s="616">
        <v>2017</v>
      </c>
      <c r="L9" s="616">
        <v>2018</v>
      </c>
      <c r="M9" s="617" t="s">
        <v>85</v>
      </c>
      <c r="N9" s="616">
        <v>2017</v>
      </c>
      <c r="O9" s="616">
        <v>2018</v>
      </c>
      <c r="P9" s="617" t="s">
        <v>85</v>
      </c>
      <c r="Q9" s="616">
        <v>2017</v>
      </c>
      <c r="R9" s="616">
        <v>2018</v>
      </c>
      <c r="S9" s="617" t="s">
        <v>85</v>
      </c>
      <c r="T9" s="616">
        <v>2017</v>
      </c>
      <c r="U9" s="616">
        <v>2018</v>
      </c>
      <c r="V9" s="617" t="s">
        <v>85</v>
      </c>
      <c r="W9" s="616">
        <v>2017</v>
      </c>
      <c r="X9" s="616">
        <v>2018</v>
      </c>
      <c r="Y9" s="617" t="s">
        <v>85</v>
      </c>
      <c r="Z9" s="616">
        <v>2017</v>
      </c>
      <c r="AA9" s="616">
        <v>2018</v>
      </c>
      <c r="AB9" s="617" t="s">
        <v>85</v>
      </c>
      <c r="AC9" s="616">
        <v>2017</v>
      </c>
      <c r="AD9" s="616">
        <v>2018</v>
      </c>
      <c r="AE9" s="617" t="s">
        <v>85</v>
      </c>
      <c r="AF9" s="616">
        <v>2017</v>
      </c>
      <c r="AG9" s="616">
        <v>2018</v>
      </c>
      <c r="AH9" s="617" t="s">
        <v>85</v>
      </c>
      <c r="AI9" s="616">
        <v>2017</v>
      </c>
      <c r="AJ9" s="616">
        <v>2018</v>
      </c>
      <c r="AK9" s="617" t="s">
        <v>85</v>
      </c>
      <c r="AL9" s="616">
        <v>2017</v>
      </c>
      <c r="AM9" s="616">
        <v>2018</v>
      </c>
      <c r="AN9" s="617" t="s">
        <v>85</v>
      </c>
      <c r="AO9" s="616">
        <v>2017</v>
      </c>
      <c r="AP9" s="616">
        <v>2018</v>
      </c>
      <c r="AQ9" s="617" t="s">
        <v>85</v>
      </c>
      <c r="AR9" s="661"/>
      <c r="AS9" s="661"/>
      <c r="AT9" s="656"/>
      <c r="AU9" s="656"/>
    </row>
    <row r="10" spans="1:47" ht="18.75" customHeight="1" x14ac:dyDescent="0.3">
      <c r="A10" s="669"/>
      <c r="B10" s="673"/>
      <c r="C10" s="676"/>
      <c r="D10" s="670"/>
      <c r="E10" s="673"/>
      <c r="F10" s="676"/>
      <c r="G10" s="672"/>
      <c r="H10" s="673"/>
      <c r="I10" s="676"/>
      <c r="J10" s="674"/>
      <c r="K10" s="673"/>
      <c r="L10" s="676"/>
      <c r="M10" s="670"/>
      <c r="N10" s="673"/>
      <c r="O10" s="676"/>
      <c r="P10" s="675"/>
      <c r="Q10" s="673"/>
      <c r="R10" s="676"/>
      <c r="S10" s="672"/>
      <c r="T10" s="673"/>
      <c r="U10" s="676"/>
      <c r="V10" s="675"/>
      <c r="W10" s="673"/>
      <c r="X10" s="676"/>
      <c r="Y10" s="672"/>
      <c r="Z10" s="673"/>
      <c r="AA10" s="676"/>
      <c r="AB10" s="672"/>
      <c r="AC10" s="673"/>
      <c r="AD10" s="676"/>
      <c r="AE10" s="672"/>
      <c r="AF10" s="673"/>
      <c r="AG10" s="676"/>
      <c r="AH10" s="672"/>
      <c r="AI10" s="673"/>
      <c r="AJ10" s="676"/>
      <c r="AK10" s="672"/>
      <c r="AL10" s="670"/>
      <c r="AM10" s="670"/>
      <c r="AN10" s="672"/>
      <c r="AO10" s="676"/>
      <c r="AP10" s="676"/>
      <c r="AQ10" s="672"/>
      <c r="AR10" s="661"/>
      <c r="AS10" s="661"/>
      <c r="AT10" s="656"/>
      <c r="AU10" s="656"/>
    </row>
    <row r="11" spans="1:47" ht="18.75" customHeight="1" x14ac:dyDescent="0.3">
      <c r="A11" s="623" t="s">
        <v>397</v>
      </c>
      <c r="B11" s="624"/>
      <c r="C11" s="639"/>
      <c r="D11" s="677"/>
      <c r="E11" s="624"/>
      <c r="F11" s="639"/>
      <c r="G11" s="678"/>
      <c r="H11" s="624"/>
      <c r="I11" s="639"/>
      <c r="J11" s="678"/>
      <c r="K11" s="624"/>
      <c r="L11" s="639"/>
      <c r="M11" s="677"/>
      <c r="N11" s="624"/>
      <c r="O11" s="639"/>
      <c r="P11" s="678"/>
      <c r="Q11" s="624"/>
      <c r="R11" s="639"/>
      <c r="S11" s="678"/>
      <c r="T11" s="624"/>
      <c r="U11" s="639"/>
      <c r="V11" s="678"/>
      <c r="W11" s="624"/>
      <c r="X11" s="639"/>
      <c r="Y11" s="678"/>
      <c r="Z11" s="624"/>
      <c r="AA11" s="639"/>
      <c r="AB11" s="678"/>
      <c r="AC11" s="624"/>
      <c r="AD11" s="639"/>
      <c r="AE11" s="678"/>
      <c r="AF11" s="624"/>
      <c r="AG11" s="639"/>
      <c r="AH11" s="678"/>
      <c r="AI11" s="624"/>
      <c r="AJ11" s="639"/>
      <c r="AK11" s="678"/>
      <c r="AL11" s="677"/>
      <c r="AM11" s="677"/>
      <c r="AN11" s="678"/>
      <c r="AO11" s="639"/>
      <c r="AP11" s="639"/>
      <c r="AQ11" s="678"/>
      <c r="AR11" s="661"/>
      <c r="AS11" s="661"/>
      <c r="AT11" s="656"/>
      <c r="AU11" s="656"/>
    </row>
    <row r="12" spans="1:47" s="681" customFormat="1" ht="18.75" customHeight="1" x14ac:dyDescent="0.3">
      <c r="A12" s="629" t="s">
        <v>377</v>
      </c>
      <c r="B12" s="443"/>
      <c r="C12" s="637">
        <v>4.5190000000000001</v>
      </c>
      <c r="D12" s="679" t="str">
        <f>IF(B12=0, "    ---- ", IF(ABS(ROUND(100/B12*C12-100,1))&lt;999,ROUND(100/B12*C12-100,1),IF(ROUND(100/B12*C12-100,1)&gt;999,999,-999)))</f>
        <v xml:space="preserve">    ---- </v>
      </c>
      <c r="E12" s="443">
        <v>444.13</v>
      </c>
      <c r="F12" s="637">
        <v>4</v>
      </c>
      <c r="G12" s="680">
        <f t="shared" ref="G12:G17" si="0">IF(E12=0, "    ---- ", IF(ABS(ROUND(100/E12*F12-100,1))&lt;999,ROUND(100/E12*F12-100,1),IF(ROUND(100/E12*F12-100,1)&gt;999,999,-999)))</f>
        <v>-99.1</v>
      </c>
      <c r="H12" s="443"/>
      <c r="I12" s="637"/>
      <c r="J12" s="680"/>
      <c r="K12" s="443"/>
      <c r="L12" s="637"/>
      <c r="M12" s="679"/>
      <c r="N12" s="443"/>
      <c r="O12" s="637"/>
      <c r="P12" s="680"/>
      <c r="Q12" s="443"/>
      <c r="R12" s="637"/>
      <c r="S12" s="680"/>
      <c r="T12" s="443">
        <v>25</v>
      </c>
      <c r="U12" s="637">
        <v>11</v>
      </c>
      <c r="V12" s="680">
        <f t="shared" ref="V12:V18" si="1">IF(T12=0, "    ---- ", IF(ABS(ROUND(100/T12*U12-100,1))&lt;999,ROUND(100/T12*U12-100,1),IF(ROUND(100/T12*U12-100,1)&gt;999,999,-999)))</f>
        <v>-56</v>
      </c>
      <c r="W12" s="443">
        <v>169.40374668446398</v>
      </c>
      <c r="X12" s="637">
        <v>192.3374211957109</v>
      </c>
      <c r="Y12" s="680">
        <f>IF(W12=0, "    ---- ", IF(ABS(ROUND(100/W12*X12-100,1))&lt;999,ROUND(100/W12*X12-100,1),IF(ROUND(100/W12*X12-100,1)&gt;999,999,-999)))</f>
        <v>13.5</v>
      </c>
      <c r="Z12" s="443"/>
      <c r="AA12" s="637"/>
      <c r="AB12" s="680"/>
      <c r="AC12" s="443"/>
      <c r="AD12" s="637"/>
      <c r="AE12" s="680"/>
      <c r="AF12" s="443">
        <v>86.316999999999993</v>
      </c>
      <c r="AG12" s="637">
        <v>48.78</v>
      </c>
      <c r="AH12" s="680">
        <f>IF(AF12=0, "    ---- ", IF(ABS(ROUND(100/AF12*AG12-100,1))&lt;999,ROUND(100/AF12*AG12-100,1),IF(ROUND(100/AF12*AG12-100,1)&gt;999,999,-999)))</f>
        <v>-43.5</v>
      </c>
      <c r="AI12" s="443">
        <v>823.81</v>
      </c>
      <c r="AJ12" s="637">
        <v>-35</v>
      </c>
      <c r="AK12" s="680">
        <f t="shared" ref="AK12:AK22" si="2">IF(AI12=0, "    ---- ", IF(ABS(ROUND(100/AI12*AJ12-100,1))&lt;999,ROUND(100/AI12*AJ12-100,1),IF(ROUND(100/AI12*AJ12-100,1)&gt;999,999,-999)))</f>
        <v>-104.2</v>
      </c>
      <c r="AL12" s="679">
        <f>B12+E12+H12+K12+Q12+T12+W12+Z12+AF12+AI12</f>
        <v>1548.6607466844639</v>
      </c>
      <c r="AM12" s="679">
        <f>C12+F12+I12+L12+R12+U12+X12+AA12+AG12+AJ12</f>
        <v>225.63642119571091</v>
      </c>
      <c r="AN12" s="680">
        <f t="shared" ref="AN12:AN43" si="3">IF(AL12=0, "    ---- ", IF(ABS(ROUND(100/AL12*AM12-100,1))&lt;999,ROUND(100/AL12*AM12-100,1),IF(ROUND(100/AL12*AM12-100,1)&gt;999,999,-999)))</f>
        <v>-85.4</v>
      </c>
      <c r="AO12" s="637">
        <f>+B12+E12+H12+K12+N12+Q12+T12+W12+Z12+AC12+AF12+AI12</f>
        <v>1548.6607466844639</v>
      </c>
      <c r="AP12" s="637">
        <f>+C12+F12+I12+L12+O12+R12+U12+X12+AA12+AD12+AG12+AJ12</f>
        <v>225.63642119571091</v>
      </c>
      <c r="AQ12" s="680">
        <f t="shared" ref="AQ12:AQ43" si="4">IF(AO12=0, "    ---- ", IF(ABS(ROUND(100/AO12*AP12-100,1))&lt;999,ROUND(100/AO12*AP12-100,1),IF(ROUND(100/AO12*AP12-100,1)&gt;999,999,-999)))</f>
        <v>-85.4</v>
      </c>
      <c r="AR12" s="661"/>
      <c r="AS12" s="661"/>
      <c r="AT12" s="656"/>
      <c r="AU12" s="656"/>
    </row>
    <row r="13" spans="1:47" s="681" customFormat="1" ht="18.75" customHeight="1" x14ac:dyDescent="0.3">
      <c r="A13" s="629" t="s">
        <v>378</v>
      </c>
      <c r="B13" s="443"/>
      <c r="C13" s="637"/>
      <c r="D13" s="679"/>
      <c r="E13" s="443">
        <v>-170.8</v>
      </c>
      <c r="F13" s="637">
        <v>32</v>
      </c>
      <c r="G13" s="680">
        <f t="shared" si="0"/>
        <v>-118.7</v>
      </c>
      <c r="H13" s="443"/>
      <c r="I13" s="637"/>
      <c r="J13" s="680"/>
      <c r="K13" s="443"/>
      <c r="L13" s="637"/>
      <c r="M13" s="679"/>
      <c r="N13" s="443"/>
      <c r="O13" s="637"/>
      <c r="P13" s="680"/>
      <c r="Q13" s="443"/>
      <c r="R13" s="637"/>
      <c r="S13" s="680"/>
      <c r="T13" s="443">
        <v>-19</v>
      </c>
      <c r="U13" s="637">
        <v>-3</v>
      </c>
      <c r="V13" s="680">
        <f t="shared" si="1"/>
        <v>-84.2</v>
      </c>
      <c r="W13" s="443">
        <v>-118.44976</v>
      </c>
      <c r="X13" s="637">
        <v>-149.05894699999999</v>
      </c>
      <c r="Y13" s="680">
        <f>IF(W13=0, "    ---- ", IF(ABS(ROUND(100/W13*X13-100,1))&lt;999,ROUND(100/W13*X13-100,1),IF(ROUND(100/W13*X13-100,1)&gt;999,999,-999)))</f>
        <v>25.8</v>
      </c>
      <c r="Z13" s="443"/>
      <c r="AA13" s="637"/>
      <c r="AB13" s="680"/>
      <c r="AC13" s="443"/>
      <c r="AD13" s="637"/>
      <c r="AE13" s="680"/>
      <c r="AF13" s="443">
        <v>-1.825</v>
      </c>
      <c r="AG13" s="637">
        <v>-43.070999999999998</v>
      </c>
      <c r="AH13" s="680">
        <f>IF(AF13=0, "    ---- ", IF(ABS(ROUND(100/AF13*AG13-100,1))&lt;999,ROUND(100/AF13*AG13-100,1),IF(ROUND(100/AF13*AG13-100,1)&gt;999,999,-999)))</f>
        <v>999</v>
      </c>
      <c r="AI13" s="443"/>
      <c r="AJ13" s="637">
        <v>59.5</v>
      </c>
      <c r="AK13" s="680" t="str">
        <f t="shared" si="2"/>
        <v xml:space="preserve">    ---- </v>
      </c>
      <c r="AL13" s="679">
        <f t="shared" ref="AL13:AM76" si="5">B13+E13+H13+K13+Q13+T13+W13+Z13+AF13+AI13</f>
        <v>-310.07476000000003</v>
      </c>
      <c r="AM13" s="679">
        <f t="shared" si="5"/>
        <v>-103.62994699999999</v>
      </c>
      <c r="AN13" s="680">
        <f t="shared" si="3"/>
        <v>-66.599999999999994</v>
      </c>
      <c r="AO13" s="637">
        <f t="shared" ref="AO13:AP76" si="6">+B13+E13+H13+K13+N13+Q13+T13+W13+Z13+AC13+AF13+AI13</f>
        <v>-310.07476000000003</v>
      </c>
      <c r="AP13" s="637">
        <f t="shared" si="6"/>
        <v>-103.62994699999999</v>
      </c>
      <c r="AQ13" s="680">
        <f t="shared" si="4"/>
        <v>-66.599999999999994</v>
      </c>
      <c r="AR13" s="661"/>
      <c r="AS13" s="661"/>
      <c r="AT13" s="656"/>
      <c r="AU13" s="656"/>
    </row>
    <row r="14" spans="1:47" s="681" customFormat="1" ht="18.75" customHeight="1" x14ac:dyDescent="0.3">
      <c r="A14" s="629" t="s">
        <v>379</v>
      </c>
      <c r="B14" s="443">
        <v>-1.4370000000000001</v>
      </c>
      <c r="C14" s="637">
        <v>-1.486</v>
      </c>
      <c r="D14" s="679">
        <f>IF(B14=0, "    ---- ", IF(ABS(ROUND(100/B14*C14-100,1))&lt;999,ROUND(100/B14*C14-100,1),IF(ROUND(100/B14*C14-100,1)&gt;999,999,-999)))</f>
        <v>3.4</v>
      </c>
      <c r="E14" s="443">
        <v>30.53</v>
      </c>
      <c r="F14" s="637">
        <v>7</v>
      </c>
      <c r="G14" s="680">
        <f t="shared" si="0"/>
        <v>-77.099999999999994</v>
      </c>
      <c r="H14" s="443"/>
      <c r="I14" s="637"/>
      <c r="J14" s="680"/>
      <c r="K14" s="443"/>
      <c r="L14" s="637"/>
      <c r="M14" s="679"/>
      <c r="N14" s="443"/>
      <c r="O14" s="637"/>
      <c r="P14" s="680"/>
      <c r="Q14" s="443"/>
      <c r="R14" s="637"/>
      <c r="S14" s="680"/>
      <c r="T14" s="443">
        <v>1</v>
      </c>
      <c r="U14" s="637">
        <v>-1</v>
      </c>
      <c r="V14" s="680">
        <f t="shared" si="1"/>
        <v>-200</v>
      </c>
      <c r="W14" s="443">
        <v>-7.1532255346743909</v>
      </c>
      <c r="X14" s="637">
        <v>-5.166596241457559</v>
      </c>
      <c r="Y14" s="680">
        <f t="shared" ref="Y14:Y21" si="7">IF(W14=0, "    ---- ", IF(ABS(ROUND(100/W14*X14-100,1))&lt;999,ROUND(100/W14*X14-100,1),IF(ROUND(100/W14*X14-100,1)&gt;999,999,-999)))</f>
        <v>-27.8</v>
      </c>
      <c r="Z14" s="443"/>
      <c r="AA14" s="637"/>
      <c r="AB14" s="680"/>
      <c r="AC14" s="443"/>
      <c r="AD14" s="637"/>
      <c r="AE14" s="680"/>
      <c r="AF14" s="443">
        <v>-27.516999999999999</v>
      </c>
      <c r="AG14" s="637">
        <v>-21.489000000000001</v>
      </c>
      <c r="AH14" s="680">
        <f>IF(AF14=0, "    ---- ", IF(ABS(ROUND(100/AF14*AG14-100,1))&lt;999,ROUND(100/AF14*AG14-100,1),IF(ROUND(100/AF14*AG14-100,1)&gt;999,999,-999)))</f>
        <v>-21.9</v>
      </c>
      <c r="AI14" s="443">
        <v>-25.39</v>
      </c>
      <c r="AJ14" s="637">
        <v>0.2</v>
      </c>
      <c r="AK14" s="680">
        <f t="shared" si="2"/>
        <v>-100.8</v>
      </c>
      <c r="AL14" s="679">
        <f t="shared" si="5"/>
        <v>-29.967225534674391</v>
      </c>
      <c r="AM14" s="679">
        <f t="shared" si="5"/>
        <v>-21.94159624145756</v>
      </c>
      <c r="AN14" s="680">
        <f t="shared" si="3"/>
        <v>-26.8</v>
      </c>
      <c r="AO14" s="637">
        <f t="shared" si="6"/>
        <v>-29.967225534674391</v>
      </c>
      <c r="AP14" s="637">
        <f t="shared" si="6"/>
        <v>-21.94159624145756</v>
      </c>
      <c r="AQ14" s="680">
        <f t="shared" si="4"/>
        <v>-26.8</v>
      </c>
      <c r="AR14" s="661"/>
      <c r="AS14" s="661"/>
      <c r="AT14" s="656"/>
      <c r="AU14" s="656"/>
    </row>
    <row r="15" spans="1:47" s="681" customFormat="1" ht="18.75" customHeight="1" x14ac:dyDescent="0.3">
      <c r="A15" s="629" t="s">
        <v>380</v>
      </c>
      <c r="B15" s="443"/>
      <c r="C15" s="637"/>
      <c r="D15" s="679"/>
      <c r="E15" s="443">
        <v>29.43</v>
      </c>
      <c r="F15" s="637">
        <v>26</v>
      </c>
      <c r="G15" s="680">
        <f t="shared" si="0"/>
        <v>-11.7</v>
      </c>
      <c r="H15" s="443"/>
      <c r="I15" s="637"/>
      <c r="J15" s="680"/>
      <c r="K15" s="443"/>
      <c r="L15" s="637"/>
      <c r="M15" s="679"/>
      <c r="N15" s="443"/>
      <c r="O15" s="637"/>
      <c r="P15" s="680"/>
      <c r="Q15" s="443"/>
      <c r="R15" s="637"/>
      <c r="S15" s="680"/>
      <c r="T15" s="443">
        <v>1</v>
      </c>
      <c r="U15" s="637">
        <v>1</v>
      </c>
      <c r="V15" s="680">
        <f t="shared" si="1"/>
        <v>0</v>
      </c>
      <c r="W15" s="443">
        <v>1.1754993</v>
      </c>
      <c r="X15" s="637">
        <v>0.99353970000000014</v>
      </c>
      <c r="Y15" s="680">
        <f t="shared" si="7"/>
        <v>-15.5</v>
      </c>
      <c r="Z15" s="443"/>
      <c r="AA15" s="637"/>
      <c r="AB15" s="680"/>
      <c r="AC15" s="443"/>
      <c r="AD15" s="637"/>
      <c r="AE15" s="680"/>
      <c r="AF15" s="443"/>
      <c r="AG15" s="637"/>
      <c r="AH15" s="680"/>
      <c r="AI15" s="443">
        <v>48.43</v>
      </c>
      <c r="AJ15" s="637">
        <v>38.700000000000003</v>
      </c>
      <c r="AK15" s="680">
        <f t="shared" si="2"/>
        <v>-20.100000000000001</v>
      </c>
      <c r="AL15" s="679">
        <f t="shared" si="5"/>
        <v>80.035499299999998</v>
      </c>
      <c r="AM15" s="679">
        <f t="shared" si="5"/>
        <v>66.693539700000002</v>
      </c>
      <c r="AN15" s="680">
        <f t="shared" si="3"/>
        <v>-16.7</v>
      </c>
      <c r="AO15" s="637">
        <f t="shared" si="6"/>
        <v>80.035499299999998</v>
      </c>
      <c r="AP15" s="637">
        <f t="shared" si="6"/>
        <v>66.693539700000002</v>
      </c>
      <c r="AQ15" s="680">
        <f t="shared" si="4"/>
        <v>-16.7</v>
      </c>
      <c r="AR15" s="661"/>
      <c r="AS15" s="661"/>
      <c r="AT15" s="656"/>
      <c r="AU15" s="656"/>
    </row>
    <row r="16" spans="1:47" s="681" customFormat="1" ht="18.75" customHeight="1" x14ac:dyDescent="0.3">
      <c r="A16" s="629" t="s">
        <v>381</v>
      </c>
      <c r="B16" s="443">
        <v>1.0820000000000001</v>
      </c>
      <c r="C16" s="637">
        <v>1.0660000000000001</v>
      </c>
      <c r="D16" s="679">
        <f>IF(B16=0, "    ---- ", IF(ABS(ROUND(100/B16*C16-100,1))&lt;999,ROUND(100/B16*C16-100,1),IF(ROUND(100/B16*C16-100,1)&gt;999,999,-999)))</f>
        <v>-1.5</v>
      </c>
      <c r="E16" s="443">
        <v>99.53</v>
      </c>
      <c r="F16" s="637">
        <v>105</v>
      </c>
      <c r="G16" s="680">
        <f t="shared" si="0"/>
        <v>5.5</v>
      </c>
      <c r="H16" s="443"/>
      <c r="I16" s="637"/>
      <c r="J16" s="680"/>
      <c r="K16" s="443"/>
      <c r="L16" s="637"/>
      <c r="M16" s="679"/>
      <c r="N16" s="443"/>
      <c r="O16" s="637"/>
      <c r="P16" s="680"/>
      <c r="Q16" s="443"/>
      <c r="R16" s="637"/>
      <c r="S16" s="680"/>
      <c r="T16" s="443">
        <v>2</v>
      </c>
      <c r="U16" s="637">
        <v>3</v>
      </c>
      <c r="V16" s="680">
        <f t="shared" si="1"/>
        <v>50</v>
      </c>
      <c r="W16" s="443">
        <v>104.247226</v>
      </c>
      <c r="X16" s="637">
        <v>95.968997999999999</v>
      </c>
      <c r="Y16" s="680">
        <f t="shared" si="7"/>
        <v>-7.9</v>
      </c>
      <c r="Z16" s="443"/>
      <c r="AA16" s="637"/>
      <c r="AB16" s="680"/>
      <c r="AC16" s="443"/>
      <c r="AD16" s="637"/>
      <c r="AE16" s="680"/>
      <c r="AF16" s="443">
        <v>18.635000000000002</v>
      </c>
      <c r="AG16" s="637">
        <v>16.335999999999999</v>
      </c>
      <c r="AH16" s="680">
        <f>IF(AF16=0, "    ---- ", IF(ABS(ROUND(100/AF16*AG16-100,1))&lt;999,ROUND(100/AF16*AG16-100,1),IF(ROUND(100/AF16*AG16-100,1)&gt;999,999,-999)))</f>
        <v>-12.3</v>
      </c>
      <c r="AI16" s="443">
        <v>256.63</v>
      </c>
      <c r="AJ16" s="637">
        <v>243</v>
      </c>
      <c r="AK16" s="680">
        <f t="shared" si="2"/>
        <v>-5.3</v>
      </c>
      <c r="AL16" s="679">
        <f t="shared" si="5"/>
        <v>482.12422599999996</v>
      </c>
      <c r="AM16" s="679">
        <f t="shared" si="5"/>
        <v>464.37099799999999</v>
      </c>
      <c r="AN16" s="680">
        <f t="shared" si="3"/>
        <v>-3.7</v>
      </c>
      <c r="AO16" s="637">
        <f t="shared" si="6"/>
        <v>482.12422599999996</v>
      </c>
      <c r="AP16" s="637">
        <f t="shared" si="6"/>
        <v>464.37099799999999</v>
      </c>
      <c r="AQ16" s="680">
        <f t="shared" si="4"/>
        <v>-3.7</v>
      </c>
      <c r="AR16" s="661"/>
      <c r="AS16" s="661"/>
      <c r="AT16" s="656"/>
      <c r="AU16" s="656"/>
    </row>
    <row r="17" spans="1:47" s="681" customFormat="1" ht="18.75" customHeight="1" x14ac:dyDescent="0.3">
      <c r="A17" s="629" t="s">
        <v>382</v>
      </c>
      <c r="B17" s="443">
        <v>-4.7609999999999992</v>
      </c>
      <c r="C17" s="637">
        <v>-2.75</v>
      </c>
      <c r="D17" s="679">
        <f>IF(B17=0, "    ---- ", IF(ABS(ROUND(100/B17*C17-100,1))&lt;999,ROUND(100/B17*C17-100,1),IF(ROUND(100/B17*C17-100,1)&gt;999,999,-999)))</f>
        <v>-42.2</v>
      </c>
      <c r="E17" s="443">
        <v>43.2</v>
      </c>
      <c r="F17" s="637">
        <v>-7</v>
      </c>
      <c r="G17" s="680">
        <f t="shared" si="0"/>
        <v>-116.2</v>
      </c>
      <c r="H17" s="443"/>
      <c r="I17" s="637"/>
      <c r="J17" s="680"/>
      <c r="K17" s="443"/>
      <c r="L17" s="637"/>
      <c r="M17" s="679"/>
      <c r="N17" s="443"/>
      <c r="O17" s="637"/>
      <c r="P17" s="680"/>
      <c r="Q17" s="443"/>
      <c r="R17" s="637"/>
      <c r="S17" s="680"/>
      <c r="T17" s="443">
        <v>5</v>
      </c>
      <c r="U17" s="637">
        <v>3</v>
      </c>
      <c r="V17" s="680">
        <f t="shared" si="1"/>
        <v>-40</v>
      </c>
      <c r="W17" s="443">
        <v>-4.3813818042920865</v>
      </c>
      <c r="X17" s="637">
        <v>-1.6996496151556411</v>
      </c>
      <c r="Y17" s="680">
        <f t="shared" si="7"/>
        <v>-61.2</v>
      </c>
      <c r="Z17" s="443"/>
      <c r="AA17" s="637"/>
      <c r="AB17" s="680"/>
      <c r="AC17" s="443"/>
      <c r="AD17" s="637"/>
      <c r="AE17" s="680"/>
      <c r="AF17" s="443">
        <v>19.734999999999999</v>
      </c>
      <c r="AG17" s="637">
        <v>7.1669999999999998</v>
      </c>
      <c r="AH17" s="680">
        <f>IF(AF17=0, "    ---- ", IF(ABS(ROUND(100/AF17*AG17-100,1))&lt;999,ROUND(100/AF17*AG17-100,1),IF(ROUND(100/AF17*AG17-100,1)&gt;999,999,-999)))</f>
        <v>-63.7</v>
      </c>
      <c r="AI17" s="443">
        <v>0.24</v>
      </c>
      <c r="AJ17" s="637">
        <v>-0.9</v>
      </c>
      <c r="AK17" s="680">
        <f t="shared" si="2"/>
        <v>-475</v>
      </c>
      <c r="AL17" s="679">
        <f t="shared" si="5"/>
        <v>59.032618195707919</v>
      </c>
      <c r="AM17" s="679">
        <f t="shared" si="5"/>
        <v>-2.1826496151556412</v>
      </c>
      <c r="AN17" s="680">
        <f t="shared" si="3"/>
        <v>-103.7</v>
      </c>
      <c r="AO17" s="637">
        <f t="shared" si="6"/>
        <v>59.032618195707919</v>
      </c>
      <c r="AP17" s="637">
        <f t="shared" si="6"/>
        <v>-2.1826496151556412</v>
      </c>
      <c r="AQ17" s="680">
        <f t="shared" si="4"/>
        <v>-103.7</v>
      </c>
      <c r="AR17" s="661"/>
      <c r="AS17" s="661"/>
      <c r="AT17" s="656"/>
      <c r="AU17" s="656"/>
    </row>
    <row r="18" spans="1:47" s="681" customFormat="1" ht="18.75" customHeight="1" x14ac:dyDescent="0.3">
      <c r="A18" s="629" t="s">
        <v>383</v>
      </c>
      <c r="B18" s="443"/>
      <c r="C18" s="637"/>
      <c r="D18" s="679"/>
      <c r="E18" s="443"/>
      <c r="F18" s="637"/>
      <c r="G18" s="680"/>
      <c r="H18" s="443"/>
      <c r="I18" s="637"/>
      <c r="J18" s="680"/>
      <c r="K18" s="443"/>
      <c r="L18" s="637"/>
      <c r="M18" s="679"/>
      <c r="N18" s="443"/>
      <c r="O18" s="637"/>
      <c r="P18" s="680"/>
      <c r="Q18" s="443"/>
      <c r="R18" s="637"/>
      <c r="S18" s="680"/>
      <c r="T18" s="443">
        <v>2</v>
      </c>
      <c r="U18" s="637">
        <v>2</v>
      </c>
      <c r="V18" s="680">
        <f t="shared" si="1"/>
        <v>0</v>
      </c>
      <c r="W18" s="443">
        <v>30.971284707853734</v>
      </c>
      <c r="X18" s="637">
        <v>17.365427629203445</v>
      </c>
      <c r="Y18" s="680">
        <f t="shared" si="7"/>
        <v>-43.9</v>
      </c>
      <c r="Z18" s="443"/>
      <c r="AA18" s="637"/>
      <c r="AB18" s="680"/>
      <c r="AC18" s="443"/>
      <c r="AD18" s="637"/>
      <c r="AE18" s="680"/>
      <c r="AF18" s="443"/>
      <c r="AG18" s="637"/>
      <c r="AH18" s="680"/>
      <c r="AI18" s="443"/>
      <c r="AJ18" s="637">
        <v>12.3</v>
      </c>
      <c r="AK18" s="680" t="str">
        <f t="shared" si="2"/>
        <v xml:space="preserve">    ---- </v>
      </c>
      <c r="AL18" s="679">
        <f t="shared" si="5"/>
        <v>32.971284707853734</v>
      </c>
      <c r="AM18" s="679">
        <f t="shared" si="5"/>
        <v>31.665427629203446</v>
      </c>
      <c r="AN18" s="680">
        <f t="shared" si="3"/>
        <v>-4</v>
      </c>
      <c r="AO18" s="637">
        <f t="shared" si="6"/>
        <v>32.971284707853734</v>
      </c>
      <c r="AP18" s="637">
        <f t="shared" si="6"/>
        <v>31.665427629203446</v>
      </c>
      <c r="AQ18" s="680">
        <f t="shared" si="4"/>
        <v>-4</v>
      </c>
      <c r="AR18" s="661"/>
      <c r="AS18" s="661"/>
      <c r="AT18" s="656"/>
      <c r="AU18" s="656"/>
    </row>
    <row r="19" spans="1:47" s="681" customFormat="1" ht="18.75" customHeight="1" x14ac:dyDescent="0.3">
      <c r="A19" s="629" t="s">
        <v>384</v>
      </c>
      <c r="B19" s="443"/>
      <c r="C19" s="637"/>
      <c r="D19" s="679"/>
      <c r="E19" s="443"/>
      <c r="F19" s="637"/>
      <c r="G19" s="680"/>
      <c r="H19" s="443"/>
      <c r="I19" s="637"/>
      <c r="J19" s="680"/>
      <c r="K19" s="443"/>
      <c r="L19" s="637"/>
      <c r="M19" s="679"/>
      <c r="N19" s="443"/>
      <c r="O19" s="637"/>
      <c r="P19" s="680"/>
      <c r="Q19" s="443"/>
      <c r="R19" s="637"/>
      <c r="S19" s="680"/>
      <c r="T19" s="443">
        <v>6</v>
      </c>
      <c r="U19" s="637">
        <v>6</v>
      </c>
      <c r="V19" s="680">
        <f>IF(T19=0, "    ---- ", IF(ABS(ROUND(100/T19*U19-100,1))&lt;999,ROUND(100/T19*U19-100,1),IF(ROUND(100/T19*U19-100,1)&gt;999,999,-999)))</f>
        <v>0</v>
      </c>
      <c r="W19" s="443">
        <v>-36.913455999999996</v>
      </c>
      <c r="X19" s="637">
        <v>-16.072652999999999</v>
      </c>
      <c r="Y19" s="680">
        <f t="shared" si="7"/>
        <v>-56.5</v>
      </c>
      <c r="Z19" s="443"/>
      <c r="AA19" s="637"/>
      <c r="AB19" s="680"/>
      <c r="AC19" s="443"/>
      <c r="AD19" s="637"/>
      <c r="AE19" s="680"/>
      <c r="AF19" s="443"/>
      <c r="AG19" s="637"/>
      <c r="AH19" s="680"/>
      <c r="AI19" s="443"/>
      <c r="AJ19" s="637"/>
      <c r="AK19" s="680"/>
      <c r="AL19" s="679">
        <f t="shared" si="5"/>
        <v>-30.913455999999996</v>
      </c>
      <c r="AM19" s="679">
        <f t="shared" si="5"/>
        <v>-10.072652999999999</v>
      </c>
      <c r="AN19" s="680">
        <f t="shared" si="3"/>
        <v>-67.400000000000006</v>
      </c>
      <c r="AO19" s="637">
        <f t="shared" si="6"/>
        <v>-30.913455999999996</v>
      </c>
      <c r="AP19" s="637">
        <f t="shared" si="6"/>
        <v>-10.072652999999999</v>
      </c>
      <c r="AQ19" s="680">
        <f t="shared" si="4"/>
        <v>-67.400000000000006</v>
      </c>
      <c r="AR19" s="661"/>
      <c r="AS19" s="661"/>
      <c r="AT19" s="656"/>
      <c r="AU19" s="656"/>
    </row>
    <row r="20" spans="1:47" s="684" customFormat="1" ht="18.75" customHeight="1" x14ac:dyDescent="0.3">
      <c r="A20" s="623" t="s">
        <v>385</v>
      </c>
      <c r="B20" s="624">
        <v>-5.1159999999999997</v>
      </c>
      <c r="C20" s="639">
        <v>1.3490000000000002</v>
      </c>
      <c r="D20" s="677">
        <f>IF(B20=0, "    ---- ", IF(ABS(ROUND(100/B20*C20-100,1))&lt;999,ROUND(100/B20*C20-100,1),IF(ROUND(100/B20*C20-100,1)&gt;999,999,-999)))</f>
        <v>-126.4</v>
      </c>
      <c r="E20" s="624">
        <v>476.02000000000004</v>
      </c>
      <c r="F20" s="639">
        <v>167</v>
      </c>
      <c r="G20" s="678">
        <f>IF(E20=0, "    ---- ", IF(ABS(ROUND(100/E20*F20-100,1))&lt;999,ROUND(100/E20*F20-100,1),IF(ROUND(100/E20*F20-100,1)&gt;999,999,-999)))</f>
        <v>-64.900000000000006</v>
      </c>
      <c r="H20" s="624"/>
      <c r="I20" s="639"/>
      <c r="J20" s="678"/>
      <c r="K20" s="624"/>
      <c r="L20" s="639"/>
      <c r="M20" s="677"/>
      <c r="N20" s="624"/>
      <c r="O20" s="639"/>
      <c r="P20" s="678"/>
      <c r="Q20" s="624"/>
      <c r="R20" s="639"/>
      <c r="S20" s="678"/>
      <c r="T20" s="624">
        <v>21</v>
      </c>
      <c r="U20" s="639">
        <v>20</v>
      </c>
      <c r="V20" s="678">
        <f>IF(T20=0, "    ---- ", IF(ABS(ROUND(100/T20*U20-100,1))&lt;999,ROUND(100/T20*U20-100,1),IF(ROUND(100/T20*U20-100,1)&gt;999,999,-999)))</f>
        <v>-4.8</v>
      </c>
      <c r="W20" s="624">
        <v>107.9286486454975</v>
      </c>
      <c r="X20" s="639">
        <v>117.30211303909772</v>
      </c>
      <c r="Y20" s="678">
        <f t="shared" si="7"/>
        <v>8.6999999999999993</v>
      </c>
      <c r="Z20" s="624"/>
      <c r="AA20" s="639"/>
      <c r="AB20" s="678"/>
      <c r="AC20" s="624"/>
      <c r="AD20" s="639"/>
      <c r="AE20" s="678"/>
      <c r="AF20" s="624">
        <v>95.344999999999999</v>
      </c>
      <c r="AG20" s="639">
        <v>7.7230000000000008</v>
      </c>
      <c r="AH20" s="678">
        <f>IF(AF20=0, "    ---- ", IF(ABS(ROUND(100/AF20*AG20-100,1))&lt;999,ROUND(100/AF20*AG20-100,1),IF(ROUND(100/AF20*AG20-100,1)&gt;999,999,-999)))</f>
        <v>-91.9</v>
      </c>
      <c r="AI20" s="624">
        <v>1103.72</v>
      </c>
      <c r="AJ20" s="639">
        <v>305.5</v>
      </c>
      <c r="AK20" s="678">
        <f t="shared" si="2"/>
        <v>-72.3</v>
      </c>
      <c r="AL20" s="677">
        <f t="shared" si="5"/>
        <v>1798.8976486454976</v>
      </c>
      <c r="AM20" s="677">
        <f t="shared" si="5"/>
        <v>618.87411303909767</v>
      </c>
      <c r="AN20" s="678">
        <f t="shared" si="3"/>
        <v>-65.599999999999994</v>
      </c>
      <c r="AO20" s="637">
        <f t="shared" si="6"/>
        <v>1798.8976486454976</v>
      </c>
      <c r="AP20" s="637">
        <f t="shared" si="6"/>
        <v>618.87411303909767</v>
      </c>
      <c r="AQ20" s="678">
        <f t="shared" si="4"/>
        <v>-65.599999999999994</v>
      </c>
      <c r="AR20" s="682"/>
      <c r="AS20" s="659"/>
      <c r="AT20" s="683"/>
      <c r="AU20" s="683"/>
    </row>
    <row r="21" spans="1:47" s="681" customFormat="1" ht="18.75" customHeight="1" x14ac:dyDescent="0.3">
      <c r="A21" s="629" t="s">
        <v>386</v>
      </c>
      <c r="B21" s="443"/>
      <c r="C21" s="637">
        <v>6.71</v>
      </c>
      <c r="D21" s="679" t="str">
        <f>IF(B21=0, "    ---- ", IF(ABS(ROUND(100/B21*C21-100,1))&lt;999,ROUND(100/B21*C21-100,1),IF(ROUND(100/B21*C21-100,1)&gt;999,999,-999)))</f>
        <v xml:space="preserve">    ---- </v>
      </c>
      <c r="E21" s="443">
        <v>315.3</v>
      </c>
      <c r="F21" s="637">
        <v>52</v>
      </c>
      <c r="G21" s="680">
        <f>IF(E21=0, "    ---- ", IF(ABS(ROUND(100/E21*F21-100,1))&lt;999,ROUND(100/E21*F21-100,1),IF(ROUND(100/E21*F21-100,1)&gt;999,999,-999)))</f>
        <v>-83.5</v>
      </c>
      <c r="H21" s="443"/>
      <c r="I21" s="637"/>
      <c r="J21" s="680"/>
      <c r="K21" s="443"/>
      <c r="L21" s="637"/>
      <c r="M21" s="679"/>
      <c r="N21" s="443"/>
      <c r="O21" s="637"/>
      <c r="P21" s="680"/>
      <c r="Q21" s="443"/>
      <c r="R21" s="637"/>
      <c r="S21" s="680"/>
      <c r="T21" s="443">
        <v>8</v>
      </c>
      <c r="U21" s="637">
        <v>9</v>
      </c>
      <c r="V21" s="680">
        <f>IF(T21=0, "    ---- ", IF(ABS(ROUND(100/T21*U21-100,1))&lt;999,ROUND(100/T21*U21-100,1),IF(ROUND(100/T21*U21-100,1)&gt;999,999,-999)))</f>
        <v>12.5</v>
      </c>
      <c r="W21" s="443">
        <v>31.864517277446627</v>
      </c>
      <c r="X21" s="637">
        <v>41.807523921848386</v>
      </c>
      <c r="Y21" s="680">
        <f t="shared" si="7"/>
        <v>31.2</v>
      </c>
      <c r="Z21" s="443"/>
      <c r="AA21" s="637"/>
      <c r="AB21" s="680"/>
      <c r="AC21" s="443"/>
      <c r="AD21" s="637"/>
      <c r="AE21" s="680"/>
      <c r="AF21" s="443">
        <v>94.358999999999995</v>
      </c>
      <c r="AG21" s="637">
        <v>9.2919999999999998</v>
      </c>
      <c r="AH21" s="680">
        <f>IF(AF21=0, "    ---- ", IF(ABS(ROUND(100/AF21*AG21-100,1))&lt;999,ROUND(100/AF21*AG21-100,1),IF(ROUND(100/AF21*AG21-100,1)&gt;999,999,-999)))</f>
        <v>-90.2</v>
      </c>
      <c r="AI21" s="443">
        <v>821.9</v>
      </c>
      <c r="AJ21" s="637">
        <v>38.9</v>
      </c>
      <c r="AK21" s="680">
        <f t="shared" si="2"/>
        <v>-95.3</v>
      </c>
      <c r="AL21" s="679">
        <f t="shared" si="5"/>
        <v>1271.4235172774465</v>
      </c>
      <c r="AM21" s="679">
        <f t="shared" si="5"/>
        <v>157.70952392184839</v>
      </c>
      <c r="AN21" s="680">
        <f t="shared" si="3"/>
        <v>-87.6</v>
      </c>
      <c r="AO21" s="637">
        <f t="shared" si="6"/>
        <v>1271.4235172774465</v>
      </c>
      <c r="AP21" s="637">
        <f t="shared" si="6"/>
        <v>157.70952392184839</v>
      </c>
      <c r="AQ21" s="680">
        <f t="shared" si="4"/>
        <v>-87.6</v>
      </c>
      <c r="AR21" s="661"/>
      <c r="AS21" s="661"/>
      <c r="AT21" s="656"/>
      <c r="AU21" s="656"/>
    </row>
    <row r="22" spans="1:47" s="681" customFormat="1" ht="18.75" customHeight="1" x14ac:dyDescent="0.3">
      <c r="A22" s="629" t="s">
        <v>387</v>
      </c>
      <c r="B22" s="443">
        <v>-5.1159999999999997</v>
      </c>
      <c r="C22" s="637">
        <v>-5.3580000000000005</v>
      </c>
      <c r="D22" s="679">
        <f>IF(B22=0, "    ---- ", IF(ABS(ROUND(100/B22*C22-100,1))&lt;999,ROUND(100/B22*C22-100,1),IF(ROUND(100/B22*C22-100,1)&gt;999,999,-999)))</f>
        <v>4.7</v>
      </c>
      <c r="E22" s="443">
        <v>160.71</v>
      </c>
      <c r="F22" s="637">
        <v>115</v>
      </c>
      <c r="G22" s="680">
        <f>IF(E22=0, "    ---- ", IF(ABS(ROUND(100/E22*F22-100,1))&lt;999,ROUND(100/E22*F22-100,1),IF(ROUND(100/E22*F22-100,1)&gt;999,999,-999)))</f>
        <v>-28.4</v>
      </c>
      <c r="H22" s="443"/>
      <c r="I22" s="637"/>
      <c r="J22" s="680"/>
      <c r="K22" s="443"/>
      <c r="L22" s="637"/>
      <c r="M22" s="679"/>
      <c r="N22" s="443"/>
      <c r="O22" s="637"/>
      <c r="P22" s="680"/>
      <c r="Q22" s="443"/>
      <c r="R22" s="637"/>
      <c r="S22" s="680"/>
      <c r="T22" s="443">
        <v>13</v>
      </c>
      <c r="U22" s="637">
        <v>11</v>
      </c>
      <c r="V22" s="680">
        <f>IF(T22=0, "    ---- ", IF(ABS(ROUND(100/T22*U22-100,1))&lt;999,ROUND(100/T22*U22-100,1),IF(ROUND(100/T22*U22-100,1)&gt;999,999,-999)))</f>
        <v>-15.4</v>
      </c>
      <c r="W22" s="443">
        <v>76.06413136805088</v>
      </c>
      <c r="X22" s="637">
        <v>75.494589117249333</v>
      </c>
      <c r="Y22" s="680">
        <f>IF(W22=0, "    ---- ", IF(ABS(ROUND(100/W22*X22-100,1))&lt;999,ROUND(100/W22*X22-100,1),IF(ROUND(100/W22*X22-100,1)&gt;999,999,-999)))</f>
        <v>-0.7</v>
      </c>
      <c r="Z22" s="443"/>
      <c r="AA22" s="637"/>
      <c r="AB22" s="680"/>
      <c r="AC22" s="443"/>
      <c r="AD22" s="637"/>
      <c r="AE22" s="680"/>
      <c r="AF22" s="443">
        <v>0.98599999999999999</v>
      </c>
      <c r="AG22" s="637">
        <v>-1.569</v>
      </c>
      <c r="AH22" s="680">
        <f>IF(AF22=0, "    ---- ", IF(ABS(ROUND(100/AF22*AG22-100,1))&lt;999,ROUND(100/AF22*AG22-100,1),IF(ROUND(100/AF22*AG22-100,1)&gt;999,999,-999)))</f>
        <v>-259.10000000000002</v>
      </c>
      <c r="AI22" s="443">
        <v>281.64999999999998</v>
      </c>
      <c r="AJ22" s="637">
        <v>267</v>
      </c>
      <c r="AK22" s="680">
        <f t="shared" si="2"/>
        <v>-5.2</v>
      </c>
      <c r="AL22" s="679">
        <f t="shared" si="5"/>
        <v>527.29413136805078</v>
      </c>
      <c r="AM22" s="679">
        <f t="shared" si="5"/>
        <v>461.56758911724933</v>
      </c>
      <c r="AN22" s="680">
        <f t="shared" si="3"/>
        <v>-12.5</v>
      </c>
      <c r="AO22" s="637">
        <f t="shared" si="6"/>
        <v>527.29413136805078</v>
      </c>
      <c r="AP22" s="637">
        <f t="shared" si="6"/>
        <v>461.56758911724933</v>
      </c>
      <c r="AQ22" s="680">
        <f t="shared" si="4"/>
        <v>-12.5</v>
      </c>
      <c r="AR22" s="661"/>
      <c r="AS22" s="661"/>
      <c r="AT22" s="656"/>
      <c r="AU22" s="656"/>
    </row>
    <row r="23" spans="1:47" ht="18.75" customHeight="1" x14ac:dyDescent="0.3">
      <c r="A23" s="623" t="s">
        <v>398</v>
      </c>
      <c r="B23" s="624"/>
      <c r="C23" s="639"/>
      <c r="D23" s="677"/>
      <c r="E23" s="624"/>
      <c r="F23" s="639"/>
      <c r="G23" s="678"/>
      <c r="H23" s="624"/>
      <c r="I23" s="639"/>
      <c r="J23" s="678"/>
      <c r="K23" s="624"/>
      <c r="L23" s="639"/>
      <c r="M23" s="677"/>
      <c r="N23" s="624"/>
      <c r="O23" s="639"/>
      <c r="P23" s="678"/>
      <c r="Q23" s="624"/>
      <c r="R23" s="639"/>
      <c r="S23" s="678"/>
      <c r="T23" s="624"/>
      <c r="U23" s="639"/>
      <c r="V23" s="678"/>
      <c r="W23" s="624"/>
      <c r="X23" s="639"/>
      <c r="Y23" s="678"/>
      <c r="Z23" s="624"/>
      <c r="AA23" s="639"/>
      <c r="AB23" s="678"/>
      <c r="AC23" s="624"/>
      <c r="AD23" s="639"/>
      <c r="AE23" s="678"/>
      <c r="AF23" s="624"/>
      <c r="AG23" s="639"/>
      <c r="AH23" s="678"/>
      <c r="AI23" s="624"/>
      <c r="AJ23" s="639"/>
      <c r="AK23" s="678"/>
      <c r="AL23" s="677"/>
      <c r="AM23" s="677"/>
      <c r="AN23" s="678"/>
      <c r="AO23" s="637"/>
      <c r="AP23" s="637"/>
      <c r="AQ23" s="678"/>
      <c r="AR23" s="661"/>
      <c r="AS23" s="661"/>
      <c r="AT23" s="656"/>
      <c r="AU23" s="656"/>
    </row>
    <row r="24" spans="1:47" s="681" customFormat="1" ht="18.75" customHeight="1" x14ac:dyDescent="0.3">
      <c r="A24" s="629" t="s">
        <v>377</v>
      </c>
      <c r="B24" s="443"/>
      <c r="C24" s="637"/>
      <c r="D24" s="679"/>
      <c r="E24" s="443"/>
      <c r="F24" s="637"/>
      <c r="G24" s="680"/>
      <c r="H24" s="443"/>
      <c r="I24" s="637"/>
      <c r="J24" s="680"/>
      <c r="K24" s="443"/>
      <c r="L24" s="637"/>
      <c r="M24" s="679"/>
      <c r="N24" s="443"/>
      <c r="O24" s="637"/>
      <c r="P24" s="680"/>
      <c r="Q24" s="443"/>
      <c r="R24" s="637"/>
      <c r="S24" s="680"/>
      <c r="T24" s="443"/>
      <c r="U24" s="637"/>
      <c r="V24" s="680"/>
      <c r="W24" s="443"/>
      <c r="X24" s="637"/>
      <c r="Y24" s="680"/>
      <c r="Z24" s="443"/>
      <c r="AA24" s="637"/>
      <c r="AB24" s="680"/>
      <c r="AC24" s="443"/>
      <c r="AD24" s="637"/>
      <c r="AE24" s="680"/>
      <c r="AF24" s="443"/>
      <c r="AG24" s="637"/>
      <c r="AH24" s="680"/>
      <c r="AI24" s="443"/>
      <c r="AJ24" s="637"/>
      <c r="AK24" s="680"/>
      <c r="AL24" s="679"/>
      <c r="AM24" s="679"/>
      <c r="AN24" s="680"/>
      <c r="AO24" s="637"/>
      <c r="AP24" s="637"/>
      <c r="AQ24" s="680"/>
      <c r="AR24" s="661"/>
      <c r="AS24" s="661"/>
      <c r="AT24" s="656"/>
      <c r="AU24" s="656"/>
    </row>
    <row r="25" spans="1:47" s="681" customFormat="1" ht="18.75" customHeight="1" x14ac:dyDescent="0.3">
      <c r="A25" s="629" t="s">
        <v>378</v>
      </c>
      <c r="B25" s="443"/>
      <c r="C25" s="637"/>
      <c r="D25" s="679"/>
      <c r="E25" s="443"/>
      <c r="F25" s="637"/>
      <c r="G25" s="680"/>
      <c r="H25" s="443"/>
      <c r="I25" s="637"/>
      <c r="J25" s="680"/>
      <c r="K25" s="443"/>
      <c r="L25" s="637"/>
      <c r="M25" s="679"/>
      <c r="N25" s="443"/>
      <c r="O25" s="637"/>
      <c r="P25" s="680"/>
      <c r="Q25" s="443"/>
      <c r="R25" s="637"/>
      <c r="S25" s="680"/>
      <c r="T25" s="443"/>
      <c r="U25" s="637"/>
      <c r="V25" s="680"/>
      <c r="W25" s="443"/>
      <c r="X25" s="637"/>
      <c r="Y25" s="680"/>
      <c r="Z25" s="443"/>
      <c r="AA25" s="637"/>
      <c r="AB25" s="680"/>
      <c r="AC25" s="443"/>
      <c r="AD25" s="637"/>
      <c r="AE25" s="680"/>
      <c r="AF25" s="443"/>
      <c r="AG25" s="637"/>
      <c r="AH25" s="680"/>
      <c r="AI25" s="443"/>
      <c r="AJ25" s="637"/>
      <c r="AK25" s="680"/>
      <c r="AL25" s="679"/>
      <c r="AM25" s="679"/>
      <c r="AN25" s="680"/>
      <c r="AO25" s="637"/>
      <c r="AP25" s="637"/>
      <c r="AQ25" s="680"/>
      <c r="AR25" s="661"/>
      <c r="AS25" s="661"/>
      <c r="AT25" s="656"/>
      <c r="AU25" s="656"/>
    </row>
    <row r="26" spans="1:47" s="681" customFormat="1" ht="18.75" customHeight="1" x14ac:dyDescent="0.3">
      <c r="A26" s="629" t="s">
        <v>379</v>
      </c>
      <c r="B26" s="443"/>
      <c r="C26" s="637"/>
      <c r="D26" s="679"/>
      <c r="E26" s="443"/>
      <c r="F26" s="637"/>
      <c r="G26" s="680"/>
      <c r="H26" s="443"/>
      <c r="I26" s="637"/>
      <c r="J26" s="680"/>
      <c r="K26" s="443"/>
      <c r="L26" s="637"/>
      <c r="M26" s="679"/>
      <c r="N26" s="443"/>
      <c r="O26" s="637"/>
      <c r="P26" s="680"/>
      <c r="Q26" s="443"/>
      <c r="R26" s="637"/>
      <c r="S26" s="680"/>
      <c r="T26" s="443"/>
      <c r="U26" s="637"/>
      <c r="V26" s="680"/>
      <c r="W26" s="443"/>
      <c r="X26" s="637"/>
      <c r="Y26" s="680"/>
      <c r="Z26" s="443"/>
      <c r="AA26" s="637"/>
      <c r="AB26" s="680"/>
      <c r="AC26" s="443"/>
      <c r="AD26" s="637"/>
      <c r="AE26" s="680"/>
      <c r="AF26" s="443"/>
      <c r="AG26" s="637"/>
      <c r="AH26" s="680"/>
      <c r="AI26" s="443"/>
      <c r="AJ26" s="637"/>
      <c r="AK26" s="680"/>
      <c r="AL26" s="679"/>
      <c r="AM26" s="679"/>
      <c r="AN26" s="680"/>
      <c r="AO26" s="637"/>
      <c r="AP26" s="637"/>
      <c r="AQ26" s="680"/>
      <c r="AR26" s="661"/>
      <c r="AS26" s="661"/>
      <c r="AT26" s="656"/>
      <c r="AU26" s="656"/>
    </row>
    <row r="27" spans="1:47" s="681" customFormat="1" ht="18.75" customHeight="1" x14ac:dyDescent="0.3">
      <c r="A27" s="629" t="s">
        <v>380</v>
      </c>
      <c r="B27" s="443"/>
      <c r="C27" s="637"/>
      <c r="D27" s="679"/>
      <c r="E27" s="443"/>
      <c r="F27" s="637"/>
      <c r="G27" s="680"/>
      <c r="H27" s="443"/>
      <c r="I27" s="637"/>
      <c r="J27" s="680"/>
      <c r="K27" s="443"/>
      <c r="L27" s="637"/>
      <c r="M27" s="679"/>
      <c r="N27" s="443"/>
      <c r="O27" s="637"/>
      <c r="P27" s="680"/>
      <c r="Q27" s="443"/>
      <c r="R27" s="637"/>
      <c r="S27" s="680"/>
      <c r="T27" s="443"/>
      <c r="U27" s="637"/>
      <c r="V27" s="680"/>
      <c r="W27" s="443"/>
      <c r="X27" s="637"/>
      <c r="Y27" s="680"/>
      <c r="Z27" s="443"/>
      <c r="AA27" s="637"/>
      <c r="AB27" s="680"/>
      <c r="AC27" s="443"/>
      <c r="AD27" s="637"/>
      <c r="AE27" s="680"/>
      <c r="AF27" s="443"/>
      <c r="AG27" s="637"/>
      <c r="AH27" s="680"/>
      <c r="AI27" s="443"/>
      <c r="AJ27" s="637"/>
      <c r="AK27" s="680"/>
      <c r="AL27" s="679"/>
      <c r="AM27" s="679"/>
      <c r="AN27" s="680"/>
      <c r="AO27" s="637"/>
      <c r="AP27" s="637"/>
      <c r="AQ27" s="680"/>
      <c r="AR27" s="661"/>
      <c r="AS27" s="661"/>
      <c r="AT27" s="656"/>
      <c r="AU27" s="656"/>
    </row>
    <row r="28" spans="1:47" s="681" customFormat="1" ht="18.75" customHeight="1" x14ac:dyDescent="0.3">
      <c r="A28" s="629" t="s">
        <v>381</v>
      </c>
      <c r="B28" s="443"/>
      <c r="C28" s="637"/>
      <c r="D28" s="679"/>
      <c r="E28" s="443"/>
      <c r="F28" s="637"/>
      <c r="G28" s="680"/>
      <c r="H28" s="443"/>
      <c r="I28" s="637"/>
      <c r="J28" s="680"/>
      <c r="K28" s="443"/>
      <c r="L28" s="637"/>
      <c r="M28" s="679"/>
      <c r="N28" s="443"/>
      <c r="O28" s="637"/>
      <c r="P28" s="680"/>
      <c r="Q28" s="443"/>
      <c r="R28" s="637"/>
      <c r="S28" s="680"/>
      <c r="T28" s="443"/>
      <c r="U28" s="637"/>
      <c r="V28" s="680"/>
      <c r="W28" s="443"/>
      <c r="X28" s="637"/>
      <c r="Y28" s="680"/>
      <c r="Z28" s="443"/>
      <c r="AA28" s="637"/>
      <c r="AB28" s="680"/>
      <c r="AC28" s="443"/>
      <c r="AD28" s="637"/>
      <c r="AE28" s="680"/>
      <c r="AF28" s="443"/>
      <c r="AG28" s="637"/>
      <c r="AH28" s="680"/>
      <c r="AI28" s="443"/>
      <c r="AJ28" s="637"/>
      <c r="AK28" s="680"/>
      <c r="AL28" s="679"/>
      <c r="AM28" s="679"/>
      <c r="AN28" s="680"/>
      <c r="AO28" s="637"/>
      <c r="AP28" s="637"/>
      <c r="AQ28" s="680"/>
      <c r="AR28" s="661"/>
      <c r="AS28" s="661"/>
      <c r="AT28" s="656"/>
      <c r="AU28" s="656"/>
    </row>
    <row r="29" spans="1:47" s="681" customFormat="1" ht="18.75" customHeight="1" x14ac:dyDescent="0.3">
      <c r="A29" s="629" t="s">
        <v>382</v>
      </c>
      <c r="B29" s="443"/>
      <c r="C29" s="637"/>
      <c r="D29" s="679"/>
      <c r="E29" s="443"/>
      <c r="F29" s="637"/>
      <c r="G29" s="680"/>
      <c r="H29" s="443"/>
      <c r="I29" s="637"/>
      <c r="J29" s="680"/>
      <c r="K29" s="443"/>
      <c r="L29" s="637"/>
      <c r="M29" s="679"/>
      <c r="N29" s="443"/>
      <c r="O29" s="637"/>
      <c r="P29" s="680"/>
      <c r="Q29" s="443"/>
      <c r="R29" s="637"/>
      <c r="S29" s="680"/>
      <c r="T29" s="443"/>
      <c r="U29" s="637"/>
      <c r="V29" s="680"/>
      <c r="W29" s="443"/>
      <c r="X29" s="637"/>
      <c r="Y29" s="680"/>
      <c r="Z29" s="443"/>
      <c r="AA29" s="637"/>
      <c r="AB29" s="680"/>
      <c r="AC29" s="443"/>
      <c r="AD29" s="637"/>
      <c r="AE29" s="680"/>
      <c r="AF29" s="443"/>
      <c r="AG29" s="637"/>
      <c r="AH29" s="680"/>
      <c r="AI29" s="443"/>
      <c r="AJ29" s="637"/>
      <c r="AK29" s="680"/>
      <c r="AL29" s="679"/>
      <c r="AM29" s="679"/>
      <c r="AN29" s="680"/>
      <c r="AO29" s="637"/>
      <c r="AP29" s="637"/>
      <c r="AQ29" s="680"/>
      <c r="AR29" s="661"/>
      <c r="AS29" s="661"/>
      <c r="AT29" s="656"/>
      <c r="AU29" s="656"/>
    </row>
    <row r="30" spans="1:47" s="681" customFormat="1" ht="18.75" customHeight="1" x14ac:dyDescent="0.3">
      <c r="A30" s="629" t="s">
        <v>383</v>
      </c>
      <c r="B30" s="443"/>
      <c r="C30" s="637"/>
      <c r="D30" s="679"/>
      <c r="E30" s="443"/>
      <c r="F30" s="637"/>
      <c r="G30" s="680"/>
      <c r="H30" s="443"/>
      <c r="I30" s="637"/>
      <c r="J30" s="680"/>
      <c r="K30" s="443"/>
      <c r="L30" s="637"/>
      <c r="M30" s="679"/>
      <c r="N30" s="443"/>
      <c r="O30" s="637"/>
      <c r="P30" s="680"/>
      <c r="Q30" s="443"/>
      <c r="R30" s="637"/>
      <c r="S30" s="680"/>
      <c r="T30" s="443"/>
      <c r="U30" s="637"/>
      <c r="V30" s="680"/>
      <c r="W30" s="443"/>
      <c r="X30" s="637"/>
      <c r="Y30" s="680"/>
      <c r="Z30" s="443"/>
      <c r="AA30" s="637"/>
      <c r="AB30" s="680"/>
      <c r="AC30" s="443"/>
      <c r="AD30" s="637"/>
      <c r="AE30" s="680"/>
      <c r="AF30" s="443"/>
      <c r="AG30" s="637"/>
      <c r="AH30" s="680"/>
      <c r="AI30" s="443"/>
      <c r="AJ30" s="637"/>
      <c r="AK30" s="680"/>
      <c r="AL30" s="679"/>
      <c r="AM30" s="679"/>
      <c r="AN30" s="680"/>
      <c r="AO30" s="637"/>
      <c r="AP30" s="637"/>
      <c r="AQ30" s="680"/>
      <c r="AR30" s="661"/>
      <c r="AS30" s="661"/>
      <c r="AT30" s="656"/>
      <c r="AU30" s="656"/>
    </row>
    <row r="31" spans="1:47" s="681" customFormat="1" ht="18.75" customHeight="1" x14ac:dyDescent="0.3">
      <c r="A31" s="629" t="s">
        <v>384</v>
      </c>
      <c r="B31" s="443"/>
      <c r="C31" s="637"/>
      <c r="D31" s="679"/>
      <c r="E31" s="443"/>
      <c r="F31" s="637"/>
      <c r="G31" s="680"/>
      <c r="H31" s="443"/>
      <c r="I31" s="637"/>
      <c r="J31" s="680"/>
      <c r="K31" s="443"/>
      <c r="L31" s="637"/>
      <c r="M31" s="679"/>
      <c r="N31" s="443"/>
      <c r="O31" s="637"/>
      <c r="P31" s="680"/>
      <c r="Q31" s="443"/>
      <c r="R31" s="637"/>
      <c r="S31" s="680"/>
      <c r="T31" s="443"/>
      <c r="U31" s="637"/>
      <c r="V31" s="680"/>
      <c r="W31" s="443"/>
      <c r="X31" s="637"/>
      <c r="Y31" s="680"/>
      <c r="Z31" s="443"/>
      <c r="AA31" s="637"/>
      <c r="AB31" s="680"/>
      <c r="AC31" s="443"/>
      <c r="AD31" s="637"/>
      <c r="AE31" s="680"/>
      <c r="AF31" s="443"/>
      <c r="AG31" s="637"/>
      <c r="AH31" s="680"/>
      <c r="AI31" s="443"/>
      <c r="AJ31" s="637"/>
      <c r="AK31" s="680"/>
      <c r="AL31" s="679"/>
      <c r="AM31" s="679"/>
      <c r="AN31" s="680"/>
      <c r="AO31" s="637"/>
      <c r="AP31" s="637"/>
      <c r="AQ31" s="680"/>
      <c r="AR31" s="661"/>
      <c r="AS31" s="661"/>
      <c r="AT31" s="656"/>
      <c r="AU31" s="656"/>
    </row>
    <row r="32" spans="1:47" s="684" customFormat="1" ht="18.75" customHeight="1" x14ac:dyDescent="0.3">
      <c r="A32" s="623" t="s">
        <v>385</v>
      </c>
      <c r="B32" s="624"/>
      <c r="C32" s="639"/>
      <c r="D32" s="677"/>
      <c r="E32" s="624"/>
      <c r="F32" s="639"/>
      <c r="G32" s="678"/>
      <c r="H32" s="624"/>
      <c r="I32" s="639"/>
      <c r="J32" s="678"/>
      <c r="K32" s="624"/>
      <c r="L32" s="639"/>
      <c r="M32" s="677"/>
      <c r="N32" s="624"/>
      <c r="O32" s="639"/>
      <c r="P32" s="678"/>
      <c r="Q32" s="624"/>
      <c r="R32" s="639"/>
      <c r="S32" s="678"/>
      <c r="T32" s="624"/>
      <c r="U32" s="639"/>
      <c r="V32" s="678"/>
      <c r="W32" s="624"/>
      <c r="X32" s="639"/>
      <c r="Y32" s="678"/>
      <c r="Z32" s="624"/>
      <c r="AA32" s="639"/>
      <c r="AB32" s="678"/>
      <c r="AC32" s="624"/>
      <c r="AD32" s="639"/>
      <c r="AE32" s="678"/>
      <c r="AF32" s="624"/>
      <c r="AG32" s="639"/>
      <c r="AH32" s="678"/>
      <c r="AI32" s="624"/>
      <c r="AJ32" s="639"/>
      <c r="AK32" s="678"/>
      <c r="AL32" s="677"/>
      <c r="AM32" s="677"/>
      <c r="AN32" s="678"/>
      <c r="AO32" s="637"/>
      <c r="AP32" s="637"/>
      <c r="AQ32" s="678"/>
      <c r="AR32" s="659"/>
      <c r="AS32" s="659"/>
      <c r="AT32" s="683"/>
      <c r="AU32" s="683"/>
    </row>
    <row r="33" spans="1:47" s="681" customFormat="1" ht="18.75" customHeight="1" x14ac:dyDescent="0.3">
      <c r="A33" s="629" t="s">
        <v>386</v>
      </c>
      <c r="B33" s="443"/>
      <c r="C33" s="637"/>
      <c r="D33" s="679"/>
      <c r="E33" s="443"/>
      <c r="F33" s="637"/>
      <c r="G33" s="680"/>
      <c r="H33" s="443"/>
      <c r="I33" s="637"/>
      <c r="J33" s="680"/>
      <c r="K33" s="443"/>
      <c r="L33" s="637"/>
      <c r="M33" s="679"/>
      <c r="N33" s="443"/>
      <c r="O33" s="637"/>
      <c r="P33" s="680"/>
      <c r="Q33" s="443"/>
      <c r="R33" s="637"/>
      <c r="S33" s="680"/>
      <c r="T33" s="443"/>
      <c r="U33" s="637"/>
      <c r="V33" s="680"/>
      <c r="W33" s="443"/>
      <c r="X33" s="637"/>
      <c r="Y33" s="680"/>
      <c r="Z33" s="443"/>
      <c r="AA33" s="637"/>
      <c r="AB33" s="680"/>
      <c r="AC33" s="443"/>
      <c r="AD33" s="637"/>
      <c r="AE33" s="680"/>
      <c r="AF33" s="443"/>
      <c r="AG33" s="637"/>
      <c r="AH33" s="680"/>
      <c r="AI33" s="443"/>
      <c r="AJ33" s="637"/>
      <c r="AK33" s="680"/>
      <c r="AL33" s="679"/>
      <c r="AM33" s="679"/>
      <c r="AN33" s="680"/>
      <c r="AO33" s="637"/>
      <c r="AP33" s="637"/>
      <c r="AQ33" s="680"/>
      <c r="AR33" s="661"/>
      <c r="AS33" s="661"/>
      <c r="AT33" s="656"/>
      <c r="AU33" s="656"/>
    </row>
    <row r="34" spans="1:47" s="681" customFormat="1" ht="18.75" customHeight="1" x14ac:dyDescent="0.3">
      <c r="A34" s="629" t="s">
        <v>387</v>
      </c>
      <c r="B34" s="443"/>
      <c r="C34" s="637"/>
      <c r="D34" s="679"/>
      <c r="E34" s="443"/>
      <c r="F34" s="637"/>
      <c r="G34" s="680"/>
      <c r="H34" s="443"/>
      <c r="I34" s="637"/>
      <c r="J34" s="680"/>
      <c r="K34" s="443"/>
      <c r="L34" s="637"/>
      <c r="M34" s="679"/>
      <c r="N34" s="443"/>
      <c r="O34" s="637"/>
      <c r="P34" s="680"/>
      <c r="Q34" s="443"/>
      <c r="R34" s="637"/>
      <c r="S34" s="680"/>
      <c r="T34" s="443"/>
      <c r="U34" s="637"/>
      <c r="V34" s="680"/>
      <c r="W34" s="443"/>
      <c r="X34" s="637"/>
      <c r="Y34" s="680"/>
      <c r="Z34" s="443"/>
      <c r="AA34" s="637"/>
      <c r="AB34" s="680"/>
      <c r="AC34" s="443"/>
      <c r="AD34" s="637"/>
      <c r="AE34" s="680"/>
      <c r="AF34" s="443"/>
      <c r="AG34" s="637"/>
      <c r="AH34" s="680"/>
      <c r="AI34" s="443"/>
      <c r="AJ34" s="637"/>
      <c r="AK34" s="680"/>
      <c r="AL34" s="679"/>
      <c r="AM34" s="679"/>
      <c r="AN34" s="680"/>
      <c r="AO34" s="637"/>
      <c r="AP34" s="637"/>
      <c r="AQ34" s="680"/>
      <c r="AR34" s="661"/>
      <c r="AS34" s="661"/>
      <c r="AT34" s="656"/>
      <c r="AU34" s="656"/>
    </row>
    <row r="35" spans="1:47" ht="18.75" customHeight="1" x14ac:dyDescent="0.3">
      <c r="A35" s="623" t="s">
        <v>399</v>
      </c>
      <c r="B35" s="624"/>
      <c r="C35" s="639"/>
      <c r="D35" s="677"/>
      <c r="E35" s="624"/>
      <c r="F35" s="639"/>
      <c r="G35" s="678"/>
      <c r="H35" s="624"/>
      <c r="I35" s="639"/>
      <c r="J35" s="678"/>
      <c r="K35" s="624"/>
      <c r="L35" s="639"/>
      <c r="M35" s="677"/>
      <c r="N35" s="624"/>
      <c r="O35" s="639"/>
      <c r="P35" s="678"/>
      <c r="Q35" s="624"/>
      <c r="R35" s="639"/>
      <c r="S35" s="678"/>
      <c r="T35" s="624"/>
      <c r="U35" s="639"/>
      <c r="V35" s="678"/>
      <c r="W35" s="624"/>
      <c r="X35" s="639"/>
      <c r="Y35" s="678"/>
      <c r="Z35" s="624"/>
      <c r="AA35" s="639"/>
      <c r="AB35" s="678"/>
      <c r="AC35" s="624"/>
      <c r="AD35" s="639"/>
      <c r="AE35" s="678"/>
      <c r="AF35" s="624"/>
      <c r="AG35" s="639"/>
      <c r="AH35" s="678"/>
      <c r="AI35" s="624"/>
      <c r="AJ35" s="639"/>
      <c r="AK35" s="678"/>
      <c r="AL35" s="677">
        <f t="shared" si="5"/>
        <v>0</v>
      </c>
      <c r="AM35" s="677">
        <f t="shared" si="5"/>
        <v>0</v>
      </c>
      <c r="AN35" s="678"/>
      <c r="AO35" s="637">
        <f t="shared" si="6"/>
        <v>0</v>
      </c>
      <c r="AP35" s="637">
        <f t="shared" si="6"/>
        <v>0</v>
      </c>
      <c r="AQ35" s="678"/>
      <c r="AR35" s="661"/>
      <c r="AS35" s="661"/>
      <c r="AT35" s="656"/>
      <c r="AU35" s="656"/>
    </row>
    <row r="36" spans="1:47" s="681" customFormat="1" ht="18.75" customHeight="1" x14ac:dyDescent="0.3">
      <c r="A36" s="629" t="s">
        <v>377</v>
      </c>
      <c r="B36" s="443"/>
      <c r="C36" s="637"/>
      <c r="D36" s="679"/>
      <c r="E36" s="443"/>
      <c r="F36" s="637"/>
      <c r="G36" s="680"/>
      <c r="H36" s="443"/>
      <c r="I36" s="637"/>
      <c r="J36" s="680"/>
      <c r="K36" s="443"/>
      <c r="L36" s="637"/>
      <c r="M36" s="679"/>
      <c r="N36" s="443"/>
      <c r="O36" s="637"/>
      <c r="P36" s="680"/>
      <c r="Q36" s="443"/>
      <c r="R36" s="637"/>
      <c r="S36" s="680"/>
      <c r="T36" s="443"/>
      <c r="U36" s="637"/>
      <c r="V36" s="680"/>
      <c r="W36" s="443"/>
      <c r="X36" s="637"/>
      <c r="Y36" s="680"/>
      <c r="Z36" s="443"/>
      <c r="AA36" s="637"/>
      <c r="AB36" s="680"/>
      <c r="AC36" s="443"/>
      <c r="AD36" s="637"/>
      <c r="AE36" s="680"/>
      <c r="AF36" s="443">
        <v>35.149000000000001</v>
      </c>
      <c r="AG36" s="637">
        <v>17.463999999999999</v>
      </c>
      <c r="AH36" s="680">
        <f>IF(AF36=0, "    ---- ", IF(ABS(ROUND(100/AF36*AG36-100,1))&lt;999,ROUND(100/AF36*AG36-100,1),IF(ROUND(100/AF36*AG36-100,1)&gt;999,999,-999)))</f>
        <v>-50.3</v>
      </c>
      <c r="AI36" s="443">
        <v>2.3800000000000003</v>
      </c>
      <c r="AJ36" s="637"/>
      <c r="AK36" s="680">
        <f t="shared" ref="AK36" si="8">IF(AI36=0, "    ---- ", IF(ABS(ROUND(100/AI36*AJ36-100,1))&lt;999,ROUND(100/AI36*AJ36-100,1),IF(ROUND(100/AI36*AJ36-100,1)&gt;999,999,-999)))</f>
        <v>-100</v>
      </c>
      <c r="AL36" s="679">
        <f t="shared" si="5"/>
        <v>37.529000000000003</v>
      </c>
      <c r="AM36" s="679">
        <f t="shared" si="5"/>
        <v>17.463999999999999</v>
      </c>
      <c r="AN36" s="680">
        <f t="shared" si="3"/>
        <v>-53.5</v>
      </c>
      <c r="AO36" s="637">
        <f t="shared" si="6"/>
        <v>37.529000000000003</v>
      </c>
      <c r="AP36" s="637">
        <f t="shared" si="6"/>
        <v>17.463999999999999</v>
      </c>
      <c r="AQ36" s="680">
        <f t="shared" si="4"/>
        <v>-53.5</v>
      </c>
      <c r="AR36" s="661"/>
      <c r="AS36" s="661"/>
      <c r="AT36" s="656"/>
      <c r="AU36" s="656"/>
    </row>
    <row r="37" spans="1:47" s="681" customFormat="1" ht="18.75" customHeight="1" x14ac:dyDescent="0.3">
      <c r="A37" s="629" t="s">
        <v>378</v>
      </c>
      <c r="B37" s="443"/>
      <c r="C37" s="637"/>
      <c r="D37" s="679"/>
      <c r="E37" s="443"/>
      <c r="F37" s="637"/>
      <c r="G37" s="680"/>
      <c r="H37" s="443"/>
      <c r="I37" s="637"/>
      <c r="J37" s="680"/>
      <c r="K37" s="443"/>
      <c r="L37" s="637"/>
      <c r="M37" s="679"/>
      <c r="N37" s="443"/>
      <c r="O37" s="637"/>
      <c r="P37" s="680"/>
      <c r="Q37" s="443"/>
      <c r="R37" s="637"/>
      <c r="S37" s="680"/>
      <c r="T37" s="443"/>
      <c r="U37" s="637"/>
      <c r="V37" s="680"/>
      <c r="W37" s="443"/>
      <c r="X37" s="637"/>
      <c r="Y37" s="680"/>
      <c r="Z37" s="443"/>
      <c r="AA37" s="637"/>
      <c r="AB37" s="680"/>
      <c r="AC37" s="443"/>
      <c r="AD37" s="637"/>
      <c r="AE37" s="680"/>
      <c r="AF37" s="443"/>
      <c r="AG37" s="637"/>
      <c r="AH37" s="680"/>
      <c r="AI37" s="443"/>
      <c r="AJ37" s="637"/>
      <c r="AK37" s="680"/>
      <c r="AL37" s="679">
        <f t="shared" si="5"/>
        <v>0</v>
      </c>
      <c r="AM37" s="679">
        <f t="shared" si="5"/>
        <v>0</v>
      </c>
      <c r="AN37" s="680" t="str">
        <f t="shared" si="3"/>
        <v xml:space="preserve">    ---- </v>
      </c>
      <c r="AO37" s="637">
        <f t="shared" si="6"/>
        <v>0</v>
      </c>
      <c r="AP37" s="637">
        <f t="shared" si="6"/>
        <v>0</v>
      </c>
      <c r="AQ37" s="680" t="str">
        <f t="shared" si="4"/>
        <v xml:space="preserve">    ---- </v>
      </c>
      <c r="AR37" s="661"/>
      <c r="AS37" s="661"/>
      <c r="AT37" s="656"/>
      <c r="AU37" s="656"/>
    </row>
    <row r="38" spans="1:47" s="681" customFormat="1" ht="18.75" customHeight="1" x14ac:dyDescent="0.3">
      <c r="A38" s="629" t="s">
        <v>379</v>
      </c>
      <c r="B38" s="443"/>
      <c r="C38" s="637"/>
      <c r="D38" s="679"/>
      <c r="E38" s="443"/>
      <c r="F38" s="637"/>
      <c r="G38" s="680"/>
      <c r="H38" s="443"/>
      <c r="I38" s="637"/>
      <c r="J38" s="680"/>
      <c r="K38" s="443"/>
      <c r="L38" s="637"/>
      <c r="M38" s="679"/>
      <c r="N38" s="443"/>
      <c r="O38" s="637"/>
      <c r="P38" s="680"/>
      <c r="Q38" s="443"/>
      <c r="R38" s="637"/>
      <c r="S38" s="680"/>
      <c r="T38" s="443"/>
      <c r="U38" s="637"/>
      <c r="V38" s="680"/>
      <c r="W38" s="443"/>
      <c r="X38" s="637"/>
      <c r="Y38" s="680"/>
      <c r="Z38" s="443"/>
      <c r="AA38" s="637"/>
      <c r="AB38" s="680"/>
      <c r="AC38" s="443"/>
      <c r="AD38" s="637"/>
      <c r="AE38" s="680"/>
      <c r="AF38" s="443">
        <v>-6.4819999999999993</v>
      </c>
      <c r="AG38" s="637">
        <v>-7.1849999999999996</v>
      </c>
      <c r="AH38" s="680">
        <f>IF(AF38=0, "    ---- ", IF(ABS(ROUND(100/AF38*AG38-100,1))&lt;999,ROUND(100/AF38*AG38-100,1),IF(ROUND(100/AF38*AG38-100,1)&gt;999,999,-999)))</f>
        <v>10.8</v>
      </c>
      <c r="AI38" s="443">
        <v>1.78</v>
      </c>
      <c r="AJ38" s="637"/>
      <c r="AK38" s="680">
        <f t="shared" ref="AK38" si="9">IF(AI38=0, "    ---- ", IF(ABS(ROUND(100/AI38*AJ38-100,1))&lt;999,ROUND(100/AI38*AJ38-100,1),IF(ROUND(100/AI38*AJ38-100,1)&gt;999,999,-999)))</f>
        <v>-100</v>
      </c>
      <c r="AL38" s="679">
        <f t="shared" si="5"/>
        <v>-4.7019999999999991</v>
      </c>
      <c r="AM38" s="679">
        <f t="shared" si="5"/>
        <v>-7.1849999999999996</v>
      </c>
      <c r="AN38" s="680">
        <f t="shared" si="3"/>
        <v>52.8</v>
      </c>
      <c r="AO38" s="637">
        <f t="shared" si="6"/>
        <v>-4.7019999999999991</v>
      </c>
      <c r="AP38" s="637">
        <f t="shared" si="6"/>
        <v>-7.1849999999999996</v>
      </c>
      <c r="AQ38" s="680">
        <f t="shared" si="4"/>
        <v>52.8</v>
      </c>
      <c r="AR38" s="661"/>
      <c r="AS38" s="661"/>
      <c r="AT38" s="656"/>
      <c r="AU38" s="656"/>
    </row>
    <row r="39" spans="1:47" s="681" customFormat="1" ht="18.75" customHeight="1" x14ac:dyDescent="0.3">
      <c r="A39" s="629" t="s">
        <v>380</v>
      </c>
      <c r="B39" s="443"/>
      <c r="C39" s="637"/>
      <c r="D39" s="679"/>
      <c r="E39" s="443"/>
      <c r="F39" s="637"/>
      <c r="G39" s="680"/>
      <c r="H39" s="443"/>
      <c r="I39" s="637"/>
      <c r="J39" s="680"/>
      <c r="K39" s="443"/>
      <c r="L39" s="637"/>
      <c r="M39" s="679"/>
      <c r="N39" s="443"/>
      <c r="O39" s="637"/>
      <c r="P39" s="680"/>
      <c r="Q39" s="443"/>
      <c r="R39" s="637"/>
      <c r="S39" s="680"/>
      <c r="T39" s="443"/>
      <c r="U39" s="637"/>
      <c r="V39" s="680"/>
      <c r="W39" s="443"/>
      <c r="X39" s="637"/>
      <c r="Y39" s="680"/>
      <c r="Z39" s="443"/>
      <c r="AA39" s="637"/>
      <c r="AB39" s="680"/>
      <c r="AC39" s="443"/>
      <c r="AD39" s="637"/>
      <c r="AE39" s="680"/>
      <c r="AF39" s="443"/>
      <c r="AG39" s="637"/>
      <c r="AH39" s="680"/>
      <c r="AI39" s="443"/>
      <c r="AJ39" s="637"/>
      <c r="AK39" s="680"/>
      <c r="AL39" s="679">
        <f t="shared" si="5"/>
        <v>0</v>
      </c>
      <c r="AM39" s="679">
        <f t="shared" si="5"/>
        <v>0</v>
      </c>
      <c r="AN39" s="680" t="str">
        <f t="shared" si="3"/>
        <v xml:space="preserve">    ---- </v>
      </c>
      <c r="AO39" s="637">
        <f t="shared" si="6"/>
        <v>0</v>
      </c>
      <c r="AP39" s="637">
        <f t="shared" si="6"/>
        <v>0</v>
      </c>
      <c r="AQ39" s="680" t="str">
        <f t="shared" si="4"/>
        <v xml:space="preserve">    ---- </v>
      </c>
      <c r="AR39" s="661"/>
      <c r="AS39" s="661"/>
      <c r="AT39" s="656"/>
      <c r="AU39" s="656"/>
    </row>
    <row r="40" spans="1:47" s="681" customFormat="1" ht="18.75" customHeight="1" x14ac:dyDescent="0.3">
      <c r="A40" s="629" t="s">
        <v>381</v>
      </c>
      <c r="B40" s="443"/>
      <c r="C40" s="637"/>
      <c r="D40" s="679"/>
      <c r="E40" s="443"/>
      <c r="F40" s="637"/>
      <c r="G40" s="680"/>
      <c r="H40" s="443"/>
      <c r="I40" s="637"/>
      <c r="J40" s="680"/>
      <c r="K40" s="443"/>
      <c r="L40" s="637"/>
      <c r="M40" s="679"/>
      <c r="N40" s="443"/>
      <c r="O40" s="637"/>
      <c r="P40" s="680"/>
      <c r="Q40" s="443"/>
      <c r="R40" s="637"/>
      <c r="S40" s="680"/>
      <c r="T40" s="443"/>
      <c r="U40" s="637"/>
      <c r="V40" s="680"/>
      <c r="W40" s="443"/>
      <c r="X40" s="637"/>
      <c r="Y40" s="680"/>
      <c r="Z40" s="443"/>
      <c r="AA40" s="637"/>
      <c r="AB40" s="680"/>
      <c r="AC40" s="443"/>
      <c r="AD40" s="637"/>
      <c r="AE40" s="680"/>
      <c r="AF40" s="443">
        <v>2.8730000000000002</v>
      </c>
      <c r="AG40" s="637">
        <v>2.964</v>
      </c>
      <c r="AH40" s="680">
        <f>IF(AF40=0, "    ---- ", IF(ABS(ROUND(100/AF40*AG40-100,1))&lt;999,ROUND(100/AF40*AG40-100,1),IF(ROUND(100/AF40*AG40-100,1)&gt;999,999,-999)))</f>
        <v>3.2</v>
      </c>
      <c r="AI40" s="443"/>
      <c r="AJ40" s="637"/>
      <c r="AK40" s="680"/>
      <c r="AL40" s="679">
        <f t="shared" si="5"/>
        <v>2.8730000000000002</v>
      </c>
      <c r="AM40" s="679">
        <f t="shared" si="5"/>
        <v>2.964</v>
      </c>
      <c r="AN40" s="680">
        <f t="shared" si="3"/>
        <v>3.2</v>
      </c>
      <c r="AO40" s="637">
        <f t="shared" si="6"/>
        <v>2.8730000000000002</v>
      </c>
      <c r="AP40" s="637">
        <f t="shared" si="6"/>
        <v>2.964</v>
      </c>
      <c r="AQ40" s="680">
        <f t="shared" si="4"/>
        <v>3.2</v>
      </c>
      <c r="AR40" s="661"/>
      <c r="AS40" s="661"/>
      <c r="AT40" s="656"/>
      <c r="AU40" s="656"/>
    </row>
    <row r="41" spans="1:47" s="681" customFormat="1" ht="18.75" customHeight="1" x14ac:dyDescent="0.3">
      <c r="A41" s="629" t="s">
        <v>382</v>
      </c>
      <c r="B41" s="443"/>
      <c r="C41" s="637"/>
      <c r="D41" s="679"/>
      <c r="E41" s="443"/>
      <c r="F41" s="637"/>
      <c r="G41" s="680"/>
      <c r="H41" s="443"/>
      <c r="I41" s="637"/>
      <c r="J41" s="680"/>
      <c r="K41" s="443"/>
      <c r="L41" s="637"/>
      <c r="M41" s="679"/>
      <c r="N41" s="443"/>
      <c r="O41" s="637"/>
      <c r="P41" s="680"/>
      <c r="Q41" s="443"/>
      <c r="R41" s="637"/>
      <c r="S41" s="680"/>
      <c r="T41" s="443"/>
      <c r="U41" s="637"/>
      <c r="V41" s="680"/>
      <c r="W41" s="443"/>
      <c r="X41" s="637"/>
      <c r="Y41" s="680"/>
      <c r="Z41" s="443"/>
      <c r="AA41" s="637"/>
      <c r="AB41" s="680"/>
      <c r="AC41" s="443"/>
      <c r="AD41" s="637"/>
      <c r="AE41" s="680"/>
      <c r="AF41" s="443"/>
      <c r="AG41" s="637">
        <v>-5.0000000000000001E-3</v>
      </c>
      <c r="AH41" s="680" t="str">
        <f>IF(AF41=0, "    ---- ", IF(ABS(ROUND(100/AF41*AG41-100,1))&lt;999,ROUND(100/AF41*AG41-100,1),IF(ROUND(100/AF41*AG41-100,1)&gt;999,999,-999)))</f>
        <v xml:space="preserve">    ---- </v>
      </c>
      <c r="AI41" s="443"/>
      <c r="AJ41" s="637"/>
      <c r="AK41" s="680"/>
      <c r="AL41" s="679">
        <f t="shared" si="5"/>
        <v>0</v>
      </c>
      <c r="AM41" s="679">
        <f t="shared" si="5"/>
        <v>-5.0000000000000001E-3</v>
      </c>
      <c r="AN41" s="680" t="str">
        <f t="shared" si="3"/>
        <v xml:space="preserve">    ---- </v>
      </c>
      <c r="AO41" s="637">
        <f t="shared" si="6"/>
        <v>0</v>
      </c>
      <c r="AP41" s="637">
        <f t="shared" si="6"/>
        <v>-5.0000000000000001E-3</v>
      </c>
      <c r="AQ41" s="680" t="str">
        <f t="shared" si="4"/>
        <v xml:space="preserve">    ---- </v>
      </c>
      <c r="AR41" s="661"/>
      <c r="AS41" s="661"/>
      <c r="AT41" s="656"/>
      <c r="AU41" s="656"/>
    </row>
    <row r="42" spans="1:47" s="681" customFormat="1" ht="18.75" customHeight="1" x14ac:dyDescent="0.3">
      <c r="A42" s="629" t="s">
        <v>383</v>
      </c>
      <c r="B42" s="443"/>
      <c r="C42" s="637"/>
      <c r="D42" s="679"/>
      <c r="E42" s="443"/>
      <c r="F42" s="637"/>
      <c r="G42" s="680"/>
      <c r="H42" s="443"/>
      <c r="I42" s="637"/>
      <c r="J42" s="680"/>
      <c r="K42" s="443"/>
      <c r="L42" s="637"/>
      <c r="M42" s="679"/>
      <c r="N42" s="443"/>
      <c r="O42" s="637"/>
      <c r="P42" s="680"/>
      <c r="Q42" s="443"/>
      <c r="R42" s="637"/>
      <c r="S42" s="680"/>
      <c r="T42" s="443"/>
      <c r="U42" s="637"/>
      <c r="V42" s="680"/>
      <c r="W42" s="443"/>
      <c r="X42" s="637"/>
      <c r="Y42" s="680"/>
      <c r="Z42" s="443"/>
      <c r="AA42" s="637"/>
      <c r="AB42" s="680"/>
      <c r="AC42" s="443"/>
      <c r="AD42" s="637"/>
      <c r="AE42" s="680"/>
      <c r="AF42" s="443"/>
      <c r="AG42" s="637"/>
      <c r="AH42" s="680"/>
      <c r="AI42" s="443"/>
      <c r="AJ42" s="637"/>
      <c r="AK42" s="680"/>
      <c r="AL42" s="679">
        <f t="shared" si="5"/>
        <v>0</v>
      </c>
      <c r="AM42" s="679">
        <f t="shared" si="5"/>
        <v>0</v>
      </c>
      <c r="AN42" s="680" t="str">
        <f t="shared" si="3"/>
        <v xml:space="preserve">    ---- </v>
      </c>
      <c r="AO42" s="637">
        <f t="shared" si="6"/>
        <v>0</v>
      </c>
      <c r="AP42" s="637">
        <f t="shared" si="6"/>
        <v>0</v>
      </c>
      <c r="AQ42" s="680" t="str">
        <f t="shared" si="4"/>
        <v xml:space="preserve">    ---- </v>
      </c>
      <c r="AR42" s="661"/>
      <c r="AS42" s="661"/>
      <c r="AT42" s="656"/>
      <c r="AU42" s="656"/>
    </row>
    <row r="43" spans="1:47" s="681" customFormat="1" ht="18.75" customHeight="1" x14ac:dyDescent="0.3">
      <c r="A43" s="629" t="s">
        <v>384</v>
      </c>
      <c r="B43" s="685"/>
      <c r="C43" s="679"/>
      <c r="D43" s="679"/>
      <c r="E43" s="685"/>
      <c r="F43" s="679"/>
      <c r="G43" s="680"/>
      <c r="H43" s="685"/>
      <c r="I43" s="679"/>
      <c r="J43" s="680"/>
      <c r="K43" s="685"/>
      <c r="L43" s="679"/>
      <c r="M43" s="679"/>
      <c r="N43" s="685"/>
      <c r="O43" s="679"/>
      <c r="P43" s="680"/>
      <c r="Q43" s="685"/>
      <c r="R43" s="679"/>
      <c r="S43" s="680"/>
      <c r="T43" s="685"/>
      <c r="U43" s="679"/>
      <c r="V43" s="680"/>
      <c r="W43" s="685"/>
      <c r="X43" s="679"/>
      <c r="Y43" s="680"/>
      <c r="Z43" s="685"/>
      <c r="AA43" s="679"/>
      <c r="AB43" s="680"/>
      <c r="AC43" s="685"/>
      <c r="AD43" s="679"/>
      <c r="AE43" s="680"/>
      <c r="AF43" s="685"/>
      <c r="AG43" s="679"/>
      <c r="AH43" s="680"/>
      <c r="AI43" s="685"/>
      <c r="AJ43" s="679"/>
      <c r="AK43" s="680"/>
      <c r="AL43" s="679">
        <f t="shared" si="5"/>
        <v>0</v>
      </c>
      <c r="AM43" s="679">
        <f t="shared" si="5"/>
        <v>0</v>
      </c>
      <c r="AN43" s="680" t="str">
        <f t="shared" si="3"/>
        <v xml:space="preserve">    ---- </v>
      </c>
      <c r="AO43" s="637">
        <f t="shared" si="6"/>
        <v>0</v>
      </c>
      <c r="AP43" s="637">
        <f t="shared" si="6"/>
        <v>0</v>
      </c>
      <c r="AQ43" s="680" t="str">
        <f t="shared" si="4"/>
        <v xml:space="preserve">    ---- </v>
      </c>
      <c r="AR43" s="661"/>
      <c r="AS43" s="661"/>
      <c r="AT43" s="656"/>
      <c r="AU43" s="656"/>
    </row>
    <row r="44" spans="1:47" s="684" customFormat="1" ht="18.75" customHeight="1" x14ac:dyDescent="0.3">
      <c r="A44" s="623" t="s">
        <v>385</v>
      </c>
      <c r="B44" s="686"/>
      <c r="C44" s="677"/>
      <c r="D44" s="677"/>
      <c r="E44" s="686"/>
      <c r="F44" s="677"/>
      <c r="G44" s="678"/>
      <c r="H44" s="686"/>
      <c r="I44" s="677"/>
      <c r="J44" s="678"/>
      <c r="K44" s="686"/>
      <c r="L44" s="677"/>
      <c r="M44" s="677"/>
      <c r="N44" s="686"/>
      <c r="O44" s="677"/>
      <c r="P44" s="678"/>
      <c r="Q44" s="686"/>
      <c r="R44" s="677"/>
      <c r="S44" s="678"/>
      <c r="T44" s="686"/>
      <c r="U44" s="677"/>
      <c r="V44" s="678"/>
      <c r="W44" s="686"/>
      <c r="X44" s="677"/>
      <c r="Y44" s="680"/>
      <c r="Z44" s="686"/>
      <c r="AA44" s="677"/>
      <c r="AB44" s="678"/>
      <c r="AC44" s="686"/>
      <c r="AD44" s="677"/>
      <c r="AE44" s="678"/>
      <c r="AF44" s="686">
        <v>31.540000000000003</v>
      </c>
      <c r="AG44" s="677">
        <v>13.238</v>
      </c>
      <c r="AH44" s="678">
        <f>IF(AF44=0, "    ---- ", IF(ABS(ROUND(100/AF44*AG44-100,1))&lt;999,ROUND(100/AF44*AG44-100,1),IF(ROUND(100/AF44*AG44-100,1)&gt;999,999,-999)))</f>
        <v>-58</v>
      </c>
      <c r="AI44" s="686">
        <v>4.16</v>
      </c>
      <c r="AJ44" s="677">
        <v>0</v>
      </c>
      <c r="AK44" s="680">
        <f t="shared" ref="AK44:AK46" si="10">IF(AI44=0, "    ---- ", IF(ABS(ROUND(100/AI44*AJ44-100,1))&lt;999,ROUND(100/AI44*AJ44-100,1),IF(ROUND(100/AI44*AJ44-100,1)&gt;999,999,-999)))</f>
        <v>-100</v>
      </c>
      <c r="AL44" s="677">
        <f t="shared" si="5"/>
        <v>35.700000000000003</v>
      </c>
      <c r="AM44" s="677">
        <f t="shared" si="5"/>
        <v>13.238</v>
      </c>
      <c r="AN44" s="678">
        <f>IF(AL44=0, "    ---- ", IF(ABS(ROUND(100/AL44*AM44-100,1))&lt;999,ROUND(100/AL44*AM44-100,1),IF(ROUND(100/AL44*AM44-100,1)&gt;999,999,-999)))</f>
        <v>-62.9</v>
      </c>
      <c r="AO44" s="637">
        <f t="shared" si="6"/>
        <v>35.700000000000003</v>
      </c>
      <c r="AP44" s="637">
        <f t="shared" si="6"/>
        <v>13.238</v>
      </c>
      <c r="AQ44" s="678">
        <f>IF(AO44=0, "    ---- ", IF(ABS(ROUND(100/AO44*AP44-100,1))&lt;999,ROUND(100/AO44*AP44-100,1),IF(ROUND(100/AO44*AP44-100,1)&gt;999,999,-999)))</f>
        <v>-62.9</v>
      </c>
      <c r="AR44" s="682"/>
      <c r="AS44" s="659"/>
      <c r="AT44" s="683"/>
      <c r="AU44" s="683"/>
    </row>
    <row r="45" spans="1:47" s="681" customFormat="1" ht="18.75" customHeight="1" x14ac:dyDescent="0.3">
      <c r="A45" s="629" t="s">
        <v>386</v>
      </c>
      <c r="B45" s="685"/>
      <c r="C45" s="679"/>
      <c r="D45" s="679"/>
      <c r="E45" s="685"/>
      <c r="F45" s="679"/>
      <c r="G45" s="680"/>
      <c r="H45" s="685"/>
      <c r="I45" s="679"/>
      <c r="J45" s="680"/>
      <c r="K45" s="685"/>
      <c r="L45" s="679"/>
      <c r="M45" s="679"/>
      <c r="N45" s="685"/>
      <c r="O45" s="679"/>
      <c r="P45" s="680"/>
      <c r="Q45" s="685"/>
      <c r="R45" s="679"/>
      <c r="S45" s="680"/>
      <c r="T45" s="685"/>
      <c r="U45" s="679"/>
      <c r="V45" s="680"/>
      <c r="W45" s="685"/>
      <c r="X45" s="679"/>
      <c r="Y45" s="680"/>
      <c r="Z45" s="685"/>
      <c r="AA45" s="679"/>
      <c r="AB45" s="680"/>
      <c r="AC45" s="685"/>
      <c r="AD45" s="679"/>
      <c r="AE45" s="680"/>
      <c r="AF45" s="685">
        <v>35.149000000000001</v>
      </c>
      <c r="AG45" s="679">
        <v>17.463999999999999</v>
      </c>
      <c r="AH45" s="680">
        <f>IF(AF45=0, "    ---- ", IF(ABS(ROUND(100/AF45*AG45-100,1))&lt;999,ROUND(100/AF45*AG45-100,1),IF(ROUND(100/AF45*AG45-100,1)&gt;999,999,-999)))</f>
        <v>-50.3</v>
      </c>
      <c r="AI45" s="685">
        <v>2.38</v>
      </c>
      <c r="AJ45" s="679"/>
      <c r="AK45" s="680">
        <f t="shared" si="10"/>
        <v>-100</v>
      </c>
      <c r="AL45" s="679">
        <f t="shared" si="5"/>
        <v>37.529000000000003</v>
      </c>
      <c r="AM45" s="679">
        <f t="shared" si="5"/>
        <v>17.463999999999999</v>
      </c>
      <c r="AN45" s="680">
        <f t="shared" ref="AN45:AN144" si="11">IF(AL45=0, "    ---- ", IF(ABS(ROUND(100/AL45*AM45-100,1))&lt;999,ROUND(100/AL45*AM45-100,1),IF(ROUND(100/AL45*AM45-100,1)&gt;999,999,-999)))</f>
        <v>-53.5</v>
      </c>
      <c r="AO45" s="637">
        <f t="shared" si="6"/>
        <v>37.529000000000003</v>
      </c>
      <c r="AP45" s="637">
        <f t="shared" si="6"/>
        <v>17.463999999999999</v>
      </c>
      <c r="AQ45" s="680">
        <f t="shared" ref="AQ45:AQ144" si="12">IF(AO45=0, "    ---- ", IF(ABS(ROUND(100/AO45*AP45-100,1))&lt;999,ROUND(100/AO45*AP45-100,1),IF(ROUND(100/AO45*AP45-100,1)&gt;999,999,-999)))</f>
        <v>-53.5</v>
      </c>
      <c r="AR45" s="661"/>
      <c r="AS45" s="661"/>
      <c r="AT45" s="656"/>
      <c r="AU45" s="656"/>
    </row>
    <row r="46" spans="1:47" s="681" customFormat="1" ht="18.75" customHeight="1" x14ac:dyDescent="0.3">
      <c r="A46" s="629" t="s">
        <v>387</v>
      </c>
      <c r="B46" s="685"/>
      <c r="C46" s="679"/>
      <c r="D46" s="679"/>
      <c r="E46" s="685"/>
      <c r="F46" s="679"/>
      <c r="G46" s="680"/>
      <c r="H46" s="685"/>
      <c r="I46" s="679"/>
      <c r="J46" s="680"/>
      <c r="K46" s="685"/>
      <c r="L46" s="679"/>
      <c r="M46" s="679"/>
      <c r="N46" s="685"/>
      <c r="O46" s="679"/>
      <c r="P46" s="680"/>
      <c r="Q46" s="685"/>
      <c r="R46" s="679"/>
      <c r="S46" s="680"/>
      <c r="T46" s="685"/>
      <c r="U46" s="679"/>
      <c r="V46" s="680"/>
      <c r="W46" s="685"/>
      <c r="X46" s="679"/>
      <c r="Y46" s="680"/>
      <c r="Z46" s="685"/>
      <c r="AA46" s="679"/>
      <c r="AB46" s="680"/>
      <c r="AC46" s="685"/>
      <c r="AD46" s="679"/>
      <c r="AE46" s="680"/>
      <c r="AF46" s="685">
        <v>-3.6139999999999999</v>
      </c>
      <c r="AG46" s="679">
        <v>-4.3280000000000003</v>
      </c>
      <c r="AH46" s="680">
        <f>IF(AF46=0, "    ---- ", IF(ABS(ROUND(100/AF46*AG46-100,1))&lt;999,ROUND(100/AF46*AG46-100,1),IF(ROUND(100/AF46*AG46-100,1)&gt;999,999,-999)))</f>
        <v>19.8</v>
      </c>
      <c r="AI46" s="685">
        <v>1.78</v>
      </c>
      <c r="AJ46" s="679"/>
      <c r="AK46" s="680">
        <f t="shared" si="10"/>
        <v>-100</v>
      </c>
      <c r="AL46" s="679">
        <f t="shared" si="5"/>
        <v>-1.8339999999999999</v>
      </c>
      <c r="AM46" s="679">
        <f t="shared" si="5"/>
        <v>-4.3280000000000003</v>
      </c>
      <c r="AN46" s="680">
        <f t="shared" si="11"/>
        <v>136</v>
      </c>
      <c r="AO46" s="637">
        <f t="shared" si="6"/>
        <v>-1.8339999999999999</v>
      </c>
      <c r="AP46" s="637">
        <f t="shared" si="6"/>
        <v>-4.3280000000000003</v>
      </c>
      <c r="AQ46" s="680">
        <f t="shared" si="12"/>
        <v>136</v>
      </c>
      <c r="AR46" s="661"/>
      <c r="AS46" s="661"/>
      <c r="AT46" s="656"/>
      <c r="AU46" s="656"/>
    </row>
    <row r="47" spans="1:47" s="681" customFormat="1" ht="18.75" customHeight="1" x14ac:dyDescent="0.3">
      <c r="A47" s="623" t="s">
        <v>400</v>
      </c>
      <c r="B47" s="685"/>
      <c r="C47" s="679"/>
      <c r="D47" s="679"/>
      <c r="E47" s="685"/>
      <c r="F47" s="679"/>
      <c r="G47" s="680"/>
      <c r="H47" s="685"/>
      <c r="I47" s="679"/>
      <c r="J47" s="680"/>
      <c r="K47" s="685"/>
      <c r="L47" s="679"/>
      <c r="M47" s="679"/>
      <c r="N47" s="685"/>
      <c r="O47" s="679"/>
      <c r="P47" s="680"/>
      <c r="Q47" s="685"/>
      <c r="R47" s="679"/>
      <c r="S47" s="680"/>
      <c r="T47" s="685"/>
      <c r="U47" s="679"/>
      <c r="V47" s="680"/>
      <c r="W47" s="685"/>
      <c r="X47" s="679"/>
      <c r="Y47" s="680"/>
      <c r="Z47" s="685"/>
      <c r="AA47" s="679"/>
      <c r="AB47" s="680"/>
      <c r="AC47" s="685"/>
      <c r="AD47" s="679"/>
      <c r="AE47" s="680"/>
      <c r="AF47" s="685"/>
      <c r="AG47" s="679"/>
      <c r="AH47" s="680"/>
      <c r="AI47" s="685"/>
      <c r="AJ47" s="679"/>
      <c r="AK47" s="680"/>
      <c r="AL47" s="679">
        <f t="shared" si="5"/>
        <v>0</v>
      </c>
      <c r="AM47" s="679">
        <f t="shared" si="5"/>
        <v>0</v>
      </c>
      <c r="AN47" s="680"/>
      <c r="AO47" s="637">
        <f t="shared" si="6"/>
        <v>0</v>
      </c>
      <c r="AP47" s="637">
        <f t="shared" si="6"/>
        <v>0</v>
      </c>
      <c r="AQ47" s="680"/>
      <c r="AR47" s="661"/>
      <c r="AS47" s="661"/>
      <c r="AT47" s="656"/>
      <c r="AU47" s="656"/>
    </row>
    <row r="48" spans="1:47" s="681" customFormat="1" ht="18.75" customHeight="1" x14ac:dyDescent="0.3">
      <c r="A48" s="629" t="s">
        <v>377</v>
      </c>
      <c r="B48" s="685"/>
      <c r="C48" s="679"/>
      <c r="D48" s="679"/>
      <c r="E48" s="685">
        <v>5607.85</v>
      </c>
      <c r="F48" s="679">
        <v>-3170</v>
      </c>
      <c r="G48" s="680">
        <f>IF(E48=0, "    ---- ", IF(ABS(ROUND(100/E48*F48-100,1))&lt;999,ROUND(100/E48*F48-100,1),IF(ROUND(100/E48*F48-100,1)&gt;999,999,-999)))</f>
        <v>-156.5</v>
      </c>
      <c r="H48" s="685">
        <v>7.8739999999999997</v>
      </c>
      <c r="I48" s="679">
        <v>0.98</v>
      </c>
      <c r="J48" s="680">
        <f>IF(H48=0, "    ---- ", IF(ABS(ROUND(100/H48*I48-100,1))&lt;999,ROUND(100/H48*I48-100,1),IF(ROUND(100/H48*I48-100,1)&gt;999,999,-999)))</f>
        <v>-87.6</v>
      </c>
      <c r="K48" s="685">
        <v>11.443</v>
      </c>
      <c r="L48" s="679">
        <v>12.8</v>
      </c>
      <c r="M48" s="679">
        <f>IF(K48=0, "    ---- ", IF(ABS(ROUND(100/K48*L48-100,1))&lt;999,ROUND(100/K48*L48-100,1),IF(ROUND(100/K48*L48-100,1)&gt;999,999,-999)))</f>
        <v>11.9</v>
      </c>
      <c r="N48" s="685"/>
      <c r="O48" s="679"/>
      <c r="P48" s="680"/>
      <c r="Q48" s="685"/>
      <c r="R48" s="679"/>
      <c r="S48" s="680"/>
      <c r="T48" s="685"/>
      <c r="U48" s="679"/>
      <c r="V48" s="680"/>
      <c r="W48" s="685"/>
      <c r="X48" s="679"/>
      <c r="Y48" s="680"/>
      <c r="Z48" s="685"/>
      <c r="AA48" s="679"/>
      <c r="AB48" s="680"/>
      <c r="AC48" s="685"/>
      <c r="AD48" s="679"/>
      <c r="AE48" s="680"/>
      <c r="AF48" s="685">
        <v>8.1039999999999992</v>
      </c>
      <c r="AG48" s="679">
        <v>1.145</v>
      </c>
      <c r="AH48" s="680">
        <f>IF(AF48=0, "    ---- ", IF(ABS(ROUND(100/AF48*AG48-100,1))&lt;999,ROUND(100/AF48*AG48-100,1),IF(ROUND(100/AF48*AG48-100,1)&gt;999,999,-999)))</f>
        <v>-85.9</v>
      </c>
      <c r="AI48" s="685">
        <v>-0.42</v>
      </c>
      <c r="AJ48" s="679">
        <v>-1.1300000000000001</v>
      </c>
      <c r="AK48" s="680">
        <f>IF(AI48=0, "    ---- ", IF(ABS(ROUND(100/AI48*AJ48-100,1))&lt;999,ROUND(100/AI48*AJ48-100,1),IF(ROUND(100/AI48*AJ48-100,1)&gt;999,999,-999)))</f>
        <v>169</v>
      </c>
      <c r="AL48" s="679">
        <f t="shared" si="5"/>
        <v>5634.8510000000006</v>
      </c>
      <c r="AM48" s="679">
        <f t="shared" si="5"/>
        <v>-3156.2049999999999</v>
      </c>
      <c r="AN48" s="680">
        <f t="shared" si="11"/>
        <v>-156</v>
      </c>
      <c r="AO48" s="637">
        <f t="shared" si="6"/>
        <v>5634.8510000000006</v>
      </c>
      <c r="AP48" s="637">
        <f t="shared" si="6"/>
        <v>-3156.2049999999999</v>
      </c>
      <c r="AQ48" s="680">
        <f t="shared" si="12"/>
        <v>-156</v>
      </c>
      <c r="AR48" s="661"/>
      <c r="AS48" s="661"/>
      <c r="AT48" s="656"/>
      <c r="AU48" s="656"/>
    </row>
    <row r="49" spans="1:47" s="681" customFormat="1" ht="18.75" customHeight="1" x14ac:dyDescent="0.3">
      <c r="A49" s="629" t="s">
        <v>378</v>
      </c>
      <c r="B49" s="685"/>
      <c r="C49" s="679"/>
      <c r="D49" s="679"/>
      <c r="E49" s="685"/>
      <c r="F49" s="679"/>
      <c r="G49" s="680"/>
      <c r="H49" s="685"/>
      <c r="I49" s="679"/>
      <c r="J49" s="680"/>
      <c r="K49" s="685"/>
      <c r="L49" s="679"/>
      <c r="M49" s="679"/>
      <c r="N49" s="685"/>
      <c r="O49" s="679"/>
      <c r="P49" s="680"/>
      <c r="Q49" s="685"/>
      <c r="R49" s="679"/>
      <c r="S49" s="680"/>
      <c r="T49" s="685"/>
      <c r="U49" s="679"/>
      <c r="V49" s="680"/>
      <c r="W49" s="685"/>
      <c r="X49" s="679"/>
      <c r="Y49" s="680"/>
      <c r="Z49" s="685"/>
      <c r="AA49" s="679"/>
      <c r="AB49" s="680"/>
      <c r="AC49" s="685"/>
      <c r="AD49" s="679"/>
      <c r="AE49" s="680"/>
      <c r="AF49" s="685"/>
      <c r="AG49" s="679"/>
      <c r="AH49" s="680"/>
      <c r="AI49" s="685"/>
      <c r="AJ49" s="679"/>
      <c r="AK49" s="680"/>
      <c r="AL49" s="679">
        <f t="shared" si="5"/>
        <v>0</v>
      </c>
      <c r="AM49" s="679">
        <f t="shared" si="5"/>
        <v>0</v>
      </c>
      <c r="AN49" s="680" t="str">
        <f t="shared" si="11"/>
        <v xml:space="preserve">    ---- </v>
      </c>
      <c r="AO49" s="637">
        <f t="shared" si="6"/>
        <v>0</v>
      </c>
      <c r="AP49" s="637">
        <f t="shared" si="6"/>
        <v>0</v>
      </c>
      <c r="AQ49" s="680" t="str">
        <f t="shared" si="12"/>
        <v xml:space="preserve">    ---- </v>
      </c>
      <c r="AR49" s="661"/>
      <c r="AS49" s="661"/>
      <c r="AT49" s="656"/>
      <c r="AU49" s="656"/>
    </row>
    <row r="50" spans="1:47" s="681" customFormat="1" ht="18.75" customHeight="1" x14ac:dyDescent="0.3">
      <c r="A50" s="629" t="s">
        <v>379</v>
      </c>
      <c r="B50" s="685">
        <v>9.1370000000000005</v>
      </c>
      <c r="C50" s="679">
        <v>6.3559999999999999</v>
      </c>
      <c r="D50" s="679">
        <f>IF(B50=0, "    ---- ", IF(ABS(ROUND(100/B50*C50-100,1))&lt;999,ROUND(100/B50*C50-100,1),IF(ROUND(100/B50*C50-100,1)&gt;999,999,-999)))</f>
        <v>-30.4</v>
      </c>
      <c r="E50" s="685">
        <v>198.64</v>
      </c>
      <c r="F50" s="679">
        <v>256</v>
      </c>
      <c r="G50" s="680">
        <f>IF(E50=0, "    ---- ", IF(ABS(ROUND(100/E50*F50-100,1))&lt;999,ROUND(100/E50*F50-100,1),IF(ROUND(100/E50*F50-100,1)&gt;999,999,-999)))</f>
        <v>28.9</v>
      </c>
      <c r="H50" s="685">
        <v>-11.042</v>
      </c>
      <c r="I50" s="679">
        <v>-12.51</v>
      </c>
      <c r="J50" s="680">
        <f>IF(H50=0, "    ---- ", IF(ABS(ROUND(100/H50*I50-100,1))&lt;999,ROUND(100/H50*I50-100,1),IF(ROUND(100/H50*I50-100,1)&gt;999,999,-999)))</f>
        <v>13.3</v>
      </c>
      <c r="K50" s="685">
        <v>-42.662999999999997</v>
      </c>
      <c r="L50" s="679">
        <v>83.7</v>
      </c>
      <c r="M50" s="679">
        <f>IF(K50=0, "    ---- ", IF(ABS(ROUND(100/K50*L50-100,1))&lt;999,ROUND(100/K50*L50-100,1),IF(ROUND(100/K50*L50-100,1)&gt;999,999,-999)))</f>
        <v>-296.2</v>
      </c>
      <c r="N50" s="685"/>
      <c r="O50" s="679"/>
      <c r="P50" s="680"/>
      <c r="Q50" s="685"/>
      <c r="R50" s="679"/>
      <c r="S50" s="680"/>
      <c r="T50" s="685">
        <v>-34</v>
      </c>
      <c r="U50" s="679">
        <v>-33</v>
      </c>
      <c r="V50" s="680">
        <f>IF(T50=0, "    ---- ", IF(ABS(ROUND(100/T50*U50-100,1))&lt;999,ROUND(100/T50*U50-100,1),IF(ROUND(100/T50*U50-100,1)&gt;999,999,-999)))</f>
        <v>-2.9</v>
      </c>
      <c r="W50" s="685">
        <v>156.00107554140104</v>
      </c>
      <c r="X50" s="679">
        <v>184.18767463801171</v>
      </c>
      <c r="Y50" s="680">
        <f>IF(W50=0, "    ---- ", IF(ABS(ROUND(100/W50*X50-100,1))&lt;999,ROUND(100/W50*X50-100,1),IF(ROUND(100/W50*X50-100,1)&gt;999,999,-999)))</f>
        <v>18.100000000000001</v>
      </c>
      <c r="Z50" s="685"/>
      <c r="AA50" s="679"/>
      <c r="AB50" s="680"/>
      <c r="AC50" s="685">
        <v>1.849</v>
      </c>
      <c r="AD50" s="679">
        <v>1.3992193794557</v>
      </c>
      <c r="AE50" s="680">
        <f>IF(AC50=0, "    ---- ", IF(ABS(ROUND(100/AC50*AD50-100,1))&lt;999,ROUND(100/AC50*AD50-100,1),IF(ROUND(100/AC50*AD50-100,1)&gt;999,999,-999)))</f>
        <v>-24.3</v>
      </c>
      <c r="AF50" s="685">
        <v>30.856000000000002</v>
      </c>
      <c r="AG50" s="679">
        <v>55.106999999999999</v>
      </c>
      <c r="AH50" s="680">
        <f>IF(AF50=0, "    ---- ", IF(ABS(ROUND(100/AF50*AG50-100,1))&lt;999,ROUND(100/AF50*AG50-100,1),IF(ROUND(100/AF50*AG50-100,1)&gt;999,999,-999)))</f>
        <v>78.599999999999994</v>
      </c>
      <c r="AI50" s="685">
        <v>244.29</v>
      </c>
      <c r="AJ50" s="679">
        <v>241.51999999999998</v>
      </c>
      <c r="AK50" s="680">
        <f>IF(AI50=0, "    ---- ", IF(ABS(ROUND(100/AI50*AJ50-100,1))&lt;999,ROUND(100/AI50*AJ50-100,1),IF(ROUND(100/AI50*AJ50-100,1)&gt;999,999,-999)))</f>
        <v>-1.1000000000000001</v>
      </c>
      <c r="AL50" s="679">
        <f t="shared" si="5"/>
        <v>551.21907554140103</v>
      </c>
      <c r="AM50" s="679">
        <f t="shared" si="5"/>
        <v>781.36067463801169</v>
      </c>
      <c r="AN50" s="680">
        <f t="shared" si="11"/>
        <v>41.8</v>
      </c>
      <c r="AO50" s="637">
        <f t="shared" si="6"/>
        <v>553.06807554140107</v>
      </c>
      <c r="AP50" s="637">
        <f t="shared" si="6"/>
        <v>782.75989401746745</v>
      </c>
      <c r="AQ50" s="680">
        <f t="shared" si="12"/>
        <v>41.5</v>
      </c>
      <c r="AR50" s="661"/>
      <c r="AS50" s="661"/>
      <c r="AT50" s="656"/>
      <c r="AU50" s="656"/>
    </row>
    <row r="51" spans="1:47" s="681" customFormat="1" ht="18.75" customHeight="1" x14ac:dyDescent="0.3">
      <c r="A51" s="629" t="s">
        <v>380</v>
      </c>
      <c r="B51" s="685"/>
      <c r="C51" s="679"/>
      <c r="D51" s="679"/>
      <c r="E51" s="685"/>
      <c r="F51" s="679"/>
      <c r="G51" s="680"/>
      <c r="H51" s="685"/>
      <c r="I51" s="679"/>
      <c r="J51" s="680"/>
      <c r="K51" s="685"/>
      <c r="L51" s="679">
        <v>0.8</v>
      </c>
      <c r="M51" s="679" t="str">
        <f>IF(K51=0, "    ---- ", IF(ABS(ROUND(100/K51*L51-100,1))&lt;999,ROUND(100/K51*L51-100,1),IF(ROUND(100/K51*L51-100,1)&gt;999,999,-999)))</f>
        <v xml:space="preserve">    ---- </v>
      </c>
      <c r="N51" s="685"/>
      <c r="O51" s="679"/>
      <c r="P51" s="680"/>
      <c r="Q51" s="685"/>
      <c r="R51" s="679"/>
      <c r="S51" s="680"/>
      <c r="T51" s="685"/>
      <c r="U51" s="679"/>
      <c r="V51" s="680"/>
      <c r="W51" s="685"/>
      <c r="X51" s="679"/>
      <c r="Y51" s="680"/>
      <c r="Z51" s="685"/>
      <c r="AA51" s="679"/>
      <c r="AB51" s="680"/>
      <c r="AC51" s="685"/>
      <c r="AD51" s="679"/>
      <c r="AE51" s="680"/>
      <c r="AF51" s="685"/>
      <c r="AG51" s="679"/>
      <c r="AH51" s="680"/>
      <c r="AI51" s="685"/>
      <c r="AJ51" s="679"/>
      <c r="AK51" s="680"/>
      <c r="AL51" s="679">
        <f t="shared" si="5"/>
        <v>0</v>
      </c>
      <c r="AM51" s="679">
        <f t="shared" si="5"/>
        <v>0.8</v>
      </c>
      <c r="AN51" s="680" t="str">
        <f t="shared" si="11"/>
        <v xml:space="preserve">    ---- </v>
      </c>
      <c r="AO51" s="637">
        <f t="shared" si="6"/>
        <v>0</v>
      </c>
      <c r="AP51" s="637">
        <f t="shared" si="6"/>
        <v>0.8</v>
      </c>
      <c r="AQ51" s="680" t="str">
        <f t="shared" si="12"/>
        <v xml:space="preserve">    ---- </v>
      </c>
      <c r="AR51" s="661"/>
      <c r="AS51" s="661"/>
      <c r="AT51" s="656"/>
      <c r="AU51" s="656"/>
    </row>
    <row r="52" spans="1:47" s="681" customFormat="1" ht="18.75" customHeight="1" x14ac:dyDescent="0.3">
      <c r="A52" s="629" t="s">
        <v>381</v>
      </c>
      <c r="B52" s="685"/>
      <c r="C52" s="679"/>
      <c r="D52" s="679"/>
      <c r="E52" s="685"/>
      <c r="F52" s="679"/>
      <c r="G52" s="680"/>
      <c r="H52" s="685"/>
      <c r="I52" s="679"/>
      <c r="J52" s="680"/>
      <c r="K52" s="685"/>
      <c r="L52" s="679">
        <v>2.1</v>
      </c>
      <c r="M52" s="679" t="str">
        <f>IF(K52=0, "    ---- ", IF(ABS(ROUND(100/K52*L52-100,1))&lt;999,ROUND(100/K52*L52-100,1),IF(ROUND(100/K52*L52-100,1)&gt;999,999,-999)))</f>
        <v xml:space="preserve">    ---- </v>
      </c>
      <c r="N52" s="685"/>
      <c r="O52" s="679"/>
      <c r="P52" s="680"/>
      <c r="Q52" s="685"/>
      <c r="R52" s="679"/>
      <c r="S52" s="680"/>
      <c r="T52" s="685"/>
      <c r="U52" s="679"/>
      <c r="V52" s="680"/>
      <c r="W52" s="685"/>
      <c r="X52" s="679"/>
      <c r="Y52" s="680"/>
      <c r="Z52" s="685"/>
      <c r="AA52" s="679"/>
      <c r="AB52" s="680"/>
      <c r="AC52" s="685"/>
      <c r="AD52" s="679"/>
      <c r="AE52" s="680"/>
      <c r="AF52" s="685"/>
      <c r="AG52" s="679"/>
      <c r="AH52" s="680"/>
      <c r="AI52" s="685"/>
      <c r="AJ52" s="679"/>
      <c r="AK52" s="680"/>
      <c r="AL52" s="679">
        <f t="shared" si="5"/>
        <v>0</v>
      </c>
      <c r="AM52" s="679">
        <f t="shared" si="5"/>
        <v>2.1</v>
      </c>
      <c r="AN52" s="680" t="str">
        <f t="shared" si="11"/>
        <v xml:space="preserve">    ---- </v>
      </c>
      <c r="AO52" s="637">
        <f t="shared" si="6"/>
        <v>0</v>
      </c>
      <c r="AP52" s="637">
        <f t="shared" si="6"/>
        <v>2.1</v>
      </c>
      <c r="AQ52" s="680" t="str">
        <f t="shared" si="12"/>
        <v xml:space="preserve">    ---- </v>
      </c>
      <c r="AR52" s="661"/>
      <c r="AS52" s="661"/>
      <c r="AT52" s="656"/>
      <c r="AU52" s="656"/>
    </row>
    <row r="53" spans="1:47" s="681" customFormat="1" ht="18.75" customHeight="1" x14ac:dyDescent="0.3">
      <c r="A53" s="629" t="s">
        <v>382</v>
      </c>
      <c r="B53" s="685"/>
      <c r="C53" s="679"/>
      <c r="D53" s="679"/>
      <c r="E53" s="685">
        <v>-0.79</v>
      </c>
      <c r="F53" s="679">
        <v>-1</v>
      </c>
      <c r="G53" s="680">
        <f>IF(E53=0, "    ---- ", IF(ABS(ROUND(100/E53*F53-100,1))&lt;999,ROUND(100/E53*F53-100,1),IF(ROUND(100/E53*F53-100,1)&gt;999,999,-999)))</f>
        <v>26.6</v>
      </c>
      <c r="H53" s="685">
        <v>1.73</v>
      </c>
      <c r="I53" s="679">
        <v>13.48</v>
      </c>
      <c r="J53" s="680">
        <f>IF(H53=0, "    ---- ", IF(ABS(ROUND(100/H53*I53-100,1))&lt;999,ROUND(100/H53*I53-100,1),IF(ROUND(100/H53*I53-100,1)&gt;999,999,-999)))</f>
        <v>679.2</v>
      </c>
      <c r="K53" s="685">
        <v>-10.459999999999999</v>
      </c>
      <c r="L53" s="679">
        <v>25.5</v>
      </c>
      <c r="M53" s="679">
        <f>IF(K53=0, "    ---- ", IF(ABS(ROUND(100/K53*L53-100,1))&lt;999,ROUND(100/K53*L53-100,1),IF(ROUND(100/K53*L53-100,1)&gt;999,999,-999)))</f>
        <v>-343.8</v>
      </c>
      <c r="N53" s="685"/>
      <c r="O53" s="679"/>
      <c r="P53" s="680"/>
      <c r="Q53" s="685"/>
      <c r="R53" s="679"/>
      <c r="S53" s="680"/>
      <c r="T53" s="685"/>
      <c r="U53" s="679"/>
      <c r="V53" s="680"/>
      <c r="W53" s="685">
        <v>-2.5804219999999995</v>
      </c>
      <c r="X53" s="679">
        <v>-2.1057380000000001</v>
      </c>
      <c r="Y53" s="680">
        <f>IF(W53=0, "    ---- ", IF(ABS(ROUND(100/W53*X53-100,1))&lt;999,ROUND(100/W53*X53-100,1),IF(ROUND(100/W53*X53-100,1)&gt;999,999,-999)))</f>
        <v>-18.399999999999999</v>
      </c>
      <c r="Z53" s="685"/>
      <c r="AA53" s="679"/>
      <c r="AB53" s="680"/>
      <c r="AC53" s="685"/>
      <c r="AD53" s="679"/>
      <c r="AE53" s="680"/>
      <c r="AF53" s="685">
        <v>-0.53300000000000003</v>
      </c>
      <c r="AG53" s="679">
        <v>-40.357999999999997</v>
      </c>
      <c r="AH53" s="680">
        <f>IF(AF53=0, "    ---- ", IF(ABS(ROUND(100/AF53*AG53-100,1))&lt;999,ROUND(100/AF53*AG53-100,1),IF(ROUND(100/AF53*AG53-100,1)&gt;999,999,-999)))</f>
        <v>999</v>
      </c>
      <c r="AI53" s="685">
        <v>-5.1100000000000003</v>
      </c>
      <c r="AJ53" s="679">
        <v>-24.86</v>
      </c>
      <c r="AK53" s="680">
        <f>IF(AI53=0, "    ---- ", IF(ABS(ROUND(100/AI53*AJ53-100,1))&lt;999,ROUND(100/AI53*AJ53-100,1),IF(ROUND(100/AI53*AJ53-100,1)&gt;999,999,-999)))</f>
        <v>386.5</v>
      </c>
      <c r="AL53" s="679">
        <f t="shared" si="5"/>
        <v>-17.743421999999999</v>
      </c>
      <c r="AM53" s="679">
        <f t="shared" si="5"/>
        <v>-29.343737999999995</v>
      </c>
      <c r="AN53" s="680">
        <f t="shared" si="11"/>
        <v>65.400000000000006</v>
      </c>
      <c r="AO53" s="637">
        <f t="shared" si="6"/>
        <v>-17.743421999999999</v>
      </c>
      <c r="AP53" s="637">
        <f t="shared" si="6"/>
        <v>-29.343737999999995</v>
      </c>
      <c r="AQ53" s="680">
        <f t="shared" si="12"/>
        <v>65.400000000000006</v>
      </c>
      <c r="AR53" s="661"/>
      <c r="AS53" s="661"/>
      <c r="AT53" s="656"/>
      <c r="AU53" s="656"/>
    </row>
    <row r="54" spans="1:47" s="681" customFormat="1" ht="18.75" customHeight="1" x14ac:dyDescent="0.3">
      <c r="A54" s="629" t="s">
        <v>383</v>
      </c>
      <c r="B54" s="685"/>
      <c r="C54" s="679"/>
      <c r="D54" s="679"/>
      <c r="E54" s="685"/>
      <c r="F54" s="679"/>
      <c r="G54" s="680"/>
      <c r="H54" s="685"/>
      <c r="I54" s="679"/>
      <c r="J54" s="680"/>
      <c r="K54" s="685"/>
      <c r="L54" s="679"/>
      <c r="M54" s="679"/>
      <c r="N54" s="685"/>
      <c r="O54" s="679"/>
      <c r="P54" s="680"/>
      <c r="Q54" s="685"/>
      <c r="R54" s="679"/>
      <c r="S54" s="680"/>
      <c r="T54" s="685"/>
      <c r="U54" s="679"/>
      <c r="V54" s="680"/>
      <c r="W54" s="685"/>
      <c r="X54" s="679"/>
      <c r="Y54" s="680"/>
      <c r="Z54" s="685"/>
      <c r="AA54" s="679"/>
      <c r="AB54" s="680"/>
      <c r="AC54" s="685"/>
      <c r="AD54" s="679"/>
      <c r="AE54" s="680"/>
      <c r="AF54" s="685"/>
      <c r="AG54" s="679"/>
      <c r="AH54" s="680"/>
      <c r="AI54" s="685"/>
      <c r="AJ54" s="679"/>
      <c r="AK54" s="680"/>
      <c r="AL54" s="679">
        <f t="shared" si="5"/>
        <v>0</v>
      </c>
      <c r="AM54" s="679">
        <f t="shared" si="5"/>
        <v>0</v>
      </c>
      <c r="AN54" s="680" t="str">
        <f t="shared" si="11"/>
        <v xml:space="preserve">    ---- </v>
      </c>
      <c r="AO54" s="637">
        <f t="shared" si="6"/>
        <v>0</v>
      </c>
      <c r="AP54" s="637">
        <f t="shared" si="6"/>
        <v>0</v>
      </c>
      <c r="AQ54" s="680" t="str">
        <f t="shared" si="12"/>
        <v xml:space="preserve">    ---- </v>
      </c>
      <c r="AR54" s="661"/>
      <c r="AS54" s="661"/>
      <c r="AT54" s="656"/>
      <c r="AU54" s="656"/>
    </row>
    <row r="55" spans="1:47" s="681" customFormat="1" ht="18.75" customHeight="1" x14ac:dyDescent="0.3">
      <c r="A55" s="629" t="s">
        <v>384</v>
      </c>
      <c r="B55" s="685"/>
      <c r="C55" s="679"/>
      <c r="D55" s="679"/>
      <c r="E55" s="685"/>
      <c r="F55" s="679"/>
      <c r="G55" s="680"/>
      <c r="H55" s="685"/>
      <c r="I55" s="679"/>
      <c r="J55" s="680"/>
      <c r="K55" s="685">
        <v>112.12100000000001</v>
      </c>
      <c r="L55" s="679"/>
      <c r="M55" s="679"/>
      <c r="N55" s="685"/>
      <c r="O55" s="679"/>
      <c r="P55" s="680"/>
      <c r="Q55" s="685"/>
      <c r="R55" s="679"/>
      <c r="S55" s="680"/>
      <c r="T55" s="685"/>
      <c r="U55" s="679"/>
      <c r="V55" s="680"/>
      <c r="W55" s="685">
        <v>0</v>
      </c>
      <c r="X55" s="679">
        <v>0</v>
      </c>
      <c r="Y55" s="680" t="str">
        <f>IF(W55=0, "    ---- ", IF(ABS(ROUND(100/W55*X55-100,1))&lt;999,ROUND(100/W55*X55-100,1),IF(ROUND(100/W55*X55-100,1)&gt;999,999,-999)))</f>
        <v xml:space="preserve">    ---- </v>
      </c>
      <c r="Z55" s="685"/>
      <c r="AA55" s="679"/>
      <c r="AB55" s="680"/>
      <c r="AC55" s="685"/>
      <c r="AD55" s="679"/>
      <c r="AE55" s="680"/>
      <c r="AF55" s="685"/>
      <c r="AG55" s="679"/>
      <c r="AH55" s="680"/>
      <c r="AI55" s="685"/>
      <c r="AJ55" s="679"/>
      <c r="AK55" s="680"/>
      <c r="AL55" s="679">
        <f t="shared" si="5"/>
        <v>112.12100000000001</v>
      </c>
      <c r="AM55" s="679">
        <f t="shared" si="5"/>
        <v>0</v>
      </c>
      <c r="AN55" s="680">
        <f t="shared" si="11"/>
        <v>-100</v>
      </c>
      <c r="AO55" s="637">
        <f t="shared" si="6"/>
        <v>112.12100000000001</v>
      </c>
      <c r="AP55" s="637">
        <f t="shared" si="6"/>
        <v>0</v>
      </c>
      <c r="AQ55" s="680">
        <f t="shared" si="12"/>
        <v>-100</v>
      </c>
      <c r="AR55" s="661"/>
      <c r="AS55" s="661"/>
      <c r="AT55" s="656"/>
      <c r="AU55" s="656"/>
    </row>
    <row r="56" spans="1:47" s="684" customFormat="1" ht="18.75" customHeight="1" x14ac:dyDescent="0.3">
      <c r="A56" s="623" t="s">
        <v>385</v>
      </c>
      <c r="B56" s="686">
        <v>9.1370000000000005</v>
      </c>
      <c r="C56" s="677">
        <v>6.3559999999999999</v>
      </c>
      <c r="D56" s="677">
        <f>IF(B56=0, "    ---- ", IF(ABS(ROUND(100/B56*C56-100,1))&lt;999,ROUND(100/B56*C56-100,1),IF(ROUND(100/B56*C56-100,1)&gt;999,999,-999)))</f>
        <v>-30.4</v>
      </c>
      <c r="E56" s="686">
        <v>5805.7000000000007</v>
      </c>
      <c r="F56" s="677">
        <v>-2915</v>
      </c>
      <c r="G56" s="678">
        <f>IF(E56=0, "    ---- ", IF(ABS(ROUND(100/E56*F56-100,1))&lt;999,ROUND(100/E56*F56-100,1),IF(ROUND(100/E56*F56-100,1)&gt;999,999,-999)))</f>
        <v>-150.19999999999999</v>
      </c>
      <c r="H56" s="686">
        <v>-1.4380000000000002</v>
      </c>
      <c r="I56" s="677">
        <v>1.9500000000000011</v>
      </c>
      <c r="J56" s="678">
        <f>IF(H56=0, "    ---- ", IF(ABS(ROUND(100/H56*I56-100,1))&lt;999,ROUND(100/H56*I56-100,1),IF(ROUND(100/H56*I56-100,1)&gt;999,999,-999)))</f>
        <v>-235.6</v>
      </c>
      <c r="K56" s="686">
        <v>70.441000000000003</v>
      </c>
      <c r="L56" s="677">
        <v>124.89999999999999</v>
      </c>
      <c r="M56" s="677">
        <f>IF(K56=0, "    ---- ", IF(ABS(ROUND(100/K56*L56-100,1))&lt;999,ROUND(100/K56*L56-100,1),IF(ROUND(100/K56*L56-100,1)&gt;999,999,-999)))</f>
        <v>77.3</v>
      </c>
      <c r="N56" s="686"/>
      <c r="O56" s="677"/>
      <c r="P56" s="680"/>
      <c r="Q56" s="686"/>
      <c r="R56" s="677"/>
      <c r="S56" s="678"/>
      <c r="T56" s="686">
        <v>-34</v>
      </c>
      <c r="U56" s="677">
        <v>-33</v>
      </c>
      <c r="V56" s="678">
        <f>IF(T56=0, "    ---- ", IF(ABS(ROUND(100/T56*U56-100,1))&lt;999,ROUND(100/T56*U56-100,1),IF(ROUND(100/T56*U56-100,1)&gt;999,999,-999)))</f>
        <v>-2.9</v>
      </c>
      <c r="W56" s="686">
        <v>153.42065354140104</v>
      </c>
      <c r="X56" s="677">
        <v>182.08193663801171</v>
      </c>
      <c r="Y56" s="678">
        <f>IF(W56=0, "    ---- ", IF(ABS(ROUND(100/W56*X56-100,1))&lt;999,ROUND(100/W56*X56-100,1),IF(ROUND(100/W56*X56-100,1)&gt;999,999,-999)))</f>
        <v>18.7</v>
      </c>
      <c r="Z56" s="686"/>
      <c r="AA56" s="677"/>
      <c r="AB56" s="678"/>
      <c r="AC56" s="686">
        <v>1.849</v>
      </c>
      <c r="AD56" s="677">
        <v>1.3992193794557</v>
      </c>
      <c r="AE56" s="678">
        <f>IF(AC56=0, "    ---- ", IF(ABS(ROUND(100/AC56*AD56-100,1))&lt;999,ROUND(100/AC56*AD56-100,1),IF(ROUND(100/AC56*AD56-100,1)&gt;999,999,-999)))</f>
        <v>-24.3</v>
      </c>
      <c r="AF56" s="686">
        <v>38.427</v>
      </c>
      <c r="AG56" s="677">
        <v>15.894000000000005</v>
      </c>
      <c r="AH56" s="678">
        <f>IF(AF56=0, "    ---- ", IF(ABS(ROUND(100/AF56*AG56-100,1))&lt;999,ROUND(100/AF56*AG56-100,1),IF(ROUND(100/AF56*AG56-100,1)&gt;999,999,-999)))</f>
        <v>-58.6</v>
      </c>
      <c r="AI56" s="686">
        <v>238.76</v>
      </c>
      <c r="AJ56" s="677">
        <v>215.52999999999997</v>
      </c>
      <c r="AK56" s="678">
        <f>IF(AI56=0, "    ---- ", IF(ABS(ROUND(100/AI56*AJ56-100,1))&lt;999,ROUND(100/AI56*AJ56-100,1),IF(ROUND(100/AI56*AJ56-100,1)&gt;999,999,-999)))</f>
        <v>-9.6999999999999993</v>
      </c>
      <c r="AL56" s="677">
        <f t="shared" si="5"/>
        <v>6280.4476535414015</v>
      </c>
      <c r="AM56" s="677">
        <f t="shared" si="5"/>
        <v>-2401.288063361988</v>
      </c>
      <c r="AN56" s="678">
        <f t="shared" si="11"/>
        <v>-138.19999999999999</v>
      </c>
      <c r="AO56" s="637">
        <f t="shared" si="6"/>
        <v>6282.2966535414016</v>
      </c>
      <c r="AP56" s="637">
        <f t="shared" si="6"/>
        <v>-2399.8888439825323</v>
      </c>
      <c r="AQ56" s="678">
        <f t="shared" si="12"/>
        <v>-138.19999999999999</v>
      </c>
      <c r="AR56" s="659"/>
      <c r="AS56" s="659"/>
      <c r="AT56" s="683"/>
      <c r="AU56" s="683"/>
    </row>
    <row r="57" spans="1:47" s="681" customFormat="1" ht="18.75" customHeight="1" x14ac:dyDescent="0.3">
      <c r="A57" s="629" t="s">
        <v>386</v>
      </c>
      <c r="B57" s="685"/>
      <c r="C57" s="679"/>
      <c r="D57" s="679"/>
      <c r="E57" s="685">
        <v>5607.85</v>
      </c>
      <c r="F57" s="679">
        <v>-3170</v>
      </c>
      <c r="G57" s="679">
        <f>IF(E57=0, "    ---- ", IF(ABS(ROUND(100/E57*F57-100,1))&lt;999,ROUND(100/E57*F57-100,1),IF(ROUND(100/E57*F57-100,1)&gt;999,999,-999)))</f>
        <v>-156.5</v>
      </c>
      <c r="H57" s="685"/>
      <c r="I57" s="679"/>
      <c r="J57" s="680"/>
      <c r="K57" s="685">
        <v>0.996</v>
      </c>
      <c r="L57" s="679">
        <v>2.4</v>
      </c>
      <c r="M57" s="679">
        <f>IF(K57=0, "    ---- ", IF(ABS(ROUND(100/K57*L57-100,1))&lt;999,ROUND(100/K57*L57-100,1),IF(ROUND(100/K57*L57-100,1)&gt;999,999,-999)))</f>
        <v>141</v>
      </c>
      <c r="N57" s="685"/>
      <c r="O57" s="679"/>
      <c r="P57" s="680"/>
      <c r="Q57" s="685"/>
      <c r="R57" s="679"/>
      <c r="S57" s="680"/>
      <c r="T57" s="685"/>
      <c r="U57" s="679"/>
      <c r="V57" s="680"/>
      <c r="W57" s="685">
        <v>0</v>
      </c>
      <c r="X57" s="679">
        <v>0</v>
      </c>
      <c r="Y57" s="680" t="str">
        <f>IF(W57=0, "    ---- ", IF(ABS(ROUND(100/W57*X57-100,1))&lt;999,ROUND(100/W57*X57-100,1),IF(ROUND(100/W57*X57-100,1)&gt;999,999,-999)))</f>
        <v xml:space="preserve">    ---- </v>
      </c>
      <c r="Z57" s="685"/>
      <c r="AA57" s="679"/>
      <c r="AB57" s="680"/>
      <c r="AC57" s="685"/>
      <c r="AD57" s="679"/>
      <c r="AE57" s="680"/>
      <c r="AF57" s="685">
        <v>8.1039999999999992</v>
      </c>
      <c r="AG57" s="679">
        <v>1.145</v>
      </c>
      <c r="AH57" s="680">
        <f>IF(AF57=0, "    ---- ", IF(ABS(ROUND(100/AF57*AG57-100,1))&lt;999,ROUND(100/AF57*AG57-100,1),IF(ROUND(100/AF57*AG57-100,1)&gt;999,999,-999)))</f>
        <v>-85.9</v>
      </c>
      <c r="AI57" s="685">
        <v>-5.16</v>
      </c>
      <c r="AJ57" s="679">
        <v>-24.9</v>
      </c>
      <c r="AK57" s="680">
        <f t="shared" ref="AK57" si="13">IF(AI57=0, "    ---- ", IF(ABS(ROUND(100/AI57*AJ57-100,1))&lt;999,ROUND(100/AI57*AJ57-100,1),IF(ROUND(100/AI57*AJ57-100,1)&gt;999,999,-999)))</f>
        <v>382.6</v>
      </c>
      <c r="AL57" s="679">
        <f t="shared" si="5"/>
        <v>5611.7900000000009</v>
      </c>
      <c r="AM57" s="679">
        <f t="shared" si="5"/>
        <v>-3191.355</v>
      </c>
      <c r="AN57" s="680">
        <f t="shared" si="11"/>
        <v>-156.9</v>
      </c>
      <c r="AO57" s="637">
        <f t="shared" si="6"/>
        <v>5611.7900000000009</v>
      </c>
      <c r="AP57" s="637">
        <f t="shared" si="6"/>
        <v>-3191.355</v>
      </c>
      <c r="AQ57" s="680">
        <f t="shared" si="12"/>
        <v>-156.9</v>
      </c>
      <c r="AR57" s="661"/>
      <c r="AS57" s="661"/>
      <c r="AT57" s="656"/>
      <c r="AU57" s="656"/>
    </row>
    <row r="58" spans="1:47" s="681" customFormat="1" ht="18.75" customHeight="1" x14ac:dyDescent="0.3">
      <c r="A58" s="629" t="s">
        <v>387</v>
      </c>
      <c r="B58" s="685">
        <v>9.1370000000000005</v>
      </c>
      <c r="C58" s="679">
        <v>6.3559999999999999</v>
      </c>
      <c r="D58" s="679">
        <f>IF(B58=0, "    ---- ", IF(ABS(ROUND(100/B58*C58-100,1))&lt;999,ROUND(100/B58*C58-100,1),IF(ROUND(100/B58*C58-100,1)&gt;999,999,-999)))</f>
        <v>-30.4</v>
      </c>
      <c r="E58" s="685">
        <v>197.85</v>
      </c>
      <c r="F58" s="679">
        <v>255</v>
      </c>
      <c r="G58" s="680">
        <f>IF(E58=0, "    ---- ", IF(ABS(ROUND(100/E58*F58-100,1))&lt;999,ROUND(100/E58*F58-100,1),IF(ROUND(100/E58*F58-100,1)&gt;999,999,-999)))</f>
        <v>28.9</v>
      </c>
      <c r="H58" s="685">
        <v>-1.4380000000000002</v>
      </c>
      <c r="I58" s="679">
        <v>1.95</v>
      </c>
      <c r="J58" s="680">
        <f>IF(H58=0, "    ---- ", IF(ABS(ROUND(100/H58*I58-100,1))&lt;999,ROUND(100/H58*I58-100,1),IF(ROUND(100/H58*I58-100,1)&gt;999,999,-999)))</f>
        <v>-235.6</v>
      </c>
      <c r="K58" s="685">
        <v>69.445000000000007</v>
      </c>
      <c r="L58" s="679">
        <v>122.6</v>
      </c>
      <c r="M58" s="679">
        <f>IF(K58=0, "    ---- ", IF(ABS(ROUND(100/K58*L58-100,1))&lt;999,ROUND(100/K58*L58-100,1),IF(ROUND(100/K58*L58-100,1)&gt;999,999,-999)))</f>
        <v>76.5</v>
      </c>
      <c r="N58" s="685"/>
      <c r="O58" s="679"/>
      <c r="P58" s="680"/>
      <c r="Q58" s="685"/>
      <c r="R58" s="679"/>
      <c r="S58" s="680"/>
      <c r="T58" s="685">
        <v>-34</v>
      </c>
      <c r="U58" s="679">
        <v>-33</v>
      </c>
      <c r="V58" s="680">
        <f>IF(T58=0, "    ---- ", IF(ABS(ROUND(100/T58*U58-100,1))&lt;999,ROUND(100/T58*U58-100,1),IF(ROUND(100/T58*U58-100,1)&gt;999,999,-999)))</f>
        <v>-2.9</v>
      </c>
      <c r="W58" s="685">
        <v>153.42065354140104</v>
      </c>
      <c r="X58" s="679">
        <v>182.08193663801171</v>
      </c>
      <c r="Y58" s="680">
        <f>IF(W58=0, "    ---- ", IF(ABS(ROUND(100/W58*X58-100,1))&lt;999,ROUND(100/W58*X58-100,1),IF(ROUND(100/W58*X58-100,1)&gt;999,999,-999)))</f>
        <v>18.7</v>
      </c>
      <c r="Z58" s="685"/>
      <c r="AA58" s="679"/>
      <c r="AB58" s="680"/>
      <c r="AC58" s="685">
        <v>1.849</v>
      </c>
      <c r="AD58" s="679">
        <v>1.3992193794557</v>
      </c>
      <c r="AE58" s="680">
        <f>IF(AC58=0, "    ---- ", IF(ABS(ROUND(100/AC58*AD58-100,1))&lt;999,ROUND(100/AC58*AD58-100,1),IF(ROUND(100/AC58*AD58-100,1)&gt;999,999,-999)))</f>
        <v>-24.3</v>
      </c>
      <c r="AF58" s="685">
        <v>30.323</v>
      </c>
      <c r="AG58" s="679">
        <v>14.749000000000002</v>
      </c>
      <c r="AH58" s="680">
        <f>IF(AF58=0, "    ---- ", IF(ABS(ROUND(100/AF58*AG58-100,1))&lt;999,ROUND(100/AF58*AG58-100,1),IF(ROUND(100/AF58*AG58-100,1)&gt;999,999,-999)))</f>
        <v>-51.4</v>
      </c>
      <c r="AI58" s="685">
        <v>243.91</v>
      </c>
      <c r="AJ58" s="679">
        <v>240.39999999999998</v>
      </c>
      <c r="AK58" s="680">
        <f>IF(AI58=0, "    ---- ", IF(ABS(ROUND(100/AI58*AJ58-100,1))&lt;999,ROUND(100/AI58*AJ58-100,1),IF(ROUND(100/AI58*AJ58-100,1)&gt;999,999,-999)))</f>
        <v>-1.4</v>
      </c>
      <c r="AL58" s="679">
        <f t="shared" si="5"/>
        <v>668.64765354140104</v>
      </c>
      <c r="AM58" s="679">
        <f t="shared" si="5"/>
        <v>790.13693663801166</v>
      </c>
      <c r="AN58" s="680">
        <f t="shared" si="11"/>
        <v>18.2</v>
      </c>
      <c r="AO58" s="637">
        <f t="shared" si="6"/>
        <v>670.49665354140109</v>
      </c>
      <c r="AP58" s="637">
        <f t="shared" si="6"/>
        <v>791.53615601746731</v>
      </c>
      <c r="AQ58" s="680">
        <f t="shared" si="12"/>
        <v>18.100000000000001</v>
      </c>
      <c r="AR58" s="661"/>
      <c r="AS58" s="661"/>
      <c r="AT58" s="656"/>
      <c r="AU58" s="656"/>
    </row>
    <row r="59" spans="1:47" s="681" customFormat="1" ht="18.75" customHeight="1" x14ac:dyDescent="0.3">
      <c r="A59" s="687" t="s">
        <v>401</v>
      </c>
      <c r="B59" s="685"/>
      <c r="C59" s="679"/>
      <c r="D59" s="679"/>
      <c r="E59" s="685"/>
      <c r="F59" s="679"/>
      <c r="G59" s="680"/>
      <c r="H59" s="685"/>
      <c r="I59" s="679"/>
      <c r="J59" s="680"/>
      <c r="K59" s="685"/>
      <c r="L59" s="679"/>
      <c r="M59" s="679"/>
      <c r="N59" s="685"/>
      <c r="O59" s="679"/>
      <c r="P59" s="680"/>
      <c r="Q59" s="685"/>
      <c r="R59" s="679"/>
      <c r="S59" s="680"/>
      <c r="T59" s="685"/>
      <c r="U59" s="679"/>
      <c r="V59" s="680"/>
      <c r="W59" s="685"/>
      <c r="X59" s="679"/>
      <c r="Y59" s="680"/>
      <c r="Z59" s="685"/>
      <c r="AA59" s="679"/>
      <c r="AB59" s="680"/>
      <c r="AC59" s="685"/>
      <c r="AD59" s="679"/>
      <c r="AE59" s="680"/>
      <c r="AF59" s="685"/>
      <c r="AG59" s="679"/>
      <c r="AH59" s="680"/>
      <c r="AI59" s="685"/>
      <c r="AJ59" s="679"/>
      <c r="AK59" s="680"/>
      <c r="AL59" s="679">
        <f t="shared" si="5"/>
        <v>0</v>
      </c>
      <c r="AM59" s="679">
        <f t="shared" si="5"/>
        <v>0</v>
      </c>
      <c r="AN59" s="680" t="str">
        <f t="shared" si="11"/>
        <v xml:space="preserve">    ---- </v>
      </c>
      <c r="AO59" s="637">
        <f t="shared" si="6"/>
        <v>0</v>
      </c>
      <c r="AP59" s="637">
        <f t="shared" si="6"/>
        <v>0</v>
      </c>
      <c r="AQ59" s="680" t="str">
        <f t="shared" si="12"/>
        <v xml:space="preserve">    ---- </v>
      </c>
      <c r="AR59" s="661"/>
      <c r="AS59" s="661"/>
      <c r="AT59" s="656"/>
      <c r="AU59" s="656"/>
    </row>
    <row r="60" spans="1:47" s="681" customFormat="1" ht="18.75" customHeight="1" x14ac:dyDescent="0.3">
      <c r="A60" s="688" t="s">
        <v>377</v>
      </c>
      <c r="B60" s="685"/>
      <c r="C60" s="679"/>
      <c r="D60" s="679"/>
      <c r="E60" s="685"/>
      <c r="F60" s="679"/>
      <c r="G60" s="680"/>
      <c r="H60" s="685"/>
      <c r="I60" s="679"/>
      <c r="J60" s="680"/>
      <c r="K60" s="685"/>
      <c r="L60" s="679"/>
      <c r="M60" s="679"/>
      <c r="N60" s="685"/>
      <c r="O60" s="679"/>
      <c r="P60" s="680"/>
      <c r="Q60" s="685"/>
      <c r="R60" s="679"/>
      <c r="S60" s="680"/>
      <c r="T60" s="685"/>
      <c r="U60" s="679"/>
      <c r="V60" s="680"/>
      <c r="W60" s="685"/>
      <c r="X60" s="679"/>
      <c r="Y60" s="680"/>
      <c r="Z60" s="685"/>
      <c r="AA60" s="679"/>
      <c r="AB60" s="680"/>
      <c r="AC60" s="685"/>
      <c r="AD60" s="679"/>
      <c r="AE60" s="680"/>
      <c r="AF60" s="685">
        <v>12.115</v>
      </c>
      <c r="AG60" s="679">
        <v>12.671999999999999</v>
      </c>
      <c r="AH60" s="680">
        <f t="shared" ref="AH60:AH70" si="14">IF(AF60=0, "    ---- ", IF(ABS(ROUND(100/AF60*AG60-100,1))&lt;999,ROUND(100/AF60*AG60-100,1),IF(ROUND(100/AF60*AG60-100,1)&gt;999,999,-999)))</f>
        <v>4.5999999999999996</v>
      </c>
      <c r="AI60" s="685">
        <v>31.47</v>
      </c>
      <c r="AJ60" s="679">
        <v>22.2</v>
      </c>
      <c r="AK60" s="680">
        <f t="shared" ref="AK60:AK66" si="15">IF(AI60=0, "    ---- ", IF(ABS(ROUND(100/AI60*AJ60-100,1))&lt;999,ROUND(100/AI60*AJ60-100,1),IF(ROUND(100/AI60*AJ60-100,1)&gt;999,999,-999)))</f>
        <v>-29.5</v>
      </c>
      <c r="AL60" s="679">
        <f t="shared" si="5"/>
        <v>43.585000000000001</v>
      </c>
      <c r="AM60" s="679">
        <f t="shared" si="5"/>
        <v>34.872</v>
      </c>
      <c r="AN60" s="680">
        <f t="shared" si="11"/>
        <v>-20</v>
      </c>
      <c r="AO60" s="637">
        <f t="shared" si="6"/>
        <v>43.585000000000001</v>
      </c>
      <c r="AP60" s="637">
        <f t="shared" si="6"/>
        <v>34.872</v>
      </c>
      <c r="AQ60" s="680">
        <f t="shared" si="12"/>
        <v>-20</v>
      </c>
      <c r="AR60" s="661"/>
      <c r="AS60" s="661"/>
      <c r="AT60" s="656"/>
      <c r="AU60" s="656"/>
    </row>
    <row r="61" spans="1:47" s="681" customFormat="1" ht="18.75" customHeight="1" x14ac:dyDescent="0.3">
      <c r="A61" s="688" t="s">
        <v>378</v>
      </c>
      <c r="B61" s="685"/>
      <c r="C61" s="679"/>
      <c r="D61" s="679"/>
      <c r="E61" s="685"/>
      <c r="F61" s="679"/>
      <c r="G61" s="680"/>
      <c r="H61" s="685"/>
      <c r="I61" s="679"/>
      <c r="J61" s="680"/>
      <c r="K61" s="685"/>
      <c r="L61" s="679"/>
      <c r="M61" s="679"/>
      <c r="N61" s="685"/>
      <c r="O61" s="679"/>
      <c r="P61" s="680"/>
      <c r="Q61" s="685"/>
      <c r="R61" s="679"/>
      <c r="S61" s="680"/>
      <c r="T61" s="685"/>
      <c r="U61" s="679"/>
      <c r="V61" s="680"/>
      <c r="W61" s="685"/>
      <c r="X61" s="679"/>
      <c r="Y61" s="680"/>
      <c r="Z61" s="685"/>
      <c r="AA61" s="679"/>
      <c r="AB61" s="680"/>
      <c r="AC61" s="685"/>
      <c r="AD61" s="679"/>
      <c r="AE61" s="680"/>
      <c r="AF61" s="685"/>
      <c r="AG61" s="679"/>
      <c r="AH61" s="680"/>
      <c r="AI61" s="685"/>
      <c r="AJ61" s="679">
        <v>-2.2999999999999998</v>
      </c>
      <c r="AK61" s="680" t="str">
        <f t="shared" si="15"/>
        <v xml:space="preserve">    ---- </v>
      </c>
      <c r="AL61" s="679">
        <f t="shared" si="5"/>
        <v>0</v>
      </c>
      <c r="AM61" s="679">
        <f t="shared" si="5"/>
        <v>-2.2999999999999998</v>
      </c>
      <c r="AN61" s="680" t="str">
        <f t="shared" si="11"/>
        <v xml:space="preserve">    ---- </v>
      </c>
      <c r="AO61" s="637">
        <f t="shared" si="6"/>
        <v>0</v>
      </c>
      <c r="AP61" s="637">
        <f t="shared" si="6"/>
        <v>-2.2999999999999998</v>
      </c>
      <c r="AQ61" s="680" t="str">
        <f t="shared" si="12"/>
        <v xml:space="preserve">    ---- </v>
      </c>
      <c r="AR61" s="661"/>
      <c r="AS61" s="661"/>
      <c r="AT61" s="656"/>
      <c r="AU61" s="656"/>
    </row>
    <row r="62" spans="1:47" s="681" customFormat="1" ht="18.75" customHeight="1" x14ac:dyDescent="0.3">
      <c r="A62" s="688" t="s">
        <v>379</v>
      </c>
      <c r="B62" s="685"/>
      <c r="C62" s="679"/>
      <c r="D62" s="679"/>
      <c r="E62" s="685"/>
      <c r="F62" s="679"/>
      <c r="G62" s="680"/>
      <c r="H62" s="685"/>
      <c r="I62" s="679"/>
      <c r="J62" s="680"/>
      <c r="K62" s="685"/>
      <c r="L62" s="679"/>
      <c r="M62" s="679"/>
      <c r="N62" s="685"/>
      <c r="O62" s="679"/>
      <c r="P62" s="680"/>
      <c r="Q62" s="685"/>
      <c r="R62" s="679"/>
      <c r="S62" s="680"/>
      <c r="T62" s="685"/>
      <c r="U62" s="679"/>
      <c r="V62" s="680"/>
      <c r="W62" s="685"/>
      <c r="X62" s="679"/>
      <c r="Y62" s="680"/>
      <c r="Z62" s="685"/>
      <c r="AA62" s="679"/>
      <c r="AB62" s="680"/>
      <c r="AC62" s="685"/>
      <c r="AD62" s="679"/>
      <c r="AE62" s="680"/>
      <c r="AF62" s="685">
        <v>-22.454000000000001</v>
      </c>
      <c r="AG62" s="679">
        <v>-46.497999999999998</v>
      </c>
      <c r="AH62" s="680">
        <f t="shared" si="14"/>
        <v>107.1</v>
      </c>
      <c r="AI62" s="685">
        <v>-8.5299999999999994</v>
      </c>
      <c r="AJ62" s="679">
        <v>-0.9</v>
      </c>
      <c r="AK62" s="680">
        <f t="shared" si="15"/>
        <v>-89.4</v>
      </c>
      <c r="AL62" s="679">
        <f t="shared" si="5"/>
        <v>-30.984000000000002</v>
      </c>
      <c r="AM62" s="679">
        <f t="shared" si="5"/>
        <v>-47.397999999999996</v>
      </c>
      <c r="AN62" s="680">
        <f t="shared" si="11"/>
        <v>53</v>
      </c>
      <c r="AO62" s="637">
        <f t="shared" si="6"/>
        <v>-30.984000000000002</v>
      </c>
      <c r="AP62" s="637">
        <f t="shared" si="6"/>
        <v>-47.397999999999996</v>
      </c>
      <c r="AQ62" s="680">
        <f t="shared" si="12"/>
        <v>53</v>
      </c>
      <c r="AR62" s="661"/>
      <c r="AS62" s="661"/>
      <c r="AT62" s="656"/>
      <c r="AU62" s="656"/>
    </row>
    <row r="63" spans="1:47" s="681" customFormat="1" ht="18.75" customHeight="1" x14ac:dyDescent="0.3">
      <c r="A63" s="688" t="s">
        <v>380</v>
      </c>
      <c r="B63" s="685"/>
      <c r="C63" s="679"/>
      <c r="D63" s="679"/>
      <c r="E63" s="685"/>
      <c r="F63" s="679"/>
      <c r="G63" s="680"/>
      <c r="H63" s="685"/>
      <c r="I63" s="679"/>
      <c r="J63" s="680"/>
      <c r="K63" s="685"/>
      <c r="L63" s="679"/>
      <c r="M63" s="679"/>
      <c r="N63" s="685"/>
      <c r="O63" s="679"/>
      <c r="P63" s="680"/>
      <c r="Q63" s="685"/>
      <c r="R63" s="679"/>
      <c r="S63" s="680"/>
      <c r="T63" s="685"/>
      <c r="U63" s="679"/>
      <c r="V63" s="680"/>
      <c r="W63" s="685"/>
      <c r="X63" s="679"/>
      <c r="Y63" s="680"/>
      <c r="Z63" s="685"/>
      <c r="AA63" s="679"/>
      <c r="AB63" s="680"/>
      <c r="AC63" s="685"/>
      <c r="AD63" s="679"/>
      <c r="AE63" s="680"/>
      <c r="AF63" s="685"/>
      <c r="AG63" s="679"/>
      <c r="AH63" s="680"/>
      <c r="AI63" s="685">
        <v>8.19</v>
      </c>
      <c r="AJ63" s="679">
        <v>0</v>
      </c>
      <c r="AK63" s="680">
        <f t="shared" si="15"/>
        <v>-100</v>
      </c>
      <c r="AL63" s="679">
        <f t="shared" si="5"/>
        <v>8.19</v>
      </c>
      <c r="AM63" s="679">
        <f t="shared" si="5"/>
        <v>0</v>
      </c>
      <c r="AN63" s="680">
        <f t="shared" si="11"/>
        <v>-100</v>
      </c>
      <c r="AO63" s="637">
        <f t="shared" si="6"/>
        <v>8.19</v>
      </c>
      <c r="AP63" s="637">
        <f t="shared" si="6"/>
        <v>0</v>
      </c>
      <c r="AQ63" s="680">
        <f t="shared" si="12"/>
        <v>-100</v>
      </c>
      <c r="AR63" s="661"/>
      <c r="AS63" s="661"/>
      <c r="AT63" s="656"/>
      <c r="AU63" s="656"/>
    </row>
    <row r="64" spans="1:47" s="681" customFormat="1" ht="18.75" customHeight="1" x14ac:dyDescent="0.3">
      <c r="A64" s="688" t="s">
        <v>381</v>
      </c>
      <c r="B64" s="685"/>
      <c r="C64" s="679"/>
      <c r="D64" s="679"/>
      <c r="E64" s="685"/>
      <c r="F64" s="679"/>
      <c r="G64" s="680"/>
      <c r="H64" s="685"/>
      <c r="I64" s="679"/>
      <c r="J64" s="680"/>
      <c r="K64" s="685"/>
      <c r="L64" s="679"/>
      <c r="M64" s="679"/>
      <c r="N64" s="685"/>
      <c r="O64" s="679"/>
      <c r="P64" s="680"/>
      <c r="Q64" s="685"/>
      <c r="R64" s="679"/>
      <c r="S64" s="680"/>
      <c r="T64" s="685"/>
      <c r="U64" s="679"/>
      <c r="V64" s="680"/>
      <c r="W64" s="685"/>
      <c r="X64" s="679"/>
      <c r="Y64" s="680"/>
      <c r="Z64" s="685"/>
      <c r="AA64" s="679"/>
      <c r="AB64" s="680"/>
      <c r="AC64" s="685"/>
      <c r="AD64" s="679"/>
      <c r="AE64" s="680"/>
      <c r="AF64" s="685">
        <v>0.44</v>
      </c>
      <c r="AG64" s="679">
        <v>1.393</v>
      </c>
      <c r="AH64" s="680">
        <f t="shared" si="14"/>
        <v>216.6</v>
      </c>
      <c r="AI64" s="685"/>
      <c r="AJ64" s="679">
        <v>9.4</v>
      </c>
      <c r="AK64" s="680" t="str">
        <f t="shared" si="15"/>
        <v xml:space="preserve">    ---- </v>
      </c>
      <c r="AL64" s="679">
        <f t="shared" si="5"/>
        <v>0.44</v>
      </c>
      <c r="AM64" s="679">
        <f t="shared" si="5"/>
        <v>10.793000000000001</v>
      </c>
      <c r="AN64" s="680">
        <f t="shared" si="11"/>
        <v>999</v>
      </c>
      <c r="AO64" s="637">
        <f t="shared" si="6"/>
        <v>0.44</v>
      </c>
      <c r="AP64" s="637">
        <f t="shared" si="6"/>
        <v>10.793000000000001</v>
      </c>
      <c r="AQ64" s="680">
        <f t="shared" si="12"/>
        <v>999</v>
      </c>
      <c r="AR64" s="661"/>
      <c r="AS64" s="661"/>
      <c r="AT64" s="656"/>
      <c r="AU64" s="656"/>
    </row>
    <row r="65" spans="1:47" s="681" customFormat="1" ht="18.75" customHeight="1" x14ac:dyDescent="0.3">
      <c r="A65" s="688" t="s">
        <v>382</v>
      </c>
      <c r="B65" s="685"/>
      <c r="C65" s="679"/>
      <c r="D65" s="679"/>
      <c r="E65" s="685"/>
      <c r="F65" s="679"/>
      <c r="G65" s="680"/>
      <c r="H65" s="685"/>
      <c r="I65" s="679"/>
      <c r="J65" s="680"/>
      <c r="K65" s="685"/>
      <c r="L65" s="679"/>
      <c r="M65" s="679"/>
      <c r="N65" s="685"/>
      <c r="O65" s="679"/>
      <c r="P65" s="680"/>
      <c r="Q65" s="685"/>
      <c r="R65" s="679"/>
      <c r="S65" s="680"/>
      <c r="T65" s="685"/>
      <c r="U65" s="679"/>
      <c r="V65" s="680"/>
      <c r="W65" s="685"/>
      <c r="X65" s="679"/>
      <c r="Y65" s="680"/>
      <c r="Z65" s="685"/>
      <c r="AA65" s="679"/>
      <c r="AB65" s="680"/>
      <c r="AC65" s="685"/>
      <c r="AD65" s="679"/>
      <c r="AE65" s="680"/>
      <c r="AF65" s="685">
        <v>-5.3490000000000002</v>
      </c>
      <c r="AG65" s="679">
        <v>-2.7679999999999998</v>
      </c>
      <c r="AH65" s="680">
        <f t="shared" si="14"/>
        <v>-48.3</v>
      </c>
      <c r="AI65" s="685">
        <v>0.22999999999999998</v>
      </c>
      <c r="AJ65" s="679">
        <v>24.3</v>
      </c>
      <c r="AK65" s="680">
        <f t="shared" si="15"/>
        <v>999</v>
      </c>
      <c r="AL65" s="679">
        <f t="shared" si="5"/>
        <v>-5.1189999999999998</v>
      </c>
      <c r="AM65" s="679">
        <f t="shared" si="5"/>
        <v>21.532</v>
      </c>
      <c r="AN65" s="680">
        <f t="shared" si="11"/>
        <v>-520.6</v>
      </c>
      <c r="AO65" s="637">
        <f t="shared" si="6"/>
        <v>-5.1189999999999998</v>
      </c>
      <c r="AP65" s="637">
        <f t="shared" si="6"/>
        <v>21.532</v>
      </c>
      <c r="AQ65" s="680">
        <f t="shared" si="12"/>
        <v>-520.6</v>
      </c>
      <c r="AR65" s="661"/>
      <c r="AS65" s="661"/>
      <c r="AT65" s="656"/>
      <c r="AU65" s="656"/>
    </row>
    <row r="66" spans="1:47" s="681" customFormat="1" ht="18.75" customHeight="1" x14ac:dyDescent="0.3">
      <c r="A66" s="688" t="s">
        <v>383</v>
      </c>
      <c r="B66" s="685"/>
      <c r="C66" s="679"/>
      <c r="D66" s="679"/>
      <c r="E66" s="685"/>
      <c r="F66" s="679"/>
      <c r="G66" s="680"/>
      <c r="H66" s="685"/>
      <c r="I66" s="679"/>
      <c r="J66" s="680"/>
      <c r="K66" s="685"/>
      <c r="L66" s="679"/>
      <c r="M66" s="679"/>
      <c r="N66" s="685"/>
      <c r="O66" s="679"/>
      <c r="P66" s="680"/>
      <c r="Q66" s="685"/>
      <c r="R66" s="679"/>
      <c r="S66" s="680"/>
      <c r="T66" s="685"/>
      <c r="U66" s="679"/>
      <c r="V66" s="680"/>
      <c r="W66" s="685"/>
      <c r="X66" s="679"/>
      <c r="Y66" s="680"/>
      <c r="Z66" s="685"/>
      <c r="AA66" s="679"/>
      <c r="AB66" s="680"/>
      <c r="AC66" s="685"/>
      <c r="AD66" s="679"/>
      <c r="AE66" s="680"/>
      <c r="AF66" s="685"/>
      <c r="AG66" s="679"/>
      <c r="AH66" s="680"/>
      <c r="AI66" s="685"/>
      <c r="AJ66" s="679">
        <v>0.4</v>
      </c>
      <c r="AK66" s="680" t="str">
        <f t="shared" si="15"/>
        <v xml:space="preserve">    ---- </v>
      </c>
      <c r="AL66" s="679">
        <f t="shared" si="5"/>
        <v>0</v>
      </c>
      <c r="AM66" s="679">
        <f t="shared" si="5"/>
        <v>0.4</v>
      </c>
      <c r="AN66" s="680" t="str">
        <f t="shared" si="11"/>
        <v xml:space="preserve">    ---- </v>
      </c>
      <c r="AO66" s="637">
        <f t="shared" si="6"/>
        <v>0</v>
      </c>
      <c r="AP66" s="637">
        <f t="shared" si="6"/>
        <v>0.4</v>
      </c>
      <c r="AQ66" s="680" t="str">
        <f t="shared" si="12"/>
        <v xml:space="preserve">    ---- </v>
      </c>
      <c r="AR66" s="661"/>
      <c r="AS66" s="661"/>
      <c r="AT66" s="656"/>
      <c r="AU66" s="656"/>
    </row>
    <row r="67" spans="1:47" s="681" customFormat="1" ht="18.75" customHeight="1" x14ac:dyDescent="0.3">
      <c r="A67" s="688" t="s">
        <v>384</v>
      </c>
      <c r="B67" s="685"/>
      <c r="C67" s="679"/>
      <c r="D67" s="679"/>
      <c r="E67" s="685"/>
      <c r="F67" s="679"/>
      <c r="G67" s="680"/>
      <c r="H67" s="685"/>
      <c r="I67" s="679"/>
      <c r="J67" s="680"/>
      <c r="K67" s="685"/>
      <c r="L67" s="679"/>
      <c r="M67" s="679"/>
      <c r="N67" s="685"/>
      <c r="O67" s="679"/>
      <c r="P67" s="680"/>
      <c r="Q67" s="685"/>
      <c r="R67" s="679"/>
      <c r="S67" s="680"/>
      <c r="T67" s="685"/>
      <c r="U67" s="679"/>
      <c r="V67" s="680"/>
      <c r="W67" s="685"/>
      <c r="X67" s="679"/>
      <c r="Y67" s="680"/>
      <c r="Z67" s="685"/>
      <c r="AA67" s="679"/>
      <c r="AB67" s="680"/>
      <c r="AC67" s="685"/>
      <c r="AD67" s="679"/>
      <c r="AE67" s="680"/>
      <c r="AF67" s="685"/>
      <c r="AG67" s="679"/>
      <c r="AH67" s="680"/>
      <c r="AI67" s="685"/>
      <c r="AJ67" s="679"/>
      <c r="AK67" s="680"/>
      <c r="AL67" s="679">
        <f t="shared" si="5"/>
        <v>0</v>
      </c>
      <c r="AM67" s="679">
        <f t="shared" si="5"/>
        <v>0</v>
      </c>
      <c r="AN67" s="680" t="str">
        <f t="shared" si="11"/>
        <v xml:space="preserve">    ---- </v>
      </c>
      <c r="AO67" s="637">
        <f t="shared" si="6"/>
        <v>0</v>
      </c>
      <c r="AP67" s="637">
        <f t="shared" si="6"/>
        <v>0</v>
      </c>
      <c r="AQ67" s="680" t="str">
        <f t="shared" si="12"/>
        <v xml:space="preserve">    ---- </v>
      </c>
      <c r="AR67" s="661"/>
      <c r="AS67" s="661"/>
      <c r="AT67" s="656"/>
      <c r="AU67" s="656"/>
    </row>
    <row r="68" spans="1:47" s="684" customFormat="1" ht="18.75" customHeight="1" x14ac:dyDescent="0.3">
      <c r="A68" s="687" t="s">
        <v>385</v>
      </c>
      <c r="B68" s="686"/>
      <c r="C68" s="677"/>
      <c r="D68" s="677"/>
      <c r="E68" s="686"/>
      <c r="F68" s="677"/>
      <c r="G68" s="678"/>
      <c r="H68" s="686"/>
      <c r="I68" s="677"/>
      <c r="J68" s="678"/>
      <c r="K68" s="686"/>
      <c r="L68" s="677"/>
      <c r="M68" s="677"/>
      <c r="N68" s="686"/>
      <c r="O68" s="677"/>
      <c r="P68" s="678"/>
      <c r="Q68" s="686"/>
      <c r="R68" s="677"/>
      <c r="S68" s="678"/>
      <c r="T68" s="686"/>
      <c r="U68" s="677"/>
      <c r="V68" s="678"/>
      <c r="W68" s="686"/>
      <c r="X68" s="677"/>
      <c r="Y68" s="678"/>
      <c r="Z68" s="686"/>
      <c r="AA68" s="677"/>
      <c r="AB68" s="678"/>
      <c r="AC68" s="686"/>
      <c r="AD68" s="677"/>
      <c r="AE68" s="678"/>
      <c r="AF68" s="686">
        <v>-15.248000000000001</v>
      </c>
      <c r="AG68" s="677">
        <v>-35.201000000000001</v>
      </c>
      <c r="AH68" s="678">
        <f t="shared" si="14"/>
        <v>130.9</v>
      </c>
      <c r="AI68" s="686">
        <v>31.359999999999996</v>
      </c>
      <c r="AJ68" s="677">
        <v>52.7</v>
      </c>
      <c r="AK68" s="680">
        <f t="shared" ref="AK68:AK70" si="16">IF(AI68=0, "    ---- ", IF(ABS(ROUND(100/AI68*AJ68-100,1))&lt;999,ROUND(100/AI68*AJ68-100,1),IF(ROUND(100/AI68*AJ68-100,1)&gt;999,999,-999)))</f>
        <v>68</v>
      </c>
      <c r="AL68" s="677">
        <f t="shared" si="5"/>
        <v>16.111999999999995</v>
      </c>
      <c r="AM68" s="677">
        <f t="shared" si="5"/>
        <v>17.499000000000002</v>
      </c>
      <c r="AN68" s="678">
        <f>IF(AL68=0, "    ---- ", IF(ABS(ROUND(100/AL68*AM68-100,1))&lt;999,ROUND(100/AL68*AM68-100,1),IF(ROUND(100/AL68*AM68-100,1)&gt;999,999,-999)))</f>
        <v>8.6</v>
      </c>
      <c r="AO68" s="637">
        <f t="shared" si="6"/>
        <v>16.111999999999995</v>
      </c>
      <c r="AP68" s="637">
        <f t="shared" si="6"/>
        <v>17.499000000000002</v>
      </c>
      <c r="AQ68" s="678">
        <f t="shared" si="12"/>
        <v>8.6</v>
      </c>
      <c r="AR68" s="682" t="e">
        <f>B68,C68,E68,F68,H68,I68,K68,L68,N68,O68,Q68,R68,T68,U68,W68,X68,Z68,AA68,AC68,AD68,#REF!,#REF!,AF68,AG68,AI68,AJ68,AL68,AM68,AO68,AP68</f>
        <v>#REF!</v>
      </c>
      <c r="AS68" s="659"/>
      <c r="AT68" s="683"/>
      <c r="AU68" s="683"/>
    </row>
    <row r="69" spans="1:47" s="681" customFormat="1" ht="18.75" customHeight="1" x14ac:dyDescent="0.3">
      <c r="A69" s="688" t="s">
        <v>386</v>
      </c>
      <c r="B69" s="685"/>
      <c r="C69" s="679"/>
      <c r="D69" s="679"/>
      <c r="E69" s="685"/>
      <c r="F69" s="679"/>
      <c r="G69" s="680"/>
      <c r="H69" s="685"/>
      <c r="I69" s="679"/>
      <c r="J69" s="680"/>
      <c r="K69" s="685"/>
      <c r="L69" s="679"/>
      <c r="M69" s="679"/>
      <c r="N69" s="685"/>
      <c r="O69" s="679"/>
      <c r="P69" s="680"/>
      <c r="Q69" s="685"/>
      <c r="R69" s="679"/>
      <c r="S69" s="680"/>
      <c r="T69" s="685"/>
      <c r="U69" s="679"/>
      <c r="V69" s="680"/>
      <c r="W69" s="685"/>
      <c r="X69" s="679"/>
      <c r="Y69" s="680"/>
      <c r="Z69" s="685"/>
      <c r="AA69" s="679"/>
      <c r="AB69" s="680"/>
      <c r="AC69" s="685"/>
      <c r="AD69" s="679"/>
      <c r="AE69" s="680"/>
      <c r="AF69" s="685">
        <v>12.115</v>
      </c>
      <c r="AG69" s="679">
        <v>12.671999999999999</v>
      </c>
      <c r="AH69" s="680">
        <f t="shared" si="14"/>
        <v>4.5999999999999996</v>
      </c>
      <c r="AI69" s="685">
        <v>31.71</v>
      </c>
      <c r="AJ69" s="679">
        <v>19.600000000000001</v>
      </c>
      <c r="AK69" s="680">
        <f t="shared" si="16"/>
        <v>-38.200000000000003</v>
      </c>
      <c r="AL69" s="679">
        <f t="shared" si="5"/>
        <v>43.825000000000003</v>
      </c>
      <c r="AM69" s="679">
        <f t="shared" si="5"/>
        <v>32.271999999999998</v>
      </c>
      <c r="AN69" s="680">
        <f t="shared" ref="AN69:AN79" si="17">IF(AL69=0, "    ---- ", IF(ABS(ROUND(100/AL69*AM69-100,1))&lt;999,ROUND(100/AL69*AM69-100,1),IF(ROUND(100/AL69*AM69-100,1)&gt;999,999,-999)))</f>
        <v>-26.4</v>
      </c>
      <c r="AO69" s="637">
        <f t="shared" si="6"/>
        <v>43.825000000000003</v>
      </c>
      <c r="AP69" s="637">
        <f t="shared" si="6"/>
        <v>32.271999999999998</v>
      </c>
      <c r="AQ69" s="680">
        <f t="shared" si="12"/>
        <v>-26.4</v>
      </c>
      <c r="AR69" s="661"/>
      <c r="AS69" s="661"/>
      <c r="AT69" s="656"/>
      <c r="AU69" s="656"/>
    </row>
    <row r="70" spans="1:47" s="681" customFormat="1" ht="18.75" customHeight="1" x14ac:dyDescent="0.3">
      <c r="A70" s="688" t="s">
        <v>387</v>
      </c>
      <c r="B70" s="685"/>
      <c r="C70" s="679"/>
      <c r="D70" s="679"/>
      <c r="E70" s="685"/>
      <c r="F70" s="679"/>
      <c r="G70" s="680"/>
      <c r="H70" s="685"/>
      <c r="I70" s="679"/>
      <c r="J70" s="680"/>
      <c r="K70" s="685"/>
      <c r="L70" s="679"/>
      <c r="M70" s="679"/>
      <c r="N70" s="685"/>
      <c r="O70" s="679"/>
      <c r="P70" s="680"/>
      <c r="Q70" s="685"/>
      <c r="R70" s="679"/>
      <c r="S70" s="680"/>
      <c r="T70" s="685"/>
      <c r="U70" s="679"/>
      <c r="V70" s="680"/>
      <c r="W70" s="685"/>
      <c r="X70" s="679"/>
      <c r="Y70" s="680"/>
      <c r="Z70" s="685"/>
      <c r="AA70" s="679"/>
      <c r="AB70" s="680"/>
      <c r="AC70" s="685"/>
      <c r="AD70" s="679"/>
      <c r="AE70" s="680"/>
      <c r="AF70" s="685">
        <v>-27.363</v>
      </c>
      <c r="AG70" s="679">
        <v>-47.872999999999998</v>
      </c>
      <c r="AH70" s="680">
        <f t="shared" si="14"/>
        <v>75</v>
      </c>
      <c r="AI70" s="685">
        <v>-0.34</v>
      </c>
      <c r="AJ70" s="679">
        <v>32.9</v>
      </c>
      <c r="AK70" s="680">
        <f t="shared" si="16"/>
        <v>-999</v>
      </c>
      <c r="AL70" s="679">
        <f t="shared" si="5"/>
        <v>-27.702999999999999</v>
      </c>
      <c r="AM70" s="679">
        <f t="shared" si="5"/>
        <v>-14.972999999999999</v>
      </c>
      <c r="AN70" s="680">
        <f t="shared" si="17"/>
        <v>-46</v>
      </c>
      <c r="AO70" s="637">
        <f t="shared" si="6"/>
        <v>-27.702999999999999</v>
      </c>
      <c r="AP70" s="637">
        <f t="shared" si="6"/>
        <v>-14.972999999999999</v>
      </c>
      <c r="AQ70" s="680">
        <f t="shared" si="12"/>
        <v>-46</v>
      </c>
      <c r="AR70" s="661"/>
      <c r="AS70" s="661"/>
      <c r="AT70" s="656"/>
      <c r="AU70" s="656"/>
    </row>
    <row r="71" spans="1:47" s="681" customFormat="1" ht="18.75" customHeight="1" x14ac:dyDescent="0.3">
      <c r="A71" s="687" t="s">
        <v>402</v>
      </c>
      <c r="B71" s="685"/>
      <c r="C71" s="679"/>
      <c r="D71" s="679"/>
      <c r="E71" s="685"/>
      <c r="F71" s="679"/>
      <c r="G71" s="680"/>
      <c r="H71" s="685"/>
      <c r="I71" s="679"/>
      <c r="J71" s="680"/>
      <c r="K71" s="685"/>
      <c r="L71" s="679"/>
      <c r="M71" s="679"/>
      <c r="N71" s="685"/>
      <c r="O71" s="679"/>
      <c r="P71" s="680"/>
      <c r="Q71" s="685"/>
      <c r="R71" s="679"/>
      <c r="S71" s="680"/>
      <c r="T71" s="685"/>
      <c r="U71" s="679"/>
      <c r="V71" s="680"/>
      <c r="W71" s="685"/>
      <c r="X71" s="679"/>
      <c r="Y71" s="680"/>
      <c r="Z71" s="685"/>
      <c r="AA71" s="679"/>
      <c r="AB71" s="680"/>
      <c r="AC71" s="685"/>
      <c r="AD71" s="679"/>
      <c r="AE71" s="680"/>
      <c r="AF71" s="685"/>
      <c r="AG71" s="679"/>
      <c r="AH71" s="680"/>
      <c r="AI71" s="685"/>
      <c r="AJ71" s="679"/>
      <c r="AK71" s="680"/>
      <c r="AL71" s="679">
        <f t="shared" si="5"/>
        <v>0</v>
      </c>
      <c r="AM71" s="679">
        <f t="shared" si="5"/>
        <v>0</v>
      </c>
      <c r="AN71" s="680" t="str">
        <f t="shared" si="17"/>
        <v xml:space="preserve">    ---- </v>
      </c>
      <c r="AO71" s="637">
        <f t="shared" si="6"/>
        <v>0</v>
      </c>
      <c r="AP71" s="637">
        <f t="shared" si="6"/>
        <v>0</v>
      </c>
      <c r="AQ71" s="680"/>
      <c r="AR71" s="661"/>
      <c r="AS71" s="661"/>
      <c r="AT71" s="656"/>
      <c r="AU71" s="656"/>
    </row>
    <row r="72" spans="1:47" s="681" customFormat="1" ht="18.75" customHeight="1" x14ac:dyDescent="0.3">
      <c r="A72" s="688" t="s">
        <v>377</v>
      </c>
      <c r="B72" s="685"/>
      <c r="C72" s="679"/>
      <c r="D72" s="679"/>
      <c r="E72" s="685"/>
      <c r="F72" s="679"/>
      <c r="G72" s="680"/>
      <c r="H72" s="685"/>
      <c r="I72" s="679"/>
      <c r="J72" s="680"/>
      <c r="K72" s="685"/>
      <c r="L72" s="679"/>
      <c r="M72" s="679"/>
      <c r="N72" s="685"/>
      <c r="O72" s="679"/>
      <c r="P72" s="680"/>
      <c r="Q72" s="685"/>
      <c r="R72" s="679"/>
      <c r="S72" s="680"/>
      <c r="T72" s="685"/>
      <c r="U72" s="679"/>
      <c r="V72" s="680"/>
      <c r="W72" s="685"/>
      <c r="X72" s="679"/>
      <c r="Y72" s="680"/>
      <c r="Z72" s="685"/>
      <c r="AA72" s="679"/>
      <c r="AB72" s="680"/>
      <c r="AC72" s="685"/>
      <c r="AD72" s="679"/>
      <c r="AE72" s="680"/>
      <c r="AF72" s="685">
        <v>2.5999999999999999E-2</v>
      </c>
      <c r="AG72" s="679">
        <v>3.7999999999999999E-2</v>
      </c>
      <c r="AH72" s="680">
        <f t="shared" ref="AH72:AH82" si="18">IF(AF72=0, "    ---- ", IF(ABS(ROUND(100/AF72*AG72-100,1))&lt;999,ROUND(100/AF72*AG72-100,1),IF(ROUND(100/AF72*AG72-100,1)&gt;999,999,-999)))</f>
        <v>46.2</v>
      </c>
      <c r="AI72" s="685">
        <v>0.54</v>
      </c>
      <c r="AJ72" s="679">
        <v>0</v>
      </c>
      <c r="AK72" s="680">
        <f t="shared" ref="AK72" si="19">IF(AI72=0, "    ---- ", IF(ABS(ROUND(100/AI72*AJ72-100,1))&lt;999,ROUND(100/AI72*AJ72-100,1),IF(ROUND(100/AI72*AJ72-100,1)&gt;999,999,-999)))</f>
        <v>-100</v>
      </c>
      <c r="AL72" s="679">
        <f t="shared" si="5"/>
        <v>0.56600000000000006</v>
      </c>
      <c r="AM72" s="679">
        <f t="shared" si="5"/>
        <v>3.7999999999999999E-2</v>
      </c>
      <c r="AN72" s="680">
        <f t="shared" si="17"/>
        <v>-93.3</v>
      </c>
      <c r="AO72" s="637">
        <f t="shared" si="6"/>
        <v>0.56600000000000006</v>
      </c>
      <c r="AP72" s="637">
        <f t="shared" si="6"/>
        <v>3.7999999999999999E-2</v>
      </c>
      <c r="AQ72" s="680">
        <f t="shared" si="12"/>
        <v>-93.3</v>
      </c>
      <c r="AR72" s="661"/>
      <c r="AS72" s="661"/>
      <c r="AT72" s="656"/>
      <c r="AU72" s="656"/>
    </row>
    <row r="73" spans="1:47" s="681" customFormat="1" ht="18.75" customHeight="1" x14ac:dyDescent="0.3">
      <c r="A73" s="688" t="s">
        <v>378</v>
      </c>
      <c r="B73" s="685"/>
      <c r="C73" s="679"/>
      <c r="D73" s="679"/>
      <c r="E73" s="685"/>
      <c r="F73" s="679"/>
      <c r="G73" s="680"/>
      <c r="H73" s="685"/>
      <c r="I73" s="679"/>
      <c r="J73" s="680"/>
      <c r="K73" s="685"/>
      <c r="L73" s="679"/>
      <c r="M73" s="679"/>
      <c r="N73" s="685"/>
      <c r="O73" s="679"/>
      <c r="P73" s="680"/>
      <c r="Q73" s="685"/>
      <c r="R73" s="679"/>
      <c r="S73" s="680"/>
      <c r="T73" s="685"/>
      <c r="U73" s="679"/>
      <c r="V73" s="680"/>
      <c r="W73" s="685"/>
      <c r="X73" s="679"/>
      <c r="Y73" s="680"/>
      <c r="Z73" s="685"/>
      <c r="AA73" s="679"/>
      <c r="AB73" s="680"/>
      <c r="AC73" s="685"/>
      <c r="AD73" s="679"/>
      <c r="AE73" s="680"/>
      <c r="AF73" s="685"/>
      <c r="AG73" s="679"/>
      <c r="AH73" s="680"/>
      <c r="AI73" s="685"/>
      <c r="AJ73" s="679"/>
      <c r="AK73" s="680"/>
      <c r="AL73" s="679">
        <f t="shared" si="5"/>
        <v>0</v>
      </c>
      <c r="AM73" s="679">
        <f t="shared" si="5"/>
        <v>0</v>
      </c>
      <c r="AN73" s="680" t="str">
        <f t="shared" si="17"/>
        <v xml:space="preserve">    ---- </v>
      </c>
      <c r="AO73" s="637">
        <f t="shared" si="6"/>
        <v>0</v>
      </c>
      <c r="AP73" s="637">
        <f t="shared" si="6"/>
        <v>0</v>
      </c>
      <c r="AQ73" s="680" t="str">
        <f t="shared" si="12"/>
        <v xml:space="preserve">    ---- </v>
      </c>
      <c r="AR73" s="661"/>
      <c r="AS73" s="661"/>
      <c r="AT73" s="656"/>
      <c r="AU73" s="656"/>
    </row>
    <row r="74" spans="1:47" s="681" customFormat="1" ht="18.75" customHeight="1" x14ac:dyDescent="0.3">
      <c r="A74" s="688" t="s">
        <v>379</v>
      </c>
      <c r="B74" s="685"/>
      <c r="C74" s="679"/>
      <c r="D74" s="679"/>
      <c r="E74" s="685"/>
      <c r="F74" s="679"/>
      <c r="G74" s="680"/>
      <c r="H74" s="685"/>
      <c r="I74" s="679"/>
      <c r="J74" s="680"/>
      <c r="K74" s="685"/>
      <c r="L74" s="679"/>
      <c r="M74" s="679"/>
      <c r="N74" s="685"/>
      <c r="O74" s="679"/>
      <c r="P74" s="680"/>
      <c r="Q74" s="685"/>
      <c r="R74" s="679"/>
      <c r="S74" s="680"/>
      <c r="T74" s="685"/>
      <c r="U74" s="679"/>
      <c r="V74" s="680"/>
      <c r="W74" s="685"/>
      <c r="X74" s="679"/>
      <c r="Y74" s="680"/>
      <c r="Z74" s="685"/>
      <c r="AA74" s="679"/>
      <c r="AB74" s="680"/>
      <c r="AC74" s="685"/>
      <c r="AD74" s="679"/>
      <c r="AE74" s="680"/>
      <c r="AF74" s="685">
        <v>-21.236999999999998</v>
      </c>
      <c r="AG74" s="679">
        <v>-42.832000000000001</v>
      </c>
      <c r="AH74" s="680">
        <f t="shared" si="18"/>
        <v>101.7</v>
      </c>
      <c r="AI74" s="685"/>
      <c r="AJ74" s="679">
        <v>-10.199999999999999</v>
      </c>
      <c r="AK74" s="680" t="str">
        <f t="shared" ref="AK74" si="20">IF(AI74=0, "    ---- ", IF(ABS(ROUND(100/AI74*AJ74-100,1))&lt;999,ROUND(100/AI74*AJ74-100,1),IF(ROUND(100/AI74*AJ74-100,1)&gt;999,999,-999)))</f>
        <v xml:space="preserve">    ---- </v>
      </c>
      <c r="AL74" s="679">
        <f t="shared" si="5"/>
        <v>-21.236999999999998</v>
      </c>
      <c r="AM74" s="679">
        <f t="shared" si="5"/>
        <v>-53.031999999999996</v>
      </c>
      <c r="AN74" s="680">
        <f t="shared" si="17"/>
        <v>149.69999999999999</v>
      </c>
      <c r="AO74" s="637">
        <f t="shared" si="6"/>
        <v>-21.236999999999998</v>
      </c>
      <c r="AP74" s="637">
        <f t="shared" si="6"/>
        <v>-53.031999999999996</v>
      </c>
      <c r="AQ74" s="680">
        <f t="shared" si="12"/>
        <v>149.69999999999999</v>
      </c>
      <c r="AR74" s="661"/>
      <c r="AS74" s="661"/>
      <c r="AT74" s="656"/>
      <c r="AU74" s="656"/>
    </row>
    <row r="75" spans="1:47" s="681" customFormat="1" ht="18.75" customHeight="1" x14ac:dyDescent="0.3">
      <c r="A75" s="688" t="s">
        <v>380</v>
      </c>
      <c r="B75" s="685"/>
      <c r="C75" s="679"/>
      <c r="D75" s="679"/>
      <c r="E75" s="685"/>
      <c r="F75" s="679"/>
      <c r="G75" s="680"/>
      <c r="H75" s="685"/>
      <c r="I75" s="679"/>
      <c r="J75" s="680"/>
      <c r="K75" s="685"/>
      <c r="L75" s="679"/>
      <c r="M75" s="679"/>
      <c r="N75" s="685"/>
      <c r="O75" s="679"/>
      <c r="P75" s="680"/>
      <c r="Q75" s="685"/>
      <c r="R75" s="679"/>
      <c r="S75" s="680"/>
      <c r="T75" s="685"/>
      <c r="U75" s="679"/>
      <c r="V75" s="680"/>
      <c r="W75" s="685"/>
      <c r="X75" s="679"/>
      <c r="Y75" s="680"/>
      <c r="Z75" s="685"/>
      <c r="AA75" s="679"/>
      <c r="AB75" s="680"/>
      <c r="AC75" s="685"/>
      <c r="AD75" s="679"/>
      <c r="AE75" s="680"/>
      <c r="AF75" s="685"/>
      <c r="AG75" s="679"/>
      <c r="AH75" s="680"/>
      <c r="AI75" s="685"/>
      <c r="AJ75" s="679"/>
      <c r="AK75" s="680"/>
      <c r="AL75" s="679">
        <f t="shared" si="5"/>
        <v>0</v>
      </c>
      <c r="AM75" s="679">
        <f t="shared" si="5"/>
        <v>0</v>
      </c>
      <c r="AN75" s="680" t="str">
        <f t="shared" si="17"/>
        <v xml:space="preserve">    ---- </v>
      </c>
      <c r="AO75" s="637">
        <f t="shared" si="6"/>
        <v>0</v>
      </c>
      <c r="AP75" s="637">
        <f t="shared" si="6"/>
        <v>0</v>
      </c>
      <c r="AQ75" s="680" t="str">
        <f t="shared" si="12"/>
        <v xml:space="preserve">    ---- </v>
      </c>
      <c r="AR75" s="661"/>
      <c r="AS75" s="661"/>
      <c r="AT75" s="656"/>
      <c r="AU75" s="656"/>
    </row>
    <row r="76" spans="1:47" s="681" customFormat="1" ht="18.75" customHeight="1" x14ac:dyDescent="0.3">
      <c r="A76" s="688" t="s">
        <v>381</v>
      </c>
      <c r="B76" s="685"/>
      <c r="C76" s="679"/>
      <c r="D76" s="679"/>
      <c r="E76" s="685"/>
      <c r="F76" s="679"/>
      <c r="G76" s="680"/>
      <c r="H76" s="685"/>
      <c r="I76" s="679"/>
      <c r="J76" s="680"/>
      <c r="K76" s="685"/>
      <c r="L76" s="679"/>
      <c r="M76" s="679"/>
      <c r="N76" s="685"/>
      <c r="O76" s="679"/>
      <c r="P76" s="680"/>
      <c r="Q76" s="685"/>
      <c r="R76" s="679"/>
      <c r="S76" s="680"/>
      <c r="T76" s="685"/>
      <c r="U76" s="679"/>
      <c r="V76" s="680"/>
      <c r="W76" s="685"/>
      <c r="X76" s="679"/>
      <c r="Y76" s="680"/>
      <c r="Z76" s="685"/>
      <c r="AA76" s="679"/>
      <c r="AB76" s="680"/>
      <c r="AC76" s="685"/>
      <c r="AD76" s="679"/>
      <c r="AE76" s="680"/>
      <c r="AF76" s="685"/>
      <c r="AG76" s="679"/>
      <c r="AH76" s="680"/>
      <c r="AI76" s="685"/>
      <c r="AJ76" s="679"/>
      <c r="AK76" s="680"/>
      <c r="AL76" s="679">
        <f t="shared" si="5"/>
        <v>0</v>
      </c>
      <c r="AM76" s="679">
        <f t="shared" si="5"/>
        <v>0</v>
      </c>
      <c r="AN76" s="680" t="str">
        <f t="shared" si="17"/>
        <v xml:space="preserve">    ---- </v>
      </c>
      <c r="AO76" s="637">
        <f t="shared" si="6"/>
        <v>0</v>
      </c>
      <c r="AP76" s="637">
        <f t="shared" si="6"/>
        <v>0</v>
      </c>
      <c r="AQ76" s="680" t="str">
        <f t="shared" si="12"/>
        <v xml:space="preserve">    ---- </v>
      </c>
      <c r="AR76" s="661"/>
      <c r="AS76" s="661"/>
      <c r="AT76" s="656"/>
      <c r="AU76" s="656"/>
    </row>
    <row r="77" spans="1:47" s="681" customFormat="1" ht="18.75" customHeight="1" x14ac:dyDescent="0.3">
      <c r="A77" s="688" t="s">
        <v>382</v>
      </c>
      <c r="B77" s="685"/>
      <c r="C77" s="679"/>
      <c r="D77" s="679"/>
      <c r="E77" s="685"/>
      <c r="F77" s="679"/>
      <c r="G77" s="680"/>
      <c r="H77" s="685"/>
      <c r="I77" s="679"/>
      <c r="J77" s="680"/>
      <c r="K77" s="685"/>
      <c r="L77" s="679"/>
      <c r="M77" s="679"/>
      <c r="N77" s="685"/>
      <c r="O77" s="679"/>
      <c r="P77" s="680"/>
      <c r="Q77" s="685"/>
      <c r="R77" s="679"/>
      <c r="S77" s="680"/>
      <c r="T77" s="685"/>
      <c r="U77" s="679"/>
      <c r="V77" s="680"/>
      <c r="W77" s="685"/>
      <c r="X77" s="679"/>
      <c r="Y77" s="680"/>
      <c r="Z77" s="685"/>
      <c r="AA77" s="679"/>
      <c r="AB77" s="680"/>
      <c r="AC77" s="685"/>
      <c r="AD77" s="679"/>
      <c r="AE77" s="680"/>
      <c r="AF77" s="685">
        <v>-3.4329999999999998</v>
      </c>
      <c r="AG77" s="679">
        <v>-7.6210000000000004</v>
      </c>
      <c r="AH77" s="680">
        <f t="shared" si="18"/>
        <v>122</v>
      </c>
      <c r="AI77" s="685"/>
      <c r="AJ77" s="679"/>
      <c r="AK77" s="680"/>
      <c r="AL77" s="679">
        <f t="shared" ref="AL77:AM140" si="21">B77+E77+H77+K77+Q77+T77+W77+Z77+AF77+AI77</f>
        <v>-3.4329999999999998</v>
      </c>
      <c r="AM77" s="679">
        <f t="shared" si="21"/>
        <v>-7.6210000000000004</v>
      </c>
      <c r="AN77" s="680">
        <f t="shared" si="17"/>
        <v>122</v>
      </c>
      <c r="AO77" s="637">
        <f t="shared" ref="AO77:AP140" si="22">+B77+E77+H77+K77+N77+Q77+T77+W77+Z77+AC77+AF77+AI77</f>
        <v>-3.4329999999999998</v>
      </c>
      <c r="AP77" s="637">
        <f t="shared" si="22"/>
        <v>-7.6210000000000004</v>
      </c>
      <c r="AQ77" s="680">
        <f t="shared" si="12"/>
        <v>122</v>
      </c>
      <c r="AR77" s="661"/>
      <c r="AS77" s="661"/>
      <c r="AT77" s="656"/>
      <c r="AU77" s="656"/>
    </row>
    <row r="78" spans="1:47" s="681" customFormat="1" ht="18.75" customHeight="1" x14ac:dyDescent="0.3">
      <c r="A78" s="688" t="s">
        <v>383</v>
      </c>
      <c r="B78" s="685"/>
      <c r="C78" s="679"/>
      <c r="D78" s="679"/>
      <c r="E78" s="685"/>
      <c r="F78" s="679"/>
      <c r="G78" s="680"/>
      <c r="H78" s="685"/>
      <c r="I78" s="679"/>
      <c r="J78" s="680"/>
      <c r="K78" s="685"/>
      <c r="L78" s="679"/>
      <c r="M78" s="679"/>
      <c r="N78" s="685"/>
      <c r="O78" s="679"/>
      <c r="P78" s="680"/>
      <c r="Q78" s="685"/>
      <c r="R78" s="679"/>
      <c r="S78" s="680"/>
      <c r="T78" s="685"/>
      <c r="U78" s="679"/>
      <c r="V78" s="680"/>
      <c r="W78" s="685"/>
      <c r="X78" s="679"/>
      <c r="Y78" s="680"/>
      <c r="Z78" s="685"/>
      <c r="AA78" s="679"/>
      <c r="AB78" s="680"/>
      <c r="AC78" s="685"/>
      <c r="AD78" s="679"/>
      <c r="AE78" s="680"/>
      <c r="AF78" s="685"/>
      <c r="AG78" s="679"/>
      <c r="AH78" s="680"/>
      <c r="AI78" s="685"/>
      <c r="AJ78" s="679"/>
      <c r="AK78" s="680"/>
      <c r="AL78" s="679">
        <f t="shared" si="21"/>
        <v>0</v>
      </c>
      <c r="AM78" s="679">
        <f t="shared" si="21"/>
        <v>0</v>
      </c>
      <c r="AN78" s="680" t="str">
        <f t="shared" si="17"/>
        <v xml:space="preserve">    ---- </v>
      </c>
      <c r="AO78" s="637">
        <f t="shared" si="22"/>
        <v>0</v>
      </c>
      <c r="AP78" s="637">
        <f t="shared" si="22"/>
        <v>0</v>
      </c>
      <c r="AQ78" s="680" t="str">
        <f t="shared" si="12"/>
        <v xml:space="preserve">    ---- </v>
      </c>
      <c r="AR78" s="661"/>
      <c r="AS78" s="661"/>
      <c r="AT78" s="656"/>
      <c r="AU78" s="656"/>
    </row>
    <row r="79" spans="1:47" s="681" customFormat="1" ht="18.75" customHeight="1" x14ac:dyDescent="0.3">
      <c r="A79" s="688" t="s">
        <v>384</v>
      </c>
      <c r="B79" s="685"/>
      <c r="C79" s="679"/>
      <c r="D79" s="679"/>
      <c r="E79" s="685"/>
      <c r="F79" s="679"/>
      <c r="G79" s="680"/>
      <c r="H79" s="685"/>
      <c r="I79" s="679"/>
      <c r="J79" s="680"/>
      <c r="K79" s="685"/>
      <c r="L79" s="679"/>
      <c r="M79" s="679"/>
      <c r="N79" s="685"/>
      <c r="O79" s="679"/>
      <c r="P79" s="680"/>
      <c r="Q79" s="685"/>
      <c r="R79" s="679"/>
      <c r="S79" s="680"/>
      <c r="T79" s="685"/>
      <c r="U79" s="679"/>
      <c r="V79" s="680"/>
      <c r="W79" s="685"/>
      <c r="X79" s="679"/>
      <c r="Y79" s="680"/>
      <c r="Z79" s="685"/>
      <c r="AA79" s="679"/>
      <c r="AB79" s="680"/>
      <c r="AC79" s="685"/>
      <c r="AD79" s="679"/>
      <c r="AE79" s="680"/>
      <c r="AF79" s="685"/>
      <c r="AG79" s="679"/>
      <c r="AH79" s="680"/>
      <c r="AI79" s="685"/>
      <c r="AJ79" s="679"/>
      <c r="AK79" s="680"/>
      <c r="AL79" s="679">
        <f t="shared" si="21"/>
        <v>0</v>
      </c>
      <c r="AM79" s="679">
        <f t="shared" si="21"/>
        <v>0</v>
      </c>
      <c r="AN79" s="680" t="str">
        <f t="shared" si="17"/>
        <v xml:space="preserve">    ---- </v>
      </c>
      <c r="AO79" s="637">
        <f t="shared" si="22"/>
        <v>0</v>
      </c>
      <c r="AP79" s="637">
        <f t="shared" si="22"/>
        <v>0</v>
      </c>
      <c r="AQ79" s="680" t="str">
        <f t="shared" si="12"/>
        <v xml:space="preserve">    ---- </v>
      </c>
      <c r="AR79" s="661"/>
      <c r="AS79" s="661"/>
      <c r="AT79" s="656"/>
      <c r="AU79" s="656"/>
    </row>
    <row r="80" spans="1:47" s="681" customFormat="1" ht="18.75" customHeight="1" x14ac:dyDescent="0.3">
      <c r="A80" s="687" t="s">
        <v>385</v>
      </c>
      <c r="B80" s="686"/>
      <c r="C80" s="677"/>
      <c r="D80" s="677"/>
      <c r="E80" s="686"/>
      <c r="F80" s="677"/>
      <c r="G80" s="678"/>
      <c r="H80" s="686"/>
      <c r="I80" s="677"/>
      <c r="J80" s="678"/>
      <c r="K80" s="686"/>
      <c r="L80" s="677"/>
      <c r="M80" s="677"/>
      <c r="N80" s="686"/>
      <c r="O80" s="677"/>
      <c r="P80" s="678"/>
      <c r="Q80" s="686"/>
      <c r="R80" s="677"/>
      <c r="S80" s="678"/>
      <c r="T80" s="686"/>
      <c r="U80" s="677"/>
      <c r="V80" s="678"/>
      <c r="W80" s="686"/>
      <c r="X80" s="677"/>
      <c r="Y80" s="678"/>
      <c r="Z80" s="686"/>
      <c r="AA80" s="677"/>
      <c r="AB80" s="678"/>
      <c r="AC80" s="686"/>
      <c r="AD80" s="677"/>
      <c r="AE80" s="678"/>
      <c r="AF80" s="686">
        <v>-24.643999999999998</v>
      </c>
      <c r="AG80" s="677">
        <v>-50.415000000000006</v>
      </c>
      <c r="AH80" s="678">
        <f t="shared" si="18"/>
        <v>104.6</v>
      </c>
      <c r="AI80" s="686">
        <v>0.54</v>
      </c>
      <c r="AJ80" s="677">
        <v>-10.199999999999999</v>
      </c>
      <c r="AK80" s="680">
        <f t="shared" ref="AK80:AK82" si="23">IF(AI80=0, "    ---- ", IF(ABS(ROUND(100/AI80*AJ80-100,1))&lt;999,ROUND(100/AI80*AJ80-100,1),IF(ROUND(100/AI80*AJ80-100,1)&gt;999,999,-999)))</f>
        <v>-999</v>
      </c>
      <c r="AL80" s="677">
        <f t="shared" si="21"/>
        <v>-24.103999999999999</v>
      </c>
      <c r="AM80" s="677">
        <f t="shared" si="21"/>
        <v>-60.615000000000009</v>
      </c>
      <c r="AN80" s="678">
        <f>IF(AL80=0, "    ---- ", IF(ABS(ROUND(100/AL80*AM80-100,1))&lt;999,ROUND(100/AL80*AM80-100,1),IF(ROUND(100/AL80*AM80-100,1)&gt;999,999,-999)))</f>
        <v>151.5</v>
      </c>
      <c r="AO80" s="637">
        <f t="shared" si="22"/>
        <v>-24.103999999999999</v>
      </c>
      <c r="AP80" s="637">
        <f t="shared" si="22"/>
        <v>-60.615000000000009</v>
      </c>
      <c r="AQ80" s="678">
        <f t="shared" si="12"/>
        <v>151.5</v>
      </c>
      <c r="AR80" s="682" t="e">
        <f>B80,C80,E80,F80,H80,I80,K80,L80,N80,O80,Q80,R80,T80,U80,W80,X80,Z80,AA80,AC80,AD80,#REF!,#REF!,AF80,AG80,AI80,AJ80,AL80,AM80,AO80,AP80</f>
        <v>#REF!</v>
      </c>
      <c r="AS80" s="661"/>
      <c r="AT80" s="656"/>
      <c r="AU80" s="656"/>
    </row>
    <row r="81" spans="1:47" s="681" customFormat="1" ht="18.75" customHeight="1" x14ac:dyDescent="0.3">
      <c r="A81" s="688" t="s">
        <v>386</v>
      </c>
      <c r="B81" s="685"/>
      <c r="C81" s="679"/>
      <c r="D81" s="679"/>
      <c r="E81" s="685"/>
      <c r="F81" s="679"/>
      <c r="G81" s="680"/>
      <c r="H81" s="685"/>
      <c r="I81" s="679"/>
      <c r="J81" s="680"/>
      <c r="K81" s="685"/>
      <c r="L81" s="679"/>
      <c r="M81" s="679"/>
      <c r="N81" s="685"/>
      <c r="O81" s="679"/>
      <c r="P81" s="680"/>
      <c r="Q81" s="685"/>
      <c r="R81" s="679"/>
      <c r="S81" s="680"/>
      <c r="T81" s="685"/>
      <c r="U81" s="679"/>
      <c r="V81" s="680"/>
      <c r="W81" s="685"/>
      <c r="X81" s="679"/>
      <c r="Y81" s="680"/>
      <c r="Z81" s="685"/>
      <c r="AA81" s="679"/>
      <c r="AB81" s="680"/>
      <c r="AC81" s="685"/>
      <c r="AD81" s="679"/>
      <c r="AE81" s="680"/>
      <c r="AF81" s="685">
        <v>-2.5999999999999999E-2</v>
      </c>
      <c r="AG81" s="679">
        <v>3.7999999999999999E-2</v>
      </c>
      <c r="AH81" s="680">
        <f t="shared" si="18"/>
        <v>-246.2</v>
      </c>
      <c r="AI81" s="685">
        <v>0.54</v>
      </c>
      <c r="AJ81" s="679">
        <v>0</v>
      </c>
      <c r="AK81" s="680">
        <f t="shared" si="23"/>
        <v>-100</v>
      </c>
      <c r="AL81" s="679">
        <f t="shared" si="21"/>
        <v>0.51400000000000001</v>
      </c>
      <c r="AM81" s="679">
        <f t="shared" si="21"/>
        <v>3.7999999999999999E-2</v>
      </c>
      <c r="AN81" s="680">
        <f t="shared" ref="AN81:AN83" si="24">IF(AL81=0, "    ---- ", IF(ABS(ROUND(100/AL81*AM81-100,1))&lt;999,ROUND(100/AL81*AM81-100,1),IF(ROUND(100/AL81*AM81-100,1)&gt;999,999,-999)))</f>
        <v>-92.6</v>
      </c>
      <c r="AO81" s="637">
        <f t="shared" si="22"/>
        <v>0.51400000000000001</v>
      </c>
      <c r="AP81" s="637">
        <f t="shared" si="22"/>
        <v>3.7999999999999999E-2</v>
      </c>
      <c r="AQ81" s="680">
        <f t="shared" si="12"/>
        <v>-92.6</v>
      </c>
      <c r="AR81" s="661"/>
      <c r="AS81" s="661"/>
      <c r="AT81" s="656"/>
      <c r="AU81" s="656"/>
    </row>
    <row r="82" spans="1:47" s="681" customFormat="1" ht="18.75" customHeight="1" x14ac:dyDescent="0.3">
      <c r="A82" s="688" t="s">
        <v>387</v>
      </c>
      <c r="B82" s="685"/>
      <c r="C82" s="679"/>
      <c r="D82" s="679"/>
      <c r="E82" s="685"/>
      <c r="F82" s="679"/>
      <c r="G82" s="680"/>
      <c r="H82" s="685"/>
      <c r="I82" s="679"/>
      <c r="J82" s="680"/>
      <c r="K82" s="685"/>
      <c r="L82" s="679"/>
      <c r="M82" s="679"/>
      <c r="N82" s="685"/>
      <c r="O82" s="679"/>
      <c r="P82" s="680"/>
      <c r="Q82" s="685"/>
      <c r="R82" s="679"/>
      <c r="S82" s="680"/>
      <c r="T82" s="685"/>
      <c r="U82" s="679"/>
      <c r="V82" s="680"/>
      <c r="W82" s="685"/>
      <c r="X82" s="679"/>
      <c r="Y82" s="680"/>
      <c r="Z82" s="685"/>
      <c r="AA82" s="679"/>
      <c r="AB82" s="680"/>
      <c r="AC82" s="685"/>
      <c r="AD82" s="679"/>
      <c r="AE82" s="680"/>
      <c r="AF82" s="685">
        <v>-24.67</v>
      </c>
      <c r="AG82" s="679">
        <v>-50.453000000000003</v>
      </c>
      <c r="AH82" s="680">
        <f t="shared" si="18"/>
        <v>104.5</v>
      </c>
      <c r="AI82" s="685"/>
      <c r="AJ82" s="679">
        <v>-10.199999999999999</v>
      </c>
      <c r="AK82" s="680" t="str">
        <f t="shared" si="23"/>
        <v xml:space="preserve">    ---- </v>
      </c>
      <c r="AL82" s="679">
        <f t="shared" si="21"/>
        <v>-24.67</v>
      </c>
      <c r="AM82" s="679">
        <f t="shared" si="21"/>
        <v>-60.653000000000006</v>
      </c>
      <c r="AN82" s="680">
        <f t="shared" si="24"/>
        <v>145.9</v>
      </c>
      <c r="AO82" s="637">
        <f t="shared" si="22"/>
        <v>-24.67</v>
      </c>
      <c r="AP82" s="637">
        <f t="shared" si="22"/>
        <v>-60.653000000000006</v>
      </c>
      <c r="AQ82" s="680">
        <f t="shared" si="12"/>
        <v>145.9</v>
      </c>
      <c r="AR82" s="661"/>
      <c r="AS82" s="661"/>
      <c r="AT82" s="656"/>
      <c r="AU82" s="656"/>
    </row>
    <row r="83" spans="1:47" s="681" customFormat="1" ht="18.75" customHeight="1" x14ac:dyDescent="0.3">
      <c r="A83" s="623" t="s">
        <v>403</v>
      </c>
      <c r="B83" s="685"/>
      <c r="C83" s="679"/>
      <c r="D83" s="679"/>
      <c r="E83" s="685"/>
      <c r="F83" s="679"/>
      <c r="G83" s="680"/>
      <c r="H83" s="685"/>
      <c r="I83" s="679"/>
      <c r="J83" s="680"/>
      <c r="K83" s="685"/>
      <c r="L83" s="679"/>
      <c r="M83" s="679"/>
      <c r="N83" s="685"/>
      <c r="O83" s="679"/>
      <c r="P83" s="680"/>
      <c r="Q83" s="685"/>
      <c r="R83" s="679"/>
      <c r="S83" s="680"/>
      <c r="T83" s="685"/>
      <c r="U83" s="679"/>
      <c r="V83" s="680"/>
      <c r="W83" s="685"/>
      <c r="X83" s="679"/>
      <c r="Y83" s="680"/>
      <c r="Z83" s="685"/>
      <c r="AA83" s="679"/>
      <c r="AB83" s="680"/>
      <c r="AC83" s="685"/>
      <c r="AD83" s="679"/>
      <c r="AE83" s="680"/>
      <c r="AF83" s="685"/>
      <c r="AG83" s="679"/>
      <c r="AH83" s="680"/>
      <c r="AI83" s="685"/>
      <c r="AJ83" s="679"/>
      <c r="AK83" s="680"/>
      <c r="AL83" s="679">
        <f t="shared" si="21"/>
        <v>0</v>
      </c>
      <c r="AM83" s="679">
        <f t="shared" si="21"/>
        <v>0</v>
      </c>
      <c r="AN83" s="680" t="str">
        <f t="shared" si="24"/>
        <v xml:space="preserve">    ---- </v>
      </c>
      <c r="AO83" s="637">
        <f t="shared" si="22"/>
        <v>0</v>
      </c>
      <c r="AP83" s="637">
        <f t="shared" si="22"/>
        <v>0</v>
      </c>
      <c r="AQ83" s="680"/>
      <c r="AR83" s="661"/>
      <c r="AS83" s="661"/>
      <c r="AT83" s="656"/>
      <c r="AU83" s="656"/>
    </row>
    <row r="84" spans="1:47" s="681" customFormat="1" ht="18.75" customHeight="1" x14ac:dyDescent="0.3">
      <c r="A84" s="629" t="s">
        <v>377</v>
      </c>
      <c r="B84" s="685"/>
      <c r="C84" s="679"/>
      <c r="D84" s="679"/>
      <c r="E84" s="685">
        <v>1415.92</v>
      </c>
      <c r="F84" s="679">
        <v>511</v>
      </c>
      <c r="G84" s="680">
        <f>IF(E84=0, "    ---- ", IF(ABS(ROUND(100/E84*F84-100,1))&lt;999,ROUND(100/E84*F84-100,1),IF(ROUND(100/E84*F84-100,1)&gt;999,999,-999)))</f>
        <v>-63.9</v>
      </c>
      <c r="H84" s="685"/>
      <c r="I84" s="679"/>
      <c r="J84" s="680"/>
      <c r="K84" s="685">
        <v>19.091000000000001</v>
      </c>
      <c r="L84" s="679">
        <v>88.8</v>
      </c>
      <c r="M84" s="679">
        <f>IF(K84=0, "    ---- ", IF(ABS(ROUND(100/K84*L84-100,1))&lt;999,ROUND(100/K84*L84-100,1),IF(ROUND(100/K84*L84-100,1)&gt;999,999,-999)))</f>
        <v>365.1</v>
      </c>
      <c r="N84" s="685"/>
      <c r="O84" s="679"/>
      <c r="P84" s="680"/>
      <c r="Q84" s="685"/>
      <c r="R84" s="679"/>
      <c r="S84" s="680"/>
      <c r="T84" s="685">
        <v>50</v>
      </c>
      <c r="U84" s="679">
        <v>16</v>
      </c>
      <c r="V84" s="680">
        <f t="shared" ref="V84:V86" si="25">IF(T84=0, "    ---- ", IF(ABS(ROUND(100/T84*U84-100,1))&lt;999,ROUND(100/T84*U84-100,1),IF(ROUND(100/T84*U84-100,1)&gt;999,999,-999)))</f>
        <v>-68</v>
      </c>
      <c r="W84" s="685">
        <v>342.64124443171477</v>
      </c>
      <c r="X84" s="679">
        <v>584.19677436413451</v>
      </c>
      <c r="Y84" s="680">
        <f>IF(W84=0, "    ---- ", IF(ABS(ROUND(100/W84*X84-100,1))&lt;999,ROUND(100/W84*X84-100,1),IF(ROUND(100/W84*X84-100,1)&gt;999,999,-999)))</f>
        <v>70.5</v>
      </c>
      <c r="Z84" s="685"/>
      <c r="AA84" s="679"/>
      <c r="AB84" s="680"/>
      <c r="AC84" s="685"/>
      <c r="AD84" s="679"/>
      <c r="AE84" s="680"/>
      <c r="AF84" s="685">
        <v>255.876</v>
      </c>
      <c r="AG84" s="679">
        <v>160.09399999999999</v>
      </c>
      <c r="AH84" s="680">
        <f>IF(AF84=0, "    ---- ", IF(ABS(ROUND(100/AF84*AG84-100,1))&lt;999,ROUND(100/AF84*AG84-100,1),IF(ROUND(100/AF84*AG84-100,1)&gt;999,999,-999)))</f>
        <v>-37.4</v>
      </c>
      <c r="AI84" s="685">
        <v>1538.32</v>
      </c>
      <c r="AJ84" s="679">
        <v>350.7</v>
      </c>
      <c r="AK84" s="680">
        <f>IF(AI84=0, "    ---- ", IF(ABS(ROUND(100/AI84*AJ84-100,1))&lt;999,ROUND(100/AI84*AJ84-100,1),IF(ROUND(100/AI84*AJ84-100,1)&gt;999,999,-999)))</f>
        <v>-77.2</v>
      </c>
      <c r="AL84" s="679">
        <f t="shared" si="21"/>
        <v>3621.8482444317151</v>
      </c>
      <c r="AM84" s="679">
        <f t="shared" si="21"/>
        <v>1710.7907743641347</v>
      </c>
      <c r="AN84" s="680">
        <f t="shared" si="11"/>
        <v>-52.8</v>
      </c>
      <c r="AO84" s="637">
        <f t="shared" si="22"/>
        <v>3621.8482444317151</v>
      </c>
      <c r="AP84" s="637">
        <f t="shared" si="22"/>
        <v>1710.7907743641347</v>
      </c>
      <c r="AQ84" s="680">
        <f t="shared" si="12"/>
        <v>-52.8</v>
      </c>
      <c r="AR84" s="661"/>
      <c r="AS84" s="661"/>
      <c r="AT84" s="656"/>
      <c r="AU84" s="656"/>
    </row>
    <row r="85" spans="1:47" s="681" customFormat="1" ht="18.75" customHeight="1" x14ac:dyDescent="0.3">
      <c r="A85" s="629" t="s">
        <v>378</v>
      </c>
      <c r="B85" s="685"/>
      <c r="C85" s="679"/>
      <c r="D85" s="679"/>
      <c r="E85" s="685">
        <v>-839.54</v>
      </c>
      <c r="F85" s="679">
        <v>-57</v>
      </c>
      <c r="G85" s="680">
        <f>IF(E85=0, "    ---- ", IF(ABS(ROUND(100/E85*F85-100,1))&lt;999,ROUND(100/E85*F85-100,1),IF(ROUND(100/E85*F85-100,1)&gt;999,999,-999)))</f>
        <v>-93.2</v>
      </c>
      <c r="H85" s="685"/>
      <c r="I85" s="679"/>
      <c r="J85" s="680"/>
      <c r="K85" s="685"/>
      <c r="L85" s="679"/>
      <c r="M85" s="679"/>
      <c r="N85" s="685"/>
      <c r="O85" s="679"/>
      <c r="P85" s="680"/>
      <c r="Q85" s="685"/>
      <c r="R85" s="679"/>
      <c r="S85" s="680"/>
      <c r="T85" s="685">
        <v>-40</v>
      </c>
      <c r="U85" s="679">
        <v>-5</v>
      </c>
      <c r="V85" s="680">
        <f t="shared" si="25"/>
        <v>-87.5</v>
      </c>
      <c r="W85" s="685">
        <v>-182.275305</v>
      </c>
      <c r="X85" s="679">
        <v>-301.15277700000001</v>
      </c>
      <c r="Y85" s="680">
        <f>IF(W85=0, "    ---- ", IF(ABS(ROUND(100/W85*X85-100,1))&lt;999,ROUND(100/W85*X85-100,1),IF(ROUND(100/W85*X85-100,1)&gt;999,999,-999)))</f>
        <v>65.2</v>
      </c>
      <c r="Z85" s="685"/>
      <c r="AA85" s="679"/>
      <c r="AB85" s="680"/>
      <c r="AC85" s="685"/>
      <c r="AD85" s="679"/>
      <c r="AE85" s="680"/>
      <c r="AF85" s="685">
        <v>-240.554</v>
      </c>
      <c r="AG85" s="679">
        <v>-134.88200000000001</v>
      </c>
      <c r="AH85" s="680">
        <f>IF(AF85=0, "    ---- ", IF(ABS(ROUND(100/AF85*AG85-100,1))&lt;999,ROUND(100/AF85*AG85-100,1),IF(ROUND(100/AF85*AG85-100,1)&gt;999,999,-999)))</f>
        <v>-43.9</v>
      </c>
      <c r="AI85" s="685"/>
      <c r="AJ85" s="679">
        <v>-248.8</v>
      </c>
      <c r="AK85" s="680" t="str">
        <f>IF(AI85=0, "    ---- ", IF(ABS(ROUND(100/AI85*AJ85-100,1))&lt;999,ROUND(100/AI85*AJ85-100,1),IF(ROUND(100/AI85*AJ85-100,1)&gt;999,999,-999)))</f>
        <v xml:space="preserve">    ---- </v>
      </c>
      <c r="AL85" s="679">
        <f t="shared" si="21"/>
        <v>-1302.3693050000002</v>
      </c>
      <c r="AM85" s="679">
        <f t="shared" si="21"/>
        <v>-746.83477700000003</v>
      </c>
      <c r="AN85" s="680">
        <f t="shared" si="11"/>
        <v>-42.7</v>
      </c>
      <c r="AO85" s="637">
        <f t="shared" si="22"/>
        <v>-1302.3693050000002</v>
      </c>
      <c r="AP85" s="637">
        <f t="shared" si="22"/>
        <v>-746.83477700000003</v>
      </c>
      <c r="AQ85" s="680">
        <f t="shared" si="12"/>
        <v>-42.7</v>
      </c>
      <c r="AR85" s="661"/>
      <c r="AS85" s="661"/>
      <c r="AT85" s="656"/>
      <c r="AU85" s="656"/>
    </row>
    <row r="86" spans="1:47" s="681" customFormat="1" ht="18.75" customHeight="1" x14ac:dyDescent="0.3">
      <c r="A86" s="629" t="s">
        <v>379</v>
      </c>
      <c r="B86" s="685"/>
      <c r="C86" s="679"/>
      <c r="D86" s="679"/>
      <c r="E86" s="685">
        <v>149.30000000000001</v>
      </c>
      <c r="F86" s="679">
        <v>146</v>
      </c>
      <c r="G86" s="680">
        <f>IF(E86=0, "    ---- ", IF(ABS(ROUND(100/E86*F86-100,1))&lt;999,ROUND(100/E86*F86-100,1),IF(ROUND(100/E86*F86-100,1)&gt;999,999,-999)))</f>
        <v>-2.2000000000000002</v>
      </c>
      <c r="H86" s="685"/>
      <c r="I86" s="679"/>
      <c r="J86" s="680"/>
      <c r="K86" s="685">
        <v>-10.384</v>
      </c>
      <c r="L86" s="679">
        <v>-10.8</v>
      </c>
      <c r="M86" s="679">
        <f>IF(K86=0, "    ---- ", IF(ABS(ROUND(100/K86*L86-100,1))&lt;999,ROUND(100/K86*L86-100,1),IF(ROUND(100/K86*L86-100,1)&gt;999,999,-999)))</f>
        <v>4</v>
      </c>
      <c r="N86" s="685"/>
      <c r="O86" s="679"/>
      <c r="P86" s="680"/>
      <c r="Q86" s="685"/>
      <c r="R86" s="679"/>
      <c r="S86" s="680"/>
      <c r="T86" s="685">
        <v>-9</v>
      </c>
      <c r="U86" s="679">
        <v>-9</v>
      </c>
      <c r="V86" s="680">
        <f t="shared" si="25"/>
        <v>0</v>
      </c>
      <c r="W86" s="685">
        <v>4.3853053094524892</v>
      </c>
      <c r="X86" s="679">
        <v>8.4244522231992782</v>
      </c>
      <c r="Y86" s="680">
        <f>IF(W86=0, "    ---- ", IF(ABS(ROUND(100/W86*X86-100,1))&lt;999,ROUND(100/W86*X86-100,1),IF(ROUND(100/W86*X86-100,1)&gt;999,999,-999)))</f>
        <v>92.1</v>
      </c>
      <c r="Z86" s="685"/>
      <c r="AA86" s="679"/>
      <c r="AB86" s="680"/>
      <c r="AC86" s="685"/>
      <c r="AD86" s="679"/>
      <c r="AE86" s="680"/>
      <c r="AF86" s="685">
        <v>7.5999999999999998E-2</v>
      </c>
      <c r="AG86" s="679">
        <v>-45.951000000000001</v>
      </c>
      <c r="AH86" s="680">
        <f>IF(AF86=0, "    ---- ", IF(ABS(ROUND(100/AF86*AG86-100,1))&lt;999,ROUND(100/AF86*AG86-100,1),IF(ROUND(100/AF86*AG86-100,1)&gt;999,999,-999)))</f>
        <v>-999</v>
      </c>
      <c r="AI86" s="685">
        <v>119.73</v>
      </c>
      <c r="AJ86" s="679">
        <v>139.19999999999999</v>
      </c>
      <c r="AK86" s="680">
        <f>IF(AI86=0, "    ---- ", IF(ABS(ROUND(100/AI86*AJ86-100,1))&lt;999,ROUND(100/AI86*AJ86-100,1),IF(ROUND(100/AI86*AJ86-100,1)&gt;999,999,-999)))</f>
        <v>16.3</v>
      </c>
      <c r="AL86" s="679">
        <f t="shared" si="21"/>
        <v>254.1073053094525</v>
      </c>
      <c r="AM86" s="679">
        <f t="shared" si="21"/>
        <v>227.87345222319925</v>
      </c>
      <c r="AN86" s="680">
        <f t="shared" si="11"/>
        <v>-10.3</v>
      </c>
      <c r="AO86" s="637">
        <f t="shared" si="22"/>
        <v>254.1073053094525</v>
      </c>
      <c r="AP86" s="637">
        <f t="shared" si="22"/>
        <v>227.87345222319925</v>
      </c>
      <c r="AQ86" s="680">
        <f t="shared" si="12"/>
        <v>-10.3</v>
      </c>
      <c r="AR86" s="661"/>
      <c r="AS86" s="661"/>
      <c r="AT86" s="656"/>
      <c r="AU86" s="656"/>
    </row>
    <row r="87" spans="1:47" s="681" customFormat="1" ht="18.75" customHeight="1" x14ac:dyDescent="0.3">
      <c r="A87" s="629" t="s">
        <v>380</v>
      </c>
      <c r="B87" s="685"/>
      <c r="C87" s="679"/>
      <c r="D87" s="679"/>
      <c r="E87" s="685"/>
      <c r="F87" s="679"/>
      <c r="G87" s="680"/>
      <c r="H87" s="685"/>
      <c r="I87" s="679"/>
      <c r="J87" s="680"/>
      <c r="K87" s="685"/>
      <c r="L87" s="679"/>
      <c r="M87" s="679"/>
      <c r="N87" s="685"/>
      <c r="O87" s="679"/>
      <c r="P87" s="680"/>
      <c r="Q87" s="685"/>
      <c r="R87" s="679"/>
      <c r="S87" s="680"/>
      <c r="T87" s="685"/>
      <c r="U87" s="679"/>
      <c r="V87" s="680"/>
      <c r="W87" s="685">
        <v>0</v>
      </c>
      <c r="X87" s="679">
        <v>0</v>
      </c>
      <c r="Y87" s="680" t="str">
        <f>IF(W87=0, "    ---- ", IF(ABS(ROUND(100/W87*X87-100,1))&lt;999,ROUND(100/W87*X87-100,1),IF(ROUND(100/W87*X87-100,1)&gt;999,999,-999)))</f>
        <v xml:space="preserve">    ---- </v>
      </c>
      <c r="Z87" s="685"/>
      <c r="AA87" s="679"/>
      <c r="AB87" s="680"/>
      <c r="AC87" s="685"/>
      <c r="AD87" s="679"/>
      <c r="AE87" s="680"/>
      <c r="AF87" s="685"/>
      <c r="AG87" s="679"/>
      <c r="AH87" s="680"/>
      <c r="AI87" s="685"/>
      <c r="AJ87" s="679"/>
      <c r="AK87" s="680"/>
      <c r="AL87" s="679">
        <f t="shared" si="21"/>
        <v>0</v>
      </c>
      <c r="AM87" s="679">
        <f t="shared" si="21"/>
        <v>0</v>
      </c>
      <c r="AN87" s="680" t="str">
        <f t="shared" si="11"/>
        <v xml:space="preserve">    ---- </v>
      </c>
      <c r="AO87" s="637">
        <f t="shared" si="22"/>
        <v>0</v>
      </c>
      <c r="AP87" s="637">
        <f t="shared" si="22"/>
        <v>0</v>
      </c>
      <c r="AQ87" s="680" t="str">
        <f t="shared" si="12"/>
        <v xml:space="preserve">    ---- </v>
      </c>
      <c r="AR87" s="661"/>
      <c r="AS87" s="661"/>
      <c r="AT87" s="656"/>
      <c r="AU87" s="656"/>
    </row>
    <row r="88" spans="1:47" s="681" customFormat="1" ht="18.75" customHeight="1" x14ac:dyDescent="0.3">
      <c r="A88" s="629" t="s">
        <v>381</v>
      </c>
      <c r="B88" s="685"/>
      <c r="C88" s="679"/>
      <c r="D88" s="679"/>
      <c r="E88" s="685"/>
      <c r="F88" s="679"/>
      <c r="G88" s="680"/>
      <c r="H88" s="685"/>
      <c r="I88" s="679"/>
      <c r="J88" s="680"/>
      <c r="K88" s="685"/>
      <c r="L88" s="679"/>
      <c r="M88" s="679"/>
      <c r="N88" s="685"/>
      <c r="O88" s="679"/>
      <c r="P88" s="680"/>
      <c r="Q88" s="685"/>
      <c r="R88" s="679"/>
      <c r="S88" s="680"/>
      <c r="T88" s="685"/>
      <c r="U88" s="679"/>
      <c r="V88" s="680"/>
      <c r="W88" s="685"/>
      <c r="X88" s="679"/>
      <c r="Y88" s="680"/>
      <c r="Z88" s="685"/>
      <c r="AA88" s="679"/>
      <c r="AB88" s="680"/>
      <c r="AC88" s="685"/>
      <c r="AD88" s="679"/>
      <c r="AE88" s="680"/>
      <c r="AF88" s="685"/>
      <c r="AG88" s="679"/>
      <c r="AH88" s="680"/>
      <c r="AI88" s="685"/>
      <c r="AJ88" s="679"/>
      <c r="AK88" s="680"/>
      <c r="AL88" s="679">
        <f t="shared" si="21"/>
        <v>0</v>
      </c>
      <c r="AM88" s="679">
        <f t="shared" si="21"/>
        <v>0</v>
      </c>
      <c r="AN88" s="680" t="str">
        <f t="shared" si="11"/>
        <v xml:space="preserve">    ---- </v>
      </c>
      <c r="AO88" s="637">
        <f t="shared" si="22"/>
        <v>0</v>
      </c>
      <c r="AP88" s="637">
        <f t="shared" si="22"/>
        <v>0</v>
      </c>
      <c r="AQ88" s="680" t="str">
        <f t="shared" si="12"/>
        <v xml:space="preserve">    ---- </v>
      </c>
      <c r="AR88" s="661"/>
      <c r="AS88" s="661"/>
      <c r="AT88" s="656"/>
      <c r="AU88" s="656"/>
    </row>
    <row r="89" spans="1:47" s="681" customFormat="1" ht="18.75" customHeight="1" x14ac:dyDescent="0.3">
      <c r="A89" s="629" t="s">
        <v>382</v>
      </c>
      <c r="B89" s="685"/>
      <c r="C89" s="679"/>
      <c r="D89" s="679"/>
      <c r="E89" s="685">
        <v>165.05</v>
      </c>
      <c r="F89" s="679">
        <v>181</v>
      </c>
      <c r="G89" s="680">
        <f t="shared" ref="G89:G94" si="26">IF(E89=0, "    ---- ", IF(ABS(ROUND(100/E89*F89-100,1))&lt;999,ROUND(100/E89*F89-100,1),IF(ROUND(100/E89*F89-100,1)&gt;999,999,-999)))</f>
        <v>9.6999999999999993</v>
      </c>
      <c r="H89" s="685"/>
      <c r="I89" s="679"/>
      <c r="J89" s="680"/>
      <c r="K89" s="685">
        <v>0.107</v>
      </c>
      <c r="L89" s="679">
        <v>31.1</v>
      </c>
      <c r="M89" s="679">
        <f>IF(K89=0, "    ---- ", IF(ABS(ROUND(100/K89*L89-100,1))&lt;999,ROUND(100/K89*L89-100,1),IF(ROUND(100/K89*L89-100,1)&gt;999,999,-999)))</f>
        <v>999</v>
      </c>
      <c r="N89" s="685"/>
      <c r="O89" s="679"/>
      <c r="P89" s="680"/>
      <c r="Q89" s="685"/>
      <c r="R89" s="679"/>
      <c r="S89" s="680"/>
      <c r="T89" s="685"/>
      <c r="U89" s="679"/>
      <c r="V89" s="680"/>
      <c r="W89" s="685">
        <v>33.454789694915803</v>
      </c>
      <c r="X89" s="679">
        <v>-8.5286539552989904</v>
      </c>
      <c r="Y89" s="680">
        <f t="shared" ref="Y89:Y94" si="27">IF(W89=0, "    ---- ", IF(ABS(ROUND(100/W89*X89-100,1))&lt;999,ROUND(100/W89*X89-100,1),IF(ROUND(100/W89*X89-100,1)&gt;999,999,-999)))</f>
        <v>-125.5</v>
      </c>
      <c r="Z89" s="685"/>
      <c r="AA89" s="679"/>
      <c r="AB89" s="680"/>
      <c r="AC89" s="685"/>
      <c r="AD89" s="679"/>
      <c r="AE89" s="680"/>
      <c r="AF89" s="685">
        <v>10.404999999999999</v>
      </c>
      <c r="AG89" s="679">
        <v>64.453000000000003</v>
      </c>
      <c r="AH89" s="680">
        <f>IF(AF89=0, "    ---- ", IF(ABS(ROUND(100/AF89*AG89-100,1))&lt;999,ROUND(100/AF89*AG89-100,1),IF(ROUND(100/AF89*AG89-100,1)&gt;999,999,-999)))</f>
        <v>519.4</v>
      </c>
      <c r="AI89" s="685">
        <v>0.87</v>
      </c>
      <c r="AJ89" s="679">
        <v>414.4</v>
      </c>
      <c r="AK89" s="680">
        <f t="shared" ref="AK89:AK94" si="28">IF(AI89=0, "    ---- ", IF(ABS(ROUND(100/AI89*AJ89-100,1))&lt;999,ROUND(100/AI89*AJ89-100,1),IF(ROUND(100/AI89*AJ89-100,1)&gt;999,999,-999)))</f>
        <v>999</v>
      </c>
      <c r="AL89" s="679">
        <f t="shared" si="21"/>
        <v>209.88678969491582</v>
      </c>
      <c r="AM89" s="679">
        <f t="shared" si="21"/>
        <v>682.424346044701</v>
      </c>
      <c r="AN89" s="680">
        <f t="shared" si="11"/>
        <v>225.1</v>
      </c>
      <c r="AO89" s="637">
        <f t="shared" si="22"/>
        <v>209.88678969491582</v>
      </c>
      <c r="AP89" s="637">
        <f t="shared" si="22"/>
        <v>682.424346044701</v>
      </c>
      <c r="AQ89" s="680">
        <f t="shared" si="12"/>
        <v>225.1</v>
      </c>
      <c r="AR89" s="661"/>
      <c r="AS89" s="661"/>
      <c r="AT89" s="656"/>
      <c r="AU89" s="656"/>
    </row>
    <row r="90" spans="1:47" s="681" customFormat="1" ht="18.75" customHeight="1" x14ac:dyDescent="0.3">
      <c r="A90" s="629" t="s">
        <v>383</v>
      </c>
      <c r="B90" s="685"/>
      <c r="C90" s="679"/>
      <c r="D90" s="679"/>
      <c r="E90" s="685"/>
      <c r="F90" s="679"/>
      <c r="G90" s="680"/>
      <c r="H90" s="685"/>
      <c r="I90" s="679"/>
      <c r="J90" s="680"/>
      <c r="K90" s="685"/>
      <c r="L90" s="679">
        <v>15.3</v>
      </c>
      <c r="M90" s="679" t="str">
        <f>IF(K90=0, "    ---- ", IF(ABS(ROUND(100/K90*L90-100,1))&lt;999,ROUND(100/K90*L90-100,1),IF(ROUND(100/K90*L90-100,1)&gt;999,999,-999)))</f>
        <v xml:space="preserve">    ---- </v>
      </c>
      <c r="N90" s="685"/>
      <c r="O90" s="679"/>
      <c r="P90" s="680"/>
      <c r="Q90" s="685"/>
      <c r="R90" s="679"/>
      <c r="S90" s="680"/>
      <c r="T90" s="685"/>
      <c r="U90" s="679"/>
      <c r="V90" s="680"/>
      <c r="W90" s="685">
        <v>69.634674392699139</v>
      </c>
      <c r="X90" s="679">
        <v>45.561069237803714</v>
      </c>
      <c r="Y90" s="680">
        <f t="shared" si="27"/>
        <v>-34.6</v>
      </c>
      <c r="Z90" s="685"/>
      <c r="AA90" s="679"/>
      <c r="AB90" s="680"/>
      <c r="AC90" s="685"/>
      <c r="AD90" s="679"/>
      <c r="AE90" s="680"/>
      <c r="AF90" s="685"/>
      <c r="AG90" s="679"/>
      <c r="AH90" s="680"/>
      <c r="AI90" s="685"/>
      <c r="AJ90" s="679">
        <v>206.6</v>
      </c>
      <c r="AK90" s="680" t="str">
        <f t="shared" si="28"/>
        <v xml:space="preserve">    ---- </v>
      </c>
      <c r="AL90" s="679">
        <f t="shared" si="21"/>
        <v>69.634674392699139</v>
      </c>
      <c r="AM90" s="679">
        <f t="shared" si="21"/>
        <v>267.46106923780371</v>
      </c>
      <c r="AN90" s="680">
        <f t="shared" si="11"/>
        <v>284.10000000000002</v>
      </c>
      <c r="AO90" s="637">
        <f t="shared" si="22"/>
        <v>69.634674392699139</v>
      </c>
      <c r="AP90" s="637">
        <f t="shared" si="22"/>
        <v>267.46106923780371</v>
      </c>
      <c r="AQ90" s="680">
        <f t="shared" si="12"/>
        <v>284.10000000000002</v>
      </c>
      <c r="AR90" s="661"/>
      <c r="AS90" s="661"/>
      <c r="AT90" s="656"/>
      <c r="AU90" s="656"/>
    </row>
    <row r="91" spans="1:47" s="681" customFormat="1" ht="18.75" customHeight="1" x14ac:dyDescent="0.3">
      <c r="A91" s="629" t="s">
        <v>384</v>
      </c>
      <c r="B91" s="685"/>
      <c r="C91" s="679"/>
      <c r="D91" s="679"/>
      <c r="E91" s="685"/>
      <c r="F91" s="679"/>
      <c r="G91" s="680"/>
      <c r="H91" s="685"/>
      <c r="I91" s="679"/>
      <c r="J91" s="680"/>
      <c r="K91" s="685">
        <v>0.48899999999999999</v>
      </c>
      <c r="L91" s="679"/>
      <c r="M91" s="679"/>
      <c r="N91" s="685"/>
      <c r="O91" s="679"/>
      <c r="P91" s="680"/>
      <c r="Q91" s="685"/>
      <c r="R91" s="679"/>
      <c r="S91" s="680"/>
      <c r="T91" s="685">
        <v>3</v>
      </c>
      <c r="U91" s="679">
        <v>2</v>
      </c>
      <c r="V91" s="680">
        <f t="shared" ref="V91:V106" si="29">IF(T91=0, "    ---- ", IF(ABS(ROUND(100/T91*U91-100,1))&lt;999,ROUND(100/T91*U91-100,1),IF(ROUND(100/T91*U91-100,1)&gt;999,999,-999)))</f>
        <v>-33.299999999999997</v>
      </c>
      <c r="W91" s="685">
        <v>-201.283357</v>
      </c>
      <c r="X91" s="679">
        <v>-285.16673300000002</v>
      </c>
      <c r="Y91" s="680">
        <f t="shared" si="27"/>
        <v>41.7</v>
      </c>
      <c r="Z91" s="685"/>
      <c r="AA91" s="679"/>
      <c r="AB91" s="680"/>
      <c r="AC91" s="685"/>
      <c r="AD91" s="679"/>
      <c r="AE91" s="680"/>
      <c r="AF91" s="685"/>
      <c r="AG91" s="679"/>
      <c r="AH91" s="680"/>
      <c r="AI91" s="685">
        <v>-3.42</v>
      </c>
      <c r="AJ91" s="679">
        <v>149.4</v>
      </c>
      <c r="AK91" s="680">
        <f t="shared" si="28"/>
        <v>-999</v>
      </c>
      <c r="AL91" s="679">
        <f t="shared" si="21"/>
        <v>-201.21435699999998</v>
      </c>
      <c r="AM91" s="679">
        <f t="shared" si="21"/>
        <v>-133.76673300000002</v>
      </c>
      <c r="AN91" s="680">
        <f t="shared" si="11"/>
        <v>-33.5</v>
      </c>
      <c r="AO91" s="637">
        <f t="shared" si="22"/>
        <v>-201.21435699999998</v>
      </c>
      <c r="AP91" s="637">
        <f t="shared" si="22"/>
        <v>-133.76673300000002</v>
      </c>
      <c r="AQ91" s="680">
        <f t="shared" si="12"/>
        <v>-33.5</v>
      </c>
      <c r="AR91" s="661"/>
      <c r="AS91" s="661"/>
      <c r="AT91" s="656"/>
      <c r="AU91" s="656"/>
    </row>
    <row r="92" spans="1:47" s="684" customFormat="1" ht="18.75" customHeight="1" x14ac:dyDescent="0.3">
      <c r="A92" s="623" t="s">
        <v>385</v>
      </c>
      <c r="B92" s="686"/>
      <c r="C92" s="677"/>
      <c r="D92" s="677"/>
      <c r="E92" s="686">
        <v>890.73</v>
      </c>
      <c r="F92" s="677">
        <v>781</v>
      </c>
      <c r="G92" s="678">
        <f t="shared" si="26"/>
        <v>-12.3</v>
      </c>
      <c r="H92" s="686"/>
      <c r="I92" s="677"/>
      <c r="J92" s="678"/>
      <c r="K92" s="686">
        <v>9.3030000000000008</v>
      </c>
      <c r="L92" s="677">
        <v>109.1</v>
      </c>
      <c r="M92" s="677">
        <f>IF(K92=0, "    ---- ", IF(ABS(ROUND(100/K92*L92-100,1))&lt;999,ROUND(100/K92*L92-100,1),IF(ROUND(100/K92*L92-100,1)&gt;999,999,-999)))</f>
        <v>999</v>
      </c>
      <c r="N92" s="686"/>
      <c r="O92" s="677"/>
      <c r="P92" s="678"/>
      <c r="Q92" s="686"/>
      <c r="R92" s="677"/>
      <c r="S92" s="678"/>
      <c r="T92" s="686">
        <v>4</v>
      </c>
      <c r="U92" s="677">
        <v>4</v>
      </c>
      <c r="V92" s="680">
        <f t="shared" si="29"/>
        <v>0</v>
      </c>
      <c r="W92" s="686">
        <v>-3.0773225639169368</v>
      </c>
      <c r="X92" s="677">
        <v>-2.2269373679652062</v>
      </c>
      <c r="Y92" s="678">
        <f t="shared" si="27"/>
        <v>-27.6</v>
      </c>
      <c r="Z92" s="686"/>
      <c r="AA92" s="677"/>
      <c r="AB92" s="678"/>
      <c r="AC92" s="686"/>
      <c r="AD92" s="677"/>
      <c r="AE92" s="678"/>
      <c r="AF92" s="686">
        <v>25.803000000000004</v>
      </c>
      <c r="AG92" s="677">
        <v>43.713999999999992</v>
      </c>
      <c r="AH92" s="678">
        <f>IF(AF92=0, "    ---- ", IF(ABS(ROUND(100/AF92*AG92-100,1))&lt;999,ROUND(100/AF92*AG92-100,1),IF(ROUND(100/AF92*AG92-100,1)&gt;999,999,-999)))</f>
        <v>69.400000000000006</v>
      </c>
      <c r="AI92" s="686">
        <v>1655.4999999999998</v>
      </c>
      <c r="AJ92" s="677">
        <v>804.9</v>
      </c>
      <c r="AK92" s="678">
        <f t="shared" si="28"/>
        <v>-51.4</v>
      </c>
      <c r="AL92" s="677">
        <f t="shared" si="21"/>
        <v>2582.258677436083</v>
      </c>
      <c r="AM92" s="677">
        <f t="shared" si="21"/>
        <v>1740.4870626320348</v>
      </c>
      <c r="AN92" s="678">
        <f t="shared" si="11"/>
        <v>-32.6</v>
      </c>
      <c r="AO92" s="637">
        <f t="shared" si="22"/>
        <v>2582.258677436083</v>
      </c>
      <c r="AP92" s="637">
        <f t="shared" si="22"/>
        <v>1740.4870626320348</v>
      </c>
      <c r="AQ92" s="678">
        <f t="shared" si="12"/>
        <v>-32.6</v>
      </c>
      <c r="AR92" s="682" t="e">
        <f>B92,C92,E92,F92,H92,I92,K92,L92,N92,O92,Q92,R92,T92,U92,W92,X92,Z92,AA92,AC92,AD92,#REF!,#REF!,AF92,AG92,AI92,AJ92,AL92,AM92,AO92,AP92</f>
        <v>#REF!</v>
      </c>
      <c r="AS92" s="659"/>
      <c r="AT92" s="683"/>
      <c r="AU92" s="683"/>
    </row>
    <row r="93" spans="1:47" s="681" customFormat="1" ht="18.75" customHeight="1" x14ac:dyDescent="0.3">
      <c r="A93" s="629" t="s">
        <v>386</v>
      </c>
      <c r="B93" s="685"/>
      <c r="C93" s="679"/>
      <c r="D93" s="679"/>
      <c r="E93" s="685">
        <v>667.82</v>
      </c>
      <c r="F93" s="679">
        <v>453</v>
      </c>
      <c r="G93" s="680">
        <f t="shared" si="26"/>
        <v>-32.200000000000003</v>
      </c>
      <c r="H93" s="685"/>
      <c r="I93" s="679"/>
      <c r="J93" s="680"/>
      <c r="K93" s="685">
        <v>19.215</v>
      </c>
      <c r="L93" s="679">
        <v>103.7</v>
      </c>
      <c r="M93" s="679">
        <f>IF(K93=0, "    ---- ", IF(ABS(ROUND(100/K93*L93-100,1))&lt;999,ROUND(100/K93*L93-100,1),IF(ROUND(100/K93*L93-100,1)&gt;999,999,-999)))</f>
        <v>439.7</v>
      </c>
      <c r="N93" s="685"/>
      <c r="O93" s="679"/>
      <c r="P93" s="680"/>
      <c r="Q93" s="685"/>
      <c r="R93" s="679"/>
      <c r="S93" s="680"/>
      <c r="T93" s="685">
        <v>8</v>
      </c>
      <c r="U93" s="679">
        <v>10</v>
      </c>
      <c r="V93" s="680">
        <f t="shared" si="29"/>
        <v>25</v>
      </c>
      <c r="W93" s="685">
        <v>16.183565813439252</v>
      </c>
      <c r="X93" s="679">
        <v>33.481790654125568</v>
      </c>
      <c r="Y93" s="680">
        <f t="shared" si="27"/>
        <v>106.9</v>
      </c>
      <c r="Z93" s="685"/>
      <c r="AA93" s="679"/>
      <c r="AB93" s="680"/>
      <c r="AC93" s="685"/>
      <c r="AD93" s="679"/>
      <c r="AE93" s="680"/>
      <c r="AF93" s="685">
        <v>17.327000000000002</v>
      </c>
      <c r="AG93" s="679">
        <v>52.48</v>
      </c>
      <c r="AH93" s="680">
        <f>IF(AF93=0, "    ---- ", IF(ABS(ROUND(100/AF93*AG93-100,1))&lt;999,ROUND(100/AF93*AG93-100,1),IF(ROUND(100/AF93*AG93-100,1)&gt;999,999,-999)))</f>
        <v>202.9</v>
      </c>
      <c r="AI93" s="685">
        <v>1533.75</v>
      </c>
      <c r="AJ93" s="679">
        <v>298</v>
      </c>
      <c r="AK93" s="680">
        <f t="shared" si="28"/>
        <v>-80.599999999999994</v>
      </c>
      <c r="AL93" s="679">
        <f t="shared" si="21"/>
        <v>2262.2955658134392</v>
      </c>
      <c r="AM93" s="679">
        <f t="shared" si="21"/>
        <v>950.66179065412564</v>
      </c>
      <c r="AN93" s="680">
        <f t="shared" si="11"/>
        <v>-58</v>
      </c>
      <c r="AO93" s="637">
        <f t="shared" si="22"/>
        <v>2262.2955658134392</v>
      </c>
      <c r="AP93" s="637">
        <f t="shared" si="22"/>
        <v>950.66179065412564</v>
      </c>
      <c r="AQ93" s="680">
        <f t="shared" si="12"/>
        <v>-58</v>
      </c>
      <c r="AR93" s="661"/>
      <c r="AS93" s="661"/>
      <c r="AT93" s="656"/>
      <c r="AU93" s="656"/>
    </row>
    <row r="94" spans="1:47" s="681" customFormat="1" ht="18.75" customHeight="1" x14ac:dyDescent="0.3">
      <c r="A94" s="629" t="s">
        <v>387</v>
      </c>
      <c r="B94" s="685"/>
      <c r="C94" s="679"/>
      <c r="D94" s="679"/>
      <c r="E94" s="685">
        <v>222.91</v>
      </c>
      <c r="F94" s="679">
        <v>328</v>
      </c>
      <c r="G94" s="680">
        <f t="shared" si="26"/>
        <v>47.1</v>
      </c>
      <c r="H94" s="685"/>
      <c r="I94" s="679"/>
      <c r="J94" s="680"/>
      <c r="K94" s="685">
        <v>-9.9120000000000008</v>
      </c>
      <c r="L94" s="679">
        <v>5.4</v>
      </c>
      <c r="M94" s="679">
        <f>IF(K94=0, "    ---- ", IF(ABS(ROUND(100/K94*L94-100,1))&lt;999,ROUND(100/K94*L94-100,1),IF(ROUND(100/K94*L94-100,1)&gt;999,999,-999)))</f>
        <v>-154.5</v>
      </c>
      <c r="N94" s="685"/>
      <c r="O94" s="679"/>
      <c r="P94" s="680"/>
      <c r="Q94" s="685"/>
      <c r="R94" s="679"/>
      <c r="S94" s="680"/>
      <c r="T94" s="685">
        <v>-4</v>
      </c>
      <c r="U94" s="679">
        <v>-6</v>
      </c>
      <c r="V94" s="680">
        <f t="shared" si="29"/>
        <v>50</v>
      </c>
      <c r="W94" s="685">
        <v>-19.260888377356189</v>
      </c>
      <c r="X94" s="679">
        <v>-35.708728022090774</v>
      </c>
      <c r="Y94" s="680">
        <f t="shared" si="27"/>
        <v>85.4</v>
      </c>
      <c r="Z94" s="685"/>
      <c r="AA94" s="679"/>
      <c r="AB94" s="680"/>
      <c r="AC94" s="685"/>
      <c r="AD94" s="679"/>
      <c r="AE94" s="680"/>
      <c r="AF94" s="685">
        <v>8.4760000000000009</v>
      </c>
      <c r="AG94" s="679">
        <v>-8.766</v>
      </c>
      <c r="AH94" s="680">
        <f>IF(AF94=0, "    ---- ", IF(ABS(ROUND(100/AF94*AG94-100,1))&lt;999,ROUND(100/AF94*AG94-100,1),IF(ROUND(100/AF94*AG94-100,1)&gt;999,999,-999)))</f>
        <v>-203.4</v>
      </c>
      <c r="AI94" s="685">
        <v>121.75</v>
      </c>
      <c r="AJ94" s="679">
        <v>506.8</v>
      </c>
      <c r="AK94" s="680">
        <f t="shared" si="28"/>
        <v>316.3</v>
      </c>
      <c r="AL94" s="679">
        <f t="shared" si="21"/>
        <v>319.96311162264379</v>
      </c>
      <c r="AM94" s="679">
        <f t="shared" si="21"/>
        <v>789.72527197790919</v>
      </c>
      <c r="AN94" s="680">
        <f t="shared" si="11"/>
        <v>146.80000000000001</v>
      </c>
      <c r="AO94" s="637">
        <f t="shared" si="22"/>
        <v>319.96311162264379</v>
      </c>
      <c r="AP94" s="637">
        <f t="shared" si="22"/>
        <v>789.72527197790919</v>
      </c>
      <c r="AQ94" s="680">
        <f t="shared" si="12"/>
        <v>146.80000000000001</v>
      </c>
      <c r="AR94" s="661"/>
      <c r="AS94" s="661"/>
      <c r="AT94" s="656"/>
      <c r="AU94" s="656"/>
    </row>
    <row r="95" spans="1:47" s="681" customFormat="1" ht="18.75" customHeight="1" x14ac:dyDescent="0.3">
      <c r="A95" s="623" t="s">
        <v>404</v>
      </c>
      <c r="B95" s="685"/>
      <c r="C95" s="679"/>
      <c r="D95" s="679"/>
      <c r="E95" s="685"/>
      <c r="F95" s="679"/>
      <c r="G95" s="680"/>
      <c r="H95" s="685"/>
      <c r="I95" s="679"/>
      <c r="J95" s="680"/>
      <c r="K95" s="685"/>
      <c r="L95" s="679"/>
      <c r="M95" s="679"/>
      <c r="N95" s="685"/>
      <c r="O95" s="679"/>
      <c r="P95" s="680"/>
      <c r="Q95" s="685"/>
      <c r="R95" s="679"/>
      <c r="S95" s="680"/>
      <c r="T95" s="685"/>
      <c r="U95" s="679"/>
      <c r="V95" s="680"/>
      <c r="W95" s="685"/>
      <c r="X95" s="679"/>
      <c r="Y95" s="680"/>
      <c r="Z95" s="685"/>
      <c r="AA95" s="679"/>
      <c r="AB95" s="680"/>
      <c r="AC95" s="685"/>
      <c r="AD95" s="679"/>
      <c r="AE95" s="680"/>
      <c r="AF95" s="685"/>
      <c r="AG95" s="679"/>
      <c r="AH95" s="680"/>
      <c r="AI95" s="685"/>
      <c r="AJ95" s="679"/>
      <c r="AK95" s="680"/>
      <c r="AL95" s="679">
        <f t="shared" si="21"/>
        <v>0</v>
      </c>
      <c r="AM95" s="679">
        <f t="shared" si="21"/>
        <v>0</v>
      </c>
      <c r="AN95" s="680"/>
      <c r="AO95" s="637">
        <f t="shared" si="22"/>
        <v>0</v>
      </c>
      <c r="AP95" s="637">
        <f t="shared" si="22"/>
        <v>0</v>
      </c>
      <c r="AQ95" s="680"/>
      <c r="AR95" s="661"/>
      <c r="AS95" s="661"/>
      <c r="AT95" s="656"/>
      <c r="AU95" s="656"/>
    </row>
    <row r="96" spans="1:47" s="681" customFormat="1" ht="18.75" customHeight="1" x14ac:dyDescent="0.3">
      <c r="A96" s="629" t="s">
        <v>377</v>
      </c>
      <c r="B96" s="685"/>
      <c r="C96" s="679">
        <v>1.8109999999999999</v>
      </c>
      <c r="D96" s="680" t="str">
        <f>IF(B96=0, "    ---- ", IF(ABS(ROUND(100/B96*C96-100,1))&lt;999,ROUND(100/B96*C96-100,1),IF(ROUND(100/B96*C96-100,1)&gt;999,999,-999)))</f>
        <v xml:space="preserve">    ---- </v>
      </c>
      <c r="E96" s="685">
        <v>85.71</v>
      </c>
      <c r="F96" s="679">
        <v>30</v>
      </c>
      <c r="G96" s="680">
        <f>IF(E96=0, "    ---- ", IF(ABS(ROUND(100/E96*F96-100,1))&lt;999,ROUND(100/E96*F96-100,1),IF(ROUND(100/E96*F96-100,1)&gt;999,999,-999)))</f>
        <v>-65</v>
      </c>
      <c r="H96" s="685"/>
      <c r="I96" s="679"/>
      <c r="J96" s="680"/>
      <c r="K96" s="685"/>
      <c r="L96" s="679"/>
      <c r="M96" s="679"/>
      <c r="N96" s="685"/>
      <c r="O96" s="679"/>
      <c r="P96" s="680"/>
      <c r="Q96" s="685"/>
      <c r="R96" s="679"/>
      <c r="S96" s="680"/>
      <c r="T96" s="685">
        <v>3</v>
      </c>
      <c r="U96" s="679">
        <v>1</v>
      </c>
      <c r="V96" s="680">
        <f t="shared" si="29"/>
        <v>-66.7</v>
      </c>
      <c r="W96" s="685">
        <v>29.545053326502881</v>
      </c>
      <c r="X96" s="679">
        <v>26.668966059275938</v>
      </c>
      <c r="Y96" s="680">
        <f>IF(W96=0, "    ---- ", IF(ABS(ROUND(100/W96*X96-100,1))&lt;999,ROUND(100/W96*X96-100,1),IF(ROUND(100/W96*X96-100,1)&gt;999,999,-999)))</f>
        <v>-9.6999999999999993</v>
      </c>
      <c r="Z96" s="685"/>
      <c r="AA96" s="679"/>
      <c r="AB96" s="680"/>
      <c r="AC96" s="685"/>
      <c r="AD96" s="679"/>
      <c r="AE96" s="680"/>
      <c r="AF96" s="685">
        <v>2.234</v>
      </c>
      <c r="AG96" s="679">
        <v>0.435</v>
      </c>
      <c r="AH96" s="680">
        <f>IF(AF96=0, "    ---- ", IF(ABS(ROUND(100/AF96*AG96-100,1))&lt;999,ROUND(100/AF96*AG96-100,1),IF(ROUND(100/AF96*AG96-100,1)&gt;999,999,-999)))</f>
        <v>-80.5</v>
      </c>
      <c r="AI96" s="685">
        <v>43.55</v>
      </c>
      <c r="AJ96" s="679">
        <v>20.2</v>
      </c>
      <c r="AK96" s="680">
        <f>IF(AI96=0, "    ---- ", IF(ABS(ROUND(100/AI96*AJ96-100,1))&lt;999,ROUND(100/AI96*AJ96-100,1),IF(ROUND(100/AI96*AJ96-100,1)&gt;999,999,-999)))</f>
        <v>-53.6</v>
      </c>
      <c r="AL96" s="679">
        <f t="shared" si="21"/>
        <v>164.03905332650288</v>
      </c>
      <c r="AM96" s="679">
        <f t="shared" si="21"/>
        <v>80.114966059275943</v>
      </c>
      <c r="AN96" s="680">
        <f t="shared" si="11"/>
        <v>-51.2</v>
      </c>
      <c r="AO96" s="637">
        <f t="shared" si="22"/>
        <v>164.03905332650288</v>
      </c>
      <c r="AP96" s="637">
        <f t="shared" si="22"/>
        <v>80.114966059275943</v>
      </c>
      <c r="AQ96" s="680">
        <f t="shared" si="12"/>
        <v>-51.2</v>
      </c>
      <c r="AR96" s="661"/>
      <c r="AS96" s="661"/>
      <c r="AT96" s="656"/>
      <c r="AU96" s="656"/>
    </row>
    <row r="97" spans="1:47" s="681" customFormat="1" ht="18.75" customHeight="1" x14ac:dyDescent="0.3">
      <c r="A97" s="629" t="s">
        <v>378</v>
      </c>
      <c r="B97" s="685"/>
      <c r="C97" s="679"/>
      <c r="D97" s="679"/>
      <c r="E97" s="685">
        <v>0</v>
      </c>
      <c r="F97" s="679">
        <v>0</v>
      </c>
      <c r="G97" s="680" t="str">
        <f>IF(E97=0, "    ---- ", IF(ABS(ROUND(100/E97*F97-100,1))&lt;999,ROUND(100/E97*F97-100,1),IF(ROUND(100/E97*F97-100,1)&gt;999,999,-999)))</f>
        <v xml:space="preserve">    ---- </v>
      </c>
      <c r="H97" s="685"/>
      <c r="I97" s="679"/>
      <c r="J97" s="680"/>
      <c r="K97" s="685"/>
      <c r="L97" s="679"/>
      <c r="M97" s="679"/>
      <c r="N97" s="685"/>
      <c r="O97" s="679"/>
      <c r="P97" s="680"/>
      <c r="Q97" s="685"/>
      <c r="R97" s="679"/>
      <c r="S97" s="680"/>
      <c r="T97" s="685">
        <v>-2</v>
      </c>
      <c r="U97" s="679">
        <v>0</v>
      </c>
      <c r="V97" s="680">
        <f t="shared" si="29"/>
        <v>-100</v>
      </c>
      <c r="W97" s="685"/>
      <c r="X97" s="679"/>
      <c r="Y97" s="680"/>
      <c r="Z97" s="685"/>
      <c r="AA97" s="679"/>
      <c r="AB97" s="680"/>
      <c r="AC97" s="685"/>
      <c r="AD97" s="679"/>
      <c r="AE97" s="680"/>
      <c r="AF97" s="685"/>
      <c r="AG97" s="679"/>
      <c r="AH97" s="680"/>
      <c r="AI97" s="685"/>
      <c r="AJ97" s="679"/>
      <c r="AK97" s="680"/>
      <c r="AL97" s="679">
        <f t="shared" si="21"/>
        <v>-2</v>
      </c>
      <c r="AM97" s="679">
        <f t="shared" si="21"/>
        <v>0</v>
      </c>
      <c r="AN97" s="680">
        <f t="shared" si="11"/>
        <v>-100</v>
      </c>
      <c r="AO97" s="637">
        <f t="shared" si="22"/>
        <v>-2</v>
      </c>
      <c r="AP97" s="637">
        <f t="shared" si="22"/>
        <v>0</v>
      </c>
      <c r="AQ97" s="680">
        <f t="shared" si="12"/>
        <v>-100</v>
      </c>
      <c r="AR97" s="661"/>
      <c r="AS97" s="661"/>
      <c r="AT97" s="656"/>
      <c r="AU97" s="656"/>
    </row>
    <row r="98" spans="1:47" s="681" customFormat="1" ht="18.75" customHeight="1" x14ac:dyDescent="0.3">
      <c r="A98" s="629" t="s">
        <v>379</v>
      </c>
      <c r="B98" s="685">
        <v>-6.8659999999999997</v>
      </c>
      <c r="C98" s="679">
        <v>-7.1890000000000001</v>
      </c>
      <c r="D98" s="680">
        <f>IF(B98=0, "    ---- ", IF(ABS(ROUND(100/B98*C98-100,1))&lt;999,ROUND(100/B98*C98-100,1),IF(ROUND(100/B98*C98-100,1)&gt;999,999,-999)))</f>
        <v>4.7</v>
      </c>
      <c r="E98" s="685">
        <v>-33.1</v>
      </c>
      <c r="F98" s="679">
        <v>-36</v>
      </c>
      <c r="G98" s="680">
        <f>IF(E98=0, "    ---- ", IF(ABS(ROUND(100/E98*F98-100,1))&lt;999,ROUND(100/E98*F98-100,1),IF(ROUND(100/E98*F98-100,1)&gt;999,999,-999)))</f>
        <v>8.8000000000000007</v>
      </c>
      <c r="H98" s="685"/>
      <c r="I98" s="679"/>
      <c r="J98" s="680"/>
      <c r="K98" s="685"/>
      <c r="L98" s="679"/>
      <c r="M98" s="679"/>
      <c r="N98" s="685"/>
      <c r="O98" s="679"/>
      <c r="P98" s="680"/>
      <c r="Q98" s="685"/>
      <c r="R98" s="679"/>
      <c r="S98" s="680"/>
      <c r="T98" s="685">
        <v>3</v>
      </c>
      <c r="U98" s="679">
        <v>4</v>
      </c>
      <c r="V98" s="680">
        <f t="shared" si="29"/>
        <v>33.299999999999997</v>
      </c>
      <c r="W98" s="685">
        <v>-27.72917585827151</v>
      </c>
      <c r="X98" s="679">
        <v>-37.654152315016987</v>
      </c>
      <c r="Y98" s="680">
        <f>IF(W98=0, "    ---- ", IF(ABS(ROUND(100/W98*X98-100,1))&lt;999,ROUND(100/W98*X98-100,1),IF(ROUND(100/W98*X98-100,1)&gt;999,999,-999)))</f>
        <v>35.799999999999997</v>
      </c>
      <c r="Z98" s="685"/>
      <c r="AA98" s="679"/>
      <c r="AB98" s="680"/>
      <c r="AC98" s="685"/>
      <c r="AD98" s="679"/>
      <c r="AE98" s="680"/>
      <c r="AF98" s="685">
        <v>-12.016999999999999</v>
      </c>
      <c r="AG98" s="679">
        <v>-28.009</v>
      </c>
      <c r="AH98" s="680">
        <f>IF(AF98=0, "    ---- ", IF(ABS(ROUND(100/AF98*AG98-100,1))&lt;999,ROUND(100/AF98*AG98-100,1),IF(ROUND(100/AF98*AG98-100,1)&gt;999,999,-999)))</f>
        <v>133.1</v>
      </c>
      <c r="AI98" s="685">
        <v>-27.57</v>
      </c>
      <c r="AJ98" s="679">
        <v>-36.299999999999997</v>
      </c>
      <c r="AK98" s="680">
        <f>IF(AI98=0, "    ---- ", IF(ABS(ROUND(100/AI98*AJ98-100,1))&lt;999,ROUND(100/AI98*AJ98-100,1),IF(ROUND(100/AI98*AJ98-100,1)&gt;999,999,-999)))</f>
        <v>31.7</v>
      </c>
      <c r="AL98" s="679">
        <f t="shared" si="21"/>
        <v>-104.2821758582715</v>
      </c>
      <c r="AM98" s="679">
        <f t="shared" si="21"/>
        <v>-141.15215231501699</v>
      </c>
      <c r="AN98" s="680">
        <f t="shared" si="11"/>
        <v>35.4</v>
      </c>
      <c r="AO98" s="637">
        <f t="shared" si="22"/>
        <v>-104.2821758582715</v>
      </c>
      <c r="AP98" s="637">
        <f t="shared" si="22"/>
        <v>-141.15215231501699</v>
      </c>
      <c r="AQ98" s="680">
        <f t="shared" si="12"/>
        <v>35.4</v>
      </c>
      <c r="AR98" s="661"/>
      <c r="AS98" s="661"/>
      <c r="AT98" s="656"/>
      <c r="AU98" s="656"/>
    </row>
    <row r="99" spans="1:47" s="681" customFormat="1" ht="18.75" customHeight="1" x14ac:dyDescent="0.3">
      <c r="A99" s="629" t="s">
        <v>380</v>
      </c>
      <c r="B99" s="685"/>
      <c r="C99" s="679"/>
      <c r="D99" s="679"/>
      <c r="E99" s="685">
        <v>0.23</v>
      </c>
      <c r="F99" s="679">
        <v>0</v>
      </c>
      <c r="G99" s="680">
        <f>IF(E99=0, "    ---- ", IF(ABS(ROUND(100/E99*F99-100,1))&lt;999,ROUND(100/E99*F99-100,1),IF(ROUND(100/E99*F99-100,1)&gt;999,999,-999)))</f>
        <v>-100</v>
      </c>
      <c r="H99" s="685"/>
      <c r="I99" s="679"/>
      <c r="J99" s="680"/>
      <c r="K99" s="685"/>
      <c r="L99" s="679"/>
      <c r="M99" s="679"/>
      <c r="N99" s="685"/>
      <c r="O99" s="679"/>
      <c r="P99" s="680"/>
      <c r="Q99" s="685"/>
      <c r="R99" s="679"/>
      <c r="S99" s="680"/>
      <c r="T99" s="685">
        <v>2</v>
      </c>
      <c r="U99" s="679">
        <v>3</v>
      </c>
      <c r="V99" s="680">
        <f t="shared" si="29"/>
        <v>50</v>
      </c>
      <c r="W99" s="685"/>
      <c r="X99" s="679"/>
      <c r="Y99" s="680"/>
      <c r="Z99" s="685"/>
      <c r="AA99" s="679"/>
      <c r="AB99" s="680"/>
      <c r="AC99" s="685"/>
      <c r="AD99" s="679"/>
      <c r="AE99" s="680"/>
      <c r="AF99" s="685"/>
      <c r="AG99" s="679"/>
      <c r="AH99" s="680"/>
      <c r="AI99" s="685">
        <v>11.67</v>
      </c>
      <c r="AJ99" s="679">
        <v>1.5</v>
      </c>
      <c r="AK99" s="680">
        <f>IF(AI99=0, "    ---- ", IF(ABS(ROUND(100/AI99*AJ99-100,1))&lt;999,ROUND(100/AI99*AJ99-100,1),IF(ROUND(100/AI99*AJ99-100,1)&gt;999,999,-999)))</f>
        <v>-87.1</v>
      </c>
      <c r="AL99" s="679">
        <f t="shared" si="21"/>
        <v>13.9</v>
      </c>
      <c r="AM99" s="679">
        <f t="shared" si="21"/>
        <v>4.5</v>
      </c>
      <c r="AN99" s="680">
        <f t="shared" si="11"/>
        <v>-67.599999999999994</v>
      </c>
      <c r="AO99" s="637">
        <f t="shared" si="22"/>
        <v>13.9</v>
      </c>
      <c r="AP99" s="637">
        <f t="shared" si="22"/>
        <v>4.5</v>
      </c>
      <c r="AQ99" s="680">
        <f t="shared" si="12"/>
        <v>-67.599999999999994</v>
      </c>
      <c r="AR99" s="661"/>
      <c r="AS99" s="661"/>
      <c r="AT99" s="656"/>
      <c r="AU99" s="656"/>
    </row>
    <row r="100" spans="1:47" s="681" customFormat="1" ht="18.75" customHeight="1" x14ac:dyDescent="0.3">
      <c r="A100" s="629" t="s">
        <v>381</v>
      </c>
      <c r="B100" s="685"/>
      <c r="C100" s="679"/>
      <c r="D100" s="679"/>
      <c r="E100" s="685">
        <v>9.25</v>
      </c>
      <c r="F100" s="679">
        <v>10</v>
      </c>
      <c r="G100" s="680">
        <f t="shared" ref="G100:G106" si="30">IF(E100=0, "    ---- ", IF(ABS(ROUND(100/E100*F100-100,1))&lt;999,ROUND(100/E100*F100-100,1),IF(ROUND(100/E100*F100-100,1)&gt;999,999,-999)))</f>
        <v>8.1</v>
      </c>
      <c r="H100" s="685"/>
      <c r="I100" s="679"/>
      <c r="J100" s="680"/>
      <c r="K100" s="685"/>
      <c r="L100" s="679"/>
      <c r="M100" s="679"/>
      <c r="N100" s="685"/>
      <c r="O100" s="679"/>
      <c r="P100" s="680"/>
      <c r="Q100" s="685"/>
      <c r="R100" s="679"/>
      <c r="S100" s="680"/>
      <c r="T100" s="685"/>
      <c r="U100" s="679"/>
      <c r="V100" s="680"/>
      <c r="W100" s="685"/>
      <c r="X100" s="679"/>
      <c r="Y100" s="680"/>
      <c r="Z100" s="685"/>
      <c r="AA100" s="679"/>
      <c r="AB100" s="680"/>
      <c r="AC100" s="685"/>
      <c r="AD100" s="679"/>
      <c r="AE100" s="680"/>
      <c r="AF100" s="685"/>
      <c r="AG100" s="679"/>
      <c r="AH100" s="680"/>
      <c r="AI100" s="685"/>
      <c r="AJ100" s="679"/>
      <c r="AK100" s="680"/>
      <c r="AL100" s="679">
        <f t="shared" si="21"/>
        <v>9.25</v>
      </c>
      <c r="AM100" s="679">
        <f t="shared" si="21"/>
        <v>10</v>
      </c>
      <c r="AN100" s="680">
        <f t="shared" si="11"/>
        <v>8.1</v>
      </c>
      <c r="AO100" s="637">
        <f t="shared" si="22"/>
        <v>9.25</v>
      </c>
      <c r="AP100" s="637">
        <f t="shared" si="22"/>
        <v>10</v>
      </c>
      <c r="AQ100" s="680">
        <f t="shared" si="12"/>
        <v>8.1</v>
      </c>
      <c r="AR100" s="661"/>
      <c r="AS100" s="661"/>
      <c r="AT100" s="656"/>
      <c r="AU100" s="656"/>
    </row>
    <row r="101" spans="1:47" s="681" customFormat="1" ht="18.75" customHeight="1" x14ac:dyDescent="0.3">
      <c r="A101" s="629" t="s">
        <v>382</v>
      </c>
      <c r="B101" s="443">
        <v>13.600000000000001</v>
      </c>
      <c r="C101" s="637">
        <v>9.5690000000000008</v>
      </c>
      <c r="D101" s="680">
        <f>IF(B101=0, "    ---- ", IF(ABS(ROUND(100/B101*C101-100,1))&lt;999,ROUND(100/B101*C101-100,1),IF(ROUND(100/B101*C101-100,1)&gt;999,999,-999)))</f>
        <v>-29.6</v>
      </c>
      <c r="E101" s="443">
        <v>-11.2</v>
      </c>
      <c r="F101" s="637">
        <v>71</v>
      </c>
      <c r="G101" s="680">
        <f t="shared" si="30"/>
        <v>-733.9</v>
      </c>
      <c r="H101" s="443"/>
      <c r="I101" s="637"/>
      <c r="J101" s="680"/>
      <c r="K101" s="443"/>
      <c r="L101" s="637"/>
      <c r="M101" s="679"/>
      <c r="N101" s="443"/>
      <c r="O101" s="637"/>
      <c r="P101" s="680"/>
      <c r="Q101" s="443"/>
      <c r="R101" s="637"/>
      <c r="S101" s="680"/>
      <c r="T101" s="443">
        <v>-6</v>
      </c>
      <c r="U101" s="637">
        <v>0</v>
      </c>
      <c r="V101" s="680">
        <f t="shared" si="29"/>
        <v>-100</v>
      </c>
      <c r="W101" s="443">
        <v>32.725484314588805</v>
      </c>
      <c r="X101" s="637">
        <v>-24.297441010138758</v>
      </c>
      <c r="Y101" s="680">
        <f t="shared" ref="Y101:Y106" si="31">IF(W101=0, "    ---- ", IF(ABS(ROUND(100/W101*X101-100,1))&lt;999,ROUND(100/W101*X101-100,1),IF(ROUND(100/W101*X101-100,1)&gt;999,999,-999)))</f>
        <v>-174.2</v>
      </c>
      <c r="Z101" s="443"/>
      <c r="AA101" s="637"/>
      <c r="AB101" s="680"/>
      <c r="AC101" s="443"/>
      <c r="AD101" s="637"/>
      <c r="AE101" s="680"/>
      <c r="AF101" s="443">
        <v>-30.681000000000001</v>
      </c>
      <c r="AG101" s="637">
        <v>-62.725999999999999</v>
      </c>
      <c r="AH101" s="680">
        <f t="shared" ref="AH101:AH106" si="32">IF(AF101=0, "    ---- ", IF(ABS(ROUND(100/AF101*AG101-100,1))&lt;999,ROUND(100/AF101*AG101-100,1),IF(ROUND(100/AF101*AG101-100,1)&gt;999,999,-999)))</f>
        <v>104.4</v>
      </c>
      <c r="AI101" s="443">
        <v>13.28</v>
      </c>
      <c r="AJ101" s="637">
        <v>163.30000000000001</v>
      </c>
      <c r="AK101" s="680">
        <f t="shared" ref="AK101:AK106" si="33">IF(AI101=0, "    ---- ", IF(ABS(ROUND(100/AI101*AJ101-100,1))&lt;999,ROUND(100/AI101*AJ101-100,1),IF(ROUND(100/AI101*AJ101-100,1)&gt;999,999,-999)))</f>
        <v>999</v>
      </c>
      <c r="AL101" s="679">
        <f t="shared" si="21"/>
        <v>11.724484314588805</v>
      </c>
      <c r="AM101" s="679">
        <f t="shared" si="21"/>
        <v>156.84555898986127</v>
      </c>
      <c r="AN101" s="680">
        <f t="shared" si="11"/>
        <v>999</v>
      </c>
      <c r="AO101" s="637">
        <f t="shared" si="22"/>
        <v>11.724484314588805</v>
      </c>
      <c r="AP101" s="637">
        <f t="shared" si="22"/>
        <v>156.84555898986127</v>
      </c>
      <c r="AQ101" s="680">
        <f t="shared" si="12"/>
        <v>999</v>
      </c>
      <c r="AR101" s="661"/>
      <c r="AS101" s="661"/>
      <c r="AT101" s="656"/>
      <c r="AU101" s="656"/>
    </row>
    <row r="102" spans="1:47" s="681" customFormat="1" ht="18.75" customHeight="1" x14ac:dyDescent="0.3">
      <c r="A102" s="629" t="s">
        <v>383</v>
      </c>
      <c r="B102" s="685"/>
      <c r="C102" s="679"/>
      <c r="D102" s="679"/>
      <c r="E102" s="685"/>
      <c r="F102" s="679"/>
      <c r="G102" s="680"/>
      <c r="H102" s="685"/>
      <c r="I102" s="679"/>
      <c r="J102" s="680"/>
      <c r="K102" s="685"/>
      <c r="L102" s="679"/>
      <c r="M102" s="679"/>
      <c r="N102" s="685"/>
      <c r="O102" s="679"/>
      <c r="P102" s="680"/>
      <c r="Q102" s="685"/>
      <c r="R102" s="679"/>
      <c r="S102" s="680"/>
      <c r="T102" s="685"/>
      <c r="U102" s="679"/>
      <c r="V102" s="680"/>
      <c r="W102" s="685"/>
      <c r="X102" s="679"/>
      <c r="Y102" s="680"/>
      <c r="Z102" s="685"/>
      <c r="AA102" s="679"/>
      <c r="AB102" s="680"/>
      <c r="AC102" s="685"/>
      <c r="AD102" s="679"/>
      <c r="AE102" s="680"/>
      <c r="AF102" s="685"/>
      <c r="AG102" s="679"/>
      <c r="AH102" s="680"/>
      <c r="AI102" s="685"/>
      <c r="AJ102" s="679"/>
      <c r="AK102" s="680"/>
      <c r="AL102" s="679">
        <f t="shared" si="21"/>
        <v>0</v>
      </c>
      <c r="AM102" s="679">
        <f t="shared" si="21"/>
        <v>0</v>
      </c>
      <c r="AN102" s="680" t="str">
        <f t="shared" si="11"/>
        <v xml:space="preserve">    ---- </v>
      </c>
      <c r="AO102" s="637">
        <f t="shared" si="22"/>
        <v>0</v>
      </c>
      <c r="AP102" s="637">
        <f t="shared" si="22"/>
        <v>0</v>
      </c>
      <c r="AQ102" s="680" t="str">
        <f t="shared" si="12"/>
        <v xml:space="preserve">    ---- </v>
      </c>
      <c r="AR102" s="661"/>
      <c r="AS102" s="661"/>
      <c r="AT102" s="656"/>
      <c r="AU102" s="656"/>
    </row>
    <row r="103" spans="1:47" s="681" customFormat="1" ht="18.75" customHeight="1" x14ac:dyDescent="0.3">
      <c r="A103" s="629" t="s">
        <v>384</v>
      </c>
      <c r="B103" s="685"/>
      <c r="C103" s="679"/>
      <c r="D103" s="679"/>
      <c r="E103" s="685"/>
      <c r="F103" s="679"/>
      <c r="G103" s="680"/>
      <c r="H103" s="685"/>
      <c r="I103" s="679"/>
      <c r="J103" s="680"/>
      <c r="K103" s="685"/>
      <c r="L103" s="679"/>
      <c r="M103" s="679"/>
      <c r="N103" s="685"/>
      <c r="O103" s="679"/>
      <c r="P103" s="680"/>
      <c r="Q103" s="685"/>
      <c r="R103" s="679"/>
      <c r="S103" s="680"/>
      <c r="T103" s="685"/>
      <c r="U103" s="679"/>
      <c r="V103" s="680"/>
      <c r="W103" s="685">
        <v>0</v>
      </c>
      <c r="X103" s="679">
        <v>-5.3128440000000001</v>
      </c>
      <c r="Y103" s="680" t="str">
        <f>IF(W103=0, "    ---- ", IF(ABS(ROUND(100/W103*X103-100,1))&lt;999,ROUND(100/W103*X103-100,1),IF(ROUND(100/W103*X103-100,1)&gt;999,999,-999)))</f>
        <v xml:space="preserve">    ---- </v>
      </c>
      <c r="Z103" s="685"/>
      <c r="AA103" s="679"/>
      <c r="AB103" s="680"/>
      <c r="AC103" s="685"/>
      <c r="AD103" s="679"/>
      <c r="AE103" s="680"/>
      <c r="AF103" s="685"/>
      <c r="AG103" s="679"/>
      <c r="AH103" s="680"/>
      <c r="AI103" s="685"/>
      <c r="AJ103" s="679"/>
      <c r="AK103" s="680"/>
      <c r="AL103" s="679">
        <f t="shared" si="21"/>
        <v>0</v>
      </c>
      <c r="AM103" s="679">
        <f t="shared" si="21"/>
        <v>-5.3128440000000001</v>
      </c>
      <c r="AN103" s="680" t="str">
        <f t="shared" si="11"/>
        <v xml:space="preserve">    ---- </v>
      </c>
      <c r="AO103" s="637">
        <f t="shared" si="22"/>
        <v>0</v>
      </c>
      <c r="AP103" s="637">
        <f t="shared" si="22"/>
        <v>-5.3128440000000001</v>
      </c>
      <c r="AQ103" s="680" t="str">
        <f t="shared" si="12"/>
        <v xml:space="preserve">    ---- </v>
      </c>
      <c r="AR103" s="661"/>
      <c r="AS103" s="661"/>
      <c r="AT103" s="656"/>
      <c r="AU103" s="656"/>
    </row>
    <row r="104" spans="1:47" s="684" customFormat="1" ht="18.75" customHeight="1" x14ac:dyDescent="0.3">
      <c r="A104" s="623" t="s">
        <v>385</v>
      </c>
      <c r="B104" s="686">
        <v>6.7340000000000018</v>
      </c>
      <c r="C104" s="677">
        <v>4.1910000000000007</v>
      </c>
      <c r="D104" s="680">
        <f>IF(B104=0, "    ---- ", IF(ABS(ROUND(100/B104*C104-100,1))&lt;999,ROUND(100/B104*C104-100,1),IF(ROUND(100/B104*C104-100,1)&gt;999,999,-999)))</f>
        <v>-37.799999999999997</v>
      </c>
      <c r="E104" s="686">
        <v>50.889999999999986</v>
      </c>
      <c r="F104" s="677">
        <v>75</v>
      </c>
      <c r="G104" s="678">
        <f t="shared" si="30"/>
        <v>47.4</v>
      </c>
      <c r="H104" s="686"/>
      <c r="I104" s="677"/>
      <c r="J104" s="678"/>
      <c r="K104" s="686"/>
      <c r="L104" s="677"/>
      <c r="M104" s="677"/>
      <c r="N104" s="686"/>
      <c r="O104" s="677"/>
      <c r="P104" s="678"/>
      <c r="Q104" s="686"/>
      <c r="R104" s="677"/>
      <c r="S104" s="678"/>
      <c r="T104" s="686">
        <v>0</v>
      </c>
      <c r="U104" s="677">
        <v>8</v>
      </c>
      <c r="V104" s="678" t="str">
        <f t="shared" si="29"/>
        <v xml:space="preserve">    ---- </v>
      </c>
      <c r="W104" s="686">
        <v>34.541361782820175</v>
      </c>
      <c r="X104" s="677">
        <v>-40.595471265879809</v>
      </c>
      <c r="Y104" s="678">
        <f t="shared" si="31"/>
        <v>-217.5</v>
      </c>
      <c r="Z104" s="686"/>
      <c r="AA104" s="677"/>
      <c r="AB104" s="678"/>
      <c r="AC104" s="686"/>
      <c r="AD104" s="677"/>
      <c r="AE104" s="678"/>
      <c r="AF104" s="686">
        <v>-40.463999999999999</v>
      </c>
      <c r="AG104" s="677">
        <v>-90.3</v>
      </c>
      <c r="AH104" s="678">
        <f t="shared" si="32"/>
        <v>123.2</v>
      </c>
      <c r="AI104" s="686">
        <v>40.93</v>
      </c>
      <c r="AJ104" s="677">
        <v>148.70000000000002</v>
      </c>
      <c r="AK104" s="678">
        <f t="shared" si="33"/>
        <v>263.3</v>
      </c>
      <c r="AL104" s="677">
        <f t="shared" si="21"/>
        <v>92.631361782820164</v>
      </c>
      <c r="AM104" s="677">
        <f t="shared" si="21"/>
        <v>104.99552873412021</v>
      </c>
      <c r="AN104" s="678">
        <f t="shared" si="11"/>
        <v>13.3</v>
      </c>
      <c r="AO104" s="637">
        <f t="shared" si="22"/>
        <v>92.631361782820164</v>
      </c>
      <c r="AP104" s="637">
        <f t="shared" si="22"/>
        <v>104.99552873412021</v>
      </c>
      <c r="AQ104" s="678">
        <f t="shared" si="12"/>
        <v>13.3</v>
      </c>
      <c r="AR104" s="682" t="e">
        <f>B104,C104,E104,F104,H104,I104,K104,L104,N104,O104,Q104,R104,T104,U104,W104,X104,Z104,AA104,AC104,AD104,#REF!,#REF!,AF104,AG104,AI104,AJ104,AL104,AM104,AO104,AP104</f>
        <v>#REF!</v>
      </c>
      <c r="AS104" s="659"/>
      <c r="AT104" s="683"/>
      <c r="AU104" s="683"/>
    </row>
    <row r="105" spans="1:47" s="681" customFormat="1" ht="18.75" customHeight="1" x14ac:dyDescent="0.3">
      <c r="A105" s="629" t="s">
        <v>386</v>
      </c>
      <c r="B105" s="685"/>
      <c r="C105" s="679"/>
      <c r="D105" s="679"/>
      <c r="E105" s="685">
        <v>49.53</v>
      </c>
      <c r="F105" s="679">
        <v>0</v>
      </c>
      <c r="G105" s="680">
        <f t="shared" si="30"/>
        <v>-100</v>
      </c>
      <c r="H105" s="685"/>
      <c r="I105" s="679"/>
      <c r="J105" s="680"/>
      <c r="K105" s="685"/>
      <c r="L105" s="679"/>
      <c r="M105" s="679"/>
      <c r="N105" s="685"/>
      <c r="O105" s="679"/>
      <c r="P105" s="680"/>
      <c r="Q105" s="685"/>
      <c r="R105" s="679"/>
      <c r="S105" s="680"/>
      <c r="T105" s="685">
        <v>1</v>
      </c>
      <c r="U105" s="679">
        <v>1</v>
      </c>
      <c r="V105" s="680">
        <f t="shared" si="29"/>
        <v>0</v>
      </c>
      <c r="W105" s="685">
        <v>-16.495118111616449</v>
      </c>
      <c r="X105" s="679">
        <v>-15.235349197281296</v>
      </c>
      <c r="Y105" s="680">
        <f>IF(W105=0, "    ---- ", IF(ABS(ROUND(100/W105*X105-100,1))&lt;999,ROUND(100/W105*X105-100,1),IF(ROUND(100/W105*X105-100,1)&gt;999,999,-999)))</f>
        <v>-7.6</v>
      </c>
      <c r="Z105" s="685"/>
      <c r="AA105" s="679"/>
      <c r="AB105" s="680"/>
      <c r="AC105" s="685"/>
      <c r="AD105" s="679"/>
      <c r="AE105" s="680"/>
      <c r="AF105" s="685">
        <v>0.93599999999999994</v>
      </c>
      <c r="AG105" s="679">
        <v>0.436</v>
      </c>
      <c r="AH105" s="680">
        <f t="shared" si="32"/>
        <v>-53.4</v>
      </c>
      <c r="AI105" s="685">
        <v>43.55</v>
      </c>
      <c r="AJ105" s="679">
        <v>20.2</v>
      </c>
      <c r="AK105" s="680">
        <f t="shared" si="33"/>
        <v>-53.6</v>
      </c>
      <c r="AL105" s="679">
        <f t="shared" si="21"/>
        <v>78.520881888383542</v>
      </c>
      <c r="AM105" s="679">
        <f t="shared" si="21"/>
        <v>6.4006508027187028</v>
      </c>
      <c r="AN105" s="680">
        <f t="shared" si="11"/>
        <v>-91.8</v>
      </c>
      <c r="AO105" s="637">
        <f t="shared" si="22"/>
        <v>78.520881888383542</v>
      </c>
      <c r="AP105" s="637">
        <f t="shared" si="22"/>
        <v>6.4006508027187028</v>
      </c>
      <c r="AQ105" s="680">
        <f t="shared" si="12"/>
        <v>-91.8</v>
      </c>
      <c r="AR105" s="661"/>
      <c r="AS105" s="661"/>
      <c r="AT105" s="656"/>
      <c r="AU105" s="656"/>
    </row>
    <row r="106" spans="1:47" s="681" customFormat="1" ht="18.75" customHeight="1" x14ac:dyDescent="0.3">
      <c r="A106" s="629" t="s">
        <v>387</v>
      </c>
      <c r="B106" s="685">
        <v>6.734</v>
      </c>
      <c r="C106" s="679">
        <v>4.1909999999999998</v>
      </c>
      <c r="D106" s="680">
        <f>IF(B106=0, "    ---- ", IF(ABS(ROUND(100/B106*C106-100,1))&lt;999,ROUND(100/B106*C106-100,1),IF(ROUND(100/B106*C106-100,1)&gt;999,999,-999)))</f>
        <v>-37.799999999999997</v>
      </c>
      <c r="E106" s="685">
        <v>1.37</v>
      </c>
      <c r="F106" s="679">
        <v>75</v>
      </c>
      <c r="G106" s="680">
        <f t="shared" si="30"/>
        <v>999</v>
      </c>
      <c r="H106" s="685"/>
      <c r="I106" s="679"/>
      <c r="J106" s="680"/>
      <c r="K106" s="685"/>
      <c r="L106" s="679"/>
      <c r="M106" s="679"/>
      <c r="N106" s="685"/>
      <c r="O106" s="679"/>
      <c r="P106" s="680"/>
      <c r="Q106" s="685"/>
      <c r="R106" s="679"/>
      <c r="S106" s="680"/>
      <c r="T106" s="685">
        <v>-1</v>
      </c>
      <c r="U106" s="679">
        <v>7</v>
      </c>
      <c r="V106" s="680">
        <f t="shared" si="29"/>
        <v>-800</v>
      </c>
      <c r="W106" s="685">
        <v>51.036479894436624</v>
      </c>
      <c r="X106" s="679">
        <v>-25.360122068598514</v>
      </c>
      <c r="Y106" s="680">
        <f t="shared" si="31"/>
        <v>-149.69999999999999</v>
      </c>
      <c r="Z106" s="685"/>
      <c r="AA106" s="679"/>
      <c r="AB106" s="680"/>
      <c r="AC106" s="685"/>
      <c r="AD106" s="679"/>
      <c r="AE106" s="680"/>
      <c r="AF106" s="685">
        <v>-42.638000000000005</v>
      </c>
      <c r="AG106" s="679">
        <v>-90.736000000000004</v>
      </c>
      <c r="AH106" s="680">
        <f t="shared" si="32"/>
        <v>112.8</v>
      </c>
      <c r="AI106" s="685">
        <v>-2.63</v>
      </c>
      <c r="AJ106" s="679">
        <v>128.6</v>
      </c>
      <c r="AK106" s="680">
        <f t="shared" si="33"/>
        <v>-999</v>
      </c>
      <c r="AL106" s="679">
        <f t="shared" si="21"/>
        <v>12.872479894436619</v>
      </c>
      <c r="AM106" s="679">
        <f t="shared" si="21"/>
        <v>98.694877931401479</v>
      </c>
      <c r="AN106" s="680">
        <f t="shared" si="11"/>
        <v>666.7</v>
      </c>
      <c r="AO106" s="637">
        <f t="shared" si="22"/>
        <v>12.872479894436619</v>
      </c>
      <c r="AP106" s="637">
        <f t="shared" si="22"/>
        <v>98.694877931401479</v>
      </c>
      <c r="AQ106" s="680">
        <f t="shared" si="12"/>
        <v>666.7</v>
      </c>
      <c r="AR106" s="661"/>
      <c r="AS106" s="661"/>
      <c r="AT106" s="656"/>
      <c r="AU106" s="656"/>
    </row>
    <row r="107" spans="1:47" s="691" customFormat="1" ht="18.75" customHeight="1" x14ac:dyDescent="0.3">
      <c r="A107" s="687" t="s">
        <v>405</v>
      </c>
      <c r="B107" s="685"/>
      <c r="C107" s="679"/>
      <c r="D107" s="679"/>
      <c r="E107" s="685"/>
      <c r="F107" s="679"/>
      <c r="G107" s="680"/>
      <c r="H107" s="685"/>
      <c r="I107" s="679"/>
      <c r="J107" s="680"/>
      <c r="K107" s="685"/>
      <c r="L107" s="679"/>
      <c r="M107" s="679"/>
      <c r="N107" s="685"/>
      <c r="O107" s="679"/>
      <c r="P107" s="680"/>
      <c r="Q107" s="685"/>
      <c r="R107" s="679"/>
      <c r="S107" s="680"/>
      <c r="T107" s="685"/>
      <c r="U107" s="679"/>
      <c r="V107" s="680"/>
      <c r="W107" s="685"/>
      <c r="X107" s="679"/>
      <c r="Y107" s="680"/>
      <c r="Z107" s="685"/>
      <c r="AA107" s="679"/>
      <c r="AB107" s="680"/>
      <c r="AC107" s="685"/>
      <c r="AD107" s="679"/>
      <c r="AE107" s="680"/>
      <c r="AF107" s="685"/>
      <c r="AG107" s="679"/>
      <c r="AH107" s="680"/>
      <c r="AI107" s="685"/>
      <c r="AJ107" s="679"/>
      <c r="AK107" s="680"/>
      <c r="AL107" s="679">
        <f t="shared" si="21"/>
        <v>0</v>
      </c>
      <c r="AM107" s="679">
        <f t="shared" si="21"/>
        <v>0</v>
      </c>
      <c r="AN107" s="680"/>
      <c r="AO107" s="637">
        <f t="shared" si="22"/>
        <v>0</v>
      </c>
      <c r="AP107" s="637">
        <f t="shared" si="22"/>
        <v>0</v>
      </c>
      <c r="AQ107" s="680"/>
      <c r="AR107" s="689"/>
      <c r="AS107" s="689"/>
      <c r="AT107" s="690"/>
      <c r="AU107" s="690"/>
    </row>
    <row r="108" spans="1:47" s="691" customFormat="1" ht="18.75" customHeight="1" x14ac:dyDescent="0.3">
      <c r="A108" s="688" t="s">
        <v>377</v>
      </c>
      <c r="B108" s="685"/>
      <c r="C108" s="679"/>
      <c r="D108" s="679"/>
      <c r="E108" s="685"/>
      <c r="F108" s="679"/>
      <c r="G108" s="680"/>
      <c r="H108" s="685"/>
      <c r="I108" s="679"/>
      <c r="J108" s="680"/>
      <c r="K108" s="685"/>
      <c r="L108" s="679"/>
      <c r="M108" s="679"/>
      <c r="N108" s="685"/>
      <c r="O108" s="679"/>
      <c r="P108" s="680"/>
      <c r="Q108" s="685"/>
      <c r="R108" s="679"/>
      <c r="S108" s="680"/>
      <c r="T108" s="685"/>
      <c r="U108" s="679"/>
      <c r="V108" s="680"/>
      <c r="W108" s="685"/>
      <c r="X108" s="679"/>
      <c r="Y108" s="680"/>
      <c r="Z108" s="685"/>
      <c r="AA108" s="679"/>
      <c r="AB108" s="680"/>
      <c r="AC108" s="685"/>
      <c r="AD108" s="679"/>
      <c r="AE108" s="680"/>
      <c r="AF108" s="685"/>
      <c r="AG108" s="679"/>
      <c r="AH108" s="680"/>
      <c r="AI108" s="685">
        <v>0.18</v>
      </c>
      <c r="AJ108" s="679">
        <v>1.8</v>
      </c>
      <c r="AK108" s="680">
        <f t="shared" ref="AK108:AK118" si="34">IF(AI108=0, "    ---- ", IF(ABS(ROUND(100/AI108*AJ108-100,1))&lt;999,ROUND(100/AI108*AJ108-100,1),IF(ROUND(100/AI108*AJ108-100,1)&gt;999,999,-999)))</f>
        <v>900</v>
      </c>
      <c r="AL108" s="679">
        <f t="shared" si="21"/>
        <v>0.18</v>
      </c>
      <c r="AM108" s="679">
        <f t="shared" si="21"/>
        <v>1.8</v>
      </c>
      <c r="AN108" s="680">
        <f t="shared" ref="AN108:AN118" si="35">IF(AL108=0, "    ---- ", IF(ABS(ROUND(100/AL108*AM108-100,1))&lt;999,ROUND(100/AL108*AM108-100,1),IF(ROUND(100/AL108*AM108-100,1)&gt;999,999,-999)))</f>
        <v>900</v>
      </c>
      <c r="AO108" s="637">
        <f t="shared" si="22"/>
        <v>0.18</v>
      </c>
      <c r="AP108" s="637">
        <f t="shared" si="22"/>
        <v>1.8</v>
      </c>
      <c r="AQ108" s="680">
        <f t="shared" ref="AQ108:AQ118" si="36">IF(AO108=0, "    ---- ", IF(ABS(ROUND(100/AO108*AP108-100,1))&lt;999,ROUND(100/AO108*AP108-100,1),IF(ROUND(100/AO108*AP108-100,1)&gt;999,999,-999)))</f>
        <v>900</v>
      </c>
      <c r="AR108" s="689"/>
      <c r="AS108" s="689"/>
      <c r="AT108" s="690"/>
      <c r="AU108" s="690"/>
    </row>
    <row r="109" spans="1:47" s="691" customFormat="1" ht="18.75" customHeight="1" x14ac:dyDescent="0.3">
      <c r="A109" s="688" t="s">
        <v>378</v>
      </c>
      <c r="B109" s="685"/>
      <c r="C109" s="679"/>
      <c r="D109" s="679"/>
      <c r="E109" s="685"/>
      <c r="F109" s="679"/>
      <c r="G109" s="680"/>
      <c r="H109" s="685"/>
      <c r="I109" s="679"/>
      <c r="J109" s="680"/>
      <c r="K109" s="685"/>
      <c r="L109" s="679"/>
      <c r="M109" s="679"/>
      <c r="N109" s="685"/>
      <c r="O109" s="679"/>
      <c r="P109" s="680"/>
      <c r="Q109" s="685"/>
      <c r="R109" s="679"/>
      <c r="S109" s="680"/>
      <c r="T109" s="685"/>
      <c r="U109" s="679"/>
      <c r="V109" s="680"/>
      <c r="W109" s="685"/>
      <c r="X109" s="679"/>
      <c r="Y109" s="680"/>
      <c r="Z109" s="685"/>
      <c r="AA109" s="679"/>
      <c r="AB109" s="680"/>
      <c r="AC109" s="685"/>
      <c r="AD109" s="679"/>
      <c r="AE109" s="680"/>
      <c r="AF109" s="685"/>
      <c r="AG109" s="679"/>
      <c r="AH109" s="680"/>
      <c r="AI109" s="685"/>
      <c r="AJ109" s="679">
        <v>-1.1000000000000001</v>
      </c>
      <c r="AK109" s="680" t="str">
        <f t="shared" si="34"/>
        <v xml:space="preserve">    ---- </v>
      </c>
      <c r="AL109" s="679">
        <f t="shared" si="21"/>
        <v>0</v>
      </c>
      <c r="AM109" s="679">
        <f t="shared" si="21"/>
        <v>-1.1000000000000001</v>
      </c>
      <c r="AN109" s="680" t="str">
        <f t="shared" si="35"/>
        <v xml:space="preserve">    ---- </v>
      </c>
      <c r="AO109" s="637">
        <f t="shared" si="22"/>
        <v>0</v>
      </c>
      <c r="AP109" s="637">
        <f t="shared" si="22"/>
        <v>-1.1000000000000001</v>
      </c>
      <c r="AQ109" s="680" t="str">
        <f t="shared" si="36"/>
        <v xml:space="preserve">    ---- </v>
      </c>
      <c r="AR109" s="689"/>
      <c r="AS109" s="689"/>
      <c r="AT109" s="690"/>
      <c r="AU109" s="690"/>
    </row>
    <row r="110" spans="1:47" s="691" customFormat="1" ht="18.75" customHeight="1" x14ac:dyDescent="0.3">
      <c r="A110" s="688" t="s">
        <v>379</v>
      </c>
      <c r="B110" s="685"/>
      <c r="C110" s="679"/>
      <c r="D110" s="679"/>
      <c r="E110" s="685"/>
      <c r="F110" s="679"/>
      <c r="G110" s="680"/>
      <c r="H110" s="685"/>
      <c r="I110" s="679"/>
      <c r="J110" s="680"/>
      <c r="K110" s="685"/>
      <c r="L110" s="679"/>
      <c r="M110" s="679"/>
      <c r="N110" s="685"/>
      <c r="O110" s="679"/>
      <c r="P110" s="680"/>
      <c r="Q110" s="685"/>
      <c r="R110" s="679"/>
      <c r="S110" s="680"/>
      <c r="T110" s="685"/>
      <c r="U110" s="679"/>
      <c r="V110" s="680"/>
      <c r="W110" s="685"/>
      <c r="X110" s="679"/>
      <c r="Y110" s="680"/>
      <c r="Z110" s="685"/>
      <c r="AA110" s="679"/>
      <c r="AB110" s="680"/>
      <c r="AC110" s="685"/>
      <c r="AD110" s="679"/>
      <c r="AE110" s="680"/>
      <c r="AF110" s="685"/>
      <c r="AG110" s="679"/>
      <c r="AH110" s="680"/>
      <c r="AI110" s="685">
        <v>0.03</v>
      </c>
      <c r="AJ110" s="679">
        <v>2.1</v>
      </c>
      <c r="AK110" s="680">
        <f t="shared" si="34"/>
        <v>999</v>
      </c>
      <c r="AL110" s="679">
        <f t="shared" si="21"/>
        <v>0.03</v>
      </c>
      <c r="AM110" s="679">
        <f t="shared" si="21"/>
        <v>2.1</v>
      </c>
      <c r="AN110" s="680">
        <f t="shared" si="35"/>
        <v>999</v>
      </c>
      <c r="AO110" s="637">
        <f t="shared" si="22"/>
        <v>0.03</v>
      </c>
      <c r="AP110" s="637">
        <f t="shared" si="22"/>
        <v>2.1</v>
      </c>
      <c r="AQ110" s="680">
        <f t="shared" si="36"/>
        <v>999</v>
      </c>
      <c r="AR110" s="689"/>
      <c r="AS110" s="689"/>
      <c r="AT110" s="690"/>
      <c r="AU110" s="690"/>
    </row>
    <row r="111" spans="1:47" s="691" customFormat="1" ht="18.75" customHeight="1" x14ac:dyDescent="0.3">
      <c r="A111" s="688" t="s">
        <v>380</v>
      </c>
      <c r="B111" s="685"/>
      <c r="C111" s="679"/>
      <c r="D111" s="679"/>
      <c r="E111" s="685"/>
      <c r="F111" s="679"/>
      <c r="G111" s="680"/>
      <c r="H111" s="685"/>
      <c r="I111" s="679"/>
      <c r="J111" s="680"/>
      <c r="K111" s="685"/>
      <c r="L111" s="679"/>
      <c r="M111" s="679"/>
      <c r="N111" s="685"/>
      <c r="O111" s="679"/>
      <c r="P111" s="680"/>
      <c r="Q111" s="685"/>
      <c r="R111" s="679"/>
      <c r="S111" s="680"/>
      <c r="T111" s="685"/>
      <c r="U111" s="679"/>
      <c r="V111" s="680"/>
      <c r="W111" s="685"/>
      <c r="X111" s="679"/>
      <c r="Y111" s="680"/>
      <c r="Z111" s="685"/>
      <c r="AA111" s="679"/>
      <c r="AB111" s="680"/>
      <c r="AC111" s="685"/>
      <c r="AD111" s="679"/>
      <c r="AE111" s="680"/>
      <c r="AF111" s="685"/>
      <c r="AG111" s="679"/>
      <c r="AH111" s="680"/>
      <c r="AI111" s="685"/>
      <c r="AJ111" s="679"/>
      <c r="AK111" s="680"/>
      <c r="AL111" s="679">
        <f t="shared" si="21"/>
        <v>0</v>
      </c>
      <c r="AM111" s="679">
        <f t="shared" si="21"/>
        <v>0</v>
      </c>
      <c r="AN111" s="680" t="str">
        <f t="shared" si="35"/>
        <v xml:space="preserve">    ---- </v>
      </c>
      <c r="AO111" s="637">
        <f t="shared" si="22"/>
        <v>0</v>
      </c>
      <c r="AP111" s="637">
        <f t="shared" si="22"/>
        <v>0</v>
      </c>
      <c r="AQ111" s="680" t="str">
        <f t="shared" si="36"/>
        <v xml:space="preserve">    ---- </v>
      </c>
      <c r="AR111" s="689"/>
      <c r="AS111" s="689"/>
      <c r="AT111" s="690"/>
      <c r="AU111" s="690"/>
    </row>
    <row r="112" spans="1:47" s="691" customFormat="1" ht="18.75" customHeight="1" x14ac:dyDescent="0.3">
      <c r="A112" s="688" t="s">
        <v>381</v>
      </c>
      <c r="B112" s="685"/>
      <c r="C112" s="679"/>
      <c r="D112" s="679"/>
      <c r="E112" s="685"/>
      <c r="F112" s="679"/>
      <c r="G112" s="680"/>
      <c r="H112" s="685"/>
      <c r="I112" s="679"/>
      <c r="J112" s="680"/>
      <c r="K112" s="685"/>
      <c r="L112" s="679"/>
      <c r="M112" s="679"/>
      <c r="N112" s="685"/>
      <c r="O112" s="679"/>
      <c r="P112" s="680"/>
      <c r="Q112" s="685"/>
      <c r="R112" s="679"/>
      <c r="S112" s="680"/>
      <c r="T112" s="685"/>
      <c r="U112" s="679"/>
      <c r="V112" s="680"/>
      <c r="W112" s="685"/>
      <c r="X112" s="679"/>
      <c r="Y112" s="680"/>
      <c r="Z112" s="685"/>
      <c r="AA112" s="679"/>
      <c r="AB112" s="680"/>
      <c r="AC112" s="685"/>
      <c r="AD112" s="679"/>
      <c r="AE112" s="680"/>
      <c r="AF112" s="685"/>
      <c r="AG112" s="679"/>
      <c r="AH112" s="680"/>
      <c r="AI112" s="685"/>
      <c r="AJ112" s="679"/>
      <c r="AK112" s="680"/>
      <c r="AL112" s="679">
        <f t="shared" si="21"/>
        <v>0</v>
      </c>
      <c r="AM112" s="679">
        <f t="shared" si="21"/>
        <v>0</v>
      </c>
      <c r="AN112" s="680" t="str">
        <f t="shared" si="35"/>
        <v xml:space="preserve">    ---- </v>
      </c>
      <c r="AO112" s="637">
        <f t="shared" si="22"/>
        <v>0</v>
      </c>
      <c r="AP112" s="637">
        <f t="shared" si="22"/>
        <v>0</v>
      </c>
      <c r="AQ112" s="680" t="str">
        <f t="shared" si="36"/>
        <v xml:space="preserve">    ---- </v>
      </c>
      <c r="AR112" s="689"/>
      <c r="AS112" s="689"/>
      <c r="AT112" s="690"/>
      <c r="AU112" s="690"/>
    </row>
    <row r="113" spans="1:47" s="691" customFormat="1" ht="18.75" customHeight="1" x14ac:dyDescent="0.3">
      <c r="A113" s="688" t="s">
        <v>382</v>
      </c>
      <c r="B113" s="685"/>
      <c r="C113" s="679"/>
      <c r="D113" s="679"/>
      <c r="E113" s="685"/>
      <c r="F113" s="679"/>
      <c r="G113" s="680"/>
      <c r="H113" s="685"/>
      <c r="I113" s="679"/>
      <c r="J113" s="680"/>
      <c r="K113" s="685"/>
      <c r="L113" s="679"/>
      <c r="M113" s="679"/>
      <c r="N113" s="685"/>
      <c r="O113" s="679"/>
      <c r="P113" s="680"/>
      <c r="Q113" s="685"/>
      <c r="R113" s="679"/>
      <c r="S113" s="680"/>
      <c r="T113" s="685"/>
      <c r="U113" s="679"/>
      <c r="V113" s="680"/>
      <c r="W113" s="685"/>
      <c r="X113" s="679"/>
      <c r="Y113" s="680"/>
      <c r="Z113" s="685"/>
      <c r="AA113" s="679"/>
      <c r="AB113" s="680"/>
      <c r="AC113" s="685"/>
      <c r="AD113" s="679"/>
      <c r="AE113" s="680"/>
      <c r="AF113" s="685"/>
      <c r="AG113" s="679"/>
      <c r="AH113" s="680"/>
      <c r="AI113" s="685"/>
      <c r="AJ113" s="679">
        <v>0.1</v>
      </c>
      <c r="AK113" s="680" t="str">
        <f t="shared" ref="AK113" si="37">IF(AI113=0, "    ---- ", IF(ABS(ROUND(100/AI113*AJ113-100,1))&lt;999,ROUND(100/AI113*AJ113-100,1),IF(ROUND(100/AI113*AJ113-100,1)&gt;999,999,-999)))</f>
        <v xml:space="preserve">    ---- </v>
      </c>
      <c r="AL113" s="679">
        <f t="shared" si="21"/>
        <v>0</v>
      </c>
      <c r="AM113" s="679">
        <f t="shared" si="21"/>
        <v>0.1</v>
      </c>
      <c r="AN113" s="680" t="str">
        <f t="shared" si="35"/>
        <v xml:space="preserve">    ---- </v>
      </c>
      <c r="AO113" s="637">
        <f t="shared" si="22"/>
        <v>0</v>
      </c>
      <c r="AP113" s="637">
        <f t="shared" si="22"/>
        <v>0.1</v>
      </c>
      <c r="AQ113" s="680" t="str">
        <f t="shared" si="36"/>
        <v xml:space="preserve">    ---- </v>
      </c>
      <c r="AR113" s="689"/>
      <c r="AS113" s="689"/>
      <c r="AT113" s="690"/>
      <c r="AU113" s="690"/>
    </row>
    <row r="114" spans="1:47" s="691" customFormat="1" ht="18.75" customHeight="1" x14ac:dyDescent="0.3">
      <c r="A114" s="688" t="s">
        <v>383</v>
      </c>
      <c r="B114" s="685"/>
      <c r="C114" s="679"/>
      <c r="D114" s="679"/>
      <c r="E114" s="685"/>
      <c r="F114" s="679"/>
      <c r="G114" s="680"/>
      <c r="H114" s="685"/>
      <c r="I114" s="679"/>
      <c r="J114" s="680"/>
      <c r="K114" s="685"/>
      <c r="L114" s="679"/>
      <c r="M114" s="679"/>
      <c r="N114" s="685"/>
      <c r="O114" s="679"/>
      <c r="P114" s="680"/>
      <c r="Q114" s="685"/>
      <c r="R114" s="679"/>
      <c r="S114" s="680"/>
      <c r="T114" s="685"/>
      <c r="U114" s="679"/>
      <c r="V114" s="680"/>
      <c r="W114" s="685"/>
      <c r="X114" s="679"/>
      <c r="Y114" s="680"/>
      <c r="Z114" s="685"/>
      <c r="AA114" s="679"/>
      <c r="AB114" s="680"/>
      <c r="AC114" s="685"/>
      <c r="AD114" s="679"/>
      <c r="AE114" s="680"/>
      <c r="AF114" s="685"/>
      <c r="AG114" s="679"/>
      <c r="AH114" s="680"/>
      <c r="AI114" s="685"/>
      <c r="AJ114" s="679"/>
      <c r="AK114" s="680"/>
      <c r="AL114" s="679">
        <f t="shared" si="21"/>
        <v>0</v>
      </c>
      <c r="AM114" s="679">
        <f t="shared" si="21"/>
        <v>0</v>
      </c>
      <c r="AN114" s="680" t="str">
        <f t="shared" si="35"/>
        <v xml:space="preserve">    ---- </v>
      </c>
      <c r="AO114" s="637">
        <f t="shared" si="22"/>
        <v>0</v>
      </c>
      <c r="AP114" s="637">
        <f t="shared" si="22"/>
        <v>0</v>
      </c>
      <c r="AQ114" s="680" t="str">
        <f t="shared" si="36"/>
        <v xml:space="preserve">    ---- </v>
      </c>
      <c r="AR114" s="689"/>
      <c r="AS114" s="689"/>
      <c r="AT114" s="690"/>
      <c r="AU114" s="690"/>
    </row>
    <row r="115" spans="1:47" s="691" customFormat="1" ht="18.75" customHeight="1" x14ac:dyDescent="0.3">
      <c r="A115" s="688" t="s">
        <v>384</v>
      </c>
      <c r="B115" s="685"/>
      <c r="C115" s="679"/>
      <c r="D115" s="679"/>
      <c r="E115" s="685"/>
      <c r="F115" s="679"/>
      <c r="G115" s="680"/>
      <c r="H115" s="685"/>
      <c r="I115" s="679"/>
      <c r="J115" s="680"/>
      <c r="K115" s="685"/>
      <c r="L115" s="679"/>
      <c r="M115" s="679"/>
      <c r="N115" s="685"/>
      <c r="O115" s="679"/>
      <c r="P115" s="680"/>
      <c r="Q115" s="685"/>
      <c r="R115" s="679"/>
      <c r="S115" s="680"/>
      <c r="T115" s="685"/>
      <c r="U115" s="679"/>
      <c r="V115" s="680"/>
      <c r="W115" s="685"/>
      <c r="X115" s="679"/>
      <c r="Y115" s="680"/>
      <c r="Z115" s="685"/>
      <c r="AA115" s="679"/>
      <c r="AB115" s="680"/>
      <c r="AC115" s="685"/>
      <c r="AD115" s="679"/>
      <c r="AE115" s="680"/>
      <c r="AF115" s="685"/>
      <c r="AG115" s="679"/>
      <c r="AH115" s="680"/>
      <c r="AI115" s="685"/>
      <c r="AJ115" s="679"/>
      <c r="AK115" s="680"/>
      <c r="AL115" s="679">
        <f t="shared" si="21"/>
        <v>0</v>
      </c>
      <c r="AM115" s="679">
        <f t="shared" si="21"/>
        <v>0</v>
      </c>
      <c r="AN115" s="680" t="str">
        <f t="shared" si="35"/>
        <v xml:space="preserve">    ---- </v>
      </c>
      <c r="AO115" s="637">
        <f t="shared" si="22"/>
        <v>0</v>
      </c>
      <c r="AP115" s="637">
        <f t="shared" si="22"/>
        <v>0</v>
      </c>
      <c r="AQ115" s="680" t="str">
        <f t="shared" si="36"/>
        <v xml:space="preserve">    ---- </v>
      </c>
      <c r="AR115" s="689"/>
      <c r="AS115" s="689"/>
      <c r="AT115" s="690"/>
      <c r="AU115" s="690"/>
    </row>
    <row r="116" spans="1:47" s="694" customFormat="1" ht="18.75" customHeight="1" x14ac:dyDescent="0.3">
      <c r="A116" s="687" t="s">
        <v>385</v>
      </c>
      <c r="B116" s="686"/>
      <c r="C116" s="677"/>
      <c r="D116" s="677"/>
      <c r="E116" s="686"/>
      <c r="F116" s="677"/>
      <c r="G116" s="678"/>
      <c r="H116" s="686"/>
      <c r="I116" s="677"/>
      <c r="J116" s="678"/>
      <c r="K116" s="686"/>
      <c r="L116" s="677"/>
      <c r="M116" s="677"/>
      <c r="N116" s="686"/>
      <c r="O116" s="677"/>
      <c r="P116" s="678"/>
      <c r="Q116" s="686"/>
      <c r="R116" s="677"/>
      <c r="S116" s="678"/>
      <c r="T116" s="686"/>
      <c r="U116" s="677"/>
      <c r="V116" s="678"/>
      <c r="W116" s="686"/>
      <c r="X116" s="677"/>
      <c r="Y116" s="678"/>
      <c r="Z116" s="686"/>
      <c r="AA116" s="677"/>
      <c r="AB116" s="678"/>
      <c r="AC116" s="686"/>
      <c r="AD116" s="677"/>
      <c r="AE116" s="678"/>
      <c r="AF116" s="686">
        <v>0</v>
      </c>
      <c r="AG116" s="677">
        <v>0</v>
      </c>
      <c r="AH116" s="678" t="str">
        <f>IF(AF116=0, "    ---- ", IF(ABS(ROUND(100/AF116*AG116-100,1))&lt;999,ROUND(100/AF116*AG116-100,1),IF(ROUND(100/AF116*AG116-100,1)&gt;999,999,-999)))</f>
        <v xml:space="preserve">    ---- </v>
      </c>
      <c r="AI116" s="686">
        <v>0.21</v>
      </c>
      <c r="AJ116" s="677">
        <v>2.9</v>
      </c>
      <c r="AK116" s="678">
        <f t="shared" si="34"/>
        <v>999</v>
      </c>
      <c r="AL116" s="677">
        <f t="shared" si="21"/>
        <v>0.21</v>
      </c>
      <c r="AM116" s="677">
        <f t="shared" si="21"/>
        <v>2.9</v>
      </c>
      <c r="AN116" s="678">
        <f t="shared" si="35"/>
        <v>999</v>
      </c>
      <c r="AO116" s="637">
        <f t="shared" si="22"/>
        <v>0.21</v>
      </c>
      <c r="AP116" s="637">
        <f t="shared" si="22"/>
        <v>2.9</v>
      </c>
      <c r="AQ116" s="678">
        <f t="shared" si="36"/>
        <v>999</v>
      </c>
      <c r="AR116" s="682" t="e">
        <f>B116,C116,E116,F116,H116,I116,K116,L116,N116,O116,Q116,R116,T116,U116,W116,X116,Z116,AA116,AC116,AD116,#REF!,#REF!,AF116,AG116,AI116,AJ116,AL116,AM116,AO116,AP116</f>
        <v>#REF!</v>
      </c>
      <c r="AS116" s="692"/>
      <c r="AT116" s="693"/>
      <c r="AU116" s="693"/>
    </row>
    <row r="117" spans="1:47" s="691" customFormat="1" ht="18.75" customHeight="1" x14ac:dyDescent="0.3">
      <c r="A117" s="688" t="s">
        <v>386</v>
      </c>
      <c r="B117" s="685"/>
      <c r="C117" s="679"/>
      <c r="D117" s="679"/>
      <c r="E117" s="685"/>
      <c r="F117" s="679"/>
      <c r="G117" s="680"/>
      <c r="H117" s="685"/>
      <c r="I117" s="679"/>
      <c r="J117" s="680"/>
      <c r="K117" s="685"/>
      <c r="L117" s="679"/>
      <c r="M117" s="679"/>
      <c r="N117" s="685"/>
      <c r="O117" s="679"/>
      <c r="P117" s="680"/>
      <c r="Q117" s="685"/>
      <c r="R117" s="679"/>
      <c r="S117" s="680"/>
      <c r="T117" s="685"/>
      <c r="U117" s="679"/>
      <c r="V117" s="680"/>
      <c r="W117" s="685"/>
      <c r="X117" s="679"/>
      <c r="Y117" s="680"/>
      <c r="Z117" s="685"/>
      <c r="AA117" s="679"/>
      <c r="AB117" s="680"/>
      <c r="AC117" s="685"/>
      <c r="AD117" s="679"/>
      <c r="AE117" s="680"/>
      <c r="AF117" s="685"/>
      <c r="AG117" s="679"/>
      <c r="AH117" s="680"/>
      <c r="AI117" s="685">
        <v>0.18</v>
      </c>
      <c r="AJ117" s="679">
        <v>0.79999999999999993</v>
      </c>
      <c r="AK117" s="680">
        <f t="shared" si="34"/>
        <v>344.4</v>
      </c>
      <c r="AL117" s="679">
        <f t="shared" si="21"/>
        <v>0.18</v>
      </c>
      <c r="AM117" s="679">
        <f t="shared" si="21"/>
        <v>0.79999999999999993</v>
      </c>
      <c r="AN117" s="680">
        <f t="shared" si="35"/>
        <v>344.4</v>
      </c>
      <c r="AO117" s="637">
        <f t="shared" si="22"/>
        <v>0.18</v>
      </c>
      <c r="AP117" s="637">
        <f t="shared" si="22"/>
        <v>0.79999999999999993</v>
      </c>
      <c r="AQ117" s="680">
        <f t="shared" si="36"/>
        <v>344.4</v>
      </c>
      <c r="AR117" s="689"/>
      <c r="AS117" s="689"/>
      <c r="AT117" s="690"/>
      <c r="AU117" s="690"/>
    </row>
    <row r="118" spans="1:47" s="691" customFormat="1" ht="18.75" customHeight="1" x14ac:dyDescent="0.3">
      <c r="A118" s="688" t="s">
        <v>387</v>
      </c>
      <c r="B118" s="685"/>
      <c r="C118" s="679"/>
      <c r="D118" s="679"/>
      <c r="E118" s="685"/>
      <c r="F118" s="679"/>
      <c r="G118" s="680"/>
      <c r="H118" s="685"/>
      <c r="I118" s="679"/>
      <c r="J118" s="680"/>
      <c r="K118" s="685"/>
      <c r="L118" s="679"/>
      <c r="M118" s="679"/>
      <c r="N118" s="685"/>
      <c r="O118" s="679"/>
      <c r="P118" s="680"/>
      <c r="Q118" s="685"/>
      <c r="R118" s="679"/>
      <c r="S118" s="680"/>
      <c r="T118" s="685"/>
      <c r="U118" s="679"/>
      <c r="V118" s="680"/>
      <c r="W118" s="685"/>
      <c r="X118" s="679"/>
      <c r="Y118" s="680"/>
      <c r="Z118" s="685"/>
      <c r="AA118" s="679"/>
      <c r="AB118" s="680"/>
      <c r="AC118" s="685"/>
      <c r="AD118" s="679"/>
      <c r="AE118" s="680"/>
      <c r="AF118" s="685"/>
      <c r="AG118" s="679"/>
      <c r="AH118" s="680"/>
      <c r="AI118" s="685">
        <v>3.0000000000000001E-3</v>
      </c>
      <c r="AJ118" s="679">
        <v>2.1</v>
      </c>
      <c r="AK118" s="680">
        <f t="shared" si="34"/>
        <v>999</v>
      </c>
      <c r="AL118" s="679">
        <f t="shared" si="21"/>
        <v>3.0000000000000001E-3</v>
      </c>
      <c r="AM118" s="679">
        <f t="shared" si="21"/>
        <v>2.1</v>
      </c>
      <c r="AN118" s="680">
        <f t="shared" si="35"/>
        <v>999</v>
      </c>
      <c r="AO118" s="637">
        <f t="shared" si="22"/>
        <v>3.0000000000000001E-3</v>
      </c>
      <c r="AP118" s="637">
        <f t="shared" si="22"/>
        <v>2.1</v>
      </c>
      <c r="AQ118" s="680">
        <f t="shared" si="36"/>
        <v>999</v>
      </c>
      <c r="AR118" s="689"/>
      <c r="AS118" s="689"/>
      <c r="AT118" s="690"/>
      <c r="AU118" s="690"/>
    </row>
    <row r="119" spans="1:47" s="681" customFormat="1" ht="18.75" customHeight="1" x14ac:dyDescent="0.3">
      <c r="A119" s="641"/>
      <c r="B119" s="695"/>
      <c r="C119" s="696"/>
      <c r="D119" s="696"/>
      <c r="E119" s="695"/>
      <c r="F119" s="696"/>
      <c r="G119" s="697"/>
      <c r="H119" s="695"/>
      <c r="I119" s="696"/>
      <c r="J119" s="697"/>
      <c r="K119" s="695"/>
      <c r="L119" s="696"/>
      <c r="M119" s="696"/>
      <c r="N119" s="695"/>
      <c r="O119" s="696"/>
      <c r="P119" s="697"/>
      <c r="Q119" s="695"/>
      <c r="R119" s="696"/>
      <c r="S119" s="697"/>
      <c r="T119" s="695"/>
      <c r="U119" s="696"/>
      <c r="V119" s="697"/>
      <c r="W119" s="695"/>
      <c r="X119" s="696"/>
      <c r="Y119" s="697"/>
      <c r="Z119" s="695"/>
      <c r="AA119" s="696"/>
      <c r="AB119" s="697"/>
      <c r="AC119" s="695"/>
      <c r="AD119" s="696"/>
      <c r="AE119" s="697"/>
      <c r="AF119" s="695"/>
      <c r="AG119" s="696"/>
      <c r="AH119" s="697"/>
      <c r="AI119" s="695"/>
      <c r="AJ119" s="696"/>
      <c r="AK119" s="697"/>
      <c r="AL119" s="696">
        <f t="shared" si="21"/>
        <v>0</v>
      </c>
      <c r="AM119" s="696">
        <f t="shared" si="21"/>
        <v>0</v>
      </c>
      <c r="AN119" s="697"/>
      <c r="AO119" s="643">
        <f t="shared" si="22"/>
        <v>0</v>
      </c>
      <c r="AP119" s="645">
        <f t="shared" si="22"/>
        <v>0</v>
      </c>
      <c r="AQ119" s="697"/>
      <c r="AR119" s="661"/>
      <c r="AS119" s="661"/>
      <c r="AT119" s="656"/>
      <c r="AU119" s="656"/>
    </row>
    <row r="120" spans="1:47" s="681" customFormat="1" ht="18.75" customHeight="1" x14ac:dyDescent="0.3">
      <c r="A120" s="629"/>
      <c r="B120" s="685"/>
      <c r="C120" s="679"/>
      <c r="D120" s="679"/>
      <c r="E120" s="685"/>
      <c r="F120" s="679"/>
      <c r="G120" s="680"/>
      <c r="H120" s="685"/>
      <c r="I120" s="679"/>
      <c r="J120" s="680"/>
      <c r="K120" s="685"/>
      <c r="L120" s="679"/>
      <c r="M120" s="679"/>
      <c r="N120" s="685"/>
      <c r="O120" s="679"/>
      <c r="P120" s="680"/>
      <c r="Q120" s="685"/>
      <c r="R120" s="679"/>
      <c r="S120" s="680"/>
      <c r="T120" s="685"/>
      <c r="U120" s="679"/>
      <c r="V120" s="680"/>
      <c r="W120" s="685"/>
      <c r="X120" s="679"/>
      <c r="Y120" s="680"/>
      <c r="Z120" s="685"/>
      <c r="AA120" s="679"/>
      <c r="AB120" s="680"/>
      <c r="AC120" s="685"/>
      <c r="AD120" s="679"/>
      <c r="AE120" s="680"/>
      <c r="AF120" s="685"/>
      <c r="AG120" s="679"/>
      <c r="AH120" s="680"/>
      <c r="AI120" s="685"/>
      <c r="AJ120" s="679"/>
      <c r="AK120" s="680"/>
      <c r="AL120" s="679">
        <f t="shared" si="21"/>
        <v>0</v>
      </c>
      <c r="AM120" s="679">
        <f t="shared" si="21"/>
        <v>0</v>
      </c>
      <c r="AN120" s="680"/>
      <c r="AO120" s="648">
        <f t="shared" si="22"/>
        <v>0</v>
      </c>
      <c r="AP120" s="650">
        <f t="shared" si="22"/>
        <v>0</v>
      </c>
      <c r="AQ120" s="680"/>
      <c r="AR120" s="661"/>
      <c r="AS120" s="661"/>
      <c r="AT120" s="656"/>
      <c r="AU120" s="656"/>
    </row>
    <row r="121" spans="1:47" s="681" customFormat="1" ht="18.75" customHeight="1" x14ac:dyDescent="0.3">
      <c r="A121" s="623" t="s">
        <v>406</v>
      </c>
      <c r="B121" s="685"/>
      <c r="C121" s="679"/>
      <c r="D121" s="679"/>
      <c r="E121" s="685"/>
      <c r="F121" s="679"/>
      <c r="G121" s="680"/>
      <c r="H121" s="685"/>
      <c r="I121" s="679"/>
      <c r="J121" s="680"/>
      <c r="K121" s="685"/>
      <c r="L121" s="679"/>
      <c r="M121" s="679"/>
      <c r="N121" s="685"/>
      <c r="O121" s="679"/>
      <c r="P121" s="680"/>
      <c r="Q121" s="685"/>
      <c r="R121" s="679"/>
      <c r="S121" s="680"/>
      <c r="T121" s="685"/>
      <c r="U121" s="679"/>
      <c r="V121" s="680"/>
      <c r="W121" s="685"/>
      <c r="X121" s="679"/>
      <c r="Y121" s="680"/>
      <c r="Z121" s="685"/>
      <c r="AA121" s="679"/>
      <c r="AB121" s="680"/>
      <c r="AC121" s="685"/>
      <c r="AD121" s="679"/>
      <c r="AE121" s="680"/>
      <c r="AF121" s="685"/>
      <c r="AG121" s="679"/>
      <c r="AH121" s="680"/>
      <c r="AI121" s="685"/>
      <c r="AJ121" s="679"/>
      <c r="AK121" s="680"/>
      <c r="AL121" s="679">
        <f t="shared" si="21"/>
        <v>0</v>
      </c>
      <c r="AM121" s="679">
        <f t="shared" si="21"/>
        <v>0</v>
      </c>
      <c r="AN121" s="680"/>
      <c r="AO121" s="637">
        <f t="shared" si="22"/>
        <v>0</v>
      </c>
      <c r="AP121" s="637">
        <f t="shared" si="22"/>
        <v>0</v>
      </c>
      <c r="AQ121" s="680"/>
      <c r="AR121" s="661"/>
      <c r="AS121" s="661"/>
      <c r="AT121" s="656"/>
      <c r="AU121" s="656"/>
    </row>
    <row r="122" spans="1:47" s="681" customFormat="1" ht="18.75" customHeight="1" x14ac:dyDescent="0.3">
      <c r="A122" s="629" t="s">
        <v>377</v>
      </c>
      <c r="B122" s="685"/>
      <c r="C122" s="679"/>
      <c r="D122" s="679"/>
      <c r="E122" s="685"/>
      <c r="F122" s="679"/>
      <c r="G122" s="680"/>
      <c r="H122" s="685"/>
      <c r="I122" s="679"/>
      <c r="J122" s="680"/>
      <c r="K122" s="685"/>
      <c r="L122" s="679"/>
      <c r="M122" s="679"/>
      <c r="N122" s="685"/>
      <c r="O122" s="679"/>
      <c r="P122" s="680"/>
      <c r="Q122" s="685">
        <v>6671.9396629587136</v>
      </c>
      <c r="R122" s="679">
        <v>5267.8052239537637</v>
      </c>
      <c r="S122" s="680">
        <f t="shared" ref="S122:S144" si="38">IF(Q122=0, "    ---- ", IF(ABS(ROUND(100/Q122*R122-100,1))&lt;999,ROUND(100/Q122*R122-100,1),IF(ROUND(100/Q122*R122-100,1)&gt;999,999,-999)))</f>
        <v>-21</v>
      </c>
      <c r="T122" s="685"/>
      <c r="U122" s="679"/>
      <c r="V122" s="680"/>
      <c r="W122" s="685"/>
      <c r="X122" s="679"/>
      <c r="Y122" s="680"/>
      <c r="Z122" s="685">
        <v>3976</v>
      </c>
      <c r="AA122" s="679">
        <v>1727</v>
      </c>
      <c r="AB122" s="680">
        <f t="shared" ref="AB122:AB132" si="39">IF(Z122=0, "    ---- ", IF(ABS(ROUND(100/Z122*AA122-100,1))&lt;999,ROUND(100/Z122*AA122-100,1),IF(ROUND(100/Z122*AA122-100,1)&gt;999,999,-999)))</f>
        <v>-56.6</v>
      </c>
      <c r="AC122" s="685"/>
      <c r="AD122" s="679"/>
      <c r="AE122" s="680"/>
      <c r="AF122" s="685"/>
      <c r="AG122" s="679"/>
      <c r="AH122" s="680"/>
      <c r="AI122" s="685">
        <v>70.430000000000007</v>
      </c>
      <c r="AJ122" s="679">
        <v>4.8</v>
      </c>
      <c r="AK122" s="680">
        <f t="shared" ref="AK122:AK132" si="40">IF(AI122=0, "    ---- ", IF(ABS(ROUND(100/AI122*AJ122-100,1))&lt;999,ROUND(100/AI122*AJ122-100,1),IF(ROUND(100/AI122*AJ122-100,1)&gt;999,999,-999)))</f>
        <v>-93.2</v>
      </c>
      <c r="AL122" s="679">
        <f t="shared" si="21"/>
        <v>10718.369662958714</v>
      </c>
      <c r="AM122" s="679">
        <f t="shared" si="21"/>
        <v>6999.6052239537639</v>
      </c>
      <c r="AN122" s="680">
        <f t="shared" si="11"/>
        <v>-34.700000000000003</v>
      </c>
      <c r="AO122" s="637">
        <f t="shared" si="22"/>
        <v>10718.369662958714</v>
      </c>
      <c r="AP122" s="637">
        <f t="shared" si="22"/>
        <v>6999.6052239537639</v>
      </c>
      <c r="AQ122" s="680">
        <f t="shared" si="12"/>
        <v>-34.700000000000003</v>
      </c>
      <c r="AR122" s="661"/>
      <c r="AS122" s="661"/>
      <c r="AT122" s="656"/>
      <c r="AU122" s="656"/>
    </row>
    <row r="123" spans="1:47" s="681" customFormat="1" ht="18.75" customHeight="1" x14ac:dyDescent="0.3">
      <c r="A123" s="629" t="s">
        <v>378</v>
      </c>
      <c r="B123" s="685"/>
      <c r="C123" s="679"/>
      <c r="D123" s="679"/>
      <c r="E123" s="685"/>
      <c r="F123" s="679"/>
      <c r="G123" s="680"/>
      <c r="H123" s="685"/>
      <c r="I123" s="679"/>
      <c r="J123" s="680"/>
      <c r="K123" s="685"/>
      <c r="L123" s="679"/>
      <c r="M123" s="679"/>
      <c r="N123" s="685"/>
      <c r="O123" s="679"/>
      <c r="P123" s="680"/>
      <c r="Q123" s="685">
        <v>-14.516126999999999</v>
      </c>
      <c r="R123" s="679">
        <v>-20.551272999999998</v>
      </c>
      <c r="S123" s="680">
        <f t="shared" si="38"/>
        <v>41.6</v>
      </c>
      <c r="T123" s="685"/>
      <c r="U123" s="679"/>
      <c r="V123" s="680"/>
      <c r="W123" s="685"/>
      <c r="X123" s="679"/>
      <c r="Y123" s="680"/>
      <c r="Z123" s="685">
        <v>-3033</v>
      </c>
      <c r="AA123" s="679">
        <v>-377</v>
      </c>
      <c r="AB123" s="680">
        <f t="shared" si="39"/>
        <v>-87.6</v>
      </c>
      <c r="AC123" s="685"/>
      <c r="AD123" s="679"/>
      <c r="AE123" s="680"/>
      <c r="AF123" s="685"/>
      <c r="AG123" s="679"/>
      <c r="AH123" s="680"/>
      <c r="AI123" s="685"/>
      <c r="AJ123" s="679">
        <v>-1.4</v>
      </c>
      <c r="AK123" s="680" t="str">
        <f t="shared" si="40"/>
        <v xml:space="preserve">    ---- </v>
      </c>
      <c r="AL123" s="679">
        <f t="shared" si="21"/>
        <v>-3047.5161269999999</v>
      </c>
      <c r="AM123" s="679">
        <f t="shared" si="21"/>
        <v>-398.95127299999996</v>
      </c>
      <c r="AN123" s="680">
        <f t="shared" si="11"/>
        <v>-86.9</v>
      </c>
      <c r="AO123" s="637">
        <f t="shared" si="22"/>
        <v>-3047.5161269999999</v>
      </c>
      <c r="AP123" s="637">
        <f t="shared" si="22"/>
        <v>-398.95127299999996</v>
      </c>
      <c r="AQ123" s="680">
        <f t="shared" si="12"/>
        <v>-86.9</v>
      </c>
      <c r="AR123" s="661"/>
      <c r="AS123" s="661"/>
      <c r="AT123" s="656"/>
      <c r="AU123" s="656"/>
    </row>
    <row r="124" spans="1:47" s="681" customFormat="1" ht="18.75" customHeight="1" x14ac:dyDescent="0.3">
      <c r="A124" s="629" t="s">
        <v>379</v>
      </c>
      <c r="B124" s="685"/>
      <c r="C124" s="679"/>
      <c r="D124" s="679"/>
      <c r="E124" s="685"/>
      <c r="F124" s="679"/>
      <c r="G124" s="680"/>
      <c r="H124" s="685"/>
      <c r="I124" s="679"/>
      <c r="J124" s="680"/>
      <c r="K124" s="685"/>
      <c r="L124" s="679"/>
      <c r="M124" s="679"/>
      <c r="N124" s="685"/>
      <c r="O124" s="679"/>
      <c r="P124" s="680"/>
      <c r="Q124" s="685">
        <v>140.40104314866019</v>
      </c>
      <c r="R124" s="679">
        <v>136.81818814669609</v>
      </c>
      <c r="S124" s="680">
        <f t="shared" si="38"/>
        <v>-2.6</v>
      </c>
      <c r="T124" s="685"/>
      <c r="U124" s="679"/>
      <c r="V124" s="680"/>
      <c r="W124" s="685"/>
      <c r="X124" s="679"/>
      <c r="Y124" s="680"/>
      <c r="Z124" s="685">
        <v>39</v>
      </c>
      <c r="AA124" s="679">
        <v>47</v>
      </c>
      <c r="AB124" s="680">
        <f t="shared" si="39"/>
        <v>20.5</v>
      </c>
      <c r="AC124" s="685"/>
      <c r="AD124" s="679"/>
      <c r="AE124" s="680"/>
      <c r="AF124" s="685"/>
      <c r="AG124" s="679"/>
      <c r="AH124" s="680"/>
      <c r="AI124" s="685">
        <v>-4.8099999999999996</v>
      </c>
      <c r="AJ124" s="679">
        <v>-5.9</v>
      </c>
      <c r="AK124" s="680">
        <f t="shared" si="40"/>
        <v>22.7</v>
      </c>
      <c r="AL124" s="679">
        <f t="shared" si="21"/>
        <v>174.59104314866019</v>
      </c>
      <c r="AM124" s="679">
        <f t="shared" si="21"/>
        <v>177.91818814669608</v>
      </c>
      <c r="AN124" s="680">
        <f t="shared" si="11"/>
        <v>1.9</v>
      </c>
      <c r="AO124" s="637">
        <f t="shared" si="22"/>
        <v>174.59104314866019</v>
      </c>
      <c r="AP124" s="637">
        <f t="shared" si="22"/>
        <v>177.91818814669608</v>
      </c>
      <c r="AQ124" s="680">
        <f t="shared" si="12"/>
        <v>1.9</v>
      </c>
      <c r="AR124" s="661"/>
      <c r="AS124" s="661"/>
      <c r="AT124" s="656"/>
      <c r="AU124" s="656"/>
    </row>
    <row r="125" spans="1:47" s="681" customFormat="1" ht="18.75" customHeight="1" x14ac:dyDescent="0.3">
      <c r="A125" s="629" t="s">
        <v>380</v>
      </c>
      <c r="B125" s="685"/>
      <c r="C125" s="679"/>
      <c r="D125" s="679"/>
      <c r="E125" s="685"/>
      <c r="F125" s="679"/>
      <c r="G125" s="680"/>
      <c r="H125" s="685"/>
      <c r="I125" s="679"/>
      <c r="J125" s="680"/>
      <c r="K125" s="685"/>
      <c r="L125" s="679"/>
      <c r="M125" s="679"/>
      <c r="N125" s="685"/>
      <c r="O125" s="679"/>
      <c r="P125" s="680"/>
      <c r="Q125" s="685"/>
      <c r="R125" s="679"/>
      <c r="S125" s="680"/>
      <c r="T125" s="685"/>
      <c r="U125" s="679"/>
      <c r="V125" s="680"/>
      <c r="W125" s="685"/>
      <c r="X125" s="679"/>
      <c r="Y125" s="680"/>
      <c r="Z125" s="685"/>
      <c r="AA125" s="679"/>
      <c r="AB125" s="680"/>
      <c r="AC125" s="685"/>
      <c r="AD125" s="679"/>
      <c r="AE125" s="680"/>
      <c r="AF125" s="685"/>
      <c r="AG125" s="679"/>
      <c r="AH125" s="680"/>
      <c r="AI125" s="685">
        <v>5.32</v>
      </c>
      <c r="AJ125" s="679">
        <v>5.5</v>
      </c>
      <c r="AK125" s="680">
        <f t="shared" si="40"/>
        <v>3.4</v>
      </c>
      <c r="AL125" s="679">
        <f t="shared" si="21"/>
        <v>5.32</v>
      </c>
      <c r="AM125" s="679">
        <f t="shared" si="21"/>
        <v>5.5</v>
      </c>
      <c r="AN125" s="680">
        <f t="shared" si="11"/>
        <v>3.4</v>
      </c>
      <c r="AO125" s="637">
        <f t="shared" si="22"/>
        <v>5.32</v>
      </c>
      <c r="AP125" s="637">
        <f t="shared" si="22"/>
        <v>5.5</v>
      </c>
      <c r="AQ125" s="680">
        <f t="shared" si="12"/>
        <v>3.4</v>
      </c>
      <c r="AR125" s="661"/>
      <c r="AS125" s="661"/>
      <c r="AT125" s="656"/>
      <c r="AU125" s="656"/>
    </row>
    <row r="126" spans="1:47" s="681" customFormat="1" ht="18.75" customHeight="1" x14ac:dyDescent="0.3">
      <c r="A126" s="629" t="s">
        <v>381</v>
      </c>
      <c r="B126" s="685"/>
      <c r="C126" s="679"/>
      <c r="D126" s="679"/>
      <c r="E126" s="685"/>
      <c r="F126" s="679"/>
      <c r="G126" s="680"/>
      <c r="H126" s="685"/>
      <c r="I126" s="679"/>
      <c r="J126" s="680"/>
      <c r="K126" s="685"/>
      <c r="L126" s="679"/>
      <c r="M126" s="679"/>
      <c r="N126" s="685"/>
      <c r="O126" s="679"/>
      <c r="P126" s="680"/>
      <c r="Q126" s="685">
        <v>703.36525500000005</v>
      </c>
      <c r="R126" s="679">
        <v>749.90804200000002</v>
      </c>
      <c r="S126" s="680">
        <f t="shared" si="38"/>
        <v>6.6</v>
      </c>
      <c r="T126" s="685"/>
      <c r="U126" s="679"/>
      <c r="V126" s="680"/>
      <c r="W126" s="685"/>
      <c r="X126" s="679"/>
      <c r="Y126" s="680"/>
      <c r="Z126" s="685">
        <v>306</v>
      </c>
      <c r="AA126" s="679">
        <v>257</v>
      </c>
      <c r="AB126" s="680">
        <f t="shared" si="39"/>
        <v>-16</v>
      </c>
      <c r="AC126" s="685"/>
      <c r="AD126" s="679"/>
      <c r="AE126" s="680"/>
      <c r="AF126" s="685"/>
      <c r="AG126" s="679"/>
      <c r="AH126" s="680"/>
      <c r="AI126" s="685">
        <v>14.44</v>
      </c>
      <c r="AJ126" s="679">
        <v>16.5</v>
      </c>
      <c r="AK126" s="680">
        <f t="shared" si="40"/>
        <v>14.3</v>
      </c>
      <c r="AL126" s="679">
        <f t="shared" si="21"/>
        <v>1023.8052550000001</v>
      </c>
      <c r="AM126" s="679">
        <f t="shared" si="21"/>
        <v>1023.408042</v>
      </c>
      <c r="AN126" s="680">
        <f t="shared" si="11"/>
        <v>0</v>
      </c>
      <c r="AO126" s="637">
        <f t="shared" si="22"/>
        <v>1023.8052550000001</v>
      </c>
      <c r="AP126" s="637">
        <f t="shared" si="22"/>
        <v>1023.408042</v>
      </c>
      <c r="AQ126" s="680">
        <f t="shared" si="12"/>
        <v>0</v>
      </c>
      <c r="AR126" s="661"/>
      <c r="AS126" s="661"/>
      <c r="AT126" s="656"/>
      <c r="AU126" s="656"/>
    </row>
    <row r="127" spans="1:47" s="681" customFormat="1" ht="18.75" customHeight="1" x14ac:dyDescent="0.3">
      <c r="A127" s="629" t="s">
        <v>382</v>
      </c>
      <c r="B127" s="685"/>
      <c r="C127" s="679"/>
      <c r="D127" s="679"/>
      <c r="E127" s="685"/>
      <c r="F127" s="679"/>
      <c r="G127" s="680"/>
      <c r="H127" s="685"/>
      <c r="I127" s="679"/>
      <c r="J127" s="680"/>
      <c r="K127" s="685"/>
      <c r="L127" s="679"/>
      <c r="M127" s="679"/>
      <c r="N127" s="685"/>
      <c r="O127" s="679"/>
      <c r="P127" s="680"/>
      <c r="Q127" s="685">
        <v>894.61142648381815</v>
      </c>
      <c r="R127" s="679">
        <v>955.59102550045452</v>
      </c>
      <c r="S127" s="680">
        <f t="shared" si="38"/>
        <v>6.8</v>
      </c>
      <c r="T127" s="685"/>
      <c r="U127" s="679"/>
      <c r="V127" s="680"/>
      <c r="W127" s="685"/>
      <c r="X127" s="679"/>
      <c r="Y127" s="680"/>
      <c r="Z127" s="685">
        <v>358</v>
      </c>
      <c r="AA127" s="679">
        <v>402</v>
      </c>
      <c r="AB127" s="680">
        <f t="shared" si="39"/>
        <v>12.3</v>
      </c>
      <c r="AC127" s="685"/>
      <c r="AD127" s="679"/>
      <c r="AE127" s="680"/>
      <c r="AF127" s="685"/>
      <c r="AG127" s="679"/>
      <c r="AH127" s="680"/>
      <c r="AI127" s="685">
        <v>0.66</v>
      </c>
      <c r="AJ127" s="679">
        <v>0.6</v>
      </c>
      <c r="AK127" s="680">
        <f t="shared" si="40"/>
        <v>-9.1</v>
      </c>
      <c r="AL127" s="679">
        <f t="shared" si="21"/>
        <v>1253.2714264838182</v>
      </c>
      <c r="AM127" s="679">
        <f t="shared" si="21"/>
        <v>1358.1910255004545</v>
      </c>
      <c r="AN127" s="680">
        <f t="shared" si="11"/>
        <v>8.4</v>
      </c>
      <c r="AO127" s="637">
        <f t="shared" si="22"/>
        <v>1253.2714264838182</v>
      </c>
      <c r="AP127" s="637">
        <f t="shared" si="22"/>
        <v>1358.1910255004545</v>
      </c>
      <c r="AQ127" s="680">
        <f t="shared" si="12"/>
        <v>8.4</v>
      </c>
      <c r="AR127" s="661"/>
      <c r="AS127" s="661"/>
      <c r="AT127" s="656"/>
      <c r="AU127" s="656"/>
    </row>
    <row r="128" spans="1:47" s="681" customFormat="1" ht="18.75" customHeight="1" x14ac:dyDescent="0.3">
      <c r="A128" s="629" t="s">
        <v>383</v>
      </c>
      <c r="B128" s="685"/>
      <c r="C128" s="679"/>
      <c r="D128" s="679"/>
      <c r="E128" s="685"/>
      <c r="F128" s="679"/>
      <c r="G128" s="680"/>
      <c r="H128" s="685"/>
      <c r="I128" s="679"/>
      <c r="J128" s="680"/>
      <c r="K128" s="685"/>
      <c r="L128" s="679"/>
      <c r="M128" s="679"/>
      <c r="N128" s="685"/>
      <c r="O128" s="679"/>
      <c r="P128" s="680"/>
      <c r="Q128" s="685">
        <v>518.50259500000004</v>
      </c>
      <c r="R128" s="679">
        <v>477.79551300000003</v>
      </c>
      <c r="S128" s="680">
        <f t="shared" si="38"/>
        <v>-7.9</v>
      </c>
      <c r="T128" s="685"/>
      <c r="U128" s="679"/>
      <c r="V128" s="680"/>
      <c r="W128" s="685"/>
      <c r="X128" s="679"/>
      <c r="Y128" s="680"/>
      <c r="Z128" s="685">
        <v>-179</v>
      </c>
      <c r="AA128" s="679">
        <v>-201</v>
      </c>
      <c r="AB128" s="680">
        <f t="shared" si="39"/>
        <v>12.3</v>
      </c>
      <c r="AC128" s="685"/>
      <c r="AD128" s="679"/>
      <c r="AE128" s="680"/>
      <c r="AF128" s="685"/>
      <c r="AG128" s="679"/>
      <c r="AH128" s="680"/>
      <c r="AI128" s="685"/>
      <c r="AJ128" s="679">
        <v>0.3</v>
      </c>
      <c r="AK128" s="680" t="str">
        <f t="shared" si="40"/>
        <v xml:space="preserve">    ---- </v>
      </c>
      <c r="AL128" s="679">
        <f t="shared" si="21"/>
        <v>339.50259500000004</v>
      </c>
      <c r="AM128" s="679">
        <f t="shared" si="21"/>
        <v>277.09551300000004</v>
      </c>
      <c r="AN128" s="680">
        <f t="shared" si="11"/>
        <v>-18.399999999999999</v>
      </c>
      <c r="AO128" s="637">
        <f t="shared" si="22"/>
        <v>339.50259500000004</v>
      </c>
      <c r="AP128" s="637">
        <f t="shared" si="22"/>
        <v>277.09551300000004</v>
      </c>
      <c r="AQ128" s="680">
        <f t="shared" si="12"/>
        <v>-18.399999999999999</v>
      </c>
      <c r="AR128" s="661"/>
      <c r="AS128" s="661"/>
      <c r="AT128" s="656"/>
      <c r="AU128" s="656"/>
    </row>
    <row r="129" spans="1:47" s="681" customFormat="1" ht="18.75" customHeight="1" x14ac:dyDescent="0.3">
      <c r="A129" s="629" t="s">
        <v>384</v>
      </c>
      <c r="B129" s="685"/>
      <c r="C129" s="679"/>
      <c r="D129" s="679"/>
      <c r="E129" s="685"/>
      <c r="F129" s="679"/>
      <c r="G129" s="680"/>
      <c r="H129" s="685"/>
      <c r="I129" s="679"/>
      <c r="J129" s="680"/>
      <c r="K129" s="685"/>
      <c r="L129" s="679"/>
      <c r="M129" s="679"/>
      <c r="N129" s="685"/>
      <c r="O129" s="679"/>
      <c r="P129" s="680"/>
      <c r="Q129" s="685"/>
      <c r="R129" s="679"/>
      <c r="S129" s="680"/>
      <c r="T129" s="685"/>
      <c r="U129" s="679"/>
      <c r="V129" s="680"/>
      <c r="W129" s="685"/>
      <c r="X129" s="679"/>
      <c r="Y129" s="680"/>
      <c r="Z129" s="685"/>
      <c r="AA129" s="679"/>
      <c r="AB129" s="680"/>
      <c r="AC129" s="685"/>
      <c r="AD129" s="679"/>
      <c r="AE129" s="680"/>
      <c r="AF129" s="685"/>
      <c r="AG129" s="679"/>
      <c r="AH129" s="680"/>
      <c r="AI129" s="685"/>
      <c r="AJ129" s="679"/>
      <c r="AK129" s="680"/>
      <c r="AL129" s="679">
        <f t="shared" si="21"/>
        <v>0</v>
      </c>
      <c r="AM129" s="679">
        <f t="shared" si="21"/>
        <v>0</v>
      </c>
      <c r="AN129" s="680" t="str">
        <f t="shared" si="11"/>
        <v xml:space="preserve">    ---- </v>
      </c>
      <c r="AO129" s="637">
        <f t="shared" si="22"/>
        <v>0</v>
      </c>
      <c r="AP129" s="637">
        <f t="shared" si="22"/>
        <v>0</v>
      </c>
      <c r="AQ129" s="680" t="str">
        <f t="shared" si="12"/>
        <v xml:space="preserve">    ---- </v>
      </c>
      <c r="AR129" s="661"/>
      <c r="AS129" s="661"/>
      <c r="AT129" s="656"/>
      <c r="AU129" s="656"/>
    </row>
    <row r="130" spans="1:47" s="684" customFormat="1" ht="18.75" customHeight="1" x14ac:dyDescent="0.3">
      <c r="A130" s="623" t="s">
        <v>385</v>
      </c>
      <c r="B130" s="686"/>
      <c r="C130" s="677"/>
      <c r="D130" s="677"/>
      <c r="E130" s="686"/>
      <c r="F130" s="677"/>
      <c r="G130" s="678"/>
      <c r="H130" s="686"/>
      <c r="I130" s="677"/>
      <c r="J130" s="678"/>
      <c r="K130" s="686"/>
      <c r="L130" s="677"/>
      <c r="M130" s="677"/>
      <c r="N130" s="686"/>
      <c r="O130" s="677"/>
      <c r="P130" s="678"/>
      <c r="Q130" s="686">
        <v>8395.8012605911917</v>
      </c>
      <c r="R130" s="677">
        <v>7089.5712066009146</v>
      </c>
      <c r="S130" s="678">
        <f t="shared" si="38"/>
        <v>-15.6</v>
      </c>
      <c r="T130" s="686"/>
      <c r="U130" s="677"/>
      <c r="V130" s="678"/>
      <c r="W130" s="686"/>
      <c r="X130" s="677"/>
      <c r="Y130" s="678"/>
      <c r="Z130" s="686">
        <v>1646</v>
      </c>
      <c r="AA130" s="677">
        <v>2056</v>
      </c>
      <c r="AB130" s="678">
        <f t="shared" si="39"/>
        <v>24.9</v>
      </c>
      <c r="AC130" s="686"/>
      <c r="AD130" s="677"/>
      <c r="AE130" s="678"/>
      <c r="AF130" s="686"/>
      <c r="AG130" s="677"/>
      <c r="AH130" s="678"/>
      <c r="AI130" s="686">
        <v>86.039999999999992</v>
      </c>
      <c r="AJ130" s="677">
        <v>20.100000000000001</v>
      </c>
      <c r="AK130" s="678">
        <f t="shared" si="40"/>
        <v>-76.599999999999994</v>
      </c>
      <c r="AL130" s="677">
        <f t="shared" si="21"/>
        <v>10127.841260591193</v>
      </c>
      <c r="AM130" s="677">
        <f t="shared" si="21"/>
        <v>9165.671206600915</v>
      </c>
      <c r="AN130" s="678">
        <f t="shared" si="11"/>
        <v>-9.5</v>
      </c>
      <c r="AO130" s="637">
        <f t="shared" si="22"/>
        <v>10127.841260591193</v>
      </c>
      <c r="AP130" s="637">
        <f t="shared" si="22"/>
        <v>9165.671206600915</v>
      </c>
      <c r="AQ130" s="678">
        <f t="shared" si="12"/>
        <v>-9.5</v>
      </c>
      <c r="AR130" s="682" t="e">
        <f>B130,C130,E130,F130,H130,I130,K130,L130,N130,O130,Q130,R130,T130,U130,W130,X130,Z130,AA130,AC130,AD130,#REF!,#REF!,AF130,AG130,AI130,AJ130,AL130,AM130,AO130,AP130</f>
        <v>#REF!</v>
      </c>
      <c r="AS130" s="659"/>
      <c r="AT130" s="683"/>
      <c r="AU130" s="683"/>
    </row>
    <row r="131" spans="1:47" s="681" customFormat="1" ht="18.75" customHeight="1" x14ac:dyDescent="0.3">
      <c r="A131" s="629" t="s">
        <v>386</v>
      </c>
      <c r="B131" s="685"/>
      <c r="C131" s="679"/>
      <c r="D131" s="679"/>
      <c r="E131" s="685"/>
      <c r="F131" s="679"/>
      <c r="G131" s="680"/>
      <c r="H131" s="685"/>
      <c r="I131" s="679"/>
      <c r="J131" s="680"/>
      <c r="K131" s="685"/>
      <c r="L131" s="679"/>
      <c r="M131" s="679"/>
      <c r="N131" s="685"/>
      <c r="O131" s="679"/>
      <c r="P131" s="680"/>
      <c r="Q131" s="685">
        <v>7307.611062278489</v>
      </c>
      <c r="R131" s="679">
        <v>5782.3605115262899</v>
      </c>
      <c r="S131" s="680">
        <f t="shared" si="38"/>
        <v>-20.9</v>
      </c>
      <c r="T131" s="685"/>
      <c r="U131" s="679"/>
      <c r="V131" s="680"/>
      <c r="W131" s="685"/>
      <c r="X131" s="679"/>
      <c r="Y131" s="680"/>
      <c r="Z131" s="685">
        <v>480</v>
      </c>
      <c r="AA131" s="679">
        <v>1265</v>
      </c>
      <c r="AB131" s="680">
        <f t="shared" si="39"/>
        <v>163.5</v>
      </c>
      <c r="AC131" s="685"/>
      <c r="AD131" s="679"/>
      <c r="AE131" s="680"/>
      <c r="AF131" s="685"/>
      <c r="AG131" s="679"/>
      <c r="AH131" s="680"/>
      <c r="AI131" s="685">
        <v>70.760000000000005</v>
      </c>
      <c r="AJ131" s="679">
        <v>3.6999999999999997</v>
      </c>
      <c r="AK131" s="680">
        <f t="shared" si="40"/>
        <v>-94.8</v>
      </c>
      <c r="AL131" s="679">
        <f t="shared" si="21"/>
        <v>7858.3710622784893</v>
      </c>
      <c r="AM131" s="679">
        <f t="shared" si="21"/>
        <v>7051.0605115262897</v>
      </c>
      <c r="AN131" s="680">
        <f t="shared" si="11"/>
        <v>-10.3</v>
      </c>
      <c r="AO131" s="637">
        <f t="shared" si="22"/>
        <v>7858.3710622784893</v>
      </c>
      <c r="AP131" s="637">
        <f t="shared" si="22"/>
        <v>7051.0605115262897</v>
      </c>
      <c r="AQ131" s="680">
        <f t="shared" si="12"/>
        <v>-10.3</v>
      </c>
      <c r="AR131" s="661"/>
      <c r="AS131" s="661"/>
      <c r="AT131" s="656"/>
      <c r="AU131" s="656"/>
    </row>
    <row r="132" spans="1:47" s="681" customFormat="1" ht="18.75" customHeight="1" x14ac:dyDescent="0.3">
      <c r="A132" s="629" t="s">
        <v>387</v>
      </c>
      <c r="B132" s="685"/>
      <c r="C132" s="679"/>
      <c r="D132" s="679"/>
      <c r="E132" s="685"/>
      <c r="F132" s="679"/>
      <c r="G132" s="680"/>
      <c r="H132" s="685"/>
      <c r="I132" s="679"/>
      <c r="J132" s="680"/>
      <c r="K132" s="685"/>
      <c r="L132" s="679"/>
      <c r="M132" s="679"/>
      <c r="N132" s="685"/>
      <c r="O132" s="679"/>
      <c r="P132" s="680"/>
      <c r="Q132" s="685">
        <v>1088.1901983127043</v>
      </c>
      <c r="R132" s="679">
        <v>1307.4806950746199</v>
      </c>
      <c r="S132" s="680">
        <f t="shared" si="38"/>
        <v>20.2</v>
      </c>
      <c r="T132" s="685"/>
      <c r="U132" s="679"/>
      <c r="V132" s="680"/>
      <c r="W132" s="685"/>
      <c r="X132" s="679"/>
      <c r="Y132" s="680"/>
      <c r="Z132" s="685">
        <v>1166</v>
      </c>
      <c r="AA132" s="679">
        <v>791</v>
      </c>
      <c r="AB132" s="680">
        <f t="shared" si="39"/>
        <v>-32.200000000000003</v>
      </c>
      <c r="AC132" s="685"/>
      <c r="AD132" s="679"/>
      <c r="AE132" s="680"/>
      <c r="AF132" s="685"/>
      <c r="AG132" s="679"/>
      <c r="AH132" s="680"/>
      <c r="AI132" s="685">
        <v>15.28</v>
      </c>
      <c r="AJ132" s="679">
        <v>16.399999999999999</v>
      </c>
      <c r="AK132" s="680">
        <f t="shared" si="40"/>
        <v>7.3</v>
      </c>
      <c r="AL132" s="679">
        <f t="shared" si="21"/>
        <v>2269.4701983127047</v>
      </c>
      <c r="AM132" s="679">
        <f t="shared" si="21"/>
        <v>2114.8806950746198</v>
      </c>
      <c r="AN132" s="680">
        <f t="shared" si="11"/>
        <v>-6.8</v>
      </c>
      <c r="AO132" s="637">
        <f t="shared" si="22"/>
        <v>2269.4701983127047</v>
      </c>
      <c r="AP132" s="637">
        <f t="shared" si="22"/>
        <v>2114.8806950746198</v>
      </c>
      <c r="AQ132" s="680">
        <f t="shared" si="12"/>
        <v>-6.8</v>
      </c>
      <c r="AR132" s="661"/>
      <c r="AS132" s="661"/>
      <c r="AT132" s="656"/>
      <c r="AU132" s="656"/>
    </row>
    <row r="133" spans="1:47" s="681" customFormat="1" ht="18.75" customHeight="1" x14ac:dyDescent="0.3">
      <c r="A133" s="623" t="s">
        <v>407</v>
      </c>
      <c r="B133" s="685"/>
      <c r="C133" s="679"/>
      <c r="D133" s="679"/>
      <c r="E133" s="685"/>
      <c r="F133" s="679"/>
      <c r="G133" s="680"/>
      <c r="H133" s="685"/>
      <c r="I133" s="679"/>
      <c r="J133" s="680"/>
      <c r="K133" s="685"/>
      <c r="L133" s="679"/>
      <c r="M133" s="679"/>
      <c r="N133" s="685"/>
      <c r="O133" s="679"/>
      <c r="P133" s="680"/>
      <c r="Q133" s="685"/>
      <c r="R133" s="679"/>
      <c r="S133" s="680"/>
      <c r="T133" s="685"/>
      <c r="U133" s="679"/>
      <c r="V133" s="680"/>
      <c r="W133" s="685"/>
      <c r="X133" s="679"/>
      <c r="Y133" s="680"/>
      <c r="Z133" s="685"/>
      <c r="AA133" s="679"/>
      <c r="AB133" s="680"/>
      <c r="AC133" s="685"/>
      <c r="AD133" s="679"/>
      <c r="AE133" s="680"/>
      <c r="AF133" s="685"/>
      <c r="AG133" s="679"/>
      <c r="AH133" s="680"/>
      <c r="AI133" s="685"/>
      <c r="AJ133" s="679"/>
      <c r="AK133" s="680"/>
      <c r="AL133" s="679">
        <f t="shared" si="21"/>
        <v>0</v>
      </c>
      <c r="AM133" s="679">
        <f t="shared" si="21"/>
        <v>0</v>
      </c>
      <c r="AN133" s="680"/>
      <c r="AO133" s="637">
        <f t="shared" si="22"/>
        <v>0</v>
      </c>
      <c r="AP133" s="637">
        <f t="shared" si="22"/>
        <v>0</v>
      </c>
      <c r="AQ133" s="680"/>
      <c r="AR133" s="661"/>
      <c r="AS133" s="661"/>
      <c r="AT133" s="656"/>
      <c r="AU133" s="656"/>
    </row>
    <row r="134" spans="1:47" s="681" customFormat="1" ht="18.75" customHeight="1" x14ac:dyDescent="0.3">
      <c r="A134" s="629" t="s">
        <v>377</v>
      </c>
      <c r="B134" s="685"/>
      <c r="C134" s="679"/>
      <c r="D134" s="679"/>
      <c r="E134" s="685"/>
      <c r="F134" s="679"/>
      <c r="G134" s="680"/>
      <c r="H134" s="685"/>
      <c r="I134" s="679"/>
      <c r="J134" s="680"/>
      <c r="K134" s="685"/>
      <c r="L134" s="679"/>
      <c r="M134" s="679"/>
      <c r="N134" s="685"/>
      <c r="O134" s="679"/>
      <c r="P134" s="680"/>
      <c r="Q134" s="685">
        <v>110.21498774000001</v>
      </c>
      <c r="R134" s="679">
        <v>-40.261006909999999</v>
      </c>
      <c r="S134" s="680">
        <f t="shared" si="38"/>
        <v>-136.5</v>
      </c>
      <c r="T134" s="685"/>
      <c r="U134" s="679"/>
      <c r="V134" s="680"/>
      <c r="W134" s="685"/>
      <c r="X134" s="679"/>
      <c r="Y134" s="680"/>
      <c r="Z134" s="685"/>
      <c r="AA134" s="679"/>
      <c r="AB134" s="680"/>
      <c r="AC134" s="685"/>
      <c r="AD134" s="679"/>
      <c r="AE134" s="680"/>
      <c r="AF134" s="685"/>
      <c r="AG134" s="679"/>
      <c r="AH134" s="680"/>
      <c r="AI134" s="685"/>
      <c r="AJ134" s="679"/>
      <c r="AK134" s="680"/>
      <c r="AL134" s="679">
        <f t="shared" si="21"/>
        <v>110.21498774000001</v>
      </c>
      <c r="AM134" s="679">
        <f t="shared" si="21"/>
        <v>-40.261006909999999</v>
      </c>
      <c r="AN134" s="680">
        <f t="shared" si="11"/>
        <v>-136.5</v>
      </c>
      <c r="AO134" s="637">
        <f t="shared" si="22"/>
        <v>110.21498774000001</v>
      </c>
      <c r="AP134" s="637">
        <f t="shared" si="22"/>
        <v>-40.261006909999999</v>
      </c>
      <c r="AQ134" s="680">
        <f t="shared" si="12"/>
        <v>-136.5</v>
      </c>
      <c r="AR134" s="661"/>
      <c r="AS134" s="661"/>
      <c r="AT134" s="656"/>
      <c r="AU134" s="656"/>
    </row>
    <row r="135" spans="1:47" s="681" customFormat="1" ht="18.75" customHeight="1" x14ac:dyDescent="0.3">
      <c r="A135" s="629" t="s">
        <v>378</v>
      </c>
      <c r="B135" s="685"/>
      <c r="C135" s="679"/>
      <c r="D135" s="679"/>
      <c r="E135" s="685"/>
      <c r="F135" s="679"/>
      <c r="G135" s="680"/>
      <c r="H135" s="685"/>
      <c r="I135" s="679"/>
      <c r="J135" s="680"/>
      <c r="K135" s="685"/>
      <c r="L135" s="679"/>
      <c r="M135" s="679"/>
      <c r="N135" s="685"/>
      <c r="O135" s="679"/>
      <c r="P135" s="680"/>
      <c r="Q135" s="685">
        <v>1.870401</v>
      </c>
      <c r="R135" s="679">
        <v>0</v>
      </c>
      <c r="S135" s="680">
        <f t="shared" si="38"/>
        <v>-100</v>
      </c>
      <c r="T135" s="685"/>
      <c r="U135" s="679"/>
      <c r="V135" s="680"/>
      <c r="W135" s="685"/>
      <c r="X135" s="679"/>
      <c r="Y135" s="680"/>
      <c r="Z135" s="685"/>
      <c r="AA135" s="679"/>
      <c r="AB135" s="680"/>
      <c r="AC135" s="685"/>
      <c r="AD135" s="679"/>
      <c r="AE135" s="680"/>
      <c r="AF135" s="685"/>
      <c r="AG135" s="679"/>
      <c r="AH135" s="680"/>
      <c r="AI135" s="685"/>
      <c r="AJ135" s="679"/>
      <c r="AK135" s="680"/>
      <c r="AL135" s="679">
        <f t="shared" si="21"/>
        <v>1.870401</v>
      </c>
      <c r="AM135" s="679">
        <f t="shared" si="21"/>
        <v>0</v>
      </c>
      <c r="AN135" s="680">
        <f t="shared" si="11"/>
        <v>-100</v>
      </c>
      <c r="AO135" s="637">
        <f t="shared" si="22"/>
        <v>1.870401</v>
      </c>
      <c r="AP135" s="637">
        <f t="shared" si="22"/>
        <v>0</v>
      </c>
      <c r="AQ135" s="680">
        <f t="shared" si="12"/>
        <v>-100</v>
      </c>
      <c r="AR135" s="661"/>
      <c r="AS135" s="661"/>
      <c r="AT135" s="656"/>
      <c r="AU135" s="656"/>
    </row>
    <row r="136" spans="1:47" s="681" customFormat="1" ht="18.75" customHeight="1" x14ac:dyDescent="0.3">
      <c r="A136" s="629" t="s">
        <v>379</v>
      </c>
      <c r="B136" s="685"/>
      <c r="C136" s="679"/>
      <c r="D136" s="679"/>
      <c r="E136" s="685"/>
      <c r="F136" s="679"/>
      <c r="G136" s="680"/>
      <c r="H136" s="685"/>
      <c r="I136" s="679"/>
      <c r="J136" s="680"/>
      <c r="K136" s="685"/>
      <c r="L136" s="679"/>
      <c r="M136" s="679"/>
      <c r="N136" s="685"/>
      <c r="O136" s="679"/>
      <c r="P136" s="680"/>
      <c r="Q136" s="685">
        <v>0.58957359830815348</v>
      </c>
      <c r="R136" s="679">
        <v>0.53446521738128738</v>
      </c>
      <c r="S136" s="680">
        <f t="shared" si="38"/>
        <v>-9.3000000000000007</v>
      </c>
      <c r="T136" s="685"/>
      <c r="U136" s="679"/>
      <c r="V136" s="680"/>
      <c r="W136" s="685"/>
      <c r="X136" s="679"/>
      <c r="Y136" s="680"/>
      <c r="Z136" s="685"/>
      <c r="AA136" s="679"/>
      <c r="AB136" s="680"/>
      <c r="AC136" s="685"/>
      <c r="AD136" s="679"/>
      <c r="AE136" s="680"/>
      <c r="AF136" s="685"/>
      <c r="AG136" s="679"/>
      <c r="AH136" s="680"/>
      <c r="AI136" s="685"/>
      <c r="AJ136" s="679"/>
      <c r="AK136" s="680"/>
      <c r="AL136" s="679">
        <f t="shared" si="21"/>
        <v>0.58957359830815348</v>
      </c>
      <c r="AM136" s="679">
        <f t="shared" si="21"/>
        <v>0.53446521738128738</v>
      </c>
      <c r="AN136" s="680">
        <f t="shared" si="11"/>
        <v>-9.3000000000000007</v>
      </c>
      <c r="AO136" s="637">
        <f t="shared" si="22"/>
        <v>0.58957359830815348</v>
      </c>
      <c r="AP136" s="637">
        <f t="shared" si="22"/>
        <v>0.53446521738128738</v>
      </c>
      <c r="AQ136" s="680">
        <f t="shared" si="12"/>
        <v>-9.3000000000000007</v>
      </c>
      <c r="AR136" s="661"/>
      <c r="AS136" s="661"/>
      <c r="AT136" s="656"/>
      <c r="AU136" s="656"/>
    </row>
    <row r="137" spans="1:47" s="681" customFormat="1" ht="18.75" customHeight="1" x14ac:dyDescent="0.3">
      <c r="A137" s="629" t="s">
        <v>380</v>
      </c>
      <c r="B137" s="685"/>
      <c r="C137" s="679"/>
      <c r="D137" s="679"/>
      <c r="E137" s="685"/>
      <c r="F137" s="679"/>
      <c r="G137" s="680"/>
      <c r="H137" s="685"/>
      <c r="I137" s="679"/>
      <c r="J137" s="680"/>
      <c r="K137" s="685"/>
      <c r="L137" s="679"/>
      <c r="M137" s="679"/>
      <c r="N137" s="685"/>
      <c r="O137" s="679"/>
      <c r="P137" s="680"/>
      <c r="Q137" s="685"/>
      <c r="R137" s="679"/>
      <c r="S137" s="680"/>
      <c r="T137" s="685"/>
      <c r="U137" s="679"/>
      <c r="V137" s="680"/>
      <c r="W137" s="685"/>
      <c r="X137" s="679"/>
      <c r="Y137" s="680"/>
      <c r="Z137" s="685"/>
      <c r="AA137" s="679"/>
      <c r="AB137" s="680"/>
      <c r="AC137" s="685"/>
      <c r="AD137" s="679"/>
      <c r="AE137" s="680"/>
      <c r="AF137" s="685"/>
      <c r="AG137" s="679"/>
      <c r="AH137" s="680"/>
      <c r="AI137" s="685"/>
      <c r="AJ137" s="679"/>
      <c r="AK137" s="680"/>
      <c r="AL137" s="679">
        <f t="shared" si="21"/>
        <v>0</v>
      </c>
      <c r="AM137" s="679">
        <f t="shared" si="21"/>
        <v>0</v>
      </c>
      <c r="AN137" s="680" t="str">
        <f t="shared" si="11"/>
        <v xml:space="preserve">    ---- </v>
      </c>
      <c r="AO137" s="637">
        <f t="shared" si="22"/>
        <v>0</v>
      </c>
      <c r="AP137" s="637">
        <f t="shared" si="22"/>
        <v>0</v>
      </c>
      <c r="AQ137" s="680" t="str">
        <f t="shared" si="12"/>
        <v xml:space="preserve">    ---- </v>
      </c>
      <c r="AR137" s="661"/>
      <c r="AS137" s="661"/>
      <c r="AT137" s="656"/>
      <c r="AU137" s="656"/>
    </row>
    <row r="138" spans="1:47" s="681" customFormat="1" ht="18.75" customHeight="1" x14ac:dyDescent="0.3">
      <c r="A138" s="629" t="s">
        <v>381</v>
      </c>
      <c r="B138" s="685"/>
      <c r="C138" s="679"/>
      <c r="D138" s="679"/>
      <c r="E138" s="685"/>
      <c r="F138" s="679"/>
      <c r="G138" s="680"/>
      <c r="H138" s="685"/>
      <c r="I138" s="679"/>
      <c r="J138" s="680"/>
      <c r="K138" s="685"/>
      <c r="L138" s="679"/>
      <c r="M138" s="679"/>
      <c r="N138" s="685"/>
      <c r="O138" s="679"/>
      <c r="P138" s="680"/>
      <c r="Q138" s="685">
        <v>7.1832510000000003</v>
      </c>
      <c r="R138" s="679">
        <v>7.8561880000000004</v>
      </c>
      <c r="S138" s="680">
        <f t="shared" si="38"/>
        <v>9.4</v>
      </c>
      <c r="T138" s="685"/>
      <c r="U138" s="679"/>
      <c r="V138" s="680"/>
      <c r="W138" s="685"/>
      <c r="X138" s="679"/>
      <c r="Y138" s="680"/>
      <c r="Z138" s="685"/>
      <c r="AA138" s="679"/>
      <c r="AB138" s="680"/>
      <c r="AC138" s="685"/>
      <c r="AD138" s="679"/>
      <c r="AE138" s="680"/>
      <c r="AF138" s="685"/>
      <c r="AG138" s="679"/>
      <c r="AH138" s="680"/>
      <c r="AI138" s="685"/>
      <c r="AJ138" s="679"/>
      <c r="AK138" s="680"/>
      <c r="AL138" s="679">
        <f t="shared" si="21"/>
        <v>7.1832510000000003</v>
      </c>
      <c r="AM138" s="679">
        <f t="shared" si="21"/>
        <v>7.8561880000000004</v>
      </c>
      <c r="AN138" s="680">
        <f t="shared" si="11"/>
        <v>9.4</v>
      </c>
      <c r="AO138" s="637">
        <f t="shared" si="22"/>
        <v>7.1832510000000003</v>
      </c>
      <c r="AP138" s="637">
        <f t="shared" si="22"/>
        <v>7.8561880000000004</v>
      </c>
      <c r="AQ138" s="680">
        <f t="shared" si="12"/>
        <v>9.4</v>
      </c>
      <c r="AR138" s="661"/>
      <c r="AS138" s="661"/>
      <c r="AT138" s="656"/>
      <c r="AU138" s="656"/>
    </row>
    <row r="139" spans="1:47" s="681" customFormat="1" ht="18.75" customHeight="1" x14ac:dyDescent="0.3">
      <c r="A139" s="629" t="s">
        <v>382</v>
      </c>
      <c r="B139" s="685"/>
      <c r="C139" s="679"/>
      <c r="D139" s="679"/>
      <c r="E139" s="685"/>
      <c r="F139" s="679"/>
      <c r="G139" s="680"/>
      <c r="H139" s="685"/>
      <c r="I139" s="679"/>
      <c r="J139" s="680"/>
      <c r="K139" s="685"/>
      <c r="L139" s="679"/>
      <c r="M139" s="679"/>
      <c r="N139" s="685"/>
      <c r="O139" s="679"/>
      <c r="P139" s="680"/>
      <c r="Q139" s="685">
        <v>4.2371376614476262</v>
      </c>
      <c r="R139" s="679">
        <v>4.2270294139835354</v>
      </c>
      <c r="S139" s="680">
        <f t="shared" si="38"/>
        <v>-0.2</v>
      </c>
      <c r="T139" s="685"/>
      <c r="U139" s="679"/>
      <c r="V139" s="680"/>
      <c r="W139" s="685"/>
      <c r="X139" s="679"/>
      <c r="Y139" s="680"/>
      <c r="Z139" s="685"/>
      <c r="AA139" s="679"/>
      <c r="AB139" s="680"/>
      <c r="AC139" s="685"/>
      <c r="AD139" s="679"/>
      <c r="AE139" s="680"/>
      <c r="AF139" s="685"/>
      <c r="AG139" s="679"/>
      <c r="AH139" s="680"/>
      <c r="AI139" s="685"/>
      <c r="AJ139" s="679"/>
      <c r="AK139" s="680"/>
      <c r="AL139" s="679">
        <f t="shared" si="21"/>
        <v>4.2371376614476262</v>
      </c>
      <c r="AM139" s="679">
        <f t="shared" si="21"/>
        <v>4.2270294139835354</v>
      </c>
      <c r="AN139" s="680">
        <f t="shared" si="11"/>
        <v>-0.2</v>
      </c>
      <c r="AO139" s="637">
        <f t="shared" si="22"/>
        <v>4.2371376614476262</v>
      </c>
      <c r="AP139" s="637">
        <f t="shared" si="22"/>
        <v>4.2270294139835354</v>
      </c>
      <c r="AQ139" s="680">
        <f t="shared" si="12"/>
        <v>-0.2</v>
      </c>
      <c r="AR139" s="661"/>
      <c r="AS139" s="661"/>
      <c r="AT139" s="656"/>
      <c r="AU139" s="656"/>
    </row>
    <row r="140" spans="1:47" s="681" customFormat="1" ht="18.75" customHeight="1" x14ac:dyDescent="0.3">
      <c r="A140" s="629" t="s">
        <v>383</v>
      </c>
      <c r="B140" s="685"/>
      <c r="C140" s="679"/>
      <c r="D140" s="679"/>
      <c r="E140" s="685"/>
      <c r="F140" s="679"/>
      <c r="G140" s="680"/>
      <c r="H140" s="685"/>
      <c r="I140" s="679"/>
      <c r="J140" s="680"/>
      <c r="K140" s="685"/>
      <c r="L140" s="679"/>
      <c r="M140" s="679"/>
      <c r="N140" s="685"/>
      <c r="O140" s="679"/>
      <c r="P140" s="680"/>
      <c r="Q140" s="685">
        <v>2.1185689999999999</v>
      </c>
      <c r="R140" s="679">
        <v>2.113515</v>
      </c>
      <c r="S140" s="680">
        <f t="shared" si="38"/>
        <v>-0.2</v>
      </c>
      <c r="T140" s="685"/>
      <c r="U140" s="679"/>
      <c r="V140" s="680"/>
      <c r="W140" s="685"/>
      <c r="X140" s="679"/>
      <c r="Y140" s="680"/>
      <c r="Z140" s="685"/>
      <c r="AA140" s="679"/>
      <c r="AB140" s="680"/>
      <c r="AC140" s="685"/>
      <c r="AD140" s="679"/>
      <c r="AE140" s="680"/>
      <c r="AF140" s="685"/>
      <c r="AG140" s="679"/>
      <c r="AH140" s="680"/>
      <c r="AI140" s="685"/>
      <c r="AJ140" s="679"/>
      <c r="AK140" s="680"/>
      <c r="AL140" s="679">
        <f t="shared" si="21"/>
        <v>2.1185689999999999</v>
      </c>
      <c r="AM140" s="679">
        <f t="shared" si="21"/>
        <v>2.113515</v>
      </c>
      <c r="AN140" s="680">
        <f t="shared" si="11"/>
        <v>-0.2</v>
      </c>
      <c r="AO140" s="637">
        <f t="shared" si="22"/>
        <v>2.1185689999999999</v>
      </c>
      <c r="AP140" s="637">
        <f t="shared" si="22"/>
        <v>2.113515</v>
      </c>
      <c r="AQ140" s="680">
        <f t="shared" si="12"/>
        <v>-0.2</v>
      </c>
      <c r="AR140" s="661"/>
      <c r="AS140" s="661"/>
      <c r="AT140" s="656"/>
      <c r="AU140" s="656"/>
    </row>
    <row r="141" spans="1:47" s="681" customFormat="1" ht="18.75" customHeight="1" x14ac:dyDescent="0.3">
      <c r="A141" s="629" t="s">
        <v>384</v>
      </c>
      <c r="B141" s="685"/>
      <c r="C141" s="679"/>
      <c r="D141" s="679"/>
      <c r="E141" s="685"/>
      <c r="F141" s="679"/>
      <c r="G141" s="680"/>
      <c r="H141" s="685"/>
      <c r="I141" s="679"/>
      <c r="J141" s="680"/>
      <c r="K141" s="685"/>
      <c r="L141" s="679"/>
      <c r="M141" s="679"/>
      <c r="N141" s="685"/>
      <c r="O141" s="679"/>
      <c r="P141" s="680"/>
      <c r="Q141" s="685"/>
      <c r="R141" s="679"/>
      <c r="S141" s="680"/>
      <c r="T141" s="685"/>
      <c r="U141" s="679"/>
      <c r="V141" s="680"/>
      <c r="W141" s="685"/>
      <c r="X141" s="679"/>
      <c r="Y141" s="680"/>
      <c r="Z141" s="685"/>
      <c r="AA141" s="679"/>
      <c r="AB141" s="680"/>
      <c r="AC141" s="685"/>
      <c r="AD141" s="679"/>
      <c r="AE141" s="680"/>
      <c r="AF141" s="685"/>
      <c r="AG141" s="679"/>
      <c r="AH141" s="680"/>
      <c r="AI141" s="685"/>
      <c r="AJ141" s="679"/>
      <c r="AK141" s="680"/>
      <c r="AL141" s="679">
        <f t="shared" ref="AL141:AM144" si="41">B141+E141+H141+K141+Q141+T141+W141+Z141+AF141+AI141</f>
        <v>0</v>
      </c>
      <c r="AM141" s="679">
        <f t="shared" si="41"/>
        <v>0</v>
      </c>
      <c r="AN141" s="680" t="str">
        <f t="shared" si="11"/>
        <v xml:space="preserve">    ---- </v>
      </c>
      <c r="AO141" s="637">
        <f t="shared" ref="AO141:AP144" si="42">+B141+E141+H141+K141+N141+Q141+T141+W141+Z141+AC141+AF141+AI141</f>
        <v>0</v>
      </c>
      <c r="AP141" s="637">
        <f t="shared" si="42"/>
        <v>0</v>
      </c>
      <c r="AQ141" s="680" t="str">
        <f t="shared" si="12"/>
        <v xml:space="preserve">    ---- </v>
      </c>
      <c r="AR141" s="661"/>
      <c r="AS141" s="661"/>
      <c r="AT141" s="656"/>
      <c r="AU141" s="656"/>
    </row>
    <row r="142" spans="1:47" s="684" customFormat="1" ht="18.75" customHeight="1" x14ac:dyDescent="0.3">
      <c r="A142" s="623" t="s">
        <v>385</v>
      </c>
      <c r="B142" s="686"/>
      <c r="C142" s="677"/>
      <c r="D142" s="677"/>
      <c r="E142" s="686"/>
      <c r="F142" s="677"/>
      <c r="G142" s="678"/>
      <c r="H142" s="686"/>
      <c r="I142" s="677"/>
      <c r="J142" s="678"/>
      <c r="K142" s="686"/>
      <c r="L142" s="677"/>
      <c r="M142" s="677"/>
      <c r="N142" s="686"/>
      <c r="O142" s="677"/>
      <c r="P142" s="678"/>
      <c r="Q142" s="686">
        <v>124.09535099975579</v>
      </c>
      <c r="R142" s="677">
        <v>-27.643324278635177</v>
      </c>
      <c r="S142" s="678">
        <f t="shared" si="38"/>
        <v>-122.3</v>
      </c>
      <c r="T142" s="686"/>
      <c r="U142" s="677"/>
      <c r="V142" s="678"/>
      <c r="W142" s="686"/>
      <c r="X142" s="677"/>
      <c r="Y142" s="678"/>
      <c r="Z142" s="686"/>
      <c r="AA142" s="677"/>
      <c r="AB142" s="678"/>
      <c r="AC142" s="686"/>
      <c r="AD142" s="677"/>
      <c r="AE142" s="678"/>
      <c r="AF142" s="686"/>
      <c r="AG142" s="677"/>
      <c r="AH142" s="678"/>
      <c r="AI142" s="686"/>
      <c r="AJ142" s="677"/>
      <c r="AK142" s="678"/>
      <c r="AL142" s="677">
        <f t="shared" si="41"/>
        <v>124.09535099975579</v>
      </c>
      <c r="AM142" s="677">
        <f t="shared" si="41"/>
        <v>-27.643324278635177</v>
      </c>
      <c r="AN142" s="678">
        <f t="shared" si="11"/>
        <v>-122.3</v>
      </c>
      <c r="AO142" s="637">
        <f t="shared" si="42"/>
        <v>124.09535099975579</v>
      </c>
      <c r="AP142" s="637">
        <f t="shared" si="42"/>
        <v>-27.643324278635177</v>
      </c>
      <c r="AQ142" s="678">
        <f t="shared" si="12"/>
        <v>-122.3</v>
      </c>
      <c r="AR142" s="682" t="e">
        <f>B142,C142,E142,F142,H142,I142,K142,L142,N142,O142,Q142,R142,T142,U142,W142,X142,Z142,AA142,AC142,AD142,#REF!,#REF!,AF142,AG142,AI142,AJ142,AL142,AM142,AO142,AP142</f>
        <v>#REF!</v>
      </c>
      <c r="AS142" s="659"/>
      <c r="AT142" s="683"/>
      <c r="AU142" s="683"/>
    </row>
    <row r="143" spans="1:47" s="681" customFormat="1" ht="18.75" customHeight="1" x14ac:dyDescent="0.3">
      <c r="A143" s="629" t="s">
        <v>386</v>
      </c>
      <c r="B143" s="685"/>
      <c r="C143" s="679"/>
      <c r="D143" s="679"/>
      <c r="E143" s="685"/>
      <c r="F143" s="679"/>
      <c r="G143" s="680"/>
      <c r="H143" s="685"/>
      <c r="I143" s="679"/>
      <c r="J143" s="680"/>
      <c r="K143" s="685"/>
      <c r="L143" s="679"/>
      <c r="M143" s="679"/>
      <c r="N143" s="685"/>
      <c r="O143" s="679"/>
      <c r="P143" s="680"/>
      <c r="Q143" s="685">
        <v>113.25070869620012</v>
      </c>
      <c r="R143" s="679">
        <v>-39.033977203008199</v>
      </c>
      <c r="S143" s="680">
        <f t="shared" si="38"/>
        <v>-134.5</v>
      </c>
      <c r="T143" s="685"/>
      <c r="U143" s="679"/>
      <c r="V143" s="680"/>
      <c r="W143" s="685"/>
      <c r="X143" s="679"/>
      <c r="Y143" s="680"/>
      <c r="Z143" s="685"/>
      <c r="AA143" s="679"/>
      <c r="AB143" s="680"/>
      <c r="AC143" s="685"/>
      <c r="AD143" s="679"/>
      <c r="AE143" s="680"/>
      <c r="AF143" s="685"/>
      <c r="AG143" s="679"/>
      <c r="AH143" s="680"/>
      <c r="AI143" s="685"/>
      <c r="AJ143" s="679"/>
      <c r="AK143" s="680"/>
      <c r="AL143" s="679">
        <f t="shared" si="41"/>
        <v>113.25070869620012</v>
      </c>
      <c r="AM143" s="679">
        <f t="shared" si="41"/>
        <v>-39.033977203008199</v>
      </c>
      <c r="AN143" s="680">
        <f t="shared" si="11"/>
        <v>-134.5</v>
      </c>
      <c r="AO143" s="637">
        <f t="shared" si="42"/>
        <v>113.25070869620012</v>
      </c>
      <c r="AP143" s="637">
        <f t="shared" si="42"/>
        <v>-39.033977203008199</v>
      </c>
      <c r="AQ143" s="680">
        <f t="shared" si="12"/>
        <v>-134.5</v>
      </c>
      <c r="AR143" s="661"/>
      <c r="AS143" s="661"/>
      <c r="AT143" s="656"/>
      <c r="AU143" s="656"/>
    </row>
    <row r="144" spans="1:47" s="656" customFormat="1" ht="18.75" customHeight="1" x14ac:dyDescent="0.3">
      <c r="A144" s="641" t="s">
        <v>387</v>
      </c>
      <c r="B144" s="695"/>
      <c r="C144" s="696"/>
      <c r="D144" s="696"/>
      <c r="E144" s="695"/>
      <c r="F144" s="696"/>
      <c r="G144" s="697"/>
      <c r="H144" s="695"/>
      <c r="I144" s="696"/>
      <c r="J144" s="697"/>
      <c r="K144" s="695"/>
      <c r="L144" s="696"/>
      <c r="M144" s="696"/>
      <c r="N144" s="695"/>
      <c r="O144" s="696"/>
      <c r="P144" s="697"/>
      <c r="Q144" s="695">
        <v>10.844642303555675</v>
      </c>
      <c r="R144" s="696">
        <v>11.3906529243731</v>
      </c>
      <c r="S144" s="697">
        <f t="shared" si="38"/>
        <v>5</v>
      </c>
      <c r="T144" s="695"/>
      <c r="U144" s="696"/>
      <c r="V144" s="697"/>
      <c r="W144" s="695"/>
      <c r="X144" s="696"/>
      <c r="Y144" s="697"/>
      <c r="Z144" s="695"/>
      <c r="AA144" s="696"/>
      <c r="AB144" s="697"/>
      <c r="AC144" s="695"/>
      <c r="AD144" s="696"/>
      <c r="AE144" s="697"/>
      <c r="AF144" s="695"/>
      <c r="AG144" s="696"/>
      <c r="AH144" s="697"/>
      <c r="AI144" s="695"/>
      <c r="AJ144" s="696"/>
      <c r="AK144" s="697"/>
      <c r="AL144" s="696">
        <f t="shared" si="41"/>
        <v>10.844642303555675</v>
      </c>
      <c r="AM144" s="696">
        <f t="shared" si="41"/>
        <v>11.3906529243731</v>
      </c>
      <c r="AN144" s="697">
        <f t="shared" si="11"/>
        <v>5</v>
      </c>
      <c r="AO144" s="643">
        <f t="shared" si="42"/>
        <v>10.844642303555675</v>
      </c>
      <c r="AP144" s="645">
        <f t="shared" si="42"/>
        <v>11.3906529243731</v>
      </c>
      <c r="AQ144" s="697">
        <f t="shared" si="12"/>
        <v>5</v>
      </c>
      <c r="AR144" s="661"/>
      <c r="AS144" s="661"/>
    </row>
    <row r="145" spans="1:47" s="699" customFormat="1" ht="18.75" customHeight="1" x14ac:dyDescent="0.3">
      <c r="A145" s="656" t="s">
        <v>261</v>
      </c>
      <c r="B145" s="602"/>
      <c r="C145" s="698"/>
      <c r="D145" s="698"/>
      <c r="E145" s="698"/>
      <c r="F145" s="698"/>
      <c r="G145" s="698"/>
      <c r="H145" s="661"/>
      <c r="I145" s="656"/>
      <c r="J145" s="656"/>
      <c r="K145" s="656"/>
      <c r="L145" s="656"/>
      <c r="M145" s="656"/>
      <c r="N145" s="656"/>
      <c r="O145" s="656"/>
      <c r="P145" s="656"/>
      <c r="Q145" s="656"/>
      <c r="R145" s="656"/>
      <c r="S145" s="656"/>
      <c r="T145" s="656"/>
      <c r="U145" s="656"/>
      <c r="V145" s="656"/>
      <c r="X145" s="656"/>
      <c r="Y145" s="656"/>
      <c r="Z145" s="656"/>
      <c r="AA145" s="656"/>
      <c r="AB145" s="656"/>
      <c r="AD145" s="656"/>
      <c r="AE145" s="656"/>
      <c r="AF145" s="656"/>
      <c r="AG145" s="656"/>
      <c r="AH145" s="656"/>
      <c r="AJ145" s="656"/>
      <c r="AK145" s="656"/>
      <c r="AL145" s="656"/>
      <c r="AM145" s="656"/>
      <c r="AN145" s="656"/>
      <c r="AO145" s="661"/>
      <c r="AP145" s="661"/>
      <c r="AQ145" s="661"/>
      <c r="AR145" s="700"/>
      <c r="AS145" s="701"/>
      <c r="AT145" s="700"/>
      <c r="AU145" s="700"/>
    </row>
    <row r="146" spans="1:47" s="699" customFormat="1" ht="18.75" customHeight="1" x14ac:dyDescent="0.3">
      <c r="A146" s="656"/>
      <c r="D146" s="698"/>
      <c r="G146" s="698"/>
      <c r="J146" s="698"/>
      <c r="M146" s="698"/>
      <c r="P146" s="698"/>
      <c r="S146" s="698"/>
      <c r="V146" s="698"/>
      <c r="Y146" s="698"/>
      <c r="AB146" s="698"/>
      <c r="AE146" s="698"/>
      <c r="AH146" s="698"/>
      <c r="AK146" s="698"/>
      <c r="AN146" s="698"/>
      <c r="AQ146" s="698"/>
      <c r="AR146" s="700"/>
      <c r="AS146" s="701"/>
      <c r="AT146" s="700"/>
      <c r="AU146" s="700"/>
    </row>
    <row r="147" spans="1:47" ht="18.75" x14ac:dyDescent="0.3">
      <c r="A147" s="656"/>
      <c r="W147" s="705"/>
      <c r="AS147" s="706"/>
    </row>
    <row r="148" spans="1:47" ht="18.75" x14ac:dyDescent="0.3">
      <c r="A148" s="656"/>
      <c r="AS148" s="706"/>
    </row>
    <row r="149" spans="1:47" ht="18.75" x14ac:dyDescent="0.3">
      <c r="A149" s="656"/>
      <c r="AS149" s="706"/>
    </row>
    <row r="150" spans="1:47" ht="18.75" x14ac:dyDescent="0.3">
      <c r="A150" s="656"/>
      <c r="AS150" s="706"/>
    </row>
    <row r="151" spans="1:47" ht="18.75" x14ac:dyDescent="0.3">
      <c r="A151" s="656"/>
      <c r="AS151" s="706"/>
    </row>
    <row r="152" spans="1:47" ht="18.75" x14ac:dyDescent="0.3">
      <c r="A152" s="656"/>
      <c r="AS152" s="706"/>
    </row>
    <row r="153" spans="1:47" ht="18.75" x14ac:dyDescent="0.3">
      <c r="A153" s="656"/>
      <c r="AS153" s="706"/>
    </row>
    <row r="154" spans="1:47" ht="18.75" x14ac:dyDescent="0.3">
      <c r="A154" s="656"/>
      <c r="AS154" s="706"/>
    </row>
    <row r="155" spans="1:47" ht="18.75" x14ac:dyDescent="0.3">
      <c r="A155" s="656"/>
      <c r="AS155" s="706"/>
    </row>
    <row r="156" spans="1:47" ht="18.75" x14ac:dyDescent="0.3">
      <c r="A156" s="656"/>
      <c r="AS156" s="706"/>
    </row>
    <row r="157" spans="1:47" ht="18.75" x14ac:dyDescent="0.3">
      <c r="A157" s="656"/>
      <c r="AS157" s="706"/>
    </row>
    <row r="158" spans="1:47" ht="18.75" x14ac:dyDescent="0.3">
      <c r="A158" s="656"/>
      <c r="AS158" s="706"/>
    </row>
    <row r="159" spans="1:47" ht="18.75" x14ac:dyDescent="0.3">
      <c r="A159" s="656"/>
      <c r="AS159" s="706"/>
    </row>
    <row r="160" spans="1:47" ht="18.75" x14ac:dyDescent="0.3">
      <c r="A160" s="656"/>
      <c r="AS160" s="706"/>
    </row>
    <row r="161" spans="1:45" ht="18.75" x14ac:dyDescent="0.3">
      <c r="A161" s="656"/>
      <c r="AS161" s="706"/>
    </row>
    <row r="162" spans="1:45" ht="18.75" x14ac:dyDescent="0.3">
      <c r="A162" s="656"/>
      <c r="AS162" s="706"/>
    </row>
    <row r="163" spans="1:45" ht="18.75" x14ac:dyDescent="0.3">
      <c r="A163" s="656"/>
      <c r="AS163" s="706"/>
    </row>
    <row r="164" spans="1:45" ht="18.75" x14ac:dyDescent="0.3">
      <c r="A164" s="656"/>
      <c r="AS164" s="706"/>
    </row>
    <row r="165" spans="1:45" ht="18.75" x14ac:dyDescent="0.3">
      <c r="A165" s="656"/>
      <c r="AS165" s="706"/>
    </row>
    <row r="166" spans="1:45" ht="18.75" x14ac:dyDescent="0.3">
      <c r="A166" s="656"/>
      <c r="AS166" s="706"/>
    </row>
    <row r="167" spans="1:45" ht="18.75" x14ac:dyDescent="0.3">
      <c r="A167" s="656"/>
      <c r="AS167" s="706"/>
    </row>
    <row r="168" spans="1:45" ht="18.75" x14ac:dyDescent="0.3">
      <c r="A168" s="656"/>
      <c r="AS168" s="706"/>
    </row>
    <row r="169" spans="1:45" ht="18.75" x14ac:dyDescent="0.3">
      <c r="A169" s="656"/>
      <c r="AS169" s="706"/>
    </row>
    <row r="170" spans="1:45" ht="18.75" x14ac:dyDescent="0.3">
      <c r="A170" s="656"/>
      <c r="AS170" s="706"/>
    </row>
    <row r="171" spans="1:45" ht="18.75" x14ac:dyDescent="0.3">
      <c r="A171" s="656"/>
      <c r="AS171" s="706"/>
    </row>
    <row r="172" spans="1:45" ht="18.75" x14ac:dyDescent="0.3">
      <c r="A172" s="656"/>
      <c r="AS172" s="706"/>
    </row>
    <row r="173" spans="1:45" ht="18.75" x14ac:dyDescent="0.3">
      <c r="A173" s="656"/>
      <c r="AS173" s="706"/>
    </row>
    <row r="174" spans="1:45" ht="18.75" x14ac:dyDescent="0.3">
      <c r="A174" s="656"/>
      <c r="AS174" s="706"/>
    </row>
    <row r="175" spans="1:45" ht="18.75" x14ac:dyDescent="0.3">
      <c r="A175" s="656"/>
      <c r="AS175" s="706"/>
    </row>
    <row r="176" spans="1:45" ht="18.75" x14ac:dyDescent="0.3">
      <c r="A176" s="656"/>
      <c r="AS176" s="706"/>
    </row>
    <row r="177" spans="1:45" ht="18.75" x14ac:dyDescent="0.3">
      <c r="A177" s="656"/>
      <c r="AS177" s="706"/>
    </row>
    <row r="178" spans="1:45" ht="18.75" x14ac:dyDescent="0.3">
      <c r="A178" s="656"/>
      <c r="AS178" s="706"/>
    </row>
    <row r="179" spans="1:45" ht="18.75" x14ac:dyDescent="0.3">
      <c r="A179" s="656"/>
      <c r="AS179" s="706"/>
    </row>
    <row r="180" spans="1:45" ht="18.75" x14ac:dyDescent="0.3">
      <c r="A180" s="656"/>
      <c r="AS180" s="706"/>
    </row>
    <row r="181" spans="1:45" ht="18.75" x14ac:dyDescent="0.3">
      <c r="A181" s="656"/>
      <c r="AS181" s="706"/>
    </row>
    <row r="182" spans="1:45" ht="18.75" x14ac:dyDescent="0.3">
      <c r="A182" s="656"/>
      <c r="AS182" s="706"/>
    </row>
    <row r="183" spans="1:45" ht="18.75" x14ac:dyDescent="0.3">
      <c r="A183" s="656"/>
      <c r="AS183" s="706"/>
    </row>
    <row r="184" spans="1:45" ht="18.75" x14ac:dyDescent="0.3">
      <c r="A184" s="656"/>
      <c r="AS184" s="706"/>
    </row>
    <row r="185" spans="1:45" ht="18.75" x14ac:dyDescent="0.3">
      <c r="A185" s="656"/>
      <c r="AS185" s="706"/>
    </row>
    <row r="186" spans="1:45" ht="18.75" x14ac:dyDescent="0.3">
      <c r="A186" s="656"/>
      <c r="AS186" s="706"/>
    </row>
    <row r="187" spans="1:45" ht="18.75" x14ac:dyDescent="0.3">
      <c r="A187" s="656"/>
      <c r="AS187" s="706"/>
    </row>
    <row r="188" spans="1:45" ht="18.75" x14ac:dyDescent="0.3">
      <c r="A188" s="656"/>
      <c r="AS188" s="706"/>
    </row>
    <row r="189" spans="1:45" ht="18.75" x14ac:dyDescent="0.3">
      <c r="A189" s="656"/>
      <c r="AS189" s="706"/>
    </row>
    <row r="190" spans="1:45" ht="18.75" x14ac:dyDescent="0.3">
      <c r="A190" s="656"/>
      <c r="AS190" s="706"/>
    </row>
    <row r="191" spans="1:45" ht="18.75" x14ac:dyDescent="0.3">
      <c r="A191" s="656"/>
      <c r="AS191" s="706"/>
    </row>
    <row r="192" spans="1:45" ht="18.75" x14ac:dyDescent="0.3">
      <c r="A192" s="656"/>
      <c r="AS192" s="706"/>
    </row>
    <row r="193" spans="1:45" ht="18.75" x14ac:dyDescent="0.3">
      <c r="A193" s="656"/>
      <c r="AS193" s="706"/>
    </row>
    <row r="194" spans="1:45" ht="18.75" x14ac:dyDescent="0.3">
      <c r="A194" s="656"/>
      <c r="AS194" s="706"/>
    </row>
    <row r="195" spans="1:45" ht="18.75" x14ac:dyDescent="0.3">
      <c r="A195" s="656"/>
      <c r="AS195" s="706"/>
    </row>
    <row r="196" spans="1:45" ht="18.75" x14ac:dyDescent="0.3">
      <c r="A196" s="656"/>
      <c r="AS196" s="706"/>
    </row>
    <row r="197" spans="1:45" ht="18.75" x14ac:dyDescent="0.3">
      <c r="A197" s="656"/>
      <c r="AS197" s="706"/>
    </row>
    <row r="198" spans="1:45" ht="18.75" x14ac:dyDescent="0.3">
      <c r="A198" s="656"/>
      <c r="AS198" s="706"/>
    </row>
    <row r="199" spans="1:45" ht="18.75" x14ac:dyDescent="0.3">
      <c r="A199" s="656"/>
      <c r="AS199" s="706"/>
    </row>
    <row r="200" spans="1:45" ht="18.75" x14ac:dyDescent="0.3">
      <c r="A200" s="656"/>
      <c r="AS200" s="706"/>
    </row>
    <row r="201" spans="1:45" ht="18.75" x14ac:dyDescent="0.3">
      <c r="A201" s="656"/>
      <c r="AS201" s="706"/>
    </row>
    <row r="202" spans="1:45" ht="18.75" x14ac:dyDescent="0.3">
      <c r="A202" s="656"/>
      <c r="AS202" s="706"/>
    </row>
    <row r="203" spans="1:45" ht="18.75" x14ac:dyDescent="0.3">
      <c r="A203" s="656"/>
      <c r="AS203" s="706"/>
    </row>
    <row r="204" spans="1:45" ht="18.75" x14ac:dyDescent="0.3">
      <c r="A204" s="656"/>
      <c r="AS204" s="706"/>
    </row>
    <row r="205" spans="1:45" ht="18.75" x14ac:dyDescent="0.3">
      <c r="A205" s="656"/>
      <c r="AS205" s="706"/>
    </row>
    <row r="206" spans="1:45" ht="18.75" x14ac:dyDescent="0.3">
      <c r="A206" s="656"/>
      <c r="AS206" s="706"/>
    </row>
    <row r="207" spans="1:45" ht="18.75" x14ac:dyDescent="0.3">
      <c r="A207" s="656"/>
      <c r="AS207" s="706"/>
    </row>
    <row r="208" spans="1:45" ht="18.75" x14ac:dyDescent="0.3">
      <c r="A208" s="656"/>
      <c r="AS208" s="706"/>
    </row>
    <row r="209" spans="1:45" ht="18.75" x14ac:dyDescent="0.3">
      <c r="A209" s="656"/>
      <c r="AS209" s="706"/>
    </row>
    <row r="210" spans="1:45" ht="18.75" x14ac:dyDescent="0.3">
      <c r="A210" s="656"/>
      <c r="AS210" s="706"/>
    </row>
    <row r="211" spans="1:45" ht="18.75" x14ac:dyDescent="0.3">
      <c r="A211" s="656"/>
      <c r="AS211" s="706"/>
    </row>
    <row r="212" spans="1:45" ht="18.75" x14ac:dyDescent="0.3">
      <c r="A212" s="656"/>
    </row>
    <row r="213" spans="1:45" ht="18.75" x14ac:dyDescent="0.3">
      <c r="A213" s="656"/>
    </row>
    <row r="214" spans="1:45" ht="18.75" x14ac:dyDescent="0.3">
      <c r="A214" s="656"/>
    </row>
    <row r="215" spans="1:45" ht="18.75" x14ac:dyDescent="0.3">
      <c r="A215" s="656"/>
    </row>
    <row r="216" spans="1:45" ht="18.75" x14ac:dyDescent="0.3">
      <c r="A216" s="656"/>
    </row>
    <row r="217" spans="1:45" ht="18.75" x14ac:dyDescent="0.3">
      <c r="A217" s="656"/>
    </row>
    <row r="218" spans="1:45" ht="18.75" x14ac:dyDescent="0.3">
      <c r="A218" s="656"/>
    </row>
    <row r="219" spans="1:45" ht="18.75" x14ac:dyDescent="0.3">
      <c r="A219" s="656"/>
    </row>
    <row r="220" spans="1:45" ht="18.75" x14ac:dyDescent="0.3">
      <c r="A220" s="656"/>
    </row>
    <row r="221" spans="1:45" ht="18.75" x14ac:dyDescent="0.3">
      <c r="A221" s="656"/>
    </row>
  </sheetData>
  <mergeCells count="25">
    <mergeCell ref="AL7:AN7"/>
    <mergeCell ref="AO7:AQ7"/>
    <mergeCell ref="T7:V7"/>
    <mergeCell ref="W7:Y7"/>
    <mergeCell ref="Z7:AB7"/>
    <mergeCell ref="AC7:AE7"/>
    <mergeCell ref="AF7:AH7"/>
    <mergeCell ref="B7:D7"/>
    <mergeCell ref="E7:G7"/>
    <mergeCell ref="H7:J7"/>
    <mergeCell ref="K7:M7"/>
    <mergeCell ref="N7:P7"/>
    <mergeCell ref="Q7:S7"/>
    <mergeCell ref="Z6:AB6"/>
    <mergeCell ref="AF6:AH6"/>
    <mergeCell ref="AI6:AK6"/>
    <mergeCell ref="AI7:AK7"/>
    <mergeCell ref="AL6:AN6"/>
    <mergeCell ref="AO6:AQ6"/>
    <mergeCell ref="B6:D6"/>
    <mergeCell ref="E6:G6"/>
    <mergeCell ref="H6:J6"/>
    <mergeCell ref="K6:M6"/>
    <mergeCell ref="N6:P6"/>
    <mergeCell ref="T6:V6"/>
  </mergeCells>
  <conditionalFormatting sqref="AL68">
    <cfRule type="expression" dxfId="623" priority="643">
      <formula>AL$117="56≠48+49+50+51+52+53+55"</formula>
    </cfRule>
    <cfRule type="expression" dxfId="622" priority="644">
      <formula>AL$118="56≠57+58"</formula>
    </cfRule>
  </conditionalFormatting>
  <conditionalFormatting sqref="AL80 AL92 AL116 AL130 AL142 AI80 AI92 AI116 AI130 AI142 AF80 AF92 AF116 AF130 AF142">
    <cfRule type="expression" dxfId="621" priority="641">
      <formula>$B$117="56≠48+49+50+51+52+53+55"</formula>
    </cfRule>
    <cfRule type="expression" dxfId="620" priority="642">
      <formula>AF$118="56≠57+58"</formula>
    </cfRule>
  </conditionalFormatting>
  <conditionalFormatting sqref="K68">
    <cfRule type="expression" dxfId="619" priority="597">
      <formula>K$117="56≠48+49+50+51+52+53+55"</formula>
    </cfRule>
    <cfRule type="expression" dxfId="618" priority="598">
      <formula>K$118="56≠57+58"</formula>
    </cfRule>
  </conditionalFormatting>
  <conditionalFormatting sqref="K80">
    <cfRule type="expression" dxfId="617" priority="595">
      <formula>$B$117="56≠48+49+50+51+52+53+55"</formula>
    </cfRule>
    <cfRule type="expression" dxfId="616" priority="596">
      <formula>K$118="56≠57+58"</formula>
    </cfRule>
  </conditionalFormatting>
  <conditionalFormatting sqref="K92">
    <cfRule type="expression" dxfId="615" priority="593">
      <formula>$B$117="56≠48+49+50+51+52+53+55"</formula>
    </cfRule>
    <cfRule type="expression" dxfId="614" priority="594">
      <formula>K$118="56≠57+58"</formula>
    </cfRule>
  </conditionalFormatting>
  <conditionalFormatting sqref="K116">
    <cfRule type="expression" dxfId="613" priority="591">
      <formula>$B$117="56≠48+49+50+51+52+53+55"</formula>
    </cfRule>
    <cfRule type="expression" dxfId="612" priority="592">
      <formula>K$118="56≠57+58"</formula>
    </cfRule>
  </conditionalFormatting>
  <conditionalFormatting sqref="K130">
    <cfRule type="expression" dxfId="611" priority="589">
      <formula>$B$117="56≠48+49+50+51+52+53+55"</formula>
    </cfRule>
    <cfRule type="expression" dxfId="610" priority="590">
      <formula>K$118="56≠57+58"</formula>
    </cfRule>
  </conditionalFormatting>
  <conditionalFormatting sqref="K142">
    <cfRule type="expression" dxfId="609" priority="587">
      <formula>$B$117="56≠48+49+50+51+52+53+55"</formula>
    </cfRule>
    <cfRule type="expression" dxfId="608" priority="588">
      <formula>K$118="56≠57+58"</formula>
    </cfRule>
  </conditionalFormatting>
  <conditionalFormatting sqref="K20">
    <cfRule type="expression" dxfId="607" priority="599">
      <formula>#REF!="20≠21+22"</formula>
    </cfRule>
  </conditionalFormatting>
  <conditionalFormatting sqref="K32">
    <cfRule type="expression" dxfId="606" priority="600">
      <formula>#REF!="32≠24+25+26+27+28+29+31"</formula>
    </cfRule>
    <cfRule type="expression" dxfId="605" priority="601">
      <formula>#REF!="32≠33+34"</formula>
    </cfRule>
  </conditionalFormatting>
  <conditionalFormatting sqref="K44">
    <cfRule type="expression" dxfId="604" priority="602">
      <formula>#REF!="44≠36+37+38+39+40+41+43"</formula>
    </cfRule>
    <cfRule type="expression" dxfId="603" priority="603">
      <formula>#REF!="44≠45+46"</formula>
    </cfRule>
  </conditionalFormatting>
  <conditionalFormatting sqref="K56">
    <cfRule type="expression" dxfId="602" priority="604">
      <formula>#REF!="56≠48+49+50+51+52+53+55"</formula>
    </cfRule>
    <cfRule type="expression" dxfId="601" priority="605">
      <formula>#REF!="56≠57+58"</formula>
    </cfRule>
  </conditionalFormatting>
  <conditionalFormatting sqref="K104">
    <cfRule type="expression" dxfId="600" priority="606">
      <formula>#REF!="104≠96+97+98+99+100+101+103"</formula>
    </cfRule>
    <cfRule type="expression" dxfId="599" priority="607">
      <formula>#REF!="104≠105+106"</formula>
    </cfRule>
  </conditionalFormatting>
  <conditionalFormatting sqref="K20">
    <cfRule type="expression" dxfId="598" priority="608">
      <formula>#REF!="20≠12+13+14+15+16+17+19"</formula>
    </cfRule>
  </conditionalFormatting>
  <conditionalFormatting sqref="W68">
    <cfRule type="expression" dxfId="597" priority="553">
      <formula>W$117="56≠48+49+50+51+52+53+55"</formula>
    </cfRule>
    <cfRule type="expression" dxfId="596" priority="554">
      <formula>W$118="56≠57+58"</formula>
    </cfRule>
  </conditionalFormatting>
  <conditionalFormatting sqref="W80">
    <cfRule type="expression" dxfId="595" priority="551">
      <formula>$B$117="56≠48+49+50+51+52+53+55"</formula>
    </cfRule>
    <cfRule type="expression" dxfId="594" priority="552">
      <formula>W$118="56≠57+58"</formula>
    </cfRule>
  </conditionalFormatting>
  <conditionalFormatting sqref="W92">
    <cfRule type="expression" dxfId="593" priority="549">
      <formula>$B$117="56≠48+49+50+51+52+53+55"</formula>
    </cfRule>
    <cfRule type="expression" dxfId="592" priority="550">
      <formula>W$118="56≠57+58"</formula>
    </cfRule>
  </conditionalFormatting>
  <conditionalFormatting sqref="W116">
    <cfRule type="expression" dxfId="591" priority="547">
      <formula>$B$117="56≠48+49+50+51+52+53+55"</formula>
    </cfRule>
    <cfRule type="expression" dxfId="590" priority="548">
      <formula>W$118="56≠57+58"</formula>
    </cfRule>
  </conditionalFormatting>
  <conditionalFormatting sqref="W130">
    <cfRule type="expression" dxfId="589" priority="545">
      <formula>$B$117="56≠48+49+50+51+52+53+55"</formula>
    </cfRule>
    <cfRule type="expression" dxfId="588" priority="546">
      <formula>W$118="56≠57+58"</formula>
    </cfRule>
  </conditionalFormatting>
  <conditionalFormatting sqref="W142">
    <cfRule type="expression" dxfId="587" priority="543">
      <formula>$B$117="56≠48+49+50+51+52+53+55"</formula>
    </cfRule>
    <cfRule type="expression" dxfId="586" priority="544">
      <formula>W$118="56≠57+58"</formula>
    </cfRule>
  </conditionalFormatting>
  <conditionalFormatting sqref="W20">
    <cfRule type="expression" dxfId="585" priority="555">
      <formula>#REF!="20≠21+22"</formula>
    </cfRule>
  </conditionalFormatting>
  <conditionalFormatting sqref="W32">
    <cfRule type="expression" dxfId="584" priority="556">
      <formula>#REF!="32≠24+25+26+27+28+29+31"</formula>
    </cfRule>
    <cfRule type="expression" dxfId="583" priority="557">
      <formula>#REF!="32≠33+34"</formula>
    </cfRule>
  </conditionalFormatting>
  <conditionalFormatting sqref="W44">
    <cfRule type="expression" dxfId="582" priority="558">
      <formula>#REF!="44≠36+37+38+39+40+41+43"</formula>
    </cfRule>
    <cfRule type="expression" dxfId="581" priority="559">
      <formula>#REF!="44≠45+46"</formula>
    </cfRule>
  </conditionalFormatting>
  <conditionalFormatting sqref="W56">
    <cfRule type="expression" dxfId="580" priority="560">
      <formula>#REF!="56≠48+49+50+51+52+53+55"</formula>
    </cfRule>
    <cfRule type="expression" dxfId="579" priority="561">
      <formula>#REF!="56≠57+58"</formula>
    </cfRule>
  </conditionalFormatting>
  <conditionalFormatting sqref="W104">
    <cfRule type="expression" dxfId="578" priority="562">
      <formula>#REF!="104≠96+97+98+99+100+101+103"</formula>
    </cfRule>
    <cfRule type="expression" dxfId="577" priority="563">
      <formula>#REF!="104≠105+106"</formula>
    </cfRule>
  </conditionalFormatting>
  <conditionalFormatting sqref="W20">
    <cfRule type="expression" dxfId="576" priority="564">
      <formula>#REF!="20≠12+13+14+15+16+17+19"</formula>
    </cfRule>
  </conditionalFormatting>
  <conditionalFormatting sqref="AI68">
    <cfRule type="expression" dxfId="575" priority="509">
      <formula>AI$117="56≠48+49+50+51+52+53+55"</formula>
    </cfRule>
    <cfRule type="expression" dxfId="574" priority="510">
      <formula>AI$118="56≠57+58"</formula>
    </cfRule>
  </conditionalFormatting>
  <conditionalFormatting sqref="AI20">
    <cfRule type="expression" dxfId="573" priority="511">
      <formula>#REF!="20≠21+22"</formula>
    </cfRule>
  </conditionalFormatting>
  <conditionalFormatting sqref="AI32">
    <cfRule type="expression" dxfId="572" priority="512">
      <formula>#REF!="32≠24+25+26+27+28+29+31"</formula>
    </cfRule>
    <cfRule type="expression" dxfId="571" priority="513">
      <formula>#REF!="32≠33+34"</formula>
    </cfRule>
  </conditionalFormatting>
  <conditionalFormatting sqref="AI44">
    <cfRule type="expression" dxfId="570" priority="514">
      <formula>#REF!="44≠36+37+38+39+40+41+43"</formula>
    </cfRule>
    <cfRule type="expression" dxfId="569" priority="515">
      <formula>#REF!="44≠45+46"</formula>
    </cfRule>
  </conditionalFormatting>
  <conditionalFormatting sqref="AI56">
    <cfRule type="expression" dxfId="568" priority="516">
      <formula>#REF!="56≠48+49+50+51+52+53+55"</formula>
    </cfRule>
    <cfRule type="expression" dxfId="567" priority="517">
      <formula>#REF!="56≠57+58"</formula>
    </cfRule>
  </conditionalFormatting>
  <conditionalFormatting sqref="AI104">
    <cfRule type="expression" dxfId="566" priority="518">
      <formula>#REF!="104≠96+97+98+99+100+101+103"</formula>
    </cfRule>
    <cfRule type="expression" dxfId="565" priority="519">
      <formula>#REF!="104≠105+106"</formula>
    </cfRule>
  </conditionalFormatting>
  <conditionalFormatting sqref="AI20">
    <cfRule type="expression" dxfId="564" priority="520">
      <formula>#REF!="20≠12+13+14+15+16+17+19"</formula>
    </cfRule>
  </conditionalFormatting>
  <conditionalFormatting sqref="B68">
    <cfRule type="expression" dxfId="563" priority="465">
      <formula>B$117="56≠48+49+50+51+52+53+55"</formula>
    </cfRule>
    <cfRule type="expression" dxfId="562" priority="466">
      <formula>B$118="56≠57+58"</formula>
    </cfRule>
  </conditionalFormatting>
  <conditionalFormatting sqref="B80">
    <cfRule type="expression" dxfId="561" priority="463">
      <formula>$B$117="56≠48+49+50+51+52+53+55"</formula>
    </cfRule>
    <cfRule type="expression" dxfId="560" priority="464">
      <formula>B$118="56≠57+58"</formula>
    </cfRule>
  </conditionalFormatting>
  <conditionalFormatting sqref="B92">
    <cfRule type="expression" dxfId="559" priority="461">
      <formula>$B$117="56≠48+49+50+51+52+53+55"</formula>
    </cfRule>
    <cfRule type="expression" dxfId="558" priority="462">
      <formula>B$118="56≠57+58"</formula>
    </cfRule>
  </conditionalFormatting>
  <conditionalFormatting sqref="B116">
    <cfRule type="expression" dxfId="557" priority="459">
      <formula>$B$117="56≠48+49+50+51+52+53+55"</formula>
    </cfRule>
    <cfRule type="expression" dxfId="556" priority="460">
      <formula>B$118="56≠57+58"</formula>
    </cfRule>
  </conditionalFormatting>
  <conditionalFormatting sqref="B130">
    <cfRule type="expression" dxfId="555" priority="457">
      <formula>$B$117="56≠48+49+50+51+52+53+55"</formula>
    </cfRule>
    <cfRule type="expression" dxfId="554" priority="458">
      <formula>B$118="56≠57+58"</formula>
    </cfRule>
  </conditionalFormatting>
  <conditionalFormatting sqref="B142">
    <cfRule type="expression" dxfId="553" priority="455">
      <formula>$B$117="56≠48+49+50+51+52+53+55"</formula>
    </cfRule>
    <cfRule type="expression" dxfId="552" priority="456">
      <formula>B$118="56≠57+58"</formula>
    </cfRule>
  </conditionalFormatting>
  <conditionalFormatting sqref="B20">
    <cfRule type="expression" dxfId="551" priority="467">
      <formula>#REF!="20≠21+22"</formula>
    </cfRule>
  </conditionalFormatting>
  <conditionalFormatting sqref="B32">
    <cfRule type="expression" dxfId="550" priority="468">
      <formula>#REF!="32≠24+25+26+27+28+29+31"</formula>
    </cfRule>
    <cfRule type="expression" dxfId="549" priority="469">
      <formula>#REF!="32≠33+34"</formula>
    </cfRule>
  </conditionalFormatting>
  <conditionalFormatting sqref="B44">
    <cfRule type="expression" dxfId="548" priority="470">
      <formula>#REF!="44≠36+37+38+39+40+41+43"</formula>
    </cfRule>
    <cfRule type="expression" dxfId="547" priority="471">
      <formula>#REF!="44≠45+46"</formula>
    </cfRule>
  </conditionalFormatting>
  <conditionalFormatting sqref="B56">
    <cfRule type="expression" dxfId="546" priority="472">
      <formula>#REF!="56≠48+49+50+51+52+53+55"</formula>
    </cfRule>
    <cfRule type="expression" dxfId="545" priority="473">
      <formula>#REF!="56≠57+58"</formula>
    </cfRule>
  </conditionalFormatting>
  <conditionalFormatting sqref="B104">
    <cfRule type="expression" dxfId="544" priority="474">
      <formula>#REF!="104≠96+97+98+99+100+101+103"</formula>
    </cfRule>
    <cfRule type="expression" dxfId="543" priority="475">
      <formula>#REF!="104≠105+106"</formula>
    </cfRule>
  </conditionalFormatting>
  <conditionalFormatting sqref="B20">
    <cfRule type="expression" dxfId="542" priority="476">
      <formula>#REF!="20≠12+13+14+15+16+17+19"</formula>
    </cfRule>
  </conditionalFormatting>
  <conditionalFormatting sqref="Z68">
    <cfRule type="expression" dxfId="541" priority="421">
      <formula>Z$117="56≠48+49+50+51+52+53+55"</formula>
    </cfRule>
    <cfRule type="expression" dxfId="540" priority="422">
      <formula>Z$118="56≠57+58"</formula>
    </cfRule>
  </conditionalFormatting>
  <conditionalFormatting sqref="Z80">
    <cfRule type="expression" dxfId="539" priority="419">
      <formula>$B$117="56≠48+49+50+51+52+53+55"</formula>
    </cfRule>
    <cfRule type="expression" dxfId="538" priority="420">
      <formula>Z$118="56≠57+58"</formula>
    </cfRule>
  </conditionalFormatting>
  <conditionalFormatting sqref="Z92">
    <cfRule type="expression" dxfId="537" priority="417">
      <formula>$B$117="56≠48+49+50+51+52+53+55"</formula>
    </cfRule>
    <cfRule type="expression" dxfId="536" priority="418">
      <formula>Z$118="56≠57+58"</formula>
    </cfRule>
  </conditionalFormatting>
  <conditionalFormatting sqref="Z116">
    <cfRule type="expression" dxfId="535" priority="415">
      <formula>$B$117="56≠48+49+50+51+52+53+55"</formula>
    </cfRule>
    <cfRule type="expression" dxfId="534" priority="416">
      <formula>Z$118="56≠57+58"</formula>
    </cfRule>
  </conditionalFormatting>
  <conditionalFormatting sqref="Z130">
    <cfRule type="expression" dxfId="533" priority="413">
      <formula>$B$117="56≠48+49+50+51+52+53+55"</formula>
    </cfRule>
    <cfRule type="expression" dxfId="532" priority="414">
      <formula>Z$118="56≠57+58"</formula>
    </cfRule>
  </conditionalFormatting>
  <conditionalFormatting sqref="Z142">
    <cfRule type="expression" dxfId="531" priority="411">
      <formula>$B$117="56≠48+49+50+51+52+53+55"</formula>
    </cfRule>
    <cfRule type="expression" dxfId="530" priority="412">
      <formula>Z$118="56≠57+58"</formula>
    </cfRule>
  </conditionalFormatting>
  <conditionalFormatting sqref="Z20">
    <cfRule type="expression" dxfId="529" priority="423">
      <formula>#REF!="20≠21+22"</formula>
    </cfRule>
  </conditionalFormatting>
  <conditionalFormatting sqref="Z32">
    <cfRule type="expression" dxfId="528" priority="424">
      <formula>#REF!="32≠24+25+26+27+28+29+31"</formula>
    </cfRule>
    <cfRule type="expression" dxfId="527" priority="425">
      <formula>#REF!="32≠33+34"</formula>
    </cfRule>
  </conditionalFormatting>
  <conditionalFormatting sqref="Z44">
    <cfRule type="expression" dxfId="526" priority="426">
      <formula>#REF!="44≠36+37+38+39+40+41+43"</formula>
    </cfRule>
    <cfRule type="expression" dxfId="525" priority="427">
      <formula>#REF!="44≠45+46"</formula>
    </cfRule>
  </conditionalFormatting>
  <conditionalFormatting sqref="Z56">
    <cfRule type="expression" dxfId="524" priority="428">
      <formula>#REF!="56≠48+49+50+51+52+53+55"</formula>
    </cfRule>
    <cfRule type="expression" dxfId="523" priority="429">
      <formula>#REF!="56≠57+58"</formula>
    </cfRule>
  </conditionalFormatting>
  <conditionalFormatting sqref="Z104">
    <cfRule type="expression" dxfId="522" priority="430">
      <formula>#REF!="104≠96+97+98+99+100+101+103"</formula>
    </cfRule>
    <cfRule type="expression" dxfId="521" priority="431">
      <formula>#REF!="104≠105+106"</formula>
    </cfRule>
  </conditionalFormatting>
  <conditionalFormatting sqref="Z20">
    <cfRule type="expression" dxfId="520" priority="432">
      <formula>#REF!="20≠12+13+14+15+16+17+19"</formula>
    </cfRule>
  </conditionalFormatting>
  <conditionalFormatting sqref="T68">
    <cfRule type="expression" dxfId="519" priority="377">
      <formula>T$117="56≠48+49+50+51+52+53+55"</formula>
    </cfRule>
    <cfRule type="expression" dxfId="518" priority="378">
      <formula>T$118="56≠57+58"</formula>
    </cfRule>
  </conditionalFormatting>
  <conditionalFormatting sqref="T80">
    <cfRule type="expression" dxfId="517" priority="375">
      <formula>$B$117="56≠48+49+50+51+52+53+55"</formula>
    </cfRule>
    <cfRule type="expression" dxfId="516" priority="376">
      <formula>T$118="56≠57+58"</formula>
    </cfRule>
  </conditionalFormatting>
  <conditionalFormatting sqref="T92">
    <cfRule type="expression" dxfId="515" priority="373">
      <formula>$B$117="56≠48+49+50+51+52+53+55"</formula>
    </cfRule>
    <cfRule type="expression" dxfId="514" priority="374">
      <formula>T$118="56≠57+58"</formula>
    </cfRule>
  </conditionalFormatting>
  <conditionalFormatting sqref="T116">
    <cfRule type="expression" dxfId="513" priority="371">
      <formula>$B$117="56≠48+49+50+51+52+53+55"</formula>
    </cfRule>
    <cfRule type="expression" dxfId="512" priority="372">
      <formula>T$118="56≠57+58"</formula>
    </cfRule>
  </conditionalFormatting>
  <conditionalFormatting sqref="T130">
    <cfRule type="expression" dxfId="511" priority="369">
      <formula>$B$117="56≠48+49+50+51+52+53+55"</formula>
    </cfRule>
    <cfRule type="expression" dxfId="510" priority="370">
      <formula>T$118="56≠57+58"</formula>
    </cfRule>
  </conditionalFormatting>
  <conditionalFormatting sqref="T142">
    <cfRule type="expression" dxfId="509" priority="367">
      <formula>$B$117="56≠48+49+50+51+52+53+55"</formula>
    </cfRule>
    <cfRule type="expression" dxfId="508" priority="368">
      <formula>T$118="56≠57+58"</formula>
    </cfRule>
  </conditionalFormatting>
  <conditionalFormatting sqref="T20">
    <cfRule type="expression" dxfId="507" priority="379">
      <formula>#REF!="20≠21+22"</formula>
    </cfRule>
  </conditionalFormatting>
  <conditionalFormatting sqref="T32">
    <cfRule type="expression" dxfId="506" priority="380">
      <formula>#REF!="32≠24+25+26+27+28+29+31"</formula>
    </cfRule>
    <cfRule type="expression" dxfId="505" priority="381">
      <formula>#REF!="32≠33+34"</formula>
    </cfRule>
  </conditionalFormatting>
  <conditionalFormatting sqref="T44">
    <cfRule type="expression" dxfId="504" priority="382">
      <formula>#REF!="44≠36+37+38+39+40+41+43"</formula>
    </cfRule>
    <cfRule type="expression" dxfId="503" priority="383">
      <formula>#REF!="44≠45+46"</formula>
    </cfRule>
  </conditionalFormatting>
  <conditionalFormatting sqref="T56">
    <cfRule type="expression" dxfId="502" priority="384">
      <formula>#REF!="56≠48+49+50+51+52+53+55"</formula>
    </cfRule>
    <cfRule type="expression" dxfId="501" priority="385">
      <formula>#REF!="56≠57+58"</formula>
    </cfRule>
  </conditionalFormatting>
  <conditionalFormatting sqref="T104">
    <cfRule type="expression" dxfId="500" priority="386">
      <formula>#REF!="104≠96+97+98+99+100+101+103"</formula>
    </cfRule>
    <cfRule type="expression" dxfId="499" priority="387">
      <formula>#REF!="104≠105+106"</formula>
    </cfRule>
  </conditionalFormatting>
  <conditionalFormatting sqref="T20">
    <cfRule type="expression" dxfId="498" priority="388">
      <formula>#REF!="20≠12+13+14+15+16+17+19"</formula>
    </cfRule>
  </conditionalFormatting>
  <conditionalFormatting sqref="Q68">
    <cfRule type="expression" dxfId="497" priority="333">
      <formula>Q$117="56≠48+49+50+51+52+53+55"</formula>
    </cfRule>
    <cfRule type="expression" dxfId="496" priority="334">
      <formula>Q$118="56≠57+58"</formula>
    </cfRule>
  </conditionalFormatting>
  <conditionalFormatting sqref="Q80">
    <cfRule type="expression" dxfId="495" priority="331">
      <formula>$B$117="56≠48+49+50+51+52+53+55"</formula>
    </cfRule>
    <cfRule type="expression" dxfId="494" priority="332">
      <formula>Q$118="56≠57+58"</formula>
    </cfRule>
  </conditionalFormatting>
  <conditionalFormatting sqref="Q92">
    <cfRule type="expression" dxfId="493" priority="329">
      <formula>$B$117="56≠48+49+50+51+52+53+55"</formula>
    </cfRule>
    <cfRule type="expression" dxfId="492" priority="330">
      <formula>Q$118="56≠57+58"</formula>
    </cfRule>
  </conditionalFormatting>
  <conditionalFormatting sqref="Q116">
    <cfRule type="expression" dxfId="491" priority="327">
      <formula>$B$117="56≠48+49+50+51+52+53+55"</formula>
    </cfRule>
    <cfRule type="expression" dxfId="490" priority="328">
      <formula>Q$118="56≠57+58"</formula>
    </cfRule>
  </conditionalFormatting>
  <conditionalFormatting sqref="Q130">
    <cfRule type="expression" dxfId="489" priority="325">
      <formula>$B$117="56≠48+49+50+51+52+53+55"</formula>
    </cfRule>
    <cfRule type="expression" dxfId="488" priority="326">
      <formula>Q$118="56≠57+58"</formula>
    </cfRule>
  </conditionalFormatting>
  <conditionalFormatting sqref="Q142">
    <cfRule type="expression" dxfId="487" priority="323">
      <formula>$B$117="56≠48+49+50+51+52+53+55"</formula>
    </cfRule>
    <cfRule type="expression" dxfId="486" priority="324">
      <formula>Q$118="56≠57+58"</formula>
    </cfRule>
  </conditionalFormatting>
  <conditionalFormatting sqref="Q20">
    <cfRule type="expression" dxfId="485" priority="335">
      <formula>#REF!="20≠21+22"</formula>
    </cfRule>
  </conditionalFormatting>
  <conditionalFormatting sqref="Q32">
    <cfRule type="expression" dxfId="484" priority="336">
      <formula>#REF!="32≠24+25+26+27+28+29+31"</formula>
    </cfRule>
    <cfRule type="expression" dxfId="483" priority="337">
      <formula>#REF!="32≠33+34"</formula>
    </cfRule>
  </conditionalFormatting>
  <conditionalFormatting sqref="Q44">
    <cfRule type="expression" dxfId="482" priority="338">
      <formula>#REF!="44≠36+37+38+39+40+41+43"</formula>
    </cfRule>
    <cfRule type="expression" dxfId="481" priority="339">
      <formula>#REF!="44≠45+46"</formula>
    </cfRule>
  </conditionalFormatting>
  <conditionalFormatting sqref="Q56">
    <cfRule type="expression" dxfId="480" priority="340">
      <formula>#REF!="56≠48+49+50+51+52+53+55"</formula>
    </cfRule>
    <cfRule type="expression" dxfId="479" priority="341">
      <formula>#REF!="56≠57+58"</formula>
    </cfRule>
  </conditionalFormatting>
  <conditionalFormatting sqref="Q104">
    <cfRule type="expression" dxfId="478" priority="342">
      <formula>#REF!="104≠96+97+98+99+100+101+103"</formula>
    </cfRule>
    <cfRule type="expression" dxfId="477" priority="343">
      <formula>#REF!="104≠105+106"</formula>
    </cfRule>
  </conditionalFormatting>
  <conditionalFormatting sqref="Q20">
    <cfRule type="expression" dxfId="476" priority="344">
      <formula>#REF!="20≠12+13+14+15+16+17+19"</formula>
    </cfRule>
  </conditionalFormatting>
  <conditionalFormatting sqref="N68">
    <cfRule type="expression" dxfId="475" priority="245">
      <formula>N$117="56≠48+49+50+51+52+53+55"</formula>
    </cfRule>
    <cfRule type="expression" dxfId="474" priority="246">
      <formula>N$118="56≠57+58"</formula>
    </cfRule>
  </conditionalFormatting>
  <conditionalFormatting sqref="N80">
    <cfRule type="expression" dxfId="473" priority="243">
      <formula>$B$117="56≠48+49+50+51+52+53+55"</formula>
    </cfRule>
    <cfRule type="expression" dxfId="472" priority="244">
      <formula>N$118="56≠57+58"</formula>
    </cfRule>
  </conditionalFormatting>
  <conditionalFormatting sqref="N92">
    <cfRule type="expression" dxfId="471" priority="241">
      <formula>$B$117="56≠48+49+50+51+52+53+55"</formula>
    </cfRule>
    <cfRule type="expression" dxfId="470" priority="242">
      <formula>N$118="56≠57+58"</formula>
    </cfRule>
  </conditionalFormatting>
  <conditionalFormatting sqref="N116">
    <cfRule type="expression" dxfId="469" priority="239">
      <formula>$B$117="56≠48+49+50+51+52+53+55"</formula>
    </cfRule>
    <cfRule type="expression" dxfId="468" priority="240">
      <formula>N$118="56≠57+58"</formula>
    </cfRule>
  </conditionalFormatting>
  <conditionalFormatting sqref="N130">
    <cfRule type="expression" dxfId="467" priority="237">
      <formula>$B$117="56≠48+49+50+51+52+53+55"</formula>
    </cfRule>
    <cfRule type="expression" dxfId="466" priority="238">
      <formula>N$118="56≠57+58"</formula>
    </cfRule>
  </conditionalFormatting>
  <conditionalFormatting sqref="N142">
    <cfRule type="expression" dxfId="465" priority="235">
      <formula>$B$117="56≠48+49+50+51+52+53+55"</formula>
    </cfRule>
    <cfRule type="expression" dxfId="464" priority="236">
      <formula>N$118="56≠57+58"</formula>
    </cfRule>
  </conditionalFormatting>
  <conditionalFormatting sqref="N20">
    <cfRule type="expression" dxfId="463" priority="247">
      <formula>#REF!="20≠21+22"</formula>
    </cfRule>
  </conditionalFormatting>
  <conditionalFormatting sqref="N32">
    <cfRule type="expression" dxfId="462" priority="248">
      <formula>#REF!="32≠24+25+26+27+28+29+31"</formula>
    </cfRule>
    <cfRule type="expression" dxfId="461" priority="249">
      <formula>#REF!="32≠33+34"</formula>
    </cfRule>
  </conditionalFormatting>
  <conditionalFormatting sqref="N44">
    <cfRule type="expression" dxfId="460" priority="250">
      <formula>#REF!="44≠36+37+38+39+40+41+43"</formula>
    </cfRule>
    <cfRule type="expression" dxfId="459" priority="251">
      <formula>#REF!="44≠45+46"</formula>
    </cfRule>
  </conditionalFormatting>
  <conditionalFormatting sqref="N56">
    <cfRule type="expression" dxfId="458" priority="252">
      <formula>#REF!="56≠48+49+50+51+52+53+55"</formula>
    </cfRule>
    <cfRule type="expression" dxfId="457" priority="253">
      <formula>#REF!="56≠57+58"</formula>
    </cfRule>
  </conditionalFormatting>
  <conditionalFormatting sqref="N104">
    <cfRule type="expression" dxfId="456" priority="254">
      <formula>#REF!="104≠96+97+98+99+100+101+103"</formula>
    </cfRule>
    <cfRule type="expression" dxfId="455" priority="255">
      <formula>#REF!="104≠105+106"</formula>
    </cfRule>
  </conditionalFormatting>
  <conditionalFormatting sqref="N20">
    <cfRule type="expression" dxfId="454" priority="256">
      <formula>#REF!="20≠12+13+14+15+16+17+19"</formula>
    </cfRule>
  </conditionalFormatting>
  <conditionalFormatting sqref="AC68">
    <cfRule type="expression" dxfId="453" priority="201">
      <formula>AC$117="56≠48+49+50+51+52+53+55"</formula>
    </cfRule>
    <cfRule type="expression" dxfId="452" priority="202">
      <formula>AC$118="56≠57+58"</formula>
    </cfRule>
  </conditionalFormatting>
  <conditionalFormatting sqref="AC80">
    <cfRule type="expression" dxfId="451" priority="199">
      <formula>$B$117="56≠48+49+50+51+52+53+55"</formula>
    </cfRule>
    <cfRule type="expression" dxfId="450" priority="200">
      <formula>AC$118="56≠57+58"</formula>
    </cfRule>
  </conditionalFormatting>
  <conditionalFormatting sqref="AC92">
    <cfRule type="expression" dxfId="449" priority="197">
      <formula>$B$117="56≠48+49+50+51+52+53+55"</formula>
    </cfRule>
    <cfRule type="expression" dxfId="448" priority="198">
      <formula>AC$118="56≠57+58"</formula>
    </cfRule>
  </conditionalFormatting>
  <conditionalFormatting sqref="AC116">
    <cfRule type="expression" dxfId="447" priority="195">
      <formula>$B$117="56≠48+49+50+51+52+53+55"</formula>
    </cfRule>
    <cfRule type="expression" dxfId="446" priority="196">
      <formula>AC$118="56≠57+58"</formula>
    </cfRule>
  </conditionalFormatting>
  <conditionalFormatting sqref="AC130">
    <cfRule type="expression" dxfId="445" priority="193">
      <formula>$B$117="56≠48+49+50+51+52+53+55"</formula>
    </cfRule>
    <cfRule type="expression" dxfId="444" priority="194">
      <formula>AC$118="56≠57+58"</formula>
    </cfRule>
  </conditionalFormatting>
  <conditionalFormatting sqref="AC142">
    <cfRule type="expression" dxfId="443" priority="191">
      <formula>$B$117="56≠48+49+50+51+52+53+55"</formula>
    </cfRule>
    <cfRule type="expression" dxfId="442" priority="192">
      <formula>AC$118="56≠57+58"</formula>
    </cfRule>
  </conditionalFormatting>
  <conditionalFormatting sqref="AC20">
    <cfRule type="expression" dxfId="441" priority="203">
      <formula>#REF!="20≠21+22"</formula>
    </cfRule>
  </conditionalFormatting>
  <conditionalFormatting sqref="AC32">
    <cfRule type="expression" dxfId="440" priority="204">
      <formula>#REF!="32≠24+25+26+27+28+29+31"</formula>
    </cfRule>
    <cfRule type="expression" dxfId="439" priority="205">
      <formula>#REF!="32≠33+34"</formula>
    </cfRule>
  </conditionalFormatting>
  <conditionalFormatting sqref="AC44">
    <cfRule type="expression" dxfId="438" priority="206">
      <formula>#REF!="44≠36+37+38+39+40+41+43"</formula>
    </cfRule>
    <cfRule type="expression" dxfId="437" priority="207">
      <formula>#REF!="44≠45+46"</formula>
    </cfRule>
  </conditionalFormatting>
  <conditionalFormatting sqref="AC56">
    <cfRule type="expression" dxfId="436" priority="208">
      <formula>#REF!="56≠48+49+50+51+52+53+55"</formula>
    </cfRule>
    <cfRule type="expression" dxfId="435" priority="209">
      <formula>#REF!="56≠57+58"</formula>
    </cfRule>
  </conditionalFormatting>
  <conditionalFormatting sqref="AC104">
    <cfRule type="expression" dxfId="434" priority="210">
      <formula>#REF!="104≠96+97+98+99+100+101+103"</formula>
    </cfRule>
    <cfRule type="expression" dxfId="433" priority="211">
      <formula>#REF!="104≠105+106"</formula>
    </cfRule>
  </conditionalFormatting>
  <conditionalFormatting sqref="AC20">
    <cfRule type="expression" dxfId="432" priority="212">
      <formula>#REF!="20≠12+13+14+15+16+17+19"</formula>
    </cfRule>
  </conditionalFormatting>
  <conditionalFormatting sqref="AF68">
    <cfRule type="expression" dxfId="431" priority="113">
      <formula>AF$117="56≠48+49+50+51+52+53+55"</formula>
    </cfRule>
    <cfRule type="expression" dxfId="430" priority="114">
      <formula>AF$118="56≠57+58"</formula>
    </cfRule>
  </conditionalFormatting>
  <conditionalFormatting sqref="AF20">
    <cfRule type="expression" dxfId="429" priority="115">
      <formula>#REF!="20≠21+22"</formula>
    </cfRule>
  </conditionalFormatting>
  <conditionalFormatting sqref="AF32">
    <cfRule type="expression" dxfId="428" priority="116">
      <formula>#REF!="32≠24+25+26+27+28+29+31"</formula>
    </cfRule>
    <cfRule type="expression" dxfId="427" priority="117">
      <formula>#REF!="32≠33+34"</formula>
    </cfRule>
  </conditionalFormatting>
  <conditionalFormatting sqref="AF44">
    <cfRule type="expression" dxfId="426" priority="118">
      <formula>#REF!="44≠36+37+38+39+40+41+43"</formula>
    </cfRule>
    <cfRule type="expression" dxfId="425" priority="119">
      <formula>#REF!="44≠45+46"</formula>
    </cfRule>
  </conditionalFormatting>
  <conditionalFormatting sqref="AF56">
    <cfRule type="expression" dxfId="424" priority="120">
      <formula>#REF!="56≠48+49+50+51+52+53+55"</formula>
    </cfRule>
    <cfRule type="expression" dxfId="423" priority="121">
      <formula>#REF!="56≠57+58"</formula>
    </cfRule>
  </conditionalFormatting>
  <conditionalFormatting sqref="AF104">
    <cfRule type="expression" dxfId="422" priority="122">
      <formula>#REF!="104≠96+97+98+99+100+101+103"</formula>
    </cfRule>
    <cfRule type="expression" dxfId="421" priority="123">
      <formula>#REF!="104≠105+106"</formula>
    </cfRule>
  </conditionalFormatting>
  <conditionalFormatting sqref="AF20">
    <cfRule type="expression" dxfId="420" priority="124">
      <formula>#REF!="20≠12+13+14+15+16+17+19"</formula>
    </cfRule>
  </conditionalFormatting>
  <conditionalFormatting sqref="H68">
    <cfRule type="expression" dxfId="419" priority="69">
      <formula>H$117="56≠48+49+50+51+52+53+55"</formula>
    </cfRule>
    <cfRule type="expression" dxfId="418" priority="70">
      <formula>H$118="56≠57+58"</formula>
    </cfRule>
  </conditionalFormatting>
  <conditionalFormatting sqref="H80">
    <cfRule type="expression" dxfId="417" priority="67">
      <formula>$B$117="56≠48+49+50+51+52+53+55"</formula>
    </cfRule>
    <cfRule type="expression" dxfId="416" priority="68">
      <formula>H$118="56≠57+58"</formula>
    </cfRule>
  </conditionalFormatting>
  <conditionalFormatting sqref="H92">
    <cfRule type="expression" dxfId="415" priority="65">
      <formula>$B$117="56≠48+49+50+51+52+53+55"</formula>
    </cfRule>
    <cfRule type="expression" dxfId="414" priority="66">
      <formula>H$118="56≠57+58"</formula>
    </cfRule>
  </conditionalFormatting>
  <conditionalFormatting sqref="H116">
    <cfRule type="expression" dxfId="413" priority="63">
      <formula>$B$117="56≠48+49+50+51+52+53+55"</formula>
    </cfRule>
    <cfRule type="expression" dxfId="412" priority="64">
      <formula>H$118="56≠57+58"</formula>
    </cfRule>
  </conditionalFormatting>
  <conditionalFormatting sqref="H130">
    <cfRule type="expression" dxfId="411" priority="61">
      <formula>$B$117="56≠48+49+50+51+52+53+55"</formula>
    </cfRule>
    <cfRule type="expression" dxfId="410" priority="62">
      <formula>H$118="56≠57+58"</formula>
    </cfRule>
  </conditionalFormatting>
  <conditionalFormatting sqref="H142">
    <cfRule type="expression" dxfId="409" priority="59">
      <formula>$B$117="56≠48+49+50+51+52+53+55"</formula>
    </cfRule>
    <cfRule type="expression" dxfId="408" priority="60">
      <formula>H$118="56≠57+58"</formula>
    </cfRule>
  </conditionalFormatting>
  <conditionalFormatting sqref="H20">
    <cfRule type="expression" dxfId="407" priority="71">
      <formula>#REF!="20≠21+22"</formula>
    </cfRule>
  </conditionalFormatting>
  <conditionalFormatting sqref="H32">
    <cfRule type="expression" dxfId="406" priority="72">
      <formula>#REF!="32≠24+25+26+27+28+29+31"</formula>
    </cfRule>
    <cfRule type="expression" dxfId="405" priority="73">
      <formula>#REF!="32≠33+34"</formula>
    </cfRule>
  </conditionalFormatting>
  <conditionalFormatting sqref="H44">
    <cfRule type="expression" dxfId="404" priority="74">
      <formula>#REF!="44≠36+37+38+39+40+41+43"</formula>
    </cfRule>
    <cfRule type="expression" dxfId="403" priority="75">
      <formula>#REF!="44≠45+46"</formula>
    </cfRule>
  </conditionalFormatting>
  <conditionalFormatting sqref="H56">
    <cfRule type="expression" dxfId="402" priority="76">
      <formula>#REF!="56≠48+49+50+51+52+53+55"</formula>
    </cfRule>
    <cfRule type="expression" dxfId="401" priority="77">
      <formula>#REF!="56≠57+58"</formula>
    </cfRule>
  </conditionalFormatting>
  <conditionalFormatting sqref="H104">
    <cfRule type="expression" dxfId="400" priority="78">
      <formula>#REF!="104≠96+97+98+99+100+101+103"</formula>
    </cfRule>
    <cfRule type="expression" dxfId="399" priority="79">
      <formula>#REF!="104≠105+106"</formula>
    </cfRule>
  </conditionalFormatting>
  <conditionalFormatting sqref="H20">
    <cfRule type="expression" dxfId="398" priority="80">
      <formula>#REF!="20≠12+13+14+15+16+17+19"</formula>
    </cfRule>
  </conditionalFormatting>
  <conditionalFormatting sqref="E68">
    <cfRule type="expression" dxfId="397" priority="25">
      <formula>E$117="56≠48+49+50+51+52+53+55"</formula>
    </cfRule>
    <cfRule type="expression" dxfId="396" priority="26">
      <formula>E$118="56≠57+58"</formula>
    </cfRule>
  </conditionalFormatting>
  <conditionalFormatting sqref="E80">
    <cfRule type="expression" dxfId="395" priority="23">
      <formula>$B$117="56≠48+49+50+51+52+53+55"</formula>
    </cfRule>
    <cfRule type="expression" dxfId="394" priority="24">
      <formula>E$118="56≠57+58"</formula>
    </cfRule>
  </conditionalFormatting>
  <conditionalFormatting sqref="E92">
    <cfRule type="expression" dxfId="393" priority="21">
      <formula>$B$117="56≠48+49+50+51+52+53+55"</formula>
    </cfRule>
    <cfRule type="expression" dxfId="392" priority="22">
      <formula>E$118="56≠57+58"</formula>
    </cfRule>
  </conditionalFormatting>
  <conditionalFormatting sqref="E116">
    <cfRule type="expression" dxfId="391" priority="19">
      <formula>$B$117="56≠48+49+50+51+52+53+55"</formula>
    </cfRule>
    <cfRule type="expression" dxfId="390" priority="20">
      <formula>E$118="56≠57+58"</formula>
    </cfRule>
  </conditionalFormatting>
  <conditionalFormatting sqref="E130">
    <cfRule type="expression" dxfId="389" priority="17">
      <formula>$B$117="56≠48+49+50+51+52+53+55"</formula>
    </cfRule>
    <cfRule type="expression" dxfId="388" priority="18">
      <formula>E$118="56≠57+58"</formula>
    </cfRule>
  </conditionalFormatting>
  <conditionalFormatting sqref="E142">
    <cfRule type="expression" dxfId="387" priority="15">
      <formula>$B$117="56≠48+49+50+51+52+53+55"</formula>
    </cfRule>
    <cfRule type="expression" dxfId="386" priority="16">
      <formula>E$118="56≠57+58"</formula>
    </cfRule>
  </conditionalFormatting>
  <conditionalFormatting sqref="E20">
    <cfRule type="expression" dxfId="385" priority="27">
      <formula>#REF!="20≠21+22"</formula>
    </cfRule>
  </conditionalFormatting>
  <conditionalFormatting sqref="E32">
    <cfRule type="expression" dxfId="384" priority="28">
      <formula>#REF!="32≠24+25+26+27+28+29+31"</formula>
    </cfRule>
    <cfRule type="expression" dxfId="383" priority="29">
      <formula>#REF!="32≠33+34"</formula>
    </cfRule>
  </conditionalFormatting>
  <conditionalFormatting sqref="E44">
    <cfRule type="expression" dxfId="382" priority="30">
      <formula>#REF!="44≠36+37+38+39+40+41+43"</formula>
    </cfRule>
    <cfRule type="expression" dxfId="381" priority="31">
      <formula>#REF!="44≠45+46"</formula>
    </cfRule>
  </conditionalFormatting>
  <conditionalFormatting sqref="E56">
    <cfRule type="expression" dxfId="380" priority="32">
      <formula>#REF!="56≠48+49+50+51+52+53+55"</formula>
    </cfRule>
    <cfRule type="expression" dxfId="379" priority="33">
      <formula>#REF!="56≠57+58"</formula>
    </cfRule>
  </conditionalFormatting>
  <conditionalFormatting sqref="E104">
    <cfRule type="expression" dxfId="378" priority="34">
      <formula>#REF!="104≠96+97+98+99+100+101+103"</formula>
    </cfRule>
    <cfRule type="expression" dxfId="377" priority="35">
      <formula>#REF!="104≠105+106"</formula>
    </cfRule>
  </conditionalFormatting>
  <conditionalFormatting sqref="E20">
    <cfRule type="expression" dxfId="376" priority="36">
      <formula>#REF!="20≠12+13+14+15+16+17+19"</formula>
    </cfRule>
  </conditionalFormatting>
  <conditionalFormatting sqref="AM68">
    <cfRule type="expression" dxfId="375" priority="5">
      <formula>AM$117="56≠48+49+50+51+52+53+55"</formula>
    </cfRule>
    <cfRule type="expression" dxfId="374" priority="6">
      <formula>AM$118="56≠57+58"</formula>
    </cfRule>
  </conditionalFormatting>
  <conditionalFormatting sqref="AM80 AM92 AM116 AM130 AM142">
    <cfRule type="expression" dxfId="373" priority="3">
      <formula>$B$117="56≠48+49+50+51+52+53+55"</formula>
    </cfRule>
    <cfRule type="expression" dxfId="372" priority="4">
      <formula>AM$118="56≠57+58"</formula>
    </cfRule>
  </conditionalFormatting>
  <conditionalFormatting sqref="L20 X20 AJ20 C20 AA20 U20 R20 O20 AD20 AG20 I20 F20 AL20:AM20">
    <cfRule type="expression" dxfId="371" priority="710">
      <formula>#REF!="20≠21+22"</formula>
    </cfRule>
  </conditionalFormatting>
  <conditionalFormatting sqref="AL32:AM32">
    <cfRule type="expression" dxfId="370" priority="711">
      <formula>#REF!="32≠24+25+26+27+28+29+31"</formula>
    </cfRule>
    <cfRule type="expression" dxfId="369" priority="712">
      <formula>#REF!="32≠33+34"</formula>
    </cfRule>
  </conditionalFormatting>
  <conditionalFormatting sqref="AL44:AM44">
    <cfRule type="expression" dxfId="368" priority="713">
      <formula>#REF!="44≠36+37+38+39+40+41+43"</formula>
    </cfRule>
    <cfRule type="expression" dxfId="367" priority="714">
      <formula>#REF!="44≠45+46"</formula>
    </cfRule>
  </conditionalFormatting>
  <conditionalFormatting sqref="AL56:AM56">
    <cfRule type="expression" dxfId="366" priority="715">
      <formula>#REF!="56≠48+49+50+51+52+53+55"</formula>
    </cfRule>
    <cfRule type="expression" dxfId="365" priority="716">
      <formula>#REF!="56≠57+58"</formula>
    </cfRule>
  </conditionalFormatting>
  <conditionalFormatting sqref="L104 X104 AJ104 C104 AA104 U104 R104 O104 AD104 AG104 I104 F104 AL104:AM104">
    <cfRule type="expression" dxfId="364" priority="717">
      <formula>#REF!="104≠96+97+98+99+100+101+103"</formula>
    </cfRule>
    <cfRule type="expression" dxfId="363" priority="718">
      <formula>#REF!="104≠105+106"</formula>
    </cfRule>
  </conditionalFormatting>
  <conditionalFormatting sqref="AL20:AM20">
    <cfRule type="expression" dxfId="362" priority="719">
      <formula>#REF!="20≠12+13+14+15+16+17+19"</formula>
    </cfRule>
  </conditionalFormatting>
  <conditionalFormatting sqref="L32 X32 AJ32 C32 AA32 U32 R32 O32 AD32 AG32 I32 F32">
    <cfRule type="expression" dxfId="361" priority="721">
      <formula>#REF!="32≠24+25+26+27+28+29+31"</formula>
    </cfRule>
    <cfRule type="expression" dxfId="360" priority="722">
      <formula>#REF!="32≠33+34"</formula>
    </cfRule>
  </conditionalFormatting>
  <conditionalFormatting sqref="L44 X44 AJ44 C44 AA44 U44 R44 O44 AD44 AG44 I44 F44">
    <cfRule type="expression" dxfId="359" priority="723">
      <formula>#REF!="44≠36+37+38+39+40+41+43"</formula>
    </cfRule>
    <cfRule type="expression" dxfId="358" priority="724">
      <formula>#REF!="44≠45+46"</formula>
    </cfRule>
  </conditionalFormatting>
  <conditionalFormatting sqref="L56 X56 AJ56 C56 AA56 U56 R56 O56 AD56 AG56 I56 F56">
    <cfRule type="expression" dxfId="357" priority="725">
      <formula>#REF!="56≠48+49+50+51+52+53+55"</formula>
    </cfRule>
    <cfRule type="expression" dxfId="356" priority="726">
      <formula>#REF!="56≠57+58"</formula>
    </cfRule>
  </conditionalFormatting>
  <conditionalFormatting sqref="L68 X68 AJ68 C68 AA68 U68 R68 O68 AD68 AG68 I68 F68">
    <cfRule type="expression" dxfId="355" priority="727">
      <formula>#REF!="68≠60+61+62+63+64+65+67"</formula>
    </cfRule>
    <cfRule type="expression" dxfId="354" priority="728">
      <formula>#REF!="68≠69+70"</formula>
    </cfRule>
  </conditionalFormatting>
  <conditionalFormatting sqref="L80 X80 AJ80 C80 AA80 U80 R80 O80 AD80 AG80 I80 F80">
    <cfRule type="expression" dxfId="353" priority="729">
      <formula>#REF!="80≠72+73+74+75+76+77+79"</formula>
    </cfRule>
    <cfRule type="expression" dxfId="352" priority="730">
      <formula>#REF!="80≠81+82"</formula>
    </cfRule>
  </conditionalFormatting>
  <conditionalFormatting sqref="L92 X92 AJ92 C92 AA92 U92 R92 O92 AD92 AG92 I92 F92">
    <cfRule type="expression" dxfId="351" priority="731">
      <formula>#REF!="92≠84+85+86+87+88+89+91"</formula>
    </cfRule>
    <cfRule type="expression" dxfId="350" priority="732">
      <formula>#REF!="92≠93+94"</formula>
    </cfRule>
  </conditionalFormatting>
  <conditionalFormatting sqref="L116 X116 AJ116 C116 AA116 U116 R116 O116 AD116 AG116 I116 F116">
    <cfRule type="expression" dxfId="349" priority="735">
      <formula>#REF!="116≠108+109+110+111+112+113+115"</formula>
    </cfRule>
    <cfRule type="expression" dxfId="348" priority="736">
      <formula>#REF!="116≠117+118"</formula>
    </cfRule>
  </conditionalFormatting>
  <conditionalFormatting sqref="L130 X130 AJ130 C130 AA130 U130 R130 O130 AD130 AG130 I130 F130">
    <cfRule type="expression" dxfId="347" priority="737">
      <formula>#REF!="130≠122+123+124+125+126+127+129"</formula>
    </cfRule>
    <cfRule type="expression" dxfId="346" priority="738">
      <formula>#REF!="130≠131+132"</formula>
    </cfRule>
  </conditionalFormatting>
  <conditionalFormatting sqref="L142 X142 AJ142 C142 AA142 U142 R142 O142 AD142 AG142 I142 F142">
    <cfRule type="expression" dxfId="345" priority="739">
      <formula>#REF!="142≠134+135+136+137+138+139+141"</formula>
    </cfRule>
    <cfRule type="expression" dxfId="344" priority="740">
      <formula>#REF!="142≠143+144"</formula>
    </cfRule>
  </conditionalFormatting>
  <conditionalFormatting sqref="L20 X20 AJ20 C20 AA20 U20 R20 O20 AD20 AG20 I20 F20">
    <cfRule type="expression" dxfId="343" priority="741">
      <formula>#REF!="20≠12+13+14+15+16+17+19"</formula>
    </cfRule>
  </conditionalFormatting>
  <hyperlinks>
    <hyperlink ref="B1" location="Innhold!A1" display="Tilbake" xr:uid="{00000000-0004-0000-2000-000000000000}"/>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0" min="1" max="108" man="1"/>
    <brk id="19" min="1" max="108" man="1"/>
    <brk id="28" min="1" max="108" man="1"/>
    <brk id="34" min="1" max="10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U131"/>
  <sheetViews>
    <sheetView showGridLines="0" zoomScale="70" zoomScaleNormal="7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55.5703125" style="657" customWidth="1"/>
    <col min="2" max="43" width="11.7109375" style="657" customWidth="1"/>
    <col min="44" max="16384" width="12.5703125" style="657"/>
  </cols>
  <sheetData>
    <row r="1" spans="1:47" ht="20.25" customHeight="1" x14ac:dyDescent="0.3">
      <c r="A1" s="601" t="s">
        <v>180</v>
      </c>
      <c r="B1" s="480" t="s">
        <v>52</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row>
    <row r="2" spans="1:47" ht="20.100000000000001" customHeight="1" x14ac:dyDescent="0.3">
      <c r="A2" s="658" t="s">
        <v>271</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row>
    <row r="3" spans="1:47" ht="20.100000000000001" customHeight="1" x14ac:dyDescent="0.3">
      <c r="A3" s="659" t="s">
        <v>408</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row>
    <row r="4" spans="1:47" ht="20.100000000000001" customHeight="1" x14ac:dyDescent="0.3">
      <c r="A4" s="707" t="s">
        <v>409</v>
      </c>
      <c r="B4" s="661"/>
      <c r="C4" s="656"/>
      <c r="D4" s="656"/>
      <c r="E4" s="656"/>
      <c r="F4" s="656"/>
      <c r="G4" s="656"/>
      <c r="H4" s="656"/>
      <c r="I4" s="656"/>
      <c r="J4" s="656"/>
      <c r="K4" s="656"/>
      <c r="L4" s="656"/>
      <c r="M4" s="656"/>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56"/>
      <c r="AP4" s="656"/>
      <c r="AQ4" s="656"/>
      <c r="AR4" s="661"/>
      <c r="AS4" s="656"/>
      <c r="AT4" s="656"/>
      <c r="AU4" s="656"/>
    </row>
    <row r="5" spans="1:47" ht="18.75" customHeight="1" x14ac:dyDescent="0.3">
      <c r="A5" s="708" t="s">
        <v>371</v>
      </c>
      <c r="B5" s="663"/>
      <c r="C5" s="663"/>
      <c r="D5" s="664"/>
      <c r="E5" s="665"/>
      <c r="F5" s="663"/>
      <c r="G5" s="664"/>
      <c r="H5" s="665"/>
      <c r="I5" s="663"/>
      <c r="J5" s="664"/>
      <c r="K5" s="665"/>
      <c r="L5" s="663"/>
      <c r="M5" s="664"/>
      <c r="N5" s="665"/>
      <c r="O5" s="663"/>
      <c r="P5" s="664"/>
      <c r="Q5" s="665"/>
      <c r="R5" s="663"/>
      <c r="S5" s="664"/>
      <c r="T5" s="665"/>
      <c r="U5" s="663"/>
      <c r="V5" s="664"/>
      <c r="W5" s="665"/>
      <c r="X5" s="663"/>
      <c r="Y5" s="664"/>
      <c r="Z5" s="665"/>
      <c r="AA5" s="663"/>
      <c r="AB5" s="664"/>
      <c r="AC5" s="665"/>
      <c r="AD5" s="663"/>
      <c r="AE5" s="664"/>
      <c r="AF5" s="665"/>
      <c r="AG5" s="663"/>
      <c r="AH5" s="664"/>
      <c r="AI5" s="665"/>
      <c r="AJ5" s="663"/>
      <c r="AK5" s="664"/>
      <c r="AL5" s="665"/>
      <c r="AM5" s="663"/>
      <c r="AN5" s="664"/>
      <c r="AO5" s="665"/>
      <c r="AP5" s="663"/>
      <c r="AQ5" s="664"/>
      <c r="AR5" s="661"/>
      <c r="AS5" s="661"/>
      <c r="AT5" s="656"/>
      <c r="AU5" s="656"/>
    </row>
    <row r="6" spans="1:47" ht="18.75" customHeight="1" x14ac:dyDescent="0.3">
      <c r="A6" s="666" t="s">
        <v>106</v>
      </c>
      <c r="B6" s="997" t="s">
        <v>183</v>
      </c>
      <c r="C6" s="998"/>
      <c r="D6" s="999"/>
      <c r="E6" s="997" t="s">
        <v>184</v>
      </c>
      <c r="F6" s="998"/>
      <c r="G6" s="999"/>
      <c r="H6" s="997" t="s">
        <v>185</v>
      </c>
      <c r="I6" s="998"/>
      <c r="J6" s="999"/>
      <c r="K6" s="997" t="s">
        <v>186</v>
      </c>
      <c r="L6" s="998"/>
      <c r="M6" s="999"/>
      <c r="N6" s="997" t="s">
        <v>187</v>
      </c>
      <c r="O6" s="998"/>
      <c r="P6" s="999"/>
      <c r="Q6" s="903" t="s">
        <v>187</v>
      </c>
      <c r="R6" s="904"/>
      <c r="S6" s="905"/>
      <c r="T6" s="997" t="s">
        <v>64</v>
      </c>
      <c r="U6" s="998"/>
      <c r="V6" s="999"/>
      <c r="W6" s="924"/>
      <c r="X6" s="925"/>
      <c r="Y6" s="926"/>
      <c r="Z6" s="997" t="s">
        <v>188</v>
      </c>
      <c r="AA6" s="998"/>
      <c r="AB6" s="999"/>
      <c r="AC6" s="918"/>
      <c r="AD6" s="919"/>
      <c r="AE6" s="920"/>
      <c r="AF6" s="997"/>
      <c r="AG6" s="998"/>
      <c r="AH6" s="999"/>
      <c r="AI6" s="997" t="s">
        <v>75</v>
      </c>
      <c r="AJ6" s="998"/>
      <c r="AK6" s="999"/>
      <c r="AL6" s="994" t="s">
        <v>2</v>
      </c>
      <c r="AM6" s="995"/>
      <c r="AN6" s="996"/>
      <c r="AO6" s="997" t="s">
        <v>2</v>
      </c>
      <c r="AP6" s="998"/>
      <c r="AQ6" s="999"/>
      <c r="AR6" s="661"/>
      <c r="AS6" s="661"/>
      <c r="AT6" s="656"/>
      <c r="AU6" s="656"/>
    </row>
    <row r="7" spans="1:47" ht="18.75" customHeight="1" x14ac:dyDescent="0.3">
      <c r="A7" s="667"/>
      <c r="B7" s="1000" t="s">
        <v>189</v>
      </c>
      <c r="C7" s="1001"/>
      <c r="D7" s="1002"/>
      <c r="E7" s="1000" t="s">
        <v>190</v>
      </c>
      <c r="F7" s="1001"/>
      <c r="G7" s="1002"/>
      <c r="H7" s="1000" t="s">
        <v>190</v>
      </c>
      <c r="I7" s="1001"/>
      <c r="J7" s="1002"/>
      <c r="K7" s="1000" t="s">
        <v>191</v>
      </c>
      <c r="L7" s="1001"/>
      <c r="M7" s="1002"/>
      <c r="N7" s="1000" t="s">
        <v>94</v>
      </c>
      <c r="O7" s="1001"/>
      <c r="P7" s="1002"/>
      <c r="Q7" s="1000" t="s">
        <v>64</v>
      </c>
      <c r="R7" s="1001"/>
      <c r="S7" s="1002"/>
      <c r="T7" s="1000" t="s">
        <v>192</v>
      </c>
      <c r="U7" s="1001"/>
      <c r="V7" s="1002"/>
      <c r="W7" s="1000" t="s">
        <v>68</v>
      </c>
      <c r="X7" s="1001"/>
      <c r="Y7" s="1002"/>
      <c r="Z7" s="1000" t="s">
        <v>189</v>
      </c>
      <c r="AA7" s="1001"/>
      <c r="AB7" s="1002"/>
      <c r="AC7" s="1000" t="s">
        <v>74</v>
      </c>
      <c r="AD7" s="1001"/>
      <c r="AE7" s="1002"/>
      <c r="AF7" s="1000" t="s">
        <v>70</v>
      </c>
      <c r="AG7" s="1001"/>
      <c r="AH7" s="1002"/>
      <c r="AI7" s="1000" t="s">
        <v>190</v>
      </c>
      <c r="AJ7" s="1001"/>
      <c r="AK7" s="1002"/>
      <c r="AL7" s="1003" t="s">
        <v>295</v>
      </c>
      <c r="AM7" s="1004"/>
      <c r="AN7" s="1005"/>
      <c r="AO7" s="1006" t="s">
        <v>296</v>
      </c>
      <c r="AP7" s="1007"/>
      <c r="AQ7" s="1008"/>
      <c r="AR7" s="661"/>
      <c r="AS7" s="661"/>
      <c r="AT7" s="656"/>
      <c r="AU7" s="656"/>
    </row>
    <row r="8" spans="1:47" ht="18.75" customHeight="1" x14ac:dyDescent="0.3">
      <c r="A8" s="667"/>
      <c r="B8" s="613"/>
      <c r="C8" s="613"/>
      <c r="D8" s="614" t="s">
        <v>83</v>
      </c>
      <c r="E8" s="613"/>
      <c r="F8" s="613"/>
      <c r="G8" s="614" t="s">
        <v>83</v>
      </c>
      <c r="H8" s="613"/>
      <c r="I8" s="613"/>
      <c r="J8" s="614" t="s">
        <v>83</v>
      </c>
      <c r="K8" s="613"/>
      <c r="L8" s="613"/>
      <c r="M8" s="614" t="s">
        <v>83</v>
      </c>
      <c r="N8" s="613"/>
      <c r="O8" s="613"/>
      <c r="P8" s="614" t="s">
        <v>83</v>
      </c>
      <c r="Q8" s="613"/>
      <c r="R8" s="613"/>
      <c r="S8" s="614" t="s">
        <v>83</v>
      </c>
      <c r="T8" s="613"/>
      <c r="U8" s="613"/>
      <c r="V8" s="614" t="s">
        <v>83</v>
      </c>
      <c r="W8" s="613"/>
      <c r="X8" s="613"/>
      <c r="Y8" s="614" t="s">
        <v>83</v>
      </c>
      <c r="Z8" s="613"/>
      <c r="AA8" s="613"/>
      <c r="AB8" s="614" t="s">
        <v>83</v>
      </c>
      <c r="AC8" s="613"/>
      <c r="AD8" s="613"/>
      <c r="AE8" s="614" t="s">
        <v>83</v>
      </c>
      <c r="AF8" s="613"/>
      <c r="AG8" s="613"/>
      <c r="AH8" s="614" t="s">
        <v>83</v>
      </c>
      <c r="AI8" s="613"/>
      <c r="AJ8" s="613"/>
      <c r="AK8" s="614" t="s">
        <v>83</v>
      </c>
      <c r="AL8" s="613"/>
      <c r="AM8" s="613"/>
      <c r="AN8" s="614" t="s">
        <v>83</v>
      </c>
      <c r="AO8" s="613"/>
      <c r="AP8" s="613"/>
      <c r="AQ8" s="614" t="s">
        <v>83</v>
      </c>
      <c r="AR8" s="661"/>
      <c r="AS8" s="661"/>
      <c r="AT8" s="656"/>
      <c r="AU8" s="656"/>
    </row>
    <row r="9" spans="1:47" ht="18.75" customHeight="1" x14ac:dyDescent="0.3">
      <c r="A9" s="668" t="s">
        <v>297</v>
      </c>
      <c r="B9" s="616">
        <v>2017</v>
      </c>
      <c r="C9" s="616">
        <v>2018</v>
      </c>
      <c r="D9" s="617" t="s">
        <v>85</v>
      </c>
      <c r="E9" s="709">
        <v>2017</v>
      </c>
      <c r="F9" s="616">
        <v>2018</v>
      </c>
      <c r="G9" s="617" t="s">
        <v>85</v>
      </c>
      <c r="H9" s="616">
        <v>2017</v>
      </c>
      <c r="I9" s="616">
        <v>2018</v>
      </c>
      <c r="J9" s="617" t="s">
        <v>85</v>
      </c>
      <c r="K9" s="616">
        <v>2017</v>
      </c>
      <c r="L9" s="616">
        <v>2018</v>
      </c>
      <c r="M9" s="617" t="s">
        <v>85</v>
      </c>
      <c r="N9" s="616">
        <v>2017</v>
      </c>
      <c r="O9" s="616">
        <v>2018</v>
      </c>
      <c r="P9" s="617" t="s">
        <v>85</v>
      </c>
      <c r="Q9" s="616">
        <v>2017</v>
      </c>
      <c r="R9" s="616">
        <v>2018</v>
      </c>
      <c r="S9" s="617" t="s">
        <v>85</v>
      </c>
      <c r="T9" s="616">
        <v>2017</v>
      </c>
      <c r="U9" s="616">
        <v>2018</v>
      </c>
      <c r="V9" s="617" t="s">
        <v>85</v>
      </c>
      <c r="W9" s="616">
        <v>2017</v>
      </c>
      <c r="X9" s="616">
        <v>2018</v>
      </c>
      <c r="Y9" s="617" t="s">
        <v>85</v>
      </c>
      <c r="Z9" s="616">
        <v>2017</v>
      </c>
      <c r="AA9" s="616">
        <v>2018</v>
      </c>
      <c r="AB9" s="617" t="s">
        <v>85</v>
      </c>
      <c r="AC9" s="616">
        <v>2017</v>
      </c>
      <c r="AD9" s="616">
        <v>2018</v>
      </c>
      <c r="AE9" s="617" t="s">
        <v>85</v>
      </c>
      <c r="AF9" s="616">
        <v>2017</v>
      </c>
      <c r="AG9" s="616">
        <v>2018</v>
      </c>
      <c r="AH9" s="617" t="s">
        <v>85</v>
      </c>
      <c r="AI9" s="616">
        <v>2017</v>
      </c>
      <c r="AJ9" s="616">
        <v>2018</v>
      </c>
      <c r="AK9" s="617" t="s">
        <v>85</v>
      </c>
      <c r="AL9" s="616">
        <v>2017</v>
      </c>
      <c r="AM9" s="616">
        <v>2018</v>
      </c>
      <c r="AN9" s="617" t="s">
        <v>85</v>
      </c>
      <c r="AO9" s="616">
        <v>2017</v>
      </c>
      <c r="AP9" s="616">
        <v>2018</v>
      </c>
      <c r="AQ9" s="617" t="s">
        <v>85</v>
      </c>
      <c r="AR9" s="661"/>
      <c r="AS9" s="661"/>
      <c r="AT9" s="656"/>
      <c r="AU9" s="656"/>
    </row>
    <row r="10" spans="1:47" ht="18.75" customHeight="1" x14ac:dyDescent="0.3">
      <c r="A10" s="669"/>
      <c r="B10" s="673"/>
      <c r="C10" s="676"/>
      <c r="D10" s="670"/>
      <c r="E10" s="673"/>
      <c r="F10" s="676"/>
      <c r="G10" s="672"/>
      <c r="H10" s="673"/>
      <c r="I10" s="676"/>
      <c r="J10" s="674"/>
      <c r="K10" s="673"/>
      <c r="L10" s="676"/>
      <c r="M10" s="670"/>
      <c r="N10" s="673"/>
      <c r="O10" s="676"/>
      <c r="P10" s="672"/>
      <c r="Q10" s="673"/>
      <c r="R10" s="676"/>
      <c r="S10" s="672"/>
      <c r="T10" s="673"/>
      <c r="U10" s="676"/>
      <c r="V10" s="672"/>
      <c r="W10" s="673"/>
      <c r="X10" s="676"/>
      <c r="Y10" s="672"/>
      <c r="Z10" s="673"/>
      <c r="AA10" s="676"/>
      <c r="AB10" s="672"/>
      <c r="AC10" s="673"/>
      <c r="AD10" s="676"/>
      <c r="AE10" s="672"/>
      <c r="AF10" s="673"/>
      <c r="AG10" s="676"/>
      <c r="AH10" s="672"/>
      <c r="AI10" s="671"/>
      <c r="AJ10" s="676"/>
      <c r="AK10" s="672"/>
      <c r="AL10" s="670"/>
      <c r="AM10" s="670"/>
      <c r="AN10" s="672"/>
      <c r="AO10" s="676"/>
      <c r="AP10" s="676"/>
      <c r="AQ10" s="672"/>
      <c r="AR10" s="661"/>
      <c r="AS10" s="661"/>
      <c r="AT10" s="656"/>
      <c r="AU10" s="656"/>
    </row>
    <row r="11" spans="1:47" ht="18.75" customHeight="1" x14ac:dyDescent="0.3">
      <c r="A11" s="710" t="s">
        <v>410</v>
      </c>
      <c r="B11" s="711"/>
      <c r="C11" s="712"/>
      <c r="D11" s="713"/>
      <c r="E11" s="711"/>
      <c r="F11" s="712"/>
      <c r="G11" s="714"/>
      <c r="H11" s="711"/>
      <c r="I11" s="712"/>
      <c r="J11" s="714"/>
      <c r="K11" s="711"/>
      <c r="L11" s="712"/>
      <c r="M11" s="713"/>
      <c r="N11" s="711"/>
      <c r="O11" s="712"/>
      <c r="P11" s="714"/>
      <c r="Q11" s="711"/>
      <c r="R11" s="712"/>
      <c r="S11" s="714"/>
      <c r="T11" s="711"/>
      <c r="U11" s="712"/>
      <c r="V11" s="714"/>
      <c r="W11" s="711"/>
      <c r="X11" s="712"/>
      <c r="Y11" s="714"/>
      <c r="Z11" s="711"/>
      <c r="AA11" s="712"/>
      <c r="AB11" s="714"/>
      <c r="AC11" s="711"/>
      <c r="AD11" s="712"/>
      <c r="AE11" s="714"/>
      <c r="AF11" s="711"/>
      <c r="AG11" s="712"/>
      <c r="AH11" s="714"/>
      <c r="AI11" s="711"/>
      <c r="AJ11" s="712"/>
      <c r="AK11" s="714"/>
      <c r="AL11" s="713"/>
      <c r="AM11" s="713"/>
      <c r="AN11" s="714"/>
      <c r="AO11" s="712"/>
      <c r="AP11" s="712"/>
      <c r="AQ11" s="714"/>
      <c r="AR11" s="661"/>
      <c r="AS11" s="661"/>
      <c r="AT11" s="656"/>
      <c r="AU11" s="656"/>
    </row>
    <row r="12" spans="1:47" s="681" customFormat="1" ht="18.75" customHeight="1" x14ac:dyDescent="0.3">
      <c r="A12" s="629" t="s">
        <v>377</v>
      </c>
      <c r="B12" s="443"/>
      <c r="C12" s="637">
        <v>1.2E-2</v>
      </c>
      <c r="D12" s="679" t="str">
        <f>IF(B12=0, "    ---- ", IF(ABS(ROUND(100/B12*C12-100,1))&lt;999,ROUND(100/B12*C12-100,1),IF(ROUND(100/B12*C12-100,1)&gt;999,999,-999)))</f>
        <v xml:space="preserve">    ---- </v>
      </c>
      <c r="E12" s="443">
        <v>14.11</v>
      </c>
      <c r="F12" s="637">
        <v>13</v>
      </c>
      <c r="G12" s="680">
        <f>IF(E12=0, "    ---- ", IF(ABS(ROUND(100/E12*F12-100,1))&lt;999,ROUND(100/E12*F12-100,1),IF(ROUND(100/E12*F12-100,1)&gt;999,999,-999)))</f>
        <v>-7.9</v>
      </c>
      <c r="H12" s="443">
        <v>5.0359999999999996</v>
      </c>
      <c r="I12" s="637">
        <v>0.37</v>
      </c>
      <c r="J12" s="680">
        <f t="shared" ref="J12:J34" si="0">IF(H12=0, "    ---- ", IF(ABS(ROUND(100/H12*I12-100,1))&lt;999,ROUND(100/H12*I12-100,1),IF(ROUND(100/H12*I12-100,1)&gt;999,999,-999)))</f>
        <v>-92.7</v>
      </c>
      <c r="K12" s="443"/>
      <c r="L12" s="637"/>
      <c r="M12" s="679"/>
      <c r="N12" s="443">
        <v>0.63400000000000001</v>
      </c>
      <c r="O12" s="637">
        <v>0.55427550332370201</v>
      </c>
      <c r="P12" s="680">
        <f t="shared" ref="P12:P22" si="1">IF(N12=0, "    ---- ", IF(ABS(ROUND(100/N12*O12-100,1))&lt;999,ROUND(100/N12*O12-100,1),IF(ROUND(100/N12*O12-100,1)&gt;999,999,-999)))</f>
        <v>-12.6</v>
      </c>
      <c r="Q12" s="443"/>
      <c r="R12" s="637"/>
      <c r="S12" s="680"/>
      <c r="T12" s="443"/>
      <c r="U12" s="637"/>
      <c r="V12" s="680"/>
      <c r="W12" s="443"/>
      <c r="X12" s="637"/>
      <c r="Y12" s="680"/>
      <c r="Z12" s="443"/>
      <c r="AA12" s="637"/>
      <c r="AB12" s="680"/>
      <c r="AC12" s="443"/>
      <c r="AD12" s="637"/>
      <c r="AE12" s="680"/>
      <c r="AF12" s="443">
        <v>66.361999999999995</v>
      </c>
      <c r="AG12" s="637">
        <v>121.309</v>
      </c>
      <c r="AH12" s="680">
        <f t="shared" ref="AH12:AH34" si="2">IF(AF12=0, "    ---- ", IF(ABS(ROUND(100/AF12*AG12-100,1))&lt;999,ROUND(100/AF12*AG12-100,1),IF(ROUND(100/AF12*AG12-100,1)&gt;999,999,-999)))</f>
        <v>82.8</v>
      </c>
      <c r="AI12" s="443">
        <v>75.02</v>
      </c>
      <c r="AJ12" s="637">
        <v>16.2</v>
      </c>
      <c r="AK12" s="680">
        <f>IF(AI12=0, "    ---- ", IF(ABS(ROUND(100/AI12*AJ12-100,1))&lt;999,ROUND(100/AI12*AJ12-100,1),IF(ROUND(100/AI12*AJ12-100,1)&gt;999,999,-999)))</f>
        <v>-78.400000000000006</v>
      </c>
      <c r="AL12" s="679">
        <f>B12+E12+H12+K12+Q12+T12+W12+Z12+AF12+AI12</f>
        <v>160.52799999999999</v>
      </c>
      <c r="AM12" s="679">
        <f>C12+F12+I12+L12+R12+U12+X12+AA12+AG12+AJ12</f>
        <v>150.89099999999999</v>
      </c>
      <c r="AN12" s="680">
        <f t="shared" ref="AN12:AN22" si="3">IF(AL12=0, "    ---- ", IF(ABS(ROUND(100/AL12*AM12-100,1))&lt;999,ROUND(100/AL12*AM12-100,1),IF(ROUND(100/AL12*AM12-100,1)&gt;999,999,-999)))</f>
        <v>-6</v>
      </c>
      <c r="AO12" s="637">
        <f>+B12+E12+H12+K12+N12+Q12+T12+W12+Z12+AC12+AF12+AI12</f>
        <v>161.16199999999998</v>
      </c>
      <c r="AP12" s="637">
        <f>+C12+F12+I12+L12+O12+R12+U12+X12+AA12+AD12+AG12+AJ12</f>
        <v>151.4452755033237</v>
      </c>
      <c r="AQ12" s="680">
        <f t="shared" ref="AQ12:AQ22" si="4">IF(AO12=0, "    ---- ", IF(ABS(ROUND(100/AO12*AP12-100,1))&lt;999,ROUND(100/AO12*AP12-100,1),IF(ROUND(100/AO12*AP12-100,1)&gt;999,999,-999)))</f>
        <v>-6</v>
      </c>
      <c r="AR12" s="661"/>
      <c r="AS12" s="661"/>
      <c r="AT12" s="656"/>
      <c r="AU12" s="656"/>
    </row>
    <row r="13" spans="1:47" s="681" customFormat="1" ht="18.75" customHeight="1" x14ac:dyDescent="0.3">
      <c r="A13" s="629" t="s">
        <v>378</v>
      </c>
      <c r="B13" s="443"/>
      <c r="C13" s="637"/>
      <c r="D13" s="679"/>
      <c r="E13" s="443"/>
      <c r="F13" s="637"/>
      <c r="G13" s="680"/>
      <c r="H13" s="443"/>
      <c r="I13" s="637"/>
      <c r="J13" s="680"/>
      <c r="K13" s="443"/>
      <c r="L13" s="637"/>
      <c r="M13" s="679"/>
      <c r="N13" s="443"/>
      <c r="O13" s="637"/>
      <c r="P13" s="680"/>
      <c r="Q13" s="443"/>
      <c r="R13" s="637"/>
      <c r="S13" s="680"/>
      <c r="T13" s="443"/>
      <c r="U13" s="637"/>
      <c r="V13" s="680"/>
      <c r="W13" s="443"/>
      <c r="X13" s="637"/>
      <c r="Y13" s="680"/>
      <c r="Z13" s="443"/>
      <c r="AA13" s="637"/>
      <c r="AB13" s="680"/>
      <c r="AC13" s="443"/>
      <c r="AD13" s="637"/>
      <c r="AE13" s="680"/>
      <c r="AF13" s="443"/>
      <c r="AG13" s="637"/>
      <c r="AH13" s="680"/>
      <c r="AI13" s="443"/>
      <c r="AJ13" s="637"/>
      <c r="AK13" s="680"/>
      <c r="AL13" s="679">
        <f t="shared" ref="AL13:AM48" si="5">B13+E13+H13+K13+Q13+T13+W13+Z13+AF13+AI13</f>
        <v>0</v>
      </c>
      <c r="AM13" s="679">
        <f t="shared" si="5"/>
        <v>0</v>
      </c>
      <c r="AN13" s="680" t="str">
        <f t="shared" si="3"/>
        <v xml:space="preserve">    ---- </v>
      </c>
      <c r="AO13" s="637">
        <f t="shared" ref="AO13:AP34" si="6">+B13+E13+H13+K13+N13+Q13+T13+W13+Z13+AC13+AF13+AI13</f>
        <v>0</v>
      </c>
      <c r="AP13" s="637">
        <f t="shared" si="6"/>
        <v>0</v>
      </c>
      <c r="AQ13" s="680" t="str">
        <f t="shared" si="4"/>
        <v xml:space="preserve">    ---- </v>
      </c>
      <c r="AR13" s="661"/>
      <c r="AS13" s="661"/>
      <c r="AT13" s="656"/>
      <c r="AU13" s="656"/>
    </row>
    <row r="14" spans="1:47" s="681" customFormat="1" ht="18.75" customHeight="1" x14ac:dyDescent="0.3">
      <c r="A14" s="629" t="s">
        <v>379</v>
      </c>
      <c r="B14" s="443"/>
      <c r="C14" s="637">
        <v>-0.153</v>
      </c>
      <c r="D14" s="679" t="str">
        <f>IF(B14=0, "    ---- ", IF(ABS(ROUND(100/B14*C14-100,1))&lt;999,ROUND(100/B14*C14-100,1),IF(ROUND(100/B14*C14-100,1)&gt;999,999,-999)))</f>
        <v xml:space="preserve">    ---- </v>
      </c>
      <c r="E14" s="443">
        <v>6.74</v>
      </c>
      <c r="F14" s="637">
        <v>-5</v>
      </c>
      <c r="G14" s="680">
        <f>IF(E14=0, "    ---- ", IF(ABS(ROUND(100/E14*F14-100,1))&lt;999,ROUND(100/E14*F14-100,1),IF(ROUND(100/E14*F14-100,1)&gt;999,999,-999)))</f>
        <v>-174.2</v>
      </c>
      <c r="H14" s="443">
        <v>-17.844999999999999</v>
      </c>
      <c r="I14" s="637">
        <v>-10.15</v>
      </c>
      <c r="J14" s="680">
        <f t="shared" si="0"/>
        <v>-43.1</v>
      </c>
      <c r="K14" s="443"/>
      <c r="L14" s="637"/>
      <c r="M14" s="679"/>
      <c r="N14" s="443">
        <v>-2.3559999999999999</v>
      </c>
      <c r="O14" s="637">
        <v>-2.25300781327917</v>
      </c>
      <c r="P14" s="680">
        <f t="shared" si="1"/>
        <v>-4.4000000000000004</v>
      </c>
      <c r="Q14" s="443">
        <v>-0.42084351126688035</v>
      </c>
      <c r="R14" s="637">
        <v>-1.1007280363864795</v>
      </c>
      <c r="S14" s="680">
        <f t="shared" ref="S14:S22" si="7">IF(Q14=0, "    ---- ", IF(ABS(ROUND(100/Q14*R14-100,1))&lt;999,ROUND(100/Q14*R14-100,1),IF(ROUND(100/Q14*R14-100,1)&gt;999,999,-999)))</f>
        <v>161.6</v>
      </c>
      <c r="T14" s="443"/>
      <c r="U14" s="637"/>
      <c r="V14" s="680"/>
      <c r="W14" s="443"/>
      <c r="X14" s="637"/>
      <c r="Y14" s="680"/>
      <c r="Z14" s="443"/>
      <c r="AA14" s="637"/>
      <c r="AB14" s="680"/>
      <c r="AC14" s="443"/>
      <c r="AD14" s="637"/>
      <c r="AE14" s="680"/>
      <c r="AF14" s="443">
        <v>15.792</v>
      </c>
      <c r="AG14" s="637">
        <v>0.70099999999999996</v>
      </c>
      <c r="AH14" s="680">
        <f t="shared" si="2"/>
        <v>-95.6</v>
      </c>
      <c r="AI14" s="443">
        <v>-18.36</v>
      </c>
      <c r="AJ14" s="637">
        <v>0.6</v>
      </c>
      <c r="AK14" s="680">
        <f>IF(AI14=0, "    ---- ", IF(ABS(ROUND(100/AI14*AJ14-100,1))&lt;999,ROUND(100/AI14*AJ14-100,1),IF(ROUND(100/AI14*AJ14-100,1)&gt;999,999,-999)))</f>
        <v>-103.3</v>
      </c>
      <c r="AL14" s="679">
        <f t="shared" si="5"/>
        <v>-14.093843511266879</v>
      </c>
      <c r="AM14" s="679">
        <f t="shared" si="5"/>
        <v>-15.102728036386479</v>
      </c>
      <c r="AN14" s="680">
        <f t="shared" si="3"/>
        <v>7.2</v>
      </c>
      <c r="AO14" s="637">
        <f t="shared" si="6"/>
        <v>-16.449843511266877</v>
      </c>
      <c r="AP14" s="637">
        <f t="shared" si="6"/>
        <v>-17.355735849665646</v>
      </c>
      <c r="AQ14" s="680">
        <f t="shared" si="4"/>
        <v>5.5</v>
      </c>
      <c r="AR14" s="661"/>
      <c r="AS14" s="661"/>
      <c r="AT14" s="656"/>
      <c r="AU14" s="656"/>
    </row>
    <row r="15" spans="1:47" s="681" customFormat="1" ht="18.75" customHeight="1" x14ac:dyDescent="0.3">
      <c r="A15" s="629" t="s">
        <v>380</v>
      </c>
      <c r="B15" s="443"/>
      <c r="C15" s="637"/>
      <c r="D15" s="679"/>
      <c r="E15" s="443"/>
      <c r="F15" s="637"/>
      <c r="G15" s="680"/>
      <c r="H15" s="443"/>
      <c r="I15" s="637"/>
      <c r="J15" s="680"/>
      <c r="K15" s="443"/>
      <c r="L15" s="637"/>
      <c r="M15" s="679"/>
      <c r="N15" s="443"/>
      <c r="O15" s="637"/>
      <c r="P15" s="680"/>
      <c r="Q15" s="443"/>
      <c r="R15" s="637"/>
      <c r="S15" s="680"/>
      <c r="T15" s="443"/>
      <c r="U15" s="637"/>
      <c r="V15" s="680"/>
      <c r="W15" s="443"/>
      <c r="X15" s="637"/>
      <c r="Y15" s="680"/>
      <c r="Z15" s="443"/>
      <c r="AA15" s="637"/>
      <c r="AB15" s="680"/>
      <c r="AC15" s="443"/>
      <c r="AD15" s="637"/>
      <c r="AE15" s="680"/>
      <c r="AF15" s="443"/>
      <c r="AG15" s="637"/>
      <c r="AH15" s="680"/>
      <c r="AI15" s="443"/>
      <c r="AJ15" s="637"/>
      <c r="AK15" s="680"/>
      <c r="AL15" s="679">
        <f t="shared" si="5"/>
        <v>0</v>
      </c>
      <c r="AM15" s="679">
        <f t="shared" si="5"/>
        <v>0</v>
      </c>
      <c r="AN15" s="680" t="str">
        <f t="shared" si="3"/>
        <v xml:space="preserve">    ---- </v>
      </c>
      <c r="AO15" s="637">
        <f t="shared" si="6"/>
        <v>0</v>
      </c>
      <c r="AP15" s="637">
        <f t="shared" si="6"/>
        <v>0</v>
      </c>
      <c r="AQ15" s="680" t="str">
        <f t="shared" si="4"/>
        <v xml:space="preserve">    ---- </v>
      </c>
      <c r="AR15" s="661"/>
      <c r="AS15" s="661"/>
      <c r="AT15" s="656"/>
      <c r="AU15" s="656"/>
    </row>
    <row r="16" spans="1:47" s="681" customFormat="1" ht="18.75" customHeight="1" x14ac:dyDescent="0.3">
      <c r="A16" s="629" t="s">
        <v>381</v>
      </c>
      <c r="B16" s="443"/>
      <c r="C16" s="637"/>
      <c r="D16" s="679"/>
      <c r="E16" s="443"/>
      <c r="F16" s="637"/>
      <c r="G16" s="680"/>
      <c r="H16" s="443"/>
      <c r="I16" s="637"/>
      <c r="J16" s="680"/>
      <c r="K16" s="443"/>
      <c r="L16" s="637"/>
      <c r="M16" s="679"/>
      <c r="N16" s="443"/>
      <c r="O16" s="637"/>
      <c r="P16" s="680"/>
      <c r="Q16" s="443"/>
      <c r="R16" s="637"/>
      <c r="S16" s="680"/>
      <c r="T16" s="443"/>
      <c r="U16" s="637"/>
      <c r="V16" s="680"/>
      <c r="W16" s="443"/>
      <c r="X16" s="637"/>
      <c r="Y16" s="680"/>
      <c r="Z16" s="443"/>
      <c r="AA16" s="637"/>
      <c r="AB16" s="680"/>
      <c r="AC16" s="443"/>
      <c r="AD16" s="637"/>
      <c r="AE16" s="680"/>
      <c r="AF16" s="443"/>
      <c r="AG16" s="637"/>
      <c r="AH16" s="680"/>
      <c r="AI16" s="443"/>
      <c r="AJ16" s="637"/>
      <c r="AK16" s="680"/>
      <c r="AL16" s="679">
        <f t="shared" si="5"/>
        <v>0</v>
      </c>
      <c r="AM16" s="679">
        <f t="shared" si="5"/>
        <v>0</v>
      </c>
      <c r="AN16" s="680" t="str">
        <f t="shared" si="3"/>
        <v xml:space="preserve">    ---- </v>
      </c>
      <c r="AO16" s="637">
        <f t="shared" si="6"/>
        <v>0</v>
      </c>
      <c r="AP16" s="637">
        <f t="shared" si="6"/>
        <v>0</v>
      </c>
      <c r="AQ16" s="680" t="str">
        <f t="shared" si="4"/>
        <v xml:space="preserve">    ---- </v>
      </c>
      <c r="AR16" s="661"/>
      <c r="AS16" s="661"/>
      <c r="AT16" s="656"/>
      <c r="AU16" s="656"/>
    </row>
    <row r="17" spans="1:47" s="681" customFormat="1" ht="18.75" customHeight="1" x14ac:dyDescent="0.3">
      <c r="A17" s="629" t="s">
        <v>382</v>
      </c>
      <c r="B17" s="443">
        <v>2.7520000000000002</v>
      </c>
      <c r="C17" s="637">
        <v>0.98599999999999999</v>
      </c>
      <c r="D17" s="679">
        <f>IF(B17=0, "    ---- ", IF(ABS(ROUND(100/B17*C17-100,1))&lt;999,ROUND(100/B17*C17-100,1),IF(ROUND(100/B17*C17-100,1)&gt;999,999,-999)))</f>
        <v>-64.2</v>
      </c>
      <c r="E17" s="443">
        <v>51.11</v>
      </c>
      <c r="F17" s="637">
        <v>-87</v>
      </c>
      <c r="G17" s="680">
        <f>IF(E17=0, "    ---- ", IF(ABS(ROUND(100/E17*F17-100,1))&lt;999,ROUND(100/E17*F17-100,1),IF(ROUND(100/E17*F17-100,1)&gt;999,999,-999)))</f>
        <v>-270.2</v>
      </c>
      <c r="H17" s="443">
        <v>4.1000000000000002E-2</v>
      </c>
      <c r="I17" s="637">
        <v>6.6</v>
      </c>
      <c r="J17" s="680">
        <f t="shared" si="0"/>
        <v>999</v>
      </c>
      <c r="K17" s="443"/>
      <c r="L17" s="637"/>
      <c r="M17" s="679"/>
      <c r="N17" s="443">
        <v>5.78</v>
      </c>
      <c r="O17" s="637">
        <v>-4.1441030000000003</v>
      </c>
      <c r="P17" s="680">
        <f t="shared" si="1"/>
        <v>-171.7</v>
      </c>
      <c r="Q17" s="443">
        <v>-2.0600488872006721</v>
      </c>
      <c r="R17" s="637">
        <v>-2.0600488872006721</v>
      </c>
      <c r="S17" s="680">
        <f t="shared" si="7"/>
        <v>0</v>
      </c>
      <c r="T17" s="443"/>
      <c r="U17" s="637"/>
      <c r="V17" s="680"/>
      <c r="W17" s="443"/>
      <c r="X17" s="637"/>
      <c r="Y17" s="680"/>
      <c r="Z17" s="443"/>
      <c r="AA17" s="637"/>
      <c r="AB17" s="680"/>
      <c r="AC17" s="443"/>
      <c r="AD17" s="637"/>
      <c r="AE17" s="680"/>
      <c r="AF17" s="443">
        <v>60.146999999999998</v>
      </c>
      <c r="AG17" s="637">
        <v>-29.861000000000001</v>
      </c>
      <c r="AH17" s="680">
        <f t="shared" si="2"/>
        <v>-149.6</v>
      </c>
      <c r="AI17" s="443">
        <v>84.76</v>
      </c>
      <c r="AJ17" s="637">
        <v>96.9</v>
      </c>
      <c r="AK17" s="680">
        <f>IF(AI17=0, "    ---- ", IF(ABS(ROUND(100/AI17*AJ17-100,1))&lt;999,ROUND(100/AI17*AJ17-100,1),IF(ROUND(100/AI17*AJ17-100,1)&gt;999,999,-999)))</f>
        <v>14.3</v>
      </c>
      <c r="AL17" s="679">
        <f t="shared" si="5"/>
        <v>196.74995111279935</v>
      </c>
      <c r="AM17" s="679">
        <f t="shared" si="5"/>
        <v>-14.435048887200665</v>
      </c>
      <c r="AN17" s="680">
        <f t="shared" si="3"/>
        <v>-107.3</v>
      </c>
      <c r="AO17" s="637">
        <f t="shared" si="6"/>
        <v>202.52995111279932</v>
      </c>
      <c r="AP17" s="637">
        <f t="shared" si="6"/>
        <v>-18.579151887200666</v>
      </c>
      <c r="AQ17" s="680">
        <f t="shared" si="4"/>
        <v>-109.2</v>
      </c>
      <c r="AR17" s="661"/>
      <c r="AS17" s="661"/>
      <c r="AT17" s="656"/>
      <c r="AU17" s="656"/>
    </row>
    <row r="18" spans="1:47" s="681" customFormat="1" ht="18.75" customHeight="1" x14ac:dyDescent="0.3">
      <c r="A18" s="629" t="s">
        <v>383</v>
      </c>
      <c r="B18" s="443"/>
      <c r="C18" s="637"/>
      <c r="D18" s="679"/>
      <c r="E18" s="443"/>
      <c r="F18" s="637"/>
      <c r="G18" s="680"/>
      <c r="H18" s="443"/>
      <c r="I18" s="637"/>
      <c r="J18" s="680"/>
      <c r="K18" s="443"/>
      <c r="L18" s="637"/>
      <c r="M18" s="679"/>
      <c r="N18" s="443"/>
      <c r="O18" s="637"/>
      <c r="P18" s="680"/>
      <c r="Q18" s="443"/>
      <c r="R18" s="637"/>
      <c r="S18" s="680"/>
      <c r="T18" s="443"/>
      <c r="U18" s="637"/>
      <c r="V18" s="680"/>
      <c r="W18" s="443"/>
      <c r="X18" s="637"/>
      <c r="Y18" s="680"/>
      <c r="Z18" s="443"/>
      <c r="AA18" s="637"/>
      <c r="AB18" s="680"/>
      <c r="AC18" s="443"/>
      <c r="AD18" s="637"/>
      <c r="AE18" s="680"/>
      <c r="AF18" s="443"/>
      <c r="AG18" s="637"/>
      <c r="AH18" s="680"/>
      <c r="AI18" s="443"/>
      <c r="AJ18" s="637"/>
      <c r="AK18" s="680"/>
      <c r="AL18" s="679">
        <f t="shared" si="5"/>
        <v>0</v>
      </c>
      <c r="AM18" s="679">
        <f t="shared" si="5"/>
        <v>0</v>
      </c>
      <c r="AN18" s="680" t="str">
        <f t="shared" si="3"/>
        <v xml:space="preserve">    ---- </v>
      </c>
      <c r="AO18" s="637">
        <f t="shared" si="6"/>
        <v>0</v>
      </c>
      <c r="AP18" s="637">
        <f t="shared" si="6"/>
        <v>0</v>
      </c>
      <c r="AQ18" s="680" t="str">
        <f t="shared" si="4"/>
        <v xml:space="preserve">    ---- </v>
      </c>
      <c r="AR18" s="661"/>
      <c r="AS18" s="661"/>
      <c r="AT18" s="656"/>
      <c r="AU18" s="656"/>
    </row>
    <row r="19" spans="1:47" s="681" customFormat="1" ht="18.75" customHeight="1" x14ac:dyDescent="0.3">
      <c r="A19" s="629" t="s">
        <v>384</v>
      </c>
      <c r="B19" s="443"/>
      <c r="C19" s="637"/>
      <c r="D19" s="679"/>
      <c r="E19" s="443"/>
      <c r="F19" s="637"/>
      <c r="G19" s="680"/>
      <c r="H19" s="443"/>
      <c r="I19" s="637"/>
      <c r="J19" s="680"/>
      <c r="K19" s="443"/>
      <c r="L19" s="637"/>
      <c r="M19" s="679"/>
      <c r="N19" s="443"/>
      <c r="O19" s="637"/>
      <c r="P19" s="680"/>
      <c r="Q19" s="443"/>
      <c r="R19" s="637"/>
      <c r="S19" s="680"/>
      <c r="T19" s="443"/>
      <c r="U19" s="637"/>
      <c r="V19" s="680"/>
      <c r="W19" s="443"/>
      <c r="X19" s="637"/>
      <c r="Y19" s="680"/>
      <c r="Z19" s="443"/>
      <c r="AA19" s="637"/>
      <c r="AB19" s="680"/>
      <c r="AC19" s="443"/>
      <c r="AD19" s="637"/>
      <c r="AE19" s="680"/>
      <c r="AF19" s="443"/>
      <c r="AG19" s="637"/>
      <c r="AH19" s="680"/>
      <c r="AI19" s="443"/>
      <c r="AJ19" s="637"/>
      <c r="AK19" s="680"/>
      <c r="AL19" s="679">
        <f t="shared" si="5"/>
        <v>0</v>
      </c>
      <c r="AM19" s="679">
        <f t="shared" si="5"/>
        <v>0</v>
      </c>
      <c r="AN19" s="680" t="str">
        <f t="shared" si="3"/>
        <v xml:space="preserve">    ---- </v>
      </c>
      <c r="AO19" s="637">
        <f t="shared" si="6"/>
        <v>0</v>
      </c>
      <c r="AP19" s="637">
        <f t="shared" si="6"/>
        <v>0</v>
      </c>
      <c r="AQ19" s="680" t="str">
        <f t="shared" si="4"/>
        <v xml:space="preserve">    ---- </v>
      </c>
      <c r="AR19" s="661"/>
      <c r="AS19" s="661"/>
      <c r="AT19" s="656"/>
      <c r="AU19" s="656"/>
    </row>
    <row r="20" spans="1:47" s="684" customFormat="1" ht="18.75" customHeight="1" x14ac:dyDescent="0.3">
      <c r="A20" s="623" t="s">
        <v>385</v>
      </c>
      <c r="B20" s="624">
        <v>2.7520000000000002</v>
      </c>
      <c r="C20" s="639">
        <v>0.84499999999999997</v>
      </c>
      <c r="D20" s="677">
        <f>IF(B20=0, "    ---- ", IF(ABS(ROUND(100/B20*C20-100,1))&lt;999,ROUND(100/B20*C20-100,1),IF(ROUND(100/B20*C20-100,1)&gt;999,999,-999)))</f>
        <v>-69.3</v>
      </c>
      <c r="E20" s="624">
        <f>SUM(E12:E17)+E19</f>
        <v>71.960000000000008</v>
      </c>
      <c r="F20" s="639">
        <f>SUM(F12:F17)+F19</f>
        <v>-79</v>
      </c>
      <c r="G20" s="678">
        <f>IF(E20=0, "    ---- ", IF(ABS(ROUND(100/E20*F20-100,1))&lt;999,ROUND(100/E20*F20-100,1),IF(ROUND(100/E20*F20-100,1)&gt;999,999,-999)))</f>
        <v>-209.8</v>
      </c>
      <c r="H20" s="624">
        <f>SUM(H12:H17)+H19</f>
        <v>-12.767999999999999</v>
      </c>
      <c r="I20" s="639">
        <f>SUM(I12:I17)+I19</f>
        <v>-3.1800000000000015</v>
      </c>
      <c r="J20" s="678">
        <f t="shared" si="0"/>
        <v>-75.099999999999994</v>
      </c>
      <c r="K20" s="624"/>
      <c r="L20" s="639"/>
      <c r="M20" s="677"/>
      <c r="N20" s="624">
        <f>SUM(N12:N17)+N19</f>
        <v>4.0579999999999998</v>
      </c>
      <c r="O20" s="639">
        <f>SUM(O12:O17)+O19</f>
        <v>-5.8428353099554684</v>
      </c>
      <c r="P20" s="678">
        <f t="shared" si="1"/>
        <v>-244</v>
      </c>
      <c r="Q20" s="624">
        <f>SUM(Q12:Q17)+Q19</f>
        <v>-2.4808923984675526</v>
      </c>
      <c r="R20" s="639">
        <f>SUM(R12:R17)+R19</f>
        <v>-3.1607769235871519</v>
      </c>
      <c r="S20" s="678">
        <f t="shared" si="7"/>
        <v>27.4</v>
      </c>
      <c r="T20" s="624"/>
      <c r="U20" s="639"/>
      <c r="V20" s="678"/>
      <c r="W20" s="624"/>
      <c r="X20" s="639"/>
      <c r="Y20" s="678"/>
      <c r="Z20" s="624"/>
      <c r="AA20" s="639"/>
      <c r="AB20" s="678"/>
      <c r="AC20" s="624"/>
      <c r="AD20" s="639"/>
      <c r="AE20" s="678"/>
      <c r="AF20" s="624">
        <f>SUM(AF12:AF17)+AF19</f>
        <v>142.30099999999999</v>
      </c>
      <c r="AG20" s="639">
        <f>SUM(AG12:AG17)+AG19</f>
        <v>92.148999999999987</v>
      </c>
      <c r="AH20" s="678">
        <f t="shared" si="2"/>
        <v>-35.200000000000003</v>
      </c>
      <c r="AI20" s="624">
        <v>141.42000000000002</v>
      </c>
      <c r="AJ20" s="639">
        <v>113.7</v>
      </c>
      <c r="AK20" s="678">
        <f>IF(AI20=0, "    ---- ", IF(ABS(ROUND(100/AI20*AJ20-100,1))&lt;999,ROUND(100/AI20*AJ20-100,1),IF(ROUND(100/AI20*AJ20-100,1)&gt;999,999,-999)))</f>
        <v>-19.600000000000001</v>
      </c>
      <c r="AL20" s="677">
        <f t="shared" si="5"/>
        <v>343.18410760153245</v>
      </c>
      <c r="AM20" s="677">
        <f t="shared" si="5"/>
        <v>121.35322307641283</v>
      </c>
      <c r="AN20" s="678">
        <f t="shared" si="3"/>
        <v>-64.599999999999994</v>
      </c>
      <c r="AO20" s="639">
        <f t="shared" si="6"/>
        <v>347.24210760153244</v>
      </c>
      <c r="AP20" s="639">
        <f t="shared" si="6"/>
        <v>115.51038776645737</v>
      </c>
      <c r="AQ20" s="678">
        <f t="shared" si="4"/>
        <v>-66.7</v>
      </c>
      <c r="AR20" s="659"/>
      <c r="AS20" s="659"/>
      <c r="AT20" s="683"/>
      <c r="AU20" s="683"/>
    </row>
    <row r="21" spans="1:47" s="681" customFormat="1" ht="18.75" customHeight="1" x14ac:dyDescent="0.3">
      <c r="A21" s="629" t="s">
        <v>386</v>
      </c>
      <c r="B21" s="443"/>
      <c r="C21" s="637"/>
      <c r="D21" s="679"/>
      <c r="E21" s="443">
        <v>2.8</v>
      </c>
      <c r="F21" s="637">
        <v>2</v>
      </c>
      <c r="G21" s="680">
        <f>IF(E21=0, "    ---- ", IF(ABS(ROUND(100/E21*F21-100,1))&lt;999,ROUND(100/E21*F21-100,1),IF(ROUND(100/E21*F21-100,1)&gt;999,999,-999)))</f>
        <v>-28.6</v>
      </c>
      <c r="H21" s="443"/>
      <c r="I21" s="637"/>
      <c r="J21" s="680"/>
      <c r="K21" s="443"/>
      <c r="L21" s="637"/>
      <c r="M21" s="679"/>
      <c r="N21" s="443"/>
      <c r="O21" s="637"/>
      <c r="P21" s="680"/>
      <c r="Q21" s="443"/>
      <c r="R21" s="637"/>
      <c r="S21" s="680"/>
      <c r="T21" s="443"/>
      <c r="U21" s="637"/>
      <c r="V21" s="680"/>
      <c r="W21" s="443"/>
      <c r="X21" s="637"/>
      <c r="Y21" s="680"/>
      <c r="Z21" s="443"/>
      <c r="AA21" s="637"/>
      <c r="AB21" s="680"/>
      <c r="AC21" s="443"/>
      <c r="AD21" s="637"/>
      <c r="AE21" s="680"/>
      <c r="AF21" s="443">
        <v>32.83</v>
      </c>
      <c r="AG21" s="637">
        <v>48.634</v>
      </c>
      <c r="AH21" s="680">
        <f t="shared" si="2"/>
        <v>48.1</v>
      </c>
      <c r="AI21" s="443"/>
      <c r="AJ21" s="637"/>
      <c r="AK21" s="680"/>
      <c r="AL21" s="679">
        <f t="shared" si="5"/>
        <v>35.629999999999995</v>
      </c>
      <c r="AM21" s="679">
        <f t="shared" si="5"/>
        <v>50.634</v>
      </c>
      <c r="AN21" s="680">
        <f t="shared" si="3"/>
        <v>42.1</v>
      </c>
      <c r="AO21" s="637">
        <f t="shared" si="6"/>
        <v>35.629999999999995</v>
      </c>
      <c r="AP21" s="637">
        <f t="shared" si="6"/>
        <v>50.634</v>
      </c>
      <c r="AQ21" s="680">
        <f t="shared" si="4"/>
        <v>42.1</v>
      </c>
      <c r="AR21" s="661"/>
      <c r="AS21" s="661"/>
      <c r="AT21" s="656"/>
      <c r="AU21" s="656"/>
    </row>
    <row r="22" spans="1:47" s="681" customFormat="1" ht="18.75" customHeight="1" x14ac:dyDescent="0.3">
      <c r="A22" s="629" t="s">
        <v>387</v>
      </c>
      <c r="B22" s="443">
        <v>2.61</v>
      </c>
      <c r="C22" s="637">
        <v>0.84399999999999997</v>
      </c>
      <c r="D22" s="679">
        <f>IF(B22=0, "    ---- ", IF(ABS(ROUND(100/B22*C22-100,1))&lt;999,ROUND(100/B22*C22-100,1),IF(ROUND(100/B22*C22-100,1)&gt;999,999,-999)))</f>
        <v>-67.7</v>
      </c>
      <c r="E22" s="443">
        <v>69.16</v>
      </c>
      <c r="F22" s="637">
        <v>-81</v>
      </c>
      <c r="G22" s="680">
        <f>IF(E22=0, "    ---- ", IF(ABS(ROUND(100/E22*F22-100,1))&lt;999,ROUND(100/E22*F22-100,1),IF(ROUND(100/E22*F22-100,1)&gt;999,999,-999)))</f>
        <v>-217.1</v>
      </c>
      <c r="H22" s="443">
        <v>-12.767999999999999</v>
      </c>
      <c r="I22" s="637">
        <v>-3.17</v>
      </c>
      <c r="J22" s="680">
        <f t="shared" si="0"/>
        <v>-75.2</v>
      </c>
      <c r="K22" s="443"/>
      <c r="L22" s="637"/>
      <c r="M22" s="679"/>
      <c r="N22" s="443">
        <v>4.0579999999999998</v>
      </c>
      <c r="O22" s="637">
        <v>-5.8428353099554702</v>
      </c>
      <c r="P22" s="680">
        <f t="shared" si="1"/>
        <v>-244</v>
      </c>
      <c r="Q22" s="443">
        <v>-2.4808923984675526</v>
      </c>
      <c r="R22" s="637">
        <v>-3.1733017582301537</v>
      </c>
      <c r="S22" s="680">
        <f t="shared" si="7"/>
        <v>27.9</v>
      </c>
      <c r="T22" s="443"/>
      <c r="U22" s="637"/>
      <c r="V22" s="680"/>
      <c r="W22" s="443"/>
      <c r="X22" s="637"/>
      <c r="Y22" s="680"/>
      <c r="Z22" s="443"/>
      <c r="AA22" s="637"/>
      <c r="AB22" s="680"/>
      <c r="AC22" s="443"/>
      <c r="AD22" s="637"/>
      <c r="AE22" s="680"/>
      <c r="AF22" s="443">
        <v>109.471</v>
      </c>
      <c r="AG22" s="637">
        <v>43.515000000000001</v>
      </c>
      <c r="AH22" s="680">
        <f t="shared" si="2"/>
        <v>-60.2</v>
      </c>
      <c r="AI22" s="443">
        <v>141.41</v>
      </c>
      <c r="AJ22" s="637">
        <v>113.7</v>
      </c>
      <c r="AK22" s="680">
        <f>IF(AI22=0, "    ---- ", IF(ABS(ROUND(100/AI22*AJ22-100,1))&lt;999,ROUND(100/AI22*AJ22-100,1),IF(ROUND(100/AI22*AJ22-100,1)&gt;999,999,-999)))</f>
        <v>-19.600000000000001</v>
      </c>
      <c r="AL22" s="679">
        <f t="shared" si="5"/>
        <v>307.40210760153241</v>
      </c>
      <c r="AM22" s="679">
        <f t="shared" si="5"/>
        <v>70.715698241769843</v>
      </c>
      <c r="AN22" s="680">
        <f t="shared" si="3"/>
        <v>-77</v>
      </c>
      <c r="AO22" s="637">
        <f t="shared" si="6"/>
        <v>311.4601076015324</v>
      </c>
      <c r="AP22" s="637">
        <f t="shared" si="6"/>
        <v>64.872862931814367</v>
      </c>
      <c r="AQ22" s="680">
        <f t="shared" si="4"/>
        <v>-79.2</v>
      </c>
      <c r="AR22" s="661"/>
      <c r="AS22" s="661"/>
      <c r="AT22" s="656"/>
      <c r="AU22" s="656"/>
    </row>
    <row r="23" spans="1:47" s="681" customFormat="1" ht="18.75" customHeight="1" x14ac:dyDescent="0.3">
      <c r="A23" s="623" t="s">
        <v>411</v>
      </c>
      <c r="B23" s="686"/>
      <c r="C23" s="677"/>
      <c r="D23" s="679"/>
      <c r="E23" s="686"/>
      <c r="F23" s="677"/>
      <c r="G23" s="680"/>
      <c r="H23" s="686"/>
      <c r="I23" s="677"/>
      <c r="J23" s="680"/>
      <c r="K23" s="686"/>
      <c r="L23" s="677"/>
      <c r="M23" s="679"/>
      <c r="N23" s="686"/>
      <c r="O23" s="677"/>
      <c r="P23" s="680"/>
      <c r="Q23" s="686"/>
      <c r="R23" s="677"/>
      <c r="S23" s="680"/>
      <c r="T23" s="686"/>
      <c r="U23" s="677"/>
      <c r="V23" s="680"/>
      <c r="W23" s="686"/>
      <c r="X23" s="677"/>
      <c r="Y23" s="680"/>
      <c r="Z23" s="686"/>
      <c r="AA23" s="677"/>
      <c r="AB23" s="680"/>
      <c r="AC23" s="686"/>
      <c r="AD23" s="677"/>
      <c r="AE23" s="680"/>
      <c r="AF23" s="686"/>
      <c r="AG23" s="677"/>
      <c r="AH23" s="680"/>
      <c r="AI23" s="686"/>
      <c r="AJ23" s="677"/>
      <c r="AK23" s="680"/>
      <c r="AL23" s="679">
        <f t="shared" si="5"/>
        <v>0</v>
      </c>
      <c r="AM23" s="679">
        <f t="shared" si="5"/>
        <v>0</v>
      </c>
      <c r="AN23" s="680"/>
      <c r="AO23" s="679">
        <f t="shared" si="6"/>
        <v>0</v>
      </c>
      <c r="AP23" s="679">
        <f t="shared" si="6"/>
        <v>0</v>
      </c>
      <c r="AQ23" s="680"/>
      <c r="AR23" s="661"/>
      <c r="AS23" s="661"/>
      <c r="AT23" s="656"/>
      <c r="AU23" s="656"/>
    </row>
    <row r="24" spans="1:47" s="681" customFormat="1" ht="18.75" customHeight="1" x14ac:dyDescent="0.3">
      <c r="A24" s="629" t="s">
        <v>377</v>
      </c>
      <c r="B24" s="685"/>
      <c r="C24" s="679">
        <v>0.499</v>
      </c>
      <c r="D24" s="679" t="str">
        <f>IF(B24=0, "    ---- ", IF(ABS(ROUND(100/B24*C24-100,1))&lt;999,ROUND(100/B24*C24-100,1),IF(ROUND(100/B24*C24-100,1)&gt;999,999,-999)))</f>
        <v xml:space="preserve">    ---- </v>
      </c>
      <c r="E24" s="685">
        <v>-0.24</v>
      </c>
      <c r="F24" s="679">
        <v>1</v>
      </c>
      <c r="G24" s="680">
        <f>IF(E24=0, "    ---- ", IF(ABS(ROUND(100/E24*F24-100,1))&lt;999,ROUND(100/E24*F24-100,1),IF(ROUND(100/E24*F24-100,1)&gt;999,999,-999)))</f>
        <v>-516.70000000000005</v>
      </c>
      <c r="H24" s="685">
        <v>4.4710000000000001</v>
      </c>
      <c r="I24" s="679">
        <v>0.78</v>
      </c>
      <c r="J24" s="680">
        <f t="shared" si="0"/>
        <v>-82.6</v>
      </c>
      <c r="K24" s="685"/>
      <c r="L24" s="679"/>
      <c r="M24" s="680"/>
      <c r="N24" s="685"/>
      <c r="O24" s="679"/>
      <c r="P24" s="680"/>
      <c r="Q24" s="685"/>
      <c r="R24" s="679"/>
      <c r="S24" s="680"/>
      <c r="T24" s="685"/>
      <c r="U24" s="679"/>
      <c r="V24" s="680"/>
      <c r="W24" s="685">
        <v>7.3443072934763149</v>
      </c>
      <c r="X24" s="679">
        <v>1.5373328775474602</v>
      </c>
      <c r="Y24" s="680">
        <f t="shared" ref="Y24:Y34" si="8">IF(W24=0, "    ---- ", IF(ABS(ROUND(100/W24*X24-100,1))&lt;999,ROUND(100/W24*X24-100,1),IF(ROUND(100/W24*X24-100,1)&gt;999,999,-999)))</f>
        <v>-79.099999999999994</v>
      </c>
      <c r="Z24" s="685"/>
      <c r="AA24" s="679"/>
      <c r="AB24" s="680"/>
      <c r="AC24" s="685"/>
      <c r="AD24" s="679"/>
      <c r="AE24" s="680"/>
      <c r="AF24" s="685">
        <v>12.455</v>
      </c>
      <c r="AG24" s="679">
        <v>29.655000000000001</v>
      </c>
      <c r="AH24" s="680">
        <f t="shared" si="2"/>
        <v>138.1</v>
      </c>
      <c r="AI24" s="685">
        <v>15</v>
      </c>
      <c r="AJ24" s="679">
        <v>4.5999999999999996</v>
      </c>
      <c r="AK24" s="680">
        <f>IF(AI24=0, "    ---- ", IF(ABS(ROUND(100/AI24*AJ24-100,1))&lt;999,ROUND(100/AI24*AJ24-100,1),IF(ROUND(100/AI24*AJ24-100,1)&gt;999,999,-999)))</f>
        <v>-69.3</v>
      </c>
      <c r="AL24" s="679">
        <f t="shared" si="5"/>
        <v>39.030307293476312</v>
      </c>
      <c r="AM24" s="679">
        <f t="shared" si="5"/>
        <v>38.071332877547462</v>
      </c>
      <c r="AN24" s="680">
        <f>IF(AL24=0, "    ---- ", IF(ABS(ROUND(100/AL24*AM24-100,1))&lt;999,ROUND(100/AL24*AM24-100,1),IF(ROUND(100/AL24*AM24-100,1)&gt;999,999,-999)))</f>
        <v>-2.5</v>
      </c>
      <c r="AO24" s="679">
        <f t="shared" si="6"/>
        <v>39.030307293476312</v>
      </c>
      <c r="AP24" s="679">
        <f t="shared" si="6"/>
        <v>38.071332877547462</v>
      </c>
      <c r="AQ24" s="680">
        <f>IF(AO24=0, "    ---- ", IF(ABS(ROUND(100/AO24*AP24-100,1))&lt;999,ROUND(100/AO24*AP24-100,1),IF(ROUND(100/AO24*AP24-100,1)&gt;999,999,-999)))</f>
        <v>-2.5</v>
      </c>
      <c r="AR24" s="661"/>
      <c r="AS24" s="661"/>
      <c r="AT24" s="656"/>
      <c r="AU24" s="656"/>
    </row>
    <row r="25" spans="1:47" s="681" customFormat="1" ht="18.75" customHeight="1" x14ac:dyDescent="0.3">
      <c r="A25" s="629" t="s">
        <v>378</v>
      </c>
      <c r="B25" s="685"/>
      <c r="C25" s="679"/>
      <c r="D25" s="679"/>
      <c r="E25" s="685"/>
      <c r="F25" s="679"/>
      <c r="G25" s="680"/>
      <c r="H25" s="685"/>
      <c r="I25" s="679"/>
      <c r="J25" s="680"/>
      <c r="K25" s="685"/>
      <c r="L25" s="679"/>
      <c r="M25" s="679"/>
      <c r="N25" s="685"/>
      <c r="O25" s="679"/>
      <c r="P25" s="680"/>
      <c r="Q25" s="685"/>
      <c r="R25" s="679"/>
      <c r="S25" s="680"/>
      <c r="T25" s="685"/>
      <c r="U25" s="679"/>
      <c r="V25" s="680"/>
      <c r="W25" s="685"/>
      <c r="X25" s="679"/>
      <c r="Y25" s="680"/>
      <c r="Z25" s="685"/>
      <c r="AA25" s="679"/>
      <c r="AB25" s="680"/>
      <c r="AC25" s="685"/>
      <c r="AD25" s="679"/>
      <c r="AE25" s="680"/>
      <c r="AF25" s="685"/>
      <c r="AG25" s="679"/>
      <c r="AH25" s="680"/>
      <c r="AI25" s="685"/>
      <c r="AJ25" s="679"/>
      <c r="AK25" s="680"/>
      <c r="AL25" s="679">
        <f t="shared" si="5"/>
        <v>0</v>
      </c>
      <c r="AM25" s="679">
        <f t="shared" si="5"/>
        <v>0</v>
      </c>
      <c r="AN25" s="680" t="str">
        <f t="shared" ref="AN25:AN34" si="9">IF(AL25=0, "    ---- ", IF(ABS(ROUND(100/AL25*AM25-100,1))&lt;999,ROUND(100/AL25*AM25-100,1),IF(ROUND(100/AL25*AM25-100,1)&gt;999,999,-999)))</f>
        <v xml:space="preserve">    ---- </v>
      </c>
      <c r="AO25" s="679">
        <f t="shared" si="6"/>
        <v>0</v>
      </c>
      <c r="AP25" s="679">
        <f t="shared" si="6"/>
        <v>0</v>
      </c>
      <c r="AQ25" s="680" t="str">
        <f t="shared" ref="AQ25:AQ34" si="10">IF(AO25=0, "    ---- ", IF(ABS(ROUND(100/AO25*AP25-100,1))&lt;999,ROUND(100/AO25*AP25-100,1),IF(ROUND(100/AO25*AP25-100,1)&gt;999,999,-999)))</f>
        <v xml:space="preserve">    ---- </v>
      </c>
      <c r="AR25" s="661"/>
      <c r="AS25" s="661"/>
      <c r="AT25" s="656"/>
      <c r="AU25" s="656"/>
    </row>
    <row r="26" spans="1:47" s="681" customFormat="1" ht="18.75" customHeight="1" x14ac:dyDescent="0.3">
      <c r="A26" s="629" t="s">
        <v>379</v>
      </c>
      <c r="B26" s="685">
        <v>-4.2629999999999999</v>
      </c>
      <c r="C26" s="679">
        <v>-5.2539999999999996</v>
      </c>
      <c r="D26" s="679">
        <f>IF(B26=0, "    ---- ", IF(ABS(ROUND(100/B26*C26-100,1))&lt;999,ROUND(100/B26*C26-100,1),IF(ROUND(100/B26*C26-100,1)&gt;999,999,-999)))</f>
        <v>23.2</v>
      </c>
      <c r="E26" s="685">
        <v>-16.38</v>
      </c>
      <c r="F26" s="679">
        <v>-10</v>
      </c>
      <c r="G26" s="680">
        <f>IF(E26=0, "    ---- ", IF(ABS(ROUND(100/E26*F26-100,1))&lt;999,ROUND(100/E26*F26-100,1),IF(ROUND(100/E26*F26-100,1)&gt;999,999,-999)))</f>
        <v>-38.9</v>
      </c>
      <c r="H26" s="685">
        <v>-0.44900000000000001</v>
      </c>
      <c r="I26" s="679">
        <v>-0.28000000000000003</v>
      </c>
      <c r="J26" s="680">
        <f t="shared" si="0"/>
        <v>-37.6</v>
      </c>
      <c r="K26" s="685"/>
      <c r="L26" s="679"/>
      <c r="M26" s="679"/>
      <c r="N26" s="685"/>
      <c r="O26" s="679"/>
      <c r="P26" s="680"/>
      <c r="Q26" s="685"/>
      <c r="R26" s="679"/>
      <c r="S26" s="680"/>
      <c r="T26" s="685"/>
      <c r="U26" s="679"/>
      <c r="V26" s="680"/>
      <c r="W26" s="685">
        <v>11.46485404139392</v>
      </c>
      <c r="X26" s="679">
        <v>15.324249018109951</v>
      </c>
      <c r="Y26" s="680">
        <f t="shared" si="8"/>
        <v>33.700000000000003</v>
      </c>
      <c r="Z26" s="685"/>
      <c r="AA26" s="679"/>
      <c r="AB26" s="680"/>
      <c r="AC26" s="685"/>
      <c r="AD26" s="679"/>
      <c r="AE26" s="680"/>
      <c r="AF26" s="685">
        <v>-11.534000000000001</v>
      </c>
      <c r="AG26" s="679">
        <v>-17.488</v>
      </c>
      <c r="AH26" s="680">
        <f t="shared" si="2"/>
        <v>51.6</v>
      </c>
      <c r="AI26" s="685">
        <v>-34</v>
      </c>
      <c r="AJ26" s="679">
        <v>-18.100000000000001</v>
      </c>
      <c r="AK26" s="680">
        <f>IF(AI26=0, "    ---- ", IF(ABS(ROUND(100/AI26*AJ26-100,1))&lt;999,ROUND(100/AI26*AJ26-100,1),IF(ROUND(100/AI26*AJ26-100,1)&gt;999,999,-999)))</f>
        <v>-46.8</v>
      </c>
      <c r="AL26" s="679">
        <f t="shared" si="5"/>
        <v>-55.161145958606085</v>
      </c>
      <c r="AM26" s="679">
        <f t="shared" si="5"/>
        <v>-35.797750981890047</v>
      </c>
      <c r="AN26" s="680">
        <f t="shared" si="9"/>
        <v>-35.1</v>
      </c>
      <c r="AO26" s="679">
        <f t="shared" si="6"/>
        <v>-55.161145958606085</v>
      </c>
      <c r="AP26" s="679">
        <f t="shared" si="6"/>
        <v>-35.797750981890047</v>
      </c>
      <c r="AQ26" s="680">
        <f t="shared" si="10"/>
        <v>-35.1</v>
      </c>
      <c r="AR26" s="661"/>
      <c r="AS26" s="661"/>
      <c r="AT26" s="656"/>
      <c r="AU26" s="656"/>
    </row>
    <row r="27" spans="1:47" s="681" customFormat="1" ht="18.75" customHeight="1" x14ac:dyDescent="0.3">
      <c r="A27" s="629" t="s">
        <v>380</v>
      </c>
      <c r="B27" s="685"/>
      <c r="C27" s="679"/>
      <c r="D27" s="679"/>
      <c r="E27" s="685"/>
      <c r="F27" s="679"/>
      <c r="G27" s="680"/>
      <c r="H27" s="685"/>
      <c r="I27" s="679"/>
      <c r="J27" s="680"/>
      <c r="K27" s="685"/>
      <c r="L27" s="679"/>
      <c r="M27" s="679"/>
      <c r="N27" s="685"/>
      <c r="O27" s="679"/>
      <c r="P27" s="680"/>
      <c r="Q27" s="685"/>
      <c r="R27" s="679"/>
      <c r="S27" s="680"/>
      <c r="T27" s="685"/>
      <c r="U27" s="679"/>
      <c r="V27" s="680"/>
      <c r="W27" s="685"/>
      <c r="X27" s="679"/>
      <c r="Y27" s="680"/>
      <c r="Z27" s="685"/>
      <c r="AA27" s="679"/>
      <c r="AB27" s="680"/>
      <c r="AC27" s="685"/>
      <c r="AD27" s="679"/>
      <c r="AE27" s="680"/>
      <c r="AF27" s="685"/>
      <c r="AG27" s="679"/>
      <c r="AH27" s="680"/>
      <c r="AI27" s="685"/>
      <c r="AJ27" s="679"/>
      <c r="AK27" s="680"/>
      <c r="AL27" s="679">
        <f t="shared" si="5"/>
        <v>0</v>
      </c>
      <c r="AM27" s="679">
        <f t="shared" si="5"/>
        <v>0</v>
      </c>
      <c r="AN27" s="680" t="str">
        <f t="shared" si="9"/>
        <v xml:space="preserve">    ---- </v>
      </c>
      <c r="AO27" s="637">
        <f t="shared" si="6"/>
        <v>0</v>
      </c>
      <c r="AP27" s="637">
        <f t="shared" si="6"/>
        <v>0</v>
      </c>
      <c r="AQ27" s="680" t="str">
        <f t="shared" si="10"/>
        <v xml:space="preserve">    ---- </v>
      </c>
      <c r="AR27" s="661"/>
      <c r="AS27" s="661"/>
      <c r="AT27" s="656"/>
      <c r="AU27" s="656"/>
    </row>
    <row r="28" spans="1:47" s="681" customFormat="1" ht="18.75" customHeight="1" x14ac:dyDescent="0.3">
      <c r="A28" s="629" t="s">
        <v>381</v>
      </c>
      <c r="B28" s="685"/>
      <c r="C28" s="679"/>
      <c r="D28" s="679"/>
      <c r="E28" s="685"/>
      <c r="F28" s="679"/>
      <c r="G28" s="680"/>
      <c r="H28" s="685"/>
      <c r="I28" s="679"/>
      <c r="J28" s="680"/>
      <c r="K28" s="685"/>
      <c r="L28" s="679"/>
      <c r="M28" s="679"/>
      <c r="N28" s="685"/>
      <c r="O28" s="679"/>
      <c r="P28" s="680"/>
      <c r="Q28" s="685"/>
      <c r="R28" s="679"/>
      <c r="S28" s="680"/>
      <c r="T28" s="685"/>
      <c r="U28" s="679"/>
      <c r="V28" s="680"/>
      <c r="W28" s="685"/>
      <c r="X28" s="679"/>
      <c r="Y28" s="680"/>
      <c r="Z28" s="685"/>
      <c r="AA28" s="679"/>
      <c r="AB28" s="680"/>
      <c r="AC28" s="685"/>
      <c r="AD28" s="679"/>
      <c r="AE28" s="680"/>
      <c r="AF28" s="685"/>
      <c r="AG28" s="679"/>
      <c r="AH28" s="680"/>
      <c r="AI28" s="685"/>
      <c r="AJ28" s="679"/>
      <c r="AK28" s="680"/>
      <c r="AL28" s="679">
        <f t="shared" si="5"/>
        <v>0</v>
      </c>
      <c r="AM28" s="679">
        <f t="shared" si="5"/>
        <v>0</v>
      </c>
      <c r="AN28" s="680" t="str">
        <f t="shared" si="9"/>
        <v xml:space="preserve">    ---- </v>
      </c>
      <c r="AO28" s="679">
        <f t="shared" si="6"/>
        <v>0</v>
      </c>
      <c r="AP28" s="679">
        <f t="shared" si="6"/>
        <v>0</v>
      </c>
      <c r="AQ28" s="680" t="str">
        <f t="shared" si="10"/>
        <v xml:space="preserve">    ---- </v>
      </c>
      <c r="AR28" s="661"/>
      <c r="AS28" s="661"/>
      <c r="AT28" s="656"/>
      <c r="AU28" s="656"/>
    </row>
    <row r="29" spans="1:47" s="681" customFormat="1" ht="18.75" customHeight="1" x14ac:dyDescent="0.3">
      <c r="A29" s="629" t="s">
        <v>382</v>
      </c>
      <c r="B29" s="685">
        <v>9.702</v>
      </c>
      <c r="C29" s="679">
        <v>13.205</v>
      </c>
      <c r="D29" s="679">
        <f>IF(B29=0, "    ---- ", IF(ABS(ROUND(100/B29*C29-100,1))&lt;999,ROUND(100/B29*C29-100,1),IF(ROUND(100/B29*C29-100,1)&gt;999,999,-999)))</f>
        <v>36.1</v>
      </c>
      <c r="E29" s="685">
        <v>62.72</v>
      </c>
      <c r="F29" s="679">
        <v>77</v>
      </c>
      <c r="G29" s="680">
        <f>IF(E29=0, "    ---- ", IF(ABS(ROUND(100/E29*F29-100,1))&lt;999,ROUND(100/E29*F29-100,1),IF(ROUND(100/E29*F29-100,1)&gt;999,999,-999)))</f>
        <v>22.8</v>
      </c>
      <c r="H29" s="685">
        <v>8.8789999999999996</v>
      </c>
      <c r="I29" s="679">
        <v>10.67</v>
      </c>
      <c r="J29" s="680">
        <f t="shared" si="0"/>
        <v>20.2</v>
      </c>
      <c r="K29" s="685"/>
      <c r="L29" s="679"/>
      <c r="M29" s="680"/>
      <c r="N29" s="685"/>
      <c r="O29" s="679"/>
      <c r="P29" s="680"/>
      <c r="Q29" s="685"/>
      <c r="R29" s="679"/>
      <c r="S29" s="680"/>
      <c r="T29" s="685"/>
      <c r="U29" s="679"/>
      <c r="V29" s="680"/>
      <c r="W29" s="685">
        <v>35.114853957129924</v>
      </c>
      <c r="X29" s="679">
        <v>40.672628177242181</v>
      </c>
      <c r="Y29" s="680">
        <f t="shared" si="8"/>
        <v>15.8</v>
      </c>
      <c r="Z29" s="685"/>
      <c r="AA29" s="679"/>
      <c r="AB29" s="680"/>
      <c r="AC29" s="685"/>
      <c r="AD29" s="679"/>
      <c r="AE29" s="680"/>
      <c r="AF29" s="685">
        <v>47.445999999999998</v>
      </c>
      <c r="AG29" s="679">
        <v>60.706000000000003</v>
      </c>
      <c r="AH29" s="680">
        <f t="shared" si="2"/>
        <v>27.9</v>
      </c>
      <c r="AI29" s="685">
        <v>124</v>
      </c>
      <c r="AJ29" s="679">
        <v>106</v>
      </c>
      <c r="AK29" s="680">
        <f>IF(AI29=0, "    ---- ", IF(ABS(ROUND(100/AI29*AJ29-100,1))&lt;999,ROUND(100/AI29*AJ29-100,1),IF(ROUND(100/AI29*AJ29-100,1)&gt;999,999,-999)))</f>
        <v>-14.5</v>
      </c>
      <c r="AL29" s="679">
        <f t="shared" si="5"/>
        <v>287.86185395712994</v>
      </c>
      <c r="AM29" s="679">
        <f t="shared" si="5"/>
        <v>308.25362817724221</v>
      </c>
      <c r="AN29" s="680">
        <f t="shared" si="9"/>
        <v>7.1</v>
      </c>
      <c r="AO29" s="679">
        <f t="shared" si="6"/>
        <v>287.86185395712994</v>
      </c>
      <c r="AP29" s="679">
        <f t="shared" si="6"/>
        <v>308.25362817724221</v>
      </c>
      <c r="AQ29" s="680">
        <f t="shared" si="10"/>
        <v>7.1</v>
      </c>
      <c r="AR29" s="661"/>
      <c r="AS29" s="661"/>
      <c r="AT29" s="656"/>
      <c r="AU29" s="656"/>
    </row>
    <row r="30" spans="1:47" s="681" customFormat="1" ht="18.75" customHeight="1" x14ac:dyDescent="0.3">
      <c r="A30" s="629" t="s">
        <v>383</v>
      </c>
      <c r="B30" s="685"/>
      <c r="C30" s="679"/>
      <c r="D30" s="679"/>
      <c r="E30" s="685"/>
      <c r="F30" s="679"/>
      <c r="G30" s="680"/>
      <c r="H30" s="685"/>
      <c r="I30" s="679"/>
      <c r="J30" s="680"/>
      <c r="K30" s="685"/>
      <c r="L30" s="679"/>
      <c r="M30" s="679"/>
      <c r="N30" s="685"/>
      <c r="O30" s="679"/>
      <c r="P30" s="680"/>
      <c r="Q30" s="685"/>
      <c r="R30" s="679"/>
      <c r="S30" s="680"/>
      <c r="T30" s="685"/>
      <c r="U30" s="679"/>
      <c r="V30" s="680"/>
      <c r="W30" s="685"/>
      <c r="X30" s="679"/>
      <c r="Y30" s="680"/>
      <c r="Z30" s="685"/>
      <c r="AA30" s="679"/>
      <c r="AB30" s="680"/>
      <c r="AC30" s="685"/>
      <c r="AD30" s="679"/>
      <c r="AE30" s="680"/>
      <c r="AF30" s="685"/>
      <c r="AG30" s="679"/>
      <c r="AH30" s="680"/>
      <c r="AI30" s="685"/>
      <c r="AJ30" s="679"/>
      <c r="AK30" s="680"/>
      <c r="AL30" s="679">
        <f t="shared" si="5"/>
        <v>0</v>
      </c>
      <c r="AM30" s="679">
        <f t="shared" si="5"/>
        <v>0</v>
      </c>
      <c r="AN30" s="680" t="str">
        <f t="shared" si="9"/>
        <v xml:space="preserve">    ---- </v>
      </c>
      <c r="AO30" s="679">
        <f t="shared" si="6"/>
        <v>0</v>
      </c>
      <c r="AP30" s="679">
        <f t="shared" si="6"/>
        <v>0</v>
      </c>
      <c r="AQ30" s="680" t="str">
        <f t="shared" si="10"/>
        <v xml:space="preserve">    ---- </v>
      </c>
      <c r="AR30" s="661"/>
      <c r="AS30" s="661"/>
      <c r="AT30" s="656"/>
      <c r="AU30" s="656"/>
    </row>
    <row r="31" spans="1:47" s="681" customFormat="1" ht="18.75" customHeight="1" x14ac:dyDescent="0.3">
      <c r="A31" s="629" t="s">
        <v>384</v>
      </c>
      <c r="B31" s="685"/>
      <c r="C31" s="679"/>
      <c r="D31" s="679"/>
      <c r="E31" s="685"/>
      <c r="F31" s="679"/>
      <c r="G31" s="680"/>
      <c r="H31" s="685"/>
      <c r="I31" s="679"/>
      <c r="J31" s="680"/>
      <c r="K31" s="685"/>
      <c r="L31" s="679"/>
      <c r="M31" s="679"/>
      <c r="N31" s="685"/>
      <c r="O31" s="679"/>
      <c r="P31" s="680"/>
      <c r="Q31" s="685"/>
      <c r="R31" s="679"/>
      <c r="S31" s="680"/>
      <c r="T31" s="685"/>
      <c r="U31" s="679"/>
      <c r="V31" s="680"/>
      <c r="W31" s="685"/>
      <c r="X31" s="679"/>
      <c r="Y31" s="680"/>
      <c r="Z31" s="685"/>
      <c r="AA31" s="679"/>
      <c r="AB31" s="680"/>
      <c r="AC31" s="685"/>
      <c r="AD31" s="679"/>
      <c r="AE31" s="680"/>
      <c r="AF31" s="685"/>
      <c r="AG31" s="679"/>
      <c r="AH31" s="680"/>
      <c r="AI31" s="685"/>
      <c r="AJ31" s="679"/>
      <c r="AK31" s="680"/>
      <c r="AL31" s="679">
        <f t="shared" si="5"/>
        <v>0</v>
      </c>
      <c r="AM31" s="679">
        <f t="shared" si="5"/>
        <v>0</v>
      </c>
      <c r="AN31" s="680" t="str">
        <f t="shared" si="9"/>
        <v xml:space="preserve">    ---- </v>
      </c>
      <c r="AO31" s="637">
        <f t="shared" si="6"/>
        <v>0</v>
      </c>
      <c r="AP31" s="637">
        <f t="shared" si="6"/>
        <v>0</v>
      </c>
      <c r="AQ31" s="680" t="str">
        <f t="shared" si="10"/>
        <v xml:space="preserve">    ---- </v>
      </c>
      <c r="AR31" s="661"/>
      <c r="AS31" s="661"/>
      <c r="AT31" s="656"/>
      <c r="AU31" s="656"/>
    </row>
    <row r="32" spans="1:47" s="684" customFormat="1" ht="18.75" customHeight="1" x14ac:dyDescent="0.3">
      <c r="A32" s="623" t="s">
        <v>385</v>
      </c>
      <c r="B32" s="624">
        <v>5.4390000000000001</v>
      </c>
      <c r="C32" s="677">
        <v>8.4499999999999993</v>
      </c>
      <c r="D32" s="677">
        <f>IF(B32=0, "    ---- ", IF(ABS(ROUND(100/B32*C32-100,1))&lt;999,ROUND(100/B32*C32-100,1),IF(ROUND(100/B32*C32-100,1)&gt;999,999,-999)))</f>
        <v>55.4</v>
      </c>
      <c r="E32" s="686">
        <f>SUM(E24:E29)+E31</f>
        <v>46.1</v>
      </c>
      <c r="F32" s="677">
        <f>SUM(F24:F29)+F31</f>
        <v>68</v>
      </c>
      <c r="G32" s="678">
        <f>IF(E32=0, "    ---- ", IF(ABS(ROUND(100/E32*F32-100,1))&lt;999,ROUND(100/E32*F32-100,1),IF(ROUND(100/E32*F32-100,1)&gt;999,999,-999)))</f>
        <v>47.5</v>
      </c>
      <c r="H32" s="686">
        <f>SUM(H24:H29)+H31</f>
        <v>12.901</v>
      </c>
      <c r="I32" s="677">
        <f>SUM(I24:I29)+I31</f>
        <v>11.17</v>
      </c>
      <c r="J32" s="678">
        <f t="shared" si="0"/>
        <v>-13.4</v>
      </c>
      <c r="K32" s="686"/>
      <c r="L32" s="677"/>
      <c r="M32" s="677"/>
      <c r="N32" s="686"/>
      <c r="O32" s="677"/>
      <c r="P32" s="678"/>
      <c r="Q32" s="686"/>
      <c r="R32" s="677"/>
      <c r="S32" s="678"/>
      <c r="T32" s="686"/>
      <c r="U32" s="677"/>
      <c r="V32" s="678"/>
      <c r="W32" s="686">
        <f>SUM(W24:W29)+W31</f>
        <v>53.924015292000163</v>
      </c>
      <c r="X32" s="677">
        <f>SUM(X24:X29)+X31</f>
        <v>57.534210072899597</v>
      </c>
      <c r="Y32" s="678">
        <f t="shared" si="8"/>
        <v>6.7</v>
      </c>
      <c r="Z32" s="686"/>
      <c r="AA32" s="677"/>
      <c r="AB32" s="678"/>
      <c r="AC32" s="686"/>
      <c r="AD32" s="677"/>
      <c r="AE32" s="678"/>
      <c r="AF32" s="686">
        <f>SUM(AF24:AF29)+AF31</f>
        <v>48.366999999999997</v>
      </c>
      <c r="AG32" s="677">
        <f>SUM(AG24:AG29)+AG31</f>
        <v>72.873000000000005</v>
      </c>
      <c r="AH32" s="678">
        <f t="shared" si="2"/>
        <v>50.7</v>
      </c>
      <c r="AI32" s="686">
        <v>105</v>
      </c>
      <c r="AJ32" s="677">
        <v>92.5</v>
      </c>
      <c r="AK32" s="678">
        <f>IF(AI32=0, "    ---- ", IF(ABS(ROUND(100/AI32*AJ32-100,1))&lt;999,ROUND(100/AI32*AJ32-100,1),IF(ROUND(100/AI32*AJ32-100,1)&gt;999,999,-999)))</f>
        <v>-11.9</v>
      </c>
      <c r="AL32" s="677">
        <f t="shared" si="5"/>
        <v>271.73101529200017</v>
      </c>
      <c r="AM32" s="677">
        <f t="shared" si="5"/>
        <v>310.52721007289961</v>
      </c>
      <c r="AN32" s="678">
        <f t="shared" si="9"/>
        <v>14.3</v>
      </c>
      <c r="AO32" s="677">
        <f t="shared" si="6"/>
        <v>271.73101529200017</v>
      </c>
      <c r="AP32" s="677">
        <f t="shared" si="6"/>
        <v>310.52721007289961</v>
      </c>
      <c r="AQ32" s="678">
        <f t="shared" si="10"/>
        <v>14.3</v>
      </c>
      <c r="AR32" s="659"/>
      <c r="AS32" s="659"/>
      <c r="AT32" s="683"/>
      <c r="AU32" s="683"/>
    </row>
    <row r="33" spans="1:47" s="681" customFormat="1" ht="18.75" customHeight="1" x14ac:dyDescent="0.3">
      <c r="A33" s="629" t="s">
        <v>386</v>
      </c>
      <c r="B33" s="685"/>
      <c r="C33" s="679"/>
      <c r="D33" s="679"/>
      <c r="E33" s="685"/>
      <c r="F33" s="679"/>
      <c r="G33" s="680"/>
      <c r="H33" s="685"/>
      <c r="I33" s="679"/>
      <c r="J33" s="680"/>
      <c r="K33" s="685"/>
      <c r="L33" s="679"/>
      <c r="M33" s="679"/>
      <c r="N33" s="685"/>
      <c r="O33" s="679"/>
      <c r="P33" s="680"/>
      <c r="Q33" s="685"/>
      <c r="R33" s="679"/>
      <c r="S33" s="680"/>
      <c r="T33" s="685"/>
      <c r="U33" s="679"/>
      <c r="V33" s="680"/>
      <c r="W33" s="685"/>
      <c r="X33" s="679"/>
      <c r="Y33" s="680"/>
      <c r="Z33" s="685"/>
      <c r="AA33" s="679"/>
      <c r="AB33" s="680"/>
      <c r="AC33" s="685"/>
      <c r="AD33" s="679"/>
      <c r="AE33" s="680"/>
      <c r="AF33" s="685"/>
      <c r="AG33" s="679"/>
      <c r="AH33" s="680"/>
      <c r="AI33" s="685"/>
      <c r="AJ33" s="679"/>
      <c r="AK33" s="680"/>
      <c r="AL33" s="679">
        <f t="shared" si="5"/>
        <v>0</v>
      </c>
      <c r="AM33" s="679">
        <f t="shared" si="5"/>
        <v>0</v>
      </c>
      <c r="AN33" s="680" t="str">
        <f t="shared" si="9"/>
        <v xml:space="preserve">    ---- </v>
      </c>
      <c r="AO33" s="679">
        <f t="shared" si="6"/>
        <v>0</v>
      </c>
      <c r="AP33" s="679">
        <f t="shared" si="6"/>
        <v>0</v>
      </c>
      <c r="AQ33" s="680" t="str">
        <f t="shared" si="10"/>
        <v xml:space="preserve">    ---- </v>
      </c>
      <c r="AR33" s="661"/>
      <c r="AS33" s="661"/>
      <c r="AT33" s="656"/>
      <c r="AU33" s="656"/>
    </row>
    <row r="34" spans="1:47" s="681" customFormat="1" ht="18.75" customHeight="1" x14ac:dyDescent="0.3">
      <c r="A34" s="629" t="s">
        <v>387</v>
      </c>
      <c r="B34" s="685">
        <v>5.4390000000000001</v>
      </c>
      <c r="C34" s="679">
        <v>8.4489999999999998</v>
      </c>
      <c r="D34" s="679">
        <f>IF(B34=0, "    ---- ", IF(ABS(ROUND(100/B34*C34-100,1))&lt;999,ROUND(100/B34*C34-100,1),IF(ROUND(100/B34*C34-100,1)&gt;999,999,-999)))</f>
        <v>55.3</v>
      </c>
      <c r="E34" s="685">
        <v>46.11</v>
      </c>
      <c r="F34" s="679">
        <v>68</v>
      </c>
      <c r="G34" s="680">
        <f>IF(E34=0, "    ---- ", IF(ABS(ROUND(100/E34*F34-100,1))&lt;999,ROUND(100/E34*F34-100,1),IF(ROUND(100/E34*F34-100,1)&gt;999,999,-999)))</f>
        <v>47.5</v>
      </c>
      <c r="H34" s="685">
        <v>12.901</v>
      </c>
      <c r="I34" s="679">
        <v>11.17</v>
      </c>
      <c r="J34" s="680">
        <f t="shared" si="0"/>
        <v>-13.4</v>
      </c>
      <c r="K34" s="685"/>
      <c r="L34" s="679"/>
      <c r="M34" s="679"/>
      <c r="N34" s="685"/>
      <c r="O34" s="679"/>
      <c r="P34" s="680"/>
      <c r="Q34" s="685"/>
      <c r="R34" s="679"/>
      <c r="S34" s="680"/>
      <c r="T34" s="685"/>
      <c r="U34" s="679"/>
      <c r="V34" s="680"/>
      <c r="W34" s="685">
        <v>53.924015292000199</v>
      </c>
      <c r="X34" s="679">
        <v>57.534210072899597</v>
      </c>
      <c r="Y34" s="680">
        <f t="shared" si="8"/>
        <v>6.7</v>
      </c>
      <c r="Z34" s="685"/>
      <c r="AA34" s="679"/>
      <c r="AB34" s="680"/>
      <c r="AC34" s="685"/>
      <c r="AD34" s="679"/>
      <c r="AE34" s="680"/>
      <c r="AF34" s="685">
        <v>48.366999999999997</v>
      </c>
      <c r="AG34" s="679">
        <v>72.873000000000005</v>
      </c>
      <c r="AH34" s="680">
        <f t="shared" si="2"/>
        <v>50.7</v>
      </c>
      <c r="AI34" s="685">
        <v>105</v>
      </c>
      <c r="AJ34" s="679">
        <v>92.5</v>
      </c>
      <c r="AK34" s="680">
        <f>IF(AI34=0, "    ---- ", IF(ABS(ROUND(100/AI34*AJ34-100,1))&lt;999,ROUND(100/AI34*AJ34-100,1),IF(ROUND(100/AI34*AJ34-100,1)&gt;999,999,-999)))</f>
        <v>-11.9</v>
      </c>
      <c r="AL34" s="679">
        <f t="shared" si="5"/>
        <v>271.74101529200016</v>
      </c>
      <c r="AM34" s="679">
        <f t="shared" si="5"/>
        <v>310.52621007289957</v>
      </c>
      <c r="AN34" s="680">
        <f t="shared" si="9"/>
        <v>14.3</v>
      </c>
      <c r="AO34" s="679">
        <f t="shared" si="6"/>
        <v>271.74101529200016</v>
      </c>
      <c r="AP34" s="679">
        <f t="shared" si="6"/>
        <v>310.52621007289957</v>
      </c>
      <c r="AQ34" s="680">
        <f t="shared" si="10"/>
        <v>14.3</v>
      </c>
      <c r="AR34" s="661"/>
      <c r="AS34" s="661"/>
      <c r="AT34" s="656"/>
      <c r="AU34" s="656"/>
    </row>
    <row r="35" spans="1:47" s="681" customFormat="1" ht="18.75" customHeight="1" x14ac:dyDescent="0.3">
      <c r="A35" s="641"/>
      <c r="B35" s="695"/>
      <c r="C35" s="696"/>
      <c r="D35" s="696"/>
      <c r="E35" s="695"/>
      <c r="F35" s="696"/>
      <c r="G35" s="697"/>
      <c r="H35" s="695"/>
      <c r="I35" s="696"/>
      <c r="J35" s="697"/>
      <c r="K35" s="695"/>
      <c r="L35" s="696"/>
      <c r="M35" s="696"/>
      <c r="N35" s="695"/>
      <c r="O35" s="696"/>
      <c r="P35" s="697"/>
      <c r="Q35" s="695"/>
      <c r="R35" s="696"/>
      <c r="S35" s="697"/>
      <c r="T35" s="695"/>
      <c r="U35" s="696"/>
      <c r="V35" s="697"/>
      <c r="W35" s="695"/>
      <c r="X35" s="696"/>
      <c r="Y35" s="697"/>
      <c r="Z35" s="695"/>
      <c r="AA35" s="696"/>
      <c r="AB35" s="697"/>
      <c r="AC35" s="695"/>
      <c r="AD35" s="696"/>
      <c r="AE35" s="697"/>
      <c r="AF35" s="695"/>
      <c r="AG35" s="696"/>
      <c r="AH35" s="697"/>
      <c r="AI35" s="695"/>
      <c r="AJ35" s="696"/>
      <c r="AK35" s="697"/>
      <c r="AL35" s="696"/>
      <c r="AM35" s="696"/>
      <c r="AN35" s="697"/>
      <c r="AO35" s="696"/>
      <c r="AP35" s="696"/>
      <c r="AQ35" s="697"/>
      <c r="AR35" s="661"/>
      <c r="AS35" s="661"/>
      <c r="AT35" s="656"/>
      <c r="AU35" s="656"/>
    </row>
    <row r="36" spans="1:47" s="681" customFormat="1" ht="18.75" customHeight="1" x14ac:dyDescent="0.3">
      <c r="A36" s="646"/>
      <c r="B36" s="685"/>
      <c r="C36" s="679"/>
      <c r="D36" s="679"/>
      <c r="E36" s="685"/>
      <c r="F36" s="679"/>
      <c r="G36" s="680"/>
      <c r="H36" s="685"/>
      <c r="I36" s="679"/>
      <c r="J36" s="680"/>
      <c r="K36" s="685"/>
      <c r="L36" s="679"/>
      <c r="M36" s="679"/>
      <c r="N36" s="685"/>
      <c r="O36" s="679"/>
      <c r="P36" s="680"/>
      <c r="Q36" s="685"/>
      <c r="R36" s="679"/>
      <c r="S36" s="680"/>
      <c r="T36" s="685"/>
      <c r="U36" s="679"/>
      <c r="V36" s="680"/>
      <c r="W36" s="685"/>
      <c r="X36" s="679"/>
      <c r="Y36" s="680"/>
      <c r="Z36" s="685"/>
      <c r="AA36" s="679"/>
      <c r="AB36" s="680"/>
      <c r="AC36" s="685"/>
      <c r="AD36" s="679"/>
      <c r="AE36" s="680"/>
      <c r="AF36" s="685"/>
      <c r="AG36" s="679"/>
      <c r="AH36" s="680"/>
      <c r="AI36" s="685"/>
      <c r="AJ36" s="679"/>
      <c r="AK36" s="680"/>
      <c r="AL36" s="679"/>
      <c r="AM36" s="679"/>
      <c r="AN36" s="680"/>
      <c r="AO36" s="679"/>
      <c r="AP36" s="679"/>
      <c r="AQ36" s="680"/>
      <c r="AR36" s="661"/>
      <c r="AS36" s="661"/>
      <c r="AT36" s="656"/>
      <c r="AU36" s="656"/>
    </row>
    <row r="37" spans="1:47" s="681" customFormat="1" ht="18.75" customHeight="1" x14ac:dyDescent="0.3">
      <c r="A37" s="623" t="s">
        <v>412</v>
      </c>
      <c r="B37" s="685"/>
      <c r="C37" s="679"/>
      <c r="D37" s="679"/>
      <c r="E37" s="685"/>
      <c r="F37" s="679"/>
      <c r="G37" s="680"/>
      <c r="H37" s="685"/>
      <c r="I37" s="679"/>
      <c r="J37" s="680"/>
      <c r="K37" s="685"/>
      <c r="L37" s="679"/>
      <c r="M37" s="679"/>
      <c r="N37" s="685"/>
      <c r="O37" s="679"/>
      <c r="P37" s="680"/>
      <c r="Q37" s="685"/>
      <c r="R37" s="679"/>
      <c r="S37" s="680"/>
      <c r="T37" s="685"/>
      <c r="U37" s="679"/>
      <c r="V37" s="680"/>
      <c r="W37" s="685"/>
      <c r="X37" s="679"/>
      <c r="Y37" s="680"/>
      <c r="Z37" s="685"/>
      <c r="AA37" s="679"/>
      <c r="AB37" s="680"/>
      <c r="AC37" s="685"/>
      <c r="AD37" s="679"/>
      <c r="AE37" s="680"/>
      <c r="AF37" s="685"/>
      <c r="AG37" s="679"/>
      <c r="AH37" s="680"/>
      <c r="AI37" s="685"/>
      <c r="AJ37" s="679"/>
      <c r="AK37" s="680"/>
      <c r="AL37" s="679"/>
      <c r="AM37" s="679"/>
      <c r="AN37" s="680"/>
      <c r="AO37" s="679"/>
      <c r="AP37" s="679"/>
      <c r="AQ37" s="680"/>
      <c r="AR37" s="661"/>
      <c r="AS37" s="661"/>
      <c r="AT37" s="656"/>
      <c r="AU37" s="656"/>
    </row>
    <row r="38" spans="1:47" s="681" customFormat="1" ht="18.75" customHeight="1" x14ac:dyDescent="0.3">
      <c r="A38" s="629" t="s">
        <v>377</v>
      </c>
      <c r="B38" s="685">
        <v>0</v>
      </c>
      <c r="C38" s="679">
        <f>'Tabell 5.1'!C12+'Tabell 5.1'!C24+'Tabell 5.1'!C36+'Tabell 5.1'!C48+'Tabell 5.1'!C62+'Tabell 5.1'!C74+'Tabell 5.1'!C86+'Tabell 5.1'!C98+'Tabell 5.2'!C12+'Tabell 5.2'!C24+'Tabell 5.2'!C36+'Tabell 5.2'!C48+'Tabell 5.2'!C84+'Tabell 5.2'!C96+'Tabell 5.2'!C122+'Tabell 5.2'!C134+C12+C24+'Tabell 5.2'!C60+'Tabell 5.2'!C72+'Tabell 5.2'!C108</f>
        <v>10.669</v>
      </c>
      <c r="D38" s="679" t="str">
        <f t="shared" ref="D38:D48" si="11">IF(B38=0, "    ---- ", IF(ABS(ROUND(100/B38*C38-100,1))&lt;999,ROUND(100/B38*C38-100,1),IF(ROUND(100/B38*C38-100,1)&gt;999,999,-999)))</f>
        <v xml:space="preserve">    ---- </v>
      </c>
      <c r="E38" s="685">
        <v>9822.9429999999993</v>
      </c>
      <c r="F38" s="679">
        <v>-2980</v>
      </c>
      <c r="G38" s="679">
        <f t="shared" ref="G38:G48" si="12">IF(E38=0, "    ---- ", IF(ABS(ROUND(100/E38*F38-100,1))&lt;999,ROUND(100/E38*F38-100,1),IF(ROUND(100/E38*F38-100,1)&gt;999,999,-999)))</f>
        <v>-130.30000000000001</v>
      </c>
      <c r="H38" s="685">
        <f>'Tabell 5.1'!H12+'Tabell 5.1'!H24+'Tabell 5.1'!H36+'Tabell 5.1'!H48+'Tabell 5.1'!H62+'Tabell 5.1'!H74+'Tabell 5.1'!H86+'Tabell 5.1'!H98+'Tabell 5.2'!H12+'Tabell 5.2'!H24+'Tabell 5.2'!H36+'Tabell 5.2'!H48+'Tabell 5.2'!H84+'Tabell 5.2'!H96+'Tabell 5.2'!H122+'Tabell 5.2'!H134+H12+H24+'Tabell 5.2'!H60+'Tabell 5.2'!H72+'Tabell 5.2'!H108</f>
        <v>41.513000000000005</v>
      </c>
      <c r="I38" s="679">
        <f>'Tabell 5.1'!I12+'Tabell 5.1'!I24+'Tabell 5.1'!I36+'Tabell 5.1'!I48+'Tabell 5.1'!I62+'Tabell 5.1'!I74+'Tabell 5.1'!I86+'Tabell 5.1'!I98+'Tabell 5.2'!I12+'Tabell 5.2'!I24+'Tabell 5.2'!I36+'Tabell 5.2'!I48+'Tabell 5.2'!I84+'Tabell 5.2'!I96+'Tabell 5.2'!I122+'Tabell 5.2'!I134+I12+I24+'Tabell 5.2'!I60+'Tabell 5.2'!I72+'Tabell 5.2'!I108</f>
        <v>6.4400000000000013</v>
      </c>
      <c r="J38" s="679">
        <f t="shared" ref="J38:J48" si="13">IF(H38=0, "    ---- ", IF(ABS(ROUND(100/H38*I38-100,1))&lt;999,ROUND(100/H38*I38-100,1),IF(ROUND(100/H38*I38-100,1)&gt;999,999,-999)))</f>
        <v>-84.5</v>
      </c>
      <c r="K38" s="685">
        <f>'Tabell 5.1'!K12+'Tabell 5.1'!K24+'Tabell 5.1'!K36+'Tabell 5.1'!K48+'Tabell 5.1'!K62+'Tabell 5.1'!K74+'Tabell 5.1'!K86+'Tabell 5.1'!K98+'Tabell 5.2'!K12+'Tabell 5.2'!K24+'Tabell 5.2'!K36+'Tabell 5.2'!K48+'Tabell 5.2'!K84+'Tabell 5.2'!K96+'Tabell 5.2'!K122+'Tabell 5.2'!K134+K12+K24+'Tabell 5.2'!K60+'Tabell 5.2'!K72+'Tabell 5.2'!K108</f>
        <v>50.798000000000002</v>
      </c>
      <c r="L38" s="679">
        <f>'Tabell 5.1'!L12+'Tabell 5.1'!L24+'Tabell 5.1'!L36+'Tabell 5.1'!L48+'Tabell 5.1'!L62+'Tabell 5.1'!L74+'Tabell 5.1'!L86+'Tabell 5.1'!L98+'Tabell 5.2'!L12+'Tabell 5.2'!L24+'Tabell 5.2'!L36+'Tabell 5.2'!L48+'Tabell 5.2'!L84+'Tabell 5.2'!L96+'Tabell 5.2'!L122+'Tabell 5.2'!L134+L12+L24+'Tabell 5.2'!L60+'Tabell 5.2'!L72+'Tabell 5.2'!L108</f>
        <v>125.3</v>
      </c>
      <c r="M38" s="679">
        <f t="shared" ref="M38:M48" si="14">IF(K38=0, "    ---- ", IF(ABS(ROUND(100/K38*L38-100,1))&lt;999,ROUND(100/K38*L38-100,1),IF(ROUND(100/K38*L38-100,1)&gt;999,999,-999)))</f>
        <v>146.69999999999999</v>
      </c>
      <c r="N38" s="685">
        <f>'Tabell 5.1'!N12+'Tabell 5.1'!N24+'Tabell 5.1'!N36+'Tabell 5.1'!N48+'Tabell 5.1'!N62+'Tabell 5.1'!N74+'Tabell 5.1'!N86+'Tabell 5.1'!N98+'Tabell 5.2'!N12+'Tabell 5.2'!N24+'Tabell 5.2'!N36+'Tabell 5.2'!N48+'Tabell 5.2'!N84+'Tabell 5.2'!N96+'Tabell 5.2'!N122+'Tabell 5.2'!N134+N12+N24+'Tabell 5.2'!N60+'Tabell 5.2'!N72+'Tabell 5.2'!N108</f>
        <v>1.633</v>
      </c>
      <c r="O38" s="679">
        <f>'Tabell 5.1'!O12+'Tabell 5.1'!O24+'Tabell 5.1'!O36+'Tabell 5.1'!O48+'Tabell 5.1'!O62+'Tabell 5.1'!O74+'Tabell 5.1'!O86+'Tabell 5.1'!O98+'Tabell 5.2'!O12+'Tabell 5.2'!O24+'Tabell 5.2'!O36+'Tabell 5.2'!O48+'Tabell 5.2'!O84+'Tabell 5.2'!O96+'Tabell 5.2'!O122+'Tabell 5.2'!O134+O12+O24+'Tabell 5.2'!O60+'Tabell 5.2'!O72+'Tabell 5.2'!O108</f>
        <v>1.624301119852952</v>
      </c>
      <c r="P38" s="679">
        <f t="shared" ref="P38:P48" si="15">IF(N38=0, "    ---- ", IF(ABS(ROUND(100/N38*O38-100,1))&lt;999,ROUND(100/N38*O38-100,1),IF(ROUND(100/N38*O38-100,1)&gt;999,999,-999)))</f>
        <v>-0.5</v>
      </c>
      <c r="Q38" s="685">
        <f>'Tabell 5.1'!Q12+'Tabell 5.1'!Q24+'Tabell 5.1'!Q36+'Tabell 5.1'!Q48+'Tabell 5.1'!Q62+'Tabell 5.1'!Q74+'Tabell 5.1'!Q86+'Tabell 5.1'!Q98+'Tabell 5.2'!Q12+'Tabell 5.2'!Q24+'Tabell 5.2'!Q36+'Tabell 5.2'!Q48+'Tabell 5.2'!Q84+'Tabell 5.2'!Q96+'Tabell 5.2'!Q122+'Tabell 5.2'!Q134+Q12+Q24+'Tabell 5.2'!Q60+'Tabell 5.2'!Q72+'Tabell 5.2'!Q108</f>
        <v>6782.1546506987133</v>
      </c>
      <c r="R38" s="679">
        <f>'Tabell 5.1'!R12+'Tabell 5.1'!R24+'Tabell 5.1'!R36+'Tabell 5.1'!R48+'Tabell 5.1'!R62+'Tabell 5.1'!R74+'Tabell 5.1'!R86+'Tabell 5.1'!R98+'Tabell 5.2'!R12+'Tabell 5.2'!R24+'Tabell 5.2'!R36+'Tabell 5.2'!R48+'Tabell 5.2'!R84+'Tabell 5.2'!R96+'Tabell 5.2'!R122+'Tabell 5.2'!R134+R12+R24+'Tabell 5.2'!R60+'Tabell 5.2'!R72+'Tabell 5.2'!R108</f>
        <v>5227.5442170437636</v>
      </c>
      <c r="S38" s="679">
        <f t="shared" ref="S38:S48" si="16">IF(Q38=0, "    ---- ", IF(ABS(ROUND(100/Q38*R38-100,1))&lt;999,ROUND(100/Q38*R38-100,1),IF(ROUND(100/Q38*R38-100,1)&gt;999,999,-999)))</f>
        <v>-22.9</v>
      </c>
      <c r="T38" s="685">
        <f>'Tabell 5.1'!T12+'Tabell 5.1'!T24+'Tabell 5.1'!T36+'Tabell 5.1'!T48+'Tabell 5.1'!T62+'Tabell 5.1'!T74+'Tabell 5.1'!T86+'Tabell 5.1'!T98+'Tabell 5.2'!T12+'Tabell 5.2'!T24+'Tabell 5.2'!T36+'Tabell 5.2'!T48+'Tabell 5.2'!T84+'Tabell 5.2'!T96+'Tabell 5.2'!T122+'Tabell 5.2'!T134+T12+T24+'Tabell 5.2'!T60+'Tabell 5.2'!T72+'Tabell 5.2'!T108</f>
        <v>78</v>
      </c>
      <c r="U38" s="679">
        <f>'Tabell 5.1'!U12+'Tabell 5.1'!U24+'Tabell 5.1'!U36+'Tabell 5.1'!U48+'Tabell 5.1'!U62+'Tabell 5.1'!U74+'Tabell 5.1'!U86+'Tabell 5.1'!U98+'Tabell 5.2'!U12+'Tabell 5.2'!U24+'Tabell 5.2'!U36+'Tabell 5.2'!U48+'Tabell 5.2'!U84+'Tabell 5.2'!U96+'Tabell 5.2'!U122+'Tabell 5.2'!U134+U12+U24+'Tabell 5.2'!U60+'Tabell 5.2'!U72+'Tabell 5.2'!U108</f>
        <v>28</v>
      </c>
      <c r="V38" s="679">
        <f t="shared" ref="V38:V48" si="17">IF(T38=0, "    ---- ", IF(ABS(ROUND(100/T38*U38-100,1))&lt;999,ROUND(100/T38*U38-100,1),IF(ROUND(100/T38*U38-100,1)&gt;999,999,-999)))</f>
        <v>-64.099999999999994</v>
      </c>
      <c r="W38" s="685">
        <v>617.01525562061602</v>
      </c>
      <c r="X38" s="679">
        <v>889.31480418633021</v>
      </c>
      <c r="Y38" s="679">
        <f t="shared" ref="Y38:Y48" si="18">IF(W38=0, "    ---- ", IF(ABS(ROUND(100/W38*X38-100,1))&lt;999,ROUND(100/W38*X38-100,1),IF(ROUND(100/W38*X38-100,1)&gt;999,999,-999)))</f>
        <v>44.1</v>
      </c>
      <c r="Z38" s="685">
        <f>'Tabell 5.1'!Z12+'Tabell 5.1'!Z24+'Tabell 5.1'!Z36+'Tabell 5.1'!Z48+'Tabell 5.1'!Z62+'Tabell 5.1'!Z74+'Tabell 5.1'!Z86+'Tabell 5.1'!Z98+'Tabell 5.2'!Z12+'Tabell 5.2'!Z24+'Tabell 5.2'!Z36+'Tabell 5.2'!Z48+'Tabell 5.2'!Z84+'Tabell 5.2'!Z96+'Tabell 5.2'!Z122+'Tabell 5.2'!Z134+Z12+Z24+'Tabell 5.2'!Z60+'Tabell 5.2'!Z72+'Tabell 5.2'!Z108</f>
        <v>3976</v>
      </c>
      <c r="AA38" s="679">
        <f>'Tabell 5.1'!AA12+'Tabell 5.1'!AA24+'Tabell 5.1'!AA36+'Tabell 5.1'!AA48+'Tabell 5.1'!AA62+'Tabell 5.1'!AA74+'Tabell 5.1'!AA86+'Tabell 5.1'!AA98+'Tabell 5.2'!AA12+'Tabell 5.2'!AA24+'Tabell 5.2'!AA36+'Tabell 5.2'!AA48+'Tabell 5.2'!AA84+'Tabell 5.2'!AA96+'Tabell 5.2'!AA122+'Tabell 5.2'!AA134+AA12+AA24+'Tabell 5.2'!AA60+'Tabell 5.2'!AA72+'Tabell 5.2'!AA108</f>
        <v>1727</v>
      </c>
      <c r="AB38" s="679">
        <f t="shared" ref="AB38:AB48" si="19">IF(Z38=0, "    ---- ", IF(ABS(ROUND(100/Z38*AA38-100,1))&lt;999,ROUND(100/Z38*AA38-100,1),IF(ROUND(100/Z38*AA38-100,1)&gt;999,999,-999)))</f>
        <v>-56.6</v>
      </c>
      <c r="AC38" s="685">
        <f>'Tabell 5.1'!AC12+'Tabell 5.1'!AC24+'Tabell 5.1'!AC36+'Tabell 5.1'!AC48+'Tabell 5.1'!AC62+'Tabell 5.1'!AC74+'Tabell 5.1'!AC86+'Tabell 5.1'!AC98+'Tabell 5.2'!AC12+'Tabell 5.2'!AC24+'Tabell 5.2'!AC36+'Tabell 5.2'!AC48+'Tabell 5.2'!AC84+'Tabell 5.2'!AC96+'Tabell 5.2'!AC122+'Tabell 5.2'!AC134+AC12+AC24+'Tabell 5.2'!AC60+'Tabell 5.2'!AC72+'Tabell 5.2'!AC108</f>
        <v>0</v>
      </c>
      <c r="AD38" s="679">
        <f>'Tabell 5.1'!AD12+'Tabell 5.1'!AD24+'Tabell 5.1'!AD36+'Tabell 5.1'!AD48+'Tabell 5.1'!AD62+'Tabell 5.1'!AD74+'Tabell 5.1'!AD86+'Tabell 5.1'!AD98+'Tabell 5.2'!AD12+'Tabell 5.2'!AD24+'Tabell 5.2'!AD36+'Tabell 5.2'!AD48+'Tabell 5.2'!AD84+'Tabell 5.2'!AD96+'Tabell 5.2'!AD122+'Tabell 5.2'!AD134+AD12+AD24+'Tabell 5.2'!AD60+'Tabell 5.2'!AD72+'Tabell 5.2'!AD108</f>
        <v>0</v>
      </c>
      <c r="AE38" s="679" t="str">
        <f t="shared" ref="AE38:AE48" si="20">IF(AC38=0, "    ---- ", IF(ABS(ROUND(100/AC38*AD38-100,1))&lt;999,ROUND(100/AC38*AD38-100,1),IF(ROUND(100/AC38*AD38-100,1)&gt;999,999,-999)))</f>
        <v xml:space="preserve">    ---- </v>
      </c>
      <c r="AF38" s="685">
        <f>'Tabell 5.1'!AF12+'Tabell 5.1'!AF24+'Tabell 5.1'!AF36+'Tabell 5.1'!AF48+'Tabell 5.1'!AF62+'Tabell 5.1'!AF74+'Tabell 5.1'!AF86+'Tabell 5.1'!AF98+'Tabell 5.2'!AF12+'Tabell 5.2'!AF24+'Tabell 5.2'!AF36+'Tabell 5.2'!AF48+'Tabell 5.2'!AF84+'Tabell 5.2'!AF96+'Tabell 5.2'!AF122+'Tabell 5.2'!AF134+AF12+AF24+'Tabell 5.2'!AF60+'Tabell 5.2'!AF72+'Tabell 5.2'!AF108</f>
        <v>751.21600000000001</v>
      </c>
      <c r="AG38" s="679">
        <f>'Tabell 5.1'!AG12+'Tabell 5.1'!AG24+'Tabell 5.1'!AG36+'Tabell 5.1'!AG48+'Tabell 5.1'!AG62+'Tabell 5.1'!AG74+'Tabell 5.1'!AG86+'Tabell 5.1'!AG98+'Tabell 5.2'!AG12+'Tabell 5.2'!AG24+'Tabell 5.2'!AG36+'Tabell 5.2'!AG48+'Tabell 5.2'!AG84+'Tabell 5.2'!AG96+'Tabell 5.2'!AG122+'Tabell 5.2'!AG134+AG12+AG24+'Tabell 5.2'!AG60+'Tabell 5.2'!AG72+'Tabell 5.2'!AG108</f>
        <v>749.01499999999987</v>
      </c>
      <c r="AH38" s="679">
        <f t="shared" ref="AH38:AH48" si="21">IF(AF38=0, "    ---- ", IF(ABS(ROUND(100/AF38*AG38-100,1))&lt;999,ROUND(100/AF38*AG38-100,1),IF(ROUND(100/AF38*AG38-100,1)&gt;999,999,-999)))</f>
        <v>-0.3</v>
      </c>
      <c r="AI38" s="685">
        <v>2759.7199999999993</v>
      </c>
      <c r="AJ38" s="679">
        <v>323.3</v>
      </c>
      <c r="AK38" s="679">
        <f t="shared" ref="AK38:AK48" si="22">IF(AI38=0, "    ---- ", IF(ABS(ROUND(100/AI38*AJ38-100,1))&lt;999,ROUND(100/AI38*AJ38-100,1),IF(ROUND(100/AI38*AJ38-100,1)&gt;999,999,-999)))</f>
        <v>-88.3</v>
      </c>
      <c r="AL38" s="679">
        <f t="shared" si="5"/>
        <v>24879.359906319332</v>
      </c>
      <c r="AM38" s="679">
        <f t="shared" si="5"/>
        <v>6106.5830212300943</v>
      </c>
      <c r="AN38" s="679">
        <f t="shared" ref="AN38:AN48" si="23">IF(AL38=0, "    ---- ", IF(ABS(ROUND(100/AL38*AM38-100,1))&lt;999,ROUND(100/AL38*AM38-100,1),IF(ROUND(100/AL38*AM38-100,1)&gt;999,999,-999)))</f>
        <v>-75.5</v>
      </c>
      <c r="AO38" s="679">
        <f>'Tabell 5.1'!AO12+'Tabell 5.1'!AO24+'Tabell 5.1'!AO36+'Tabell 5.1'!AO48+'Tabell 5.1'!AO62+'Tabell 5.1'!AO74+'Tabell 5.1'!AO86+'Tabell 5.1'!AO98+'Tabell 5.2'!AO12+'Tabell 5.2'!AO24+'Tabell 5.2'!AO36+'Tabell 5.2'!AO48+'Tabell 5.2'!AO84+'Tabell 5.2'!AO96+'Tabell 5.2'!AO122+'Tabell 5.2'!AO134+AO12+AO24+'Tabell 5.2'!AO60+'Tabell 5.2'!AO72+'Tabell 5.2'!AO108</f>
        <v>24880.99290631933</v>
      </c>
      <c r="AP38" s="679">
        <f>'Tabell 5.1'!AP12+'Tabell 5.1'!AP24+'Tabell 5.1'!AP36+'Tabell 5.1'!AP48+'Tabell 5.1'!AP62+'Tabell 5.1'!AP74+'Tabell 5.1'!AP86+'Tabell 5.1'!AP98+'Tabell 5.2'!AP12+'Tabell 5.2'!AP24+'Tabell 5.2'!AP36+'Tabell 5.2'!AP48+'Tabell 5.2'!AP84+'Tabell 5.2'!AP96+'Tabell 5.2'!AP122+'Tabell 5.2'!AP134+AP12+AP24+'Tabell 5.2'!AP60+'Tabell 5.2'!AP72+'Tabell 5.2'!AP108</f>
        <v>6109.0773223499473</v>
      </c>
      <c r="AQ38" s="680">
        <f t="shared" ref="AQ38:AQ48" si="24">IF(AO38=0, "    ---- ", IF(ABS(ROUND(100/AO38*AP38-100,1))&lt;999,ROUND(100/AO38*AP38-100,1),IF(ROUND(100/AO38*AP38-100,1)&gt;999,999,-999)))</f>
        <v>-75.400000000000006</v>
      </c>
      <c r="AR38" s="715"/>
      <c r="AS38" s="661"/>
      <c r="AT38" s="656"/>
      <c r="AU38" s="656"/>
    </row>
    <row r="39" spans="1:47" s="681" customFormat="1" ht="18.75" customHeight="1" x14ac:dyDescent="0.3">
      <c r="A39" s="629" t="s">
        <v>378</v>
      </c>
      <c r="B39" s="685">
        <v>0</v>
      </c>
      <c r="C39" s="679">
        <f>'Tabell 5.1'!C13+'Tabell 5.1'!C25+'Tabell 5.1'!C37+'Tabell 5.1'!C49+'Tabell 5.1'!C63+'Tabell 5.1'!C75+'Tabell 5.1'!C87+'Tabell 5.1'!C99+'Tabell 5.2'!C13+'Tabell 5.2'!C25+'Tabell 5.2'!C37+'Tabell 5.2'!C49+'Tabell 5.2'!C85+'Tabell 5.2'!C97+'Tabell 5.2'!C123+'Tabell 5.2'!C135+C13+C25+'Tabell 5.2'!C61+'Tabell 5.2'!C73+'Tabell 5.2'!C109</f>
        <v>0</v>
      </c>
      <c r="D39" s="679" t="str">
        <f t="shared" si="11"/>
        <v xml:space="preserve">    ---- </v>
      </c>
      <c r="E39" s="685">
        <v>-1028.3399999999999</v>
      </c>
      <c r="F39" s="679">
        <v>27</v>
      </c>
      <c r="G39" s="679">
        <f t="shared" si="12"/>
        <v>-102.6</v>
      </c>
      <c r="H39" s="679">
        <f>'Tabell 5.1'!H13+'Tabell 5.1'!H25+'Tabell 5.1'!H37+'Tabell 5.1'!H49+'Tabell 5.1'!H63+'Tabell 5.1'!H75+'Tabell 5.1'!H87+'Tabell 5.1'!H99+'Tabell 5.2'!H13+'Tabell 5.2'!H25+'Tabell 5.2'!H37+'Tabell 5.2'!H49+'Tabell 5.2'!H85+'Tabell 5.2'!H97+'Tabell 5.2'!H123+'Tabell 5.2'!H135+H13+H25+'Tabell 5.2'!H61+'Tabell 5.2'!H73+'Tabell 5.2'!H109</f>
        <v>0</v>
      </c>
      <c r="I39" s="679">
        <f>'Tabell 5.1'!I13+'Tabell 5.1'!I25+'Tabell 5.1'!I37+'Tabell 5.1'!I49+'Tabell 5.1'!I63+'Tabell 5.1'!I75+'Tabell 5.1'!I87+'Tabell 5.1'!I99+'Tabell 5.2'!I13+'Tabell 5.2'!I25+'Tabell 5.2'!I37+'Tabell 5.2'!I49+'Tabell 5.2'!I85+'Tabell 5.2'!I97+'Tabell 5.2'!I123+'Tabell 5.2'!I135+I13+I25+'Tabell 5.2'!I61+'Tabell 5.2'!I73+'Tabell 5.2'!I109</f>
        <v>0</v>
      </c>
      <c r="J39" s="679" t="str">
        <f t="shared" si="13"/>
        <v xml:space="preserve">    ---- </v>
      </c>
      <c r="K39" s="685">
        <f>'Tabell 5.1'!K13+'Tabell 5.1'!K25+'Tabell 5.1'!K37+'Tabell 5.1'!K49+'Tabell 5.1'!K63+'Tabell 5.1'!K75+'Tabell 5.1'!K87+'Tabell 5.1'!K99+'Tabell 5.2'!K13+'Tabell 5.2'!K25+'Tabell 5.2'!K37+'Tabell 5.2'!K49+'Tabell 5.2'!K85+'Tabell 5.2'!K97+'Tabell 5.2'!K123+'Tabell 5.2'!K135+K13+K25+'Tabell 5.2'!K61+'Tabell 5.2'!K73+'Tabell 5.2'!K109</f>
        <v>0</v>
      </c>
      <c r="L39" s="679">
        <f>'Tabell 5.1'!L13+'Tabell 5.1'!L25+'Tabell 5.1'!L37+'Tabell 5.1'!L49+'Tabell 5.1'!L63+'Tabell 5.1'!L75+'Tabell 5.1'!L87+'Tabell 5.1'!L99+'Tabell 5.2'!L13+'Tabell 5.2'!L25+'Tabell 5.2'!L37+'Tabell 5.2'!L49+'Tabell 5.2'!L85+'Tabell 5.2'!L97+'Tabell 5.2'!L123+'Tabell 5.2'!L135+L13+L25+'Tabell 5.2'!L61+'Tabell 5.2'!L73+'Tabell 5.2'!L109</f>
        <v>0</v>
      </c>
      <c r="M39" s="679" t="str">
        <f t="shared" si="14"/>
        <v xml:space="preserve">    ---- </v>
      </c>
      <c r="N39" s="685">
        <f>'Tabell 5.1'!N13+'Tabell 5.1'!N25+'Tabell 5.1'!N37+'Tabell 5.1'!N49+'Tabell 5.1'!N63+'Tabell 5.1'!N75+'Tabell 5.1'!N87+'Tabell 5.1'!N99+'Tabell 5.2'!N13+'Tabell 5.2'!N25+'Tabell 5.2'!N37+'Tabell 5.2'!N49+'Tabell 5.2'!N85+'Tabell 5.2'!N97+'Tabell 5.2'!N123+'Tabell 5.2'!N135+N13+N25+'Tabell 5.2'!N61+'Tabell 5.2'!N73+'Tabell 5.2'!N109</f>
        <v>0</v>
      </c>
      <c r="O39" s="679">
        <f>'Tabell 5.1'!O13+'Tabell 5.1'!O25+'Tabell 5.1'!O37+'Tabell 5.1'!O49+'Tabell 5.1'!O63+'Tabell 5.1'!O75+'Tabell 5.1'!O87+'Tabell 5.1'!O99+'Tabell 5.2'!O13+'Tabell 5.2'!O25+'Tabell 5.2'!O37+'Tabell 5.2'!O49+'Tabell 5.2'!O85+'Tabell 5.2'!O97+'Tabell 5.2'!O123+'Tabell 5.2'!O135+O13+O25+'Tabell 5.2'!O61+'Tabell 5.2'!O73+'Tabell 5.2'!O109</f>
        <v>0</v>
      </c>
      <c r="P39" s="679" t="str">
        <f t="shared" si="15"/>
        <v xml:space="preserve">    ---- </v>
      </c>
      <c r="Q39" s="685">
        <f>'Tabell 5.1'!Q13+'Tabell 5.1'!Q25+'Tabell 5.1'!Q37+'Tabell 5.1'!Q49+'Tabell 5.1'!Q63+'Tabell 5.1'!Q75+'Tabell 5.1'!Q87+'Tabell 5.1'!Q99+'Tabell 5.2'!Q13+'Tabell 5.2'!Q25+'Tabell 5.2'!Q37+'Tabell 5.2'!Q49+'Tabell 5.2'!Q85+'Tabell 5.2'!Q97+'Tabell 5.2'!Q123+'Tabell 5.2'!Q135+Q13+Q25+'Tabell 5.2'!Q61+'Tabell 5.2'!Q73+'Tabell 5.2'!Q109</f>
        <v>-12.645726</v>
      </c>
      <c r="R39" s="679">
        <f>'Tabell 5.1'!R13+'Tabell 5.1'!R25+'Tabell 5.1'!R37+'Tabell 5.1'!R49+'Tabell 5.1'!R63+'Tabell 5.1'!R75+'Tabell 5.1'!R87+'Tabell 5.1'!R99+'Tabell 5.2'!R13+'Tabell 5.2'!R25+'Tabell 5.2'!R37+'Tabell 5.2'!R49+'Tabell 5.2'!R85+'Tabell 5.2'!R97+'Tabell 5.2'!R123+'Tabell 5.2'!R135+R13+R25+'Tabell 5.2'!R61+'Tabell 5.2'!R73+'Tabell 5.2'!R109</f>
        <v>-20.551272999999998</v>
      </c>
      <c r="S39" s="679">
        <f t="shared" si="16"/>
        <v>62.5</v>
      </c>
      <c r="T39" s="685">
        <f>'Tabell 5.1'!T13+'Tabell 5.1'!T25+'Tabell 5.1'!T37+'Tabell 5.1'!T49+'Tabell 5.1'!T63+'Tabell 5.1'!T75+'Tabell 5.1'!T87+'Tabell 5.1'!T99+'Tabell 5.2'!T13+'Tabell 5.2'!T25+'Tabell 5.2'!T37+'Tabell 5.2'!T49+'Tabell 5.2'!T85+'Tabell 5.2'!T97+'Tabell 5.2'!T123+'Tabell 5.2'!T135+T13+T25+'Tabell 5.2'!T61+'Tabell 5.2'!T73+'Tabell 5.2'!T109</f>
        <v>-61</v>
      </c>
      <c r="U39" s="679">
        <f>'Tabell 5.1'!U13+'Tabell 5.1'!U25+'Tabell 5.1'!U37+'Tabell 5.1'!U49+'Tabell 5.1'!U63+'Tabell 5.1'!U75+'Tabell 5.1'!U87+'Tabell 5.1'!U99+'Tabell 5.2'!U13+'Tabell 5.2'!U25+'Tabell 5.2'!U37+'Tabell 5.2'!U49+'Tabell 5.2'!U85+'Tabell 5.2'!U97+'Tabell 5.2'!U123+'Tabell 5.2'!U135+U13+U25+'Tabell 5.2'!U61+'Tabell 5.2'!U73+'Tabell 5.2'!U109</f>
        <v>-8</v>
      </c>
      <c r="V39" s="679">
        <f t="shared" si="17"/>
        <v>-86.9</v>
      </c>
      <c r="W39" s="685">
        <v>-354.80609775100197</v>
      </c>
      <c r="X39" s="679">
        <v>-512.69894308011442</v>
      </c>
      <c r="Y39" s="679">
        <f t="shared" si="18"/>
        <v>44.5</v>
      </c>
      <c r="Z39" s="685">
        <f>'Tabell 5.1'!Z13+'Tabell 5.1'!Z25+'Tabell 5.1'!Z37+'Tabell 5.1'!Z49+'Tabell 5.1'!Z63+'Tabell 5.1'!Z75+'Tabell 5.1'!Z87+'Tabell 5.1'!Z99+'Tabell 5.2'!Z13+'Tabell 5.2'!Z25+'Tabell 5.2'!Z37+'Tabell 5.2'!Z49+'Tabell 5.2'!Z85+'Tabell 5.2'!Z97+'Tabell 5.2'!Z123+'Tabell 5.2'!Z135+Z13+Z25+'Tabell 5.2'!Z61+'Tabell 5.2'!Z73+'Tabell 5.2'!Z109</f>
        <v>-3033</v>
      </c>
      <c r="AA39" s="679">
        <f>'Tabell 5.1'!AA13+'Tabell 5.1'!AA25+'Tabell 5.1'!AA37+'Tabell 5.1'!AA49+'Tabell 5.1'!AA63+'Tabell 5.1'!AA75+'Tabell 5.1'!AA87+'Tabell 5.1'!AA99+'Tabell 5.2'!AA13+'Tabell 5.2'!AA25+'Tabell 5.2'!AA37+'Tabell 5.2'!AA49+'Tabell 5.2'!AA85+'Tabell 5.2'!AA97+'Tabell 5.2'!AA123+'Tabell 5.2'!AA135+AA13+AA25+'Tabell 5.2'!AA61+'Tabell 5.2'!AA73+'Tabell 5.2'!AA109</f>
        <v>-377</v>
      </c>
      <c r="AB39" s="679">
        <f t="shared" si="19"/>
        <v>-87.6</v>
      </c>
      <c r="AC39" s="685">
        <f>'Tabell 5.1'!AC13+'Tabell 5.1'!AC25+'Tabell 5.1'!AC37+'Tabell 5.1'!AC49+'Tabell 5.1'!AC63+'Tabell 5.1'!AC75+'Tabell 5.1'!AC87+'Tabell 5.1'!AC99+'Tabell 5.2'!AC13+'Tabell 5.2'!AC25+'Tabell 5.2'!AC37+'Tabell 5.2'!AC49+'Tabell 5.2'!AC85+'Tabell 5.2'!AC97+'Tabell 5.2'!AC123+'Tabell 5.2'!AC135+AC13+AC25+'Tabell 5.2'!AC61+'Tabell 5.2'!AC73+'Tabell 5.2'!AC109</f>
        <v>0</v>
      </c>
      <c r="AD39" s="679">
        <f>'Tabell 5.1'!AD13+'Tabell 5.1'!AD25+'Tabell 5.1'!AD37+'Tabell 5.1'!AD49+'Tabell 5.1'!AD63+'Tabell 5.1'!AD75+'Tabell 5.1'!AD87+'Tabell 5.1'!AD99+'Tabell 5.2'!AD13+'Tabell 5.2'!AD25+'Tabell 5.2'!AD37+'Tabell 5.2'!AD49+'Tabell 5.2'!AD85+'Tabell 5.2'!AD97+'Tabell 5.2'!AD123+'Tabell 5.2'!AD135+AD13+AD25+'Tabell 5.2'!AD61+'Tabell 5.2'!AD73+'Tabell 5.2'!AD109</f>
        <v>0</v>
      </c>
      <c r="AE39" s="679" t="str">
        <f t="shared" si="20"/>
        <v xml:space="preserve">    ---- </v>
      </c>
      <c r="AF39" s="685">
        <f>'Tabell 5.1'!AF13+'Tabell 5.1'!AF25+'Tabell 5.1'!AF37+'Tabell 5.1'!AF49+'Tabell 5.1'!AF63+'Tabell 5.1'!AF75+'Tabell 5.1'!AF87+'Tabell 5.1'!AF99+'Tabell 5.2'!AF13+'Tabell 5.2'!AF25+'Tabell 5.2'!AF37+'Tabell 5.2'!AF49+'Tabell 5.2'!AF85+'Tabell 5.2'!AF97+'Tabell 5.2'!AF123+'Tabell 5.2'!AF135+AF13+AF25+'Tabell 5.2'!AF61+'Tabell 5.2'!AF73+'Tabell 5.2'!AF109</f>
        <v>-245.565</v>
      </c>
      <c r="AG39" s="679">
        <f>'Tabell 5.1'!AG13+'Tabell 5.1'!AG25+'Tabell 5.1'!AG37+'Tabell 5.1'!AG49+'Tabell 5.1'!AG63+'Tabell 5.1'!AG75+'Tabell 5.1'!AG87+'Tabell 5.1'!AG99+'Tabell 5.2'!AG13+'Tabell 5.2'!AG25+'Tabell 5.2'!AG37+'Tabell 5.2'!AG49+'Tabell 5.2'!AG85+'Tabell 5.2'!AG97+'Tabell 5.2'!AG123+'Tabell 5.2'!AG135+AG13+AG25+'Tabell 5.2'!AG61+'Tabell 5.2'!AG73+'Tabell 5.2'!AG109</f>
        <v>-178.85</v>
      </c>
      <c r="AH39" s="679">
        <f t="shared" si="21"/>
        <v>-27.2</v>
      </c>
      <c r="AI39" s="685">
        <v>0</v>
      </c>
      <c r="AJ39" s="679">
        <v>-138.9</v>
      </c>
      <c r="AK39" s="679" t="str">
        <f t="shared" si="22"/>
        <v xml:space="preserve">    ---- </v>
      </c>
      <c r="AL39" s="679">
        <f t="shared" si="5"/>
        <v>-4735.3568237510017</v>
      </c>
      <c r="AM39" s="679">
        <f t="shared" si="5"/>
        <v>-1209.0002160801146</v>
      </c>
      <c r="AN39" s="679">
        <f t="shared" si="23"/>
        <v>-74.5</v>
      </c>
      <c r="AO39" s="679">
        <f>'Tabell 5.1'!AO13+'Tabell 5.1'!AO25+'Tabell 5.1'!AO37+'Tabell 5.1'!AO49+'Tabell 5.1'!AO63+'Tabell 5.1'!AO75+'Tabell 5.1'!AO87+'Tabell 5.1'!AO99+'Tabell 5.2'!AO13+'Tabell 5.2'!AO25+'Tabell 5.2'!AO37+'Tabell 5.2'!AO49+'Tabell 5.2'!AO85+'Tabell 5.2'!AO97+'Tabell 5.2'!AO123+'Tabell 5.2'!AO135+AO13+AO25+'Tabell 5.2'!AO61+'Tabell 5.2'!AO73+'Tabell 5.2'!AO109</f>
        <v>-4735.3568237510017</v>
      </c>
      <c r="AP39" s="679">
        <f>'Tabell 5.1'!AP13+'Tabell 5.1'!AP25+'Tabell 5.1'!AP37+'Tabell 5.1'!AP49+'Tabell 5.1'!AP63+'Tabell 5.1'!AP75+'Tabell 5.1'!AP87+'Tabell 5.1'!AP99+'Tabell 5.2'!AP13+'Tabell 5.2'!AP25+'Tabell 5.2'!AP37+'Tabell 5.2'!AP49+'Tabell 5.2'!AP85+'Tabell 5.2'!AP97+'Tabell 5.2'!AP123+'Tabell 5.2'!AP135+AP13+AP25+'Tabell 5.2'!AP61+'Tabell 5.2'!AP73+'Tabell 5.2'!AP109</f>
        <v>-1209.0002160801141</v>
      </c>
      <c r="AQ39" s="680">
        <f t="shared" si="24"/>
        <v>-74.5</v>
      </c>
      <c r="AR39" s="715"/>
      <c r="AS39" s="661"/>
      <c r="AT39" s="656"/>
      <c r="AU39" s="656"/>
    </row>
    <row r="40" spans="1:47" s="681" customFormat="1" ht="18.75" customHeight="1" x14ac:dyDescent="0.3">
      <c r="A40" s="629" t="s">
        <v>379</v>
      </c>
      <c r="B40" s="685">
        <v>-12.766999999999999</v>
      </c>
      <c r="C40" s="679">
        <f>'Tabell 5.1'!C14+'Tabell 5.1'!C26+'Tabell 5.1'!C38+'Tabell 5.1'!C50+'Tabell 5.1'!C64+'Tabell 5.1'!C76+'Tabell 5.1'!C88+'Tabell 5.1'!C100+'Tabell 5.2'!C14+'Tabell 5.2'!C26+'Tabell 5.2'!C38+'Tabell 5.2'!C50+'Tabell 5.2'!C86+'Tabell 5.2'!C98+'Tabell 5.2'!C124+'Tabell 5.2'!C136+C14+C26+'Tabell 5.2'!C62+'Tabell 5.2'!C74+'Tabell 5.2'!C110</f>
        <v>-18.777000000000001</v>
      </c>
      <c r="D40" s="679">
        <f t="shared" si="11"/>
        <v>47.1</v>
      </c>
      <c r="E40" s="685">
        <v>508.55700000000002</v>
      </c>
      <c r="F40" s="679">
        <v>549</v>
      </c>
      <c r="G40" s="679">
        <f t="shared" si="12"/>
        <v>8</v>
      </c>
      <c r="H40" s="685">
        <f>'Tabell 5.1'!H14+'Tabell 5.1'!H26+'Tabell 5.1'!H38+'Tabell 5.1'!H50+'Tabell 5.1'!H64+'Tabell 5.1'!H76+'Tabell 5.1'!H88+'Tabell 5.1'!H100+'Tabell 5.2'!H14+'Tabell 5.2'!H26+'Tabell 5.2'!H38+'Tabell 5.2'!H50+'Tabell 5.2'!H86+'Tabell 5.2'!H98+'Tabell 5.2'!H124+'Tabell 5.2'!H136+H14+H26+'Tabell 5.2'!H62+'Tabell 5.2'!H74+'Tabell 5.2'!H110</f>
        <v>-51.101999999999997</v>
      </c>
      <c r="I40" s="679">
        <f>'Tabell 5.1'!I14+'Tabell 5.1'!I26+'Tabell 5.1'!I38+'Tabell 5.1'!I50+'Tabell 5.1'!I64+'Tabell 5.1'!I76+'Tabell 5.1'!I88+'Tabell 5.1'!I100+'Tabell 5.2'!I14+'Tabell 5.2'!I26+'Tabell 5.2'!I38+'Tabell 5.2'!I50+'Tabell 5.2'!I86+'Tabell 5.2'!I98+'Tabell 5.2'!I124+'Tabell 5.2'!I136+I14+I26+'Tabell 5.2'!I62+'Tabell 5.2'!I74+'Tabell 5.2'!I110</f>
        <v>-49.86</v>
      </c>
      <c r="J40" s="679">
        <f t="shared" si="13"/>
        <v>-2.4</v>
      </c>
      <c r="K40" s="685">
        <f>'Tabell 5.1'!K14+'Tabell 5.1'!K26+'Tabell 5.1'!K38+'Tabell 5.1'!K50+'Tabell 5.1'!K64+'Tabell 5.1'!K76+'Tabell 5.1'!K88+'Tabell 5.1'!K100+'Tabell 5.2'!K14+'Tabell 5.2'!K26+'Tabell 5.2'!K38+'Tabell 5.2'!K50+'Tabell 5.2'!K86+'Tabell 5.2'!K98+'Tabell 5.2'!K124+'Tabell 5.2'!K136+K14+K26+'Tabell 5.2'!K62+'Tabell 5.2'!K74+'Tabell 5.2'!K110</f>
        <v>-31.241999999999997</v>
      </c>
      <c r="L40" s="679">
        <f>'Tabell 5.1'!L14+'Tabell 5.1'!L26+'Tabell 5.1'!L38+'Tabell 5.1'!L50+'Tabell 5.1'!L64+'Tabell 5.1'!L76+'Tabell 5.1'!L88+'Tabell 5.1'!L100+'Tabell 5.2'!L14+'Tabell 5.2'!L26+'Tabell 5.2'!L38+'Tabell 5.2'!L50+'Tabell 5.2'!L86+'Tabell 5.2'!L98+'Tabell 5.2'!L124+'Tabell 5.2'!L136+L14+L26+'Tabell 5.2'!L62+'Tabell 5.2'!L74+'Tabell 5.2'!L110</f>
        <v>120.7</v>
      </c>
      <c r="M40" s="679">
        <f t="shared" si="14"/>
        <v>-486.3</v>
      </c>
      <c r="N40" s="685">
        <f>'Tabell 5.1'!N14+'Tabell 5.1'!N26+'Tabell 5.1'!N38+'Tabell 5.1'!N50+'Tabell 5.1'!N64+'Tabell 5.1'!N76+'Tabell 5.1'!N88+'Tabell 5.1'!N100+'Tabell 5.2'!N14+'Tabell 5.2'!N26+'Tabell 5.2'!N38+'Tabell 5.2'!N50+'Tabell 5.2'!N86+'Tabell 5.2'!N98+'Tabell 5.2'!N124+'Tabell 5.2'!N136+N14+N26+'Tabell 5.2'!N62+'Tabell 5.2'!N74+'Tabell 5.2'!N110</f>
        <v>5.3410000000000002</v>
      </c>
      <c r="O40" s="679">
        <f>'Tabell 5.1'!O14+'Tabell 5.1'!O26+'Tabell 5.1'!O38+'Tabell 5.1'!O50+'Tabell 5.1'!O64+'Tabell 5.1'!O76+'Tabell 5.1'!O88+'Tabell 5.1'!O100+'Tabell 5.2'!O14+'Tabell 5.2'!O26+'Tabell 5.2'!O38+'Tabell 5.2'!O50+'Tabell 5.2'!O86+'Tabell 5.2'!O98+'Tabell 5.2'!O124+'Tabell 5.2'!O136+O14+O26+'Tabell 5.2'!O62+'Tabell 5.2'!O74+'Tabell 5.2'!O110</f>
        <v>4.4149578837910894</v>
      </c>
      <c r="P40" s="679">
        <f t="shared" si="15"/>
        <v>-17.3</v>
      </c>
      <c r="Q40" s="685">
        <f>'Tabell 5.1'!Q14+'Tabell 5.1'!Q26+'Tabell 5.1'!Q38+'Tabell 5.1'!Q50+'Tabell 5.1'!Q64+'Tabell 5.1'!Q76+'Tabell 5.1'!Q88+'Tabell 5.1'!Q100+'Tabell 5.2'!Q14+'Tabell 5.2'!Q26+'Tabell 5.2'!Q38+'Tabell 5.2'!Q50+'Tabell 5.2'!Q86+'Tabell 5.2'!Q98+'Tabell 5.2'!Q124+'Tabell 5.2'!Q136+Q14+Q26+'Tabell 5.2'!Q62+'Tabell 5.2'!Q74+'Tabell 5.2'!Q110</f>
        <v>140.56977323570149</v>
      </c>
      <c r="R40" s="679">
        <f>'Tabell 5.1'!R14+'Tabell 5.1'!R26+'Tabell 5.1'!R38+'Tabell 5.1'!R50+'Tabell 5.1'!R64+'Tabell 5.1'!R76+'Tabell 5.1'!R88+'Tabell 5.1'!R100+'Tabell 5.2'!R14+'Tabell 5.2'!R26+'Tabell 5.2'!R38+'Tabell 5.2'!R50+'Tabell 5.2'!R86+'Tabell 5.2'!R98+'Tabell 5.2'!R124+'Tabell 5.2'!R136+R14+R26+'Tabell 5.2'!R62+'Tabell 5.2'!R74+'Tabell 5.2'!R110</f>
        <v>136.25192532769091</v>
      </c>
      <c r="S40" s="679">
        <f t="shared" si="16"/>
        <v>-3.1</v>
      </c>
      <c r="T40" s="685">
        <f>'Tabell 5.1'!T14+'Tabell 5.1'!T26+'Tabell 5.1'!T38+'Tabell 5.1'!T50+'Tabell 5.1'!T64+'Tabell 5.1'!T76+'Tabell 5.1'!T88+'Tabell 5.1'!T100+'Tabell 5.2'!T14+'Tabell 5.2'!T26+'Tabell 5.2'!T38+'Tabell 5.2'!T50+'Tabell 5.2'!T86+'Tabell 5.2'!T98+'Tabell 5.2'!T124+'Tabell 5.2'!T136+T14+T26+'Tabell 5.2'!T62+'Tabell 5.2'!T74+'Tabell 5.2'!T110</f>
        <v>-39</v>
      </c>
      <c r="U40" s="679">
        <f>'Tabell 5.1'!U14+'Tabell 5.1'!U26+'Tabell 5.1'!U38+'Tabell 5.1'!U50+'Tabell 5.1'!U64+'Tabell 5.1'!U76+'Tabell 5.1'!U88+'Tabell 5.1'!U100+'Tabell 5.2'!U14+'Tabell 5.2'!U26+'Tabell 5.2'!U38+'Tabell 5.2'!U50+'Tabell 5.2'!U86+'Tabell 5.2'!U98+'Tabell 5.2'!U124+'Tabell 5.2'!U136+U14+U26+'Tabell 5.2'!U62+'Tabell 5.2'!U74+'Tabell 5.2'!U110</f>
        <v>-39</v>
      </c>
      <c r="V40" s="679">
        <f t="shared" si="17"/>
        <v>0</v>
      </c>
      <c r="W40" s="685">
        <v>304.43918011361586</v>
      </c>
      <c r="X40" s="679">
        <v>331.37044324039613</v>
      </c>
      <c r="Y40" s="679">
        <f t="shared" si="18"/>
        <v>8.8000000000000007</v>
      </c>
      <c r="Z40" s="685">
        <f>'Tabell 5.1'!Z14+'Tabell 5.1'!Z26+'Tabell 5.1'!Z38+'Tabell 5.1'!Z50+'Tabell 5.1'!Z64+'Tabell 5.1'!Z76+'Tabell 5.1'!Z88+'Tabell 5.1'!Z100+'Tabell 5.2'!Z14+'Tabell 5.2'!Z26+'Tabell 5.2'!Z38+'Tabell 5.2'!Z50+'Tabell 5.2'!Z86+'Tabell 5.2'!Z98+'Tabell 5.2'!Z124+'Tabell 5.2'!Z136+Z14+Z26+'Tabell 5.2'!Z62+'Tabell 5.2'!Z74+'Tabell 5.2'!Z110</f>
        <v>39</v>
      </c>
      <c r="AA40" s="679">
        <f>'Tabell 5.1'!AA14+'Tabell 5.1'!AA26+'Tabell 5.1'!AA38+'Tabell 5.1'!AA50+'Tabell 5.1'!AA64+'Tabell 5.1'!AA76+'Tabell 5.1'!AA88+'Tabell 5.1'!AA100+'Tabell 5.2'!AA14+'Tabell 5.2'!AA26+'Tabell 5.2'!AA38+'Tabell 5.2'!AA50+'Tabell 5.2'!AA86+'Tabell 5.2'!AA98+'Tabell 5.2'!AA124+'Tabell 5.2'!AA136+AA14+AA26+'Tabell 5.2'!AA62+'Tabell 5.2'!AA74+'Tabell 5.2'!AA110</f>
        <v>47</v>
      </c>
      <c r="AB40" s="679">
        <f t="shared" si="19"/>
        <v>20.5</v>
      </c>
      <c r="AC40" s="685">
        <f>'Tabell 5.1'!AC14+'Tabell 5.1'!AC26+'Tabell 5.1'!AC38+'Tabell 5.1'!AC50+'Tabell 5.1'!AC64+'Tabell 5.1'!AC76+'Tabell 5.1'!AC88+'Tabell 5.1'!AC100+'Tabell 5.2'!AC14+'Tabell 5.2'!AC26+'Tabell 5.2'!AC38+'Tabell 5.2'!AC50+'Tabell 5.2'!AC86+'Tabell 5.2'!AC98+'Tabell 5.2'!AC124+'Tabell 5.2'!AC136+AC14+AC26+'Tabell 5.2'!AC62+'Tabell 5.2'!AC74+'Tabell 5.2'!AC110</f>
        <v>12.686</v>
      </c>
      <c r="AD40" s="679">
        <f>'Tabell 5.1'!AD14+'Tabell 5.1'!AD26+'Tabell 5.1'!AD38+'Tabell 5.1'!AD50+'Tabell 5.1'!AD64+'Tabell 5.1'!AD76+'Tabell 5.1'!AD88+'Tabell 5.1'!AD100+'Tabell 5.2'!AD14+'Tabell 5.2'!AD26+'Tabell 5.2'!AD38+'Tabell 5.2'!AD50+'Tabell 5.2'!AD86+'Tabell 5.2'!AD98+'Tabell 5.2'!AD124+'Tabell 5.2'!AD136+AD14+AD26+'Tabell 5.2'!AD62+'Tabell 5.2'!AD74+'Tabell 5.2'!AD110</f>
        <v>13.34519899</v>
      </c>
      <c r="AE40" s="679">
        <f t="shared" si="20"/>
        <v>5.2</v>
      </c>
      <c r="AF40" s="685">
        <f>'Tabell 5.1'!AF14+'Tabell 5.1'!AF26+'Tabell 5.1'!AF38+'Tabell 5.1'!AF50+'Tabell 5.1'!AF64+'Tabell 5.1'!AF76+'Tabell 5.1'!AF88+'Tabell 5.1'!AF100+'Tabell 5.2'!AF14+'Tabell 5.2'!AF26+'Tabell 5.2'!AF38+'Tabell 5.2'!AF50+'Tabell 5.2'!AF86+'Tabell 5.2'!AF98+'Tabell 5.2'!AF124+'Tabell 5.2'!AF136+AF14+AF26+'Tabell 5.2'!AF62+'Tabell 5.2'!AF74+'Tabell 5.2'!AF110</f>
        <v>5.4559999999999995</v>
      </c>
      <c r="AG40" s="679">
        <f>'Tabell 5.1'!AG14+'Tabell 5.1'!AG26+'Tabell 5.1'!AG38+'Tabell 5.1'!AG50+'Tabell 5.1'!AG64+'Tabell 5.1'!AG76+'Tabell 5.1'!AG88+'Tabell 5.1'!AG100+'Tabell 5.2'!AG14+'Tabell 5.2'!AG26+'Tabell 5.2'!AG38+'Tabell 5.2'!AG50+'Tabell 5.2'!AG86+'Tabell 5.2'!AG98+'Tabell 5.2'!AG124+'Tabell 5.2'!AG136+AG14+AG26+'Tabell 5.2'!AG62+'Tabell 5.2'!AG74+'Tabell 5.2'!AG110</f>
        <v>-75.075000000000003</v>
      </c>
      <c r="AH40" s="679">
        <f t="shared" si="21"/>
        <v>-999</v>
      </c>
      <c r="AI40" s="685">
        <v>221.2</v>
      </c>
      <c r="AJ40" s="679">
        <v>269.8</v>
      </c>
      <c r="AK40" s="679">
        <f t="shared" si="22"/>
        <v>22</v>
      </c>
      <c r="AL40" s="679">
        <f t="shared" si="5"/>
        <v>1085.1109533493175</v>
      </c>
      <c r="AM40" s="679">
        <f t="shared" si="5"/>
        <v>1271.4103685680868</v>
      </c>
      <c r="AN40" s="679">
        <f t="shared" si="23"/>
        <v>17.2</v>
      </c>
      <c r="AO40" s="679">
        <f>'Tabell 5.1'!AO14+'Tabell 5.1'!AO26+'Tabell 5.1'!AO38+'Tabell 5.1'!AO50+'Tabell 5.1'!AO64+'Tabell 5.1'!AO76+'Tabell 5.1'!AO88+'Tabell 5.1'!AO100+'Tabell 5.2'!AO14+'Tabell 5.2'!AO26+'Tabell 5.2'!AO38+'Tabell 5.2'!AO50+'Tabell 5.2'!AO86+'Tabell 5.2'!AO98+'Tabell 5.2'!AO124+'Tabell 5.2'!AO136+AO14+AO26+'Tabell 5.2'!AO62+'Tabell 5.2'!AO74+'Tabell 5.2'!AO110</f>
        <v>1103.1379533493173</v>
      </c>
      <c r="AP40" s="679">
        <f>'Tabell 5.1'!AP14+'Tabell 5.1'!AP26+'Tabell 5.1'!AP38+'Tabell 5.1'!AP50+'Tabell 5.1'!AP64+'Tabell 5.1'!AP76+'Tabell 5.1'!AP88+'Tabell 5.1'!AP100+'Tabell 5.2'!AP14+'Tabell 5.2'!AP26+'Tabell 5.2'!AP38+'Tabell 5.2'!AP50+'Tabell 5.2'!AP86+'Tabell 5.2'!AP98+'Tabell 5.2'!AP124+'Tabell 5.2'!AP136+AP14+AP26+'Tabell 5.2'!AP62+'Tabell 5.2'!AP74+'Tabell 5.2'!AP110</f>
        <v>1290.2905254418781</v>
      </c>
      <c r="AQ40" s="680">
        <f t="shared" si="24"/>
        <v>17</v>
      </c>
      <c r="AR40" s="715"/>
      <c r="AS40" s="661"/>
      <c r="AT40" s="656"/>
      <c r="AU40" s="656"/>
    </row>
    <row r="41" spans="1:47" s="681" customFormat="1" ht="18.75" customHeight="1" x14ac:dyDescent="0.3">
      <c r="A41" s="629" t="s">
        <v>380</v>
      </c>
      <c r="B41" s="685">
        <v>0</v>
      </c>
      <c r="C41" s="679">
        <f>'Tabell 5.1'!C15+'Tabell 5.1'!C27+'Tabell 5.1'!C39+'Tabell 5.1'!C51+'Tabell 5.1'!C65+'Tabell 5.1'!C77+'Tabell 5.1'!C89+'Tabell 5.1'!C101+'Tabell 5.2'!C15+'Tabell 5.2'!C27+'Tabell 5.2'!C39+'Tabell 5.2'!C51+'Tabell 5.2'!C87+'Tabell 5.2'!C99+'Tabell 5.2'!C125+'Tabell 5.2'!C137+C15+C27+'Tabell 5.2'!C63+'Tabell 5.2'!C75+'Tabell 5.2'!C111</f>
        <v>0</v>
      </c>
      <c r="D41" s="679" t="str">
        <f t="shared" si="11"/>
        <v xml:space="preserve">    ---- </v>
      </c>
      <c r="E41" s="685">
        <v>30.56</v>
      </c>
      <c r="F41" s="679">
        <v>27</v>
      </c>
      <c r="G41" s="679">
        <f t="shared" si="12"/>
        <v>-11.6</v>
      </c>
      <c r="H41" s="679">
        <f>'Tabell 5.1'!H15+'Tabell 5.1'!H27+'Tabell 5.1'!H39+'Tabell 5.1'!H51+'Tabell 5.1'!H65+'Tabell 5.1'!H77+'Tabell 5.1'!H89+'Tabell 5.1'!H101+'Tabell 5.2'!H15+'Tabell 5.2'!H27+'Tabell 5.2'!H39+'Tabell 5.2'!H51+'Tabell 5.2'!H87+'Tabell 5.2'!H99+'Tabell 5.2'!H125+'Tabell 5.2'!H137+H15+H27+'Tabell 5.2'!H63+'Tabell 5.2'!H75+'Tabell 5.2'!H111</f>
        <v>0</v>
      </c>
      <c r="I41" s="679">
        <f>'Tabell 5.1'!I15+'Tabell 5.1'!I27+'Tabell 5.1'!I39+'Tabell 5.1'!I51+'Tabell 5.1'!I65+'Tabell 5.1'!I77+'Tabell 5.1'!I89+'Tabell 5.1'!I101+'Tabell 5.2'!I15+'Tabell 5.2'!I27+'Tabell 5.2'!I39+'Tabell 5.2'!I51+'Tabell 5.2'!I87+'Tabell 5.2'!I99+'Tabell 5.2'!I125+'Tabell 5.2'!I137+I15+I27+'Tabell 5.2'!I63+'Tabell 5.2'!I75+'Tabell 5.2'!I111</f>
        <v>0</v>
      </c>
      <c r="J41" s="679" t="str">
        <f t="shared" si="13"/>
        <v xml:space="preserve">    ---- </v>
      </c>
      <c r="K41" s="685">
        <f>'Tabell 5.1'!K15+'Tabell 5.1'!K27+'Tabell 5.1'!K39+'Tabell 5.1'!K51+'Tabell 5.1'!K65+'Tabell 5.1'!K77+'Tabell 5.1'!K89+'Tabell 5.1'!K101+'Tabell 5.2'!K15+'Tabell 5.2'!K27+'Tabell 5.2'!K39+'Tabell 5.2'!K51+'Tabell 5.2'!K87+'Tabell 5.2'!K99+'Tabell 5.2'!K125+'Tabell 5.2'!K137+K15+K27+'Tabell 5.2'!K63+'Tabell 5.2'!K75+'Tabell 5.2'!K111</f>
        <v>0</v>
      </c>
      <c r="L41" s="679">
        <f>'Tabell 5.1'!L15+'Tabell 5.1'!L27+'Tabell 5.1'!L39+'Tabell 5.1'!L51+'Tabell 5.1'!L65+'Tabell 5.1'!L77+'Tabell 5.1'!L89+'Tabell 5.1'!L101+'Tabell 5.2'!L15+'Tabell 5.2'!L27+'Tabell 5.2'!L39+'Tabell 5.2'!L51+'Tabell 5.2'!L87+'Tabell 5.2'!L99+'Tabell 5.2'!L125+'Tabell 5.2'!L137+L15+L27+'Tabell 5.2'!L63+'Tabell 5.2'!L75+'Tabell 5.2'!L111</f>
        <v>0.8</v>
      </c>
      <c r="M41" s="679" t="str">
        <f t="shared" si="14"/>
        <v xml:space="preserve">    ---- </v>
      </c>
      <c r="N41" s="685">
        <f>'Tabell 5.1'!N15+'Tabell 5.1'!N27+'Tabell 5.1'!N39+'Tabell 5.1'!N51+'Tabell 5.1'!N65+'Tabell 5.1'!N77+'Tabell 5.1'!N89+'Tabell 5.1'!N101+'Tabell 5.2'!N15+'Tabell 5.2'!N27+'Tabell 5.2'!N39+'Tabell 5.2'!N51+'Tabell 5.2'!N87+'Tabell 5.2'!N99+'Tabell 5.2'!N125+'Tabell 5.2'!N137+N15+N27+'Tabell 5.2'!N63+'Tabell 5.2'!N75+'Tabell 5.2'!N111</f>
        <v>0</v>
      </c>
      <c r="O41" s="679">
        <f>'Tabell 5.1'!O15+'Tabell 5.1'!O27+'Tabell 5.1'!O39+'Tabell 5.1'!O51+'Tabell 5.1'!O65+'Tabell 5.1'!O77+'Tabell 5.1'!O89+'Tabell 5.1'!O101+'Tabell 5.2'!O15+'Tabell 5.2'!O27+'Tabell 5.2'!O39+'Tabell 5.2'!O51+'Tabell 5.2'!O87+'Tabell 5.2'!O99+'Tabell 5.2'!O125+'Tabell 5.2'!O137+O15+O27+'Tabell 5.2'!O63+'Tabell 5.2'!O75+'Tabell 5.2'!O111</f>
        <v>0</v>
      </c>
      <c r="P41" s="679" t="str">
        <f t="shared" si="15"/>
        <v xml:space="preserve">    ---- </v>
      </c>
      <c r="Q41" s="685">
        <f>'Tabell 5.1'!Q15+'Tabell 5.1'!Q27+'Tabell 5.1'!Q39+'Tabell 5.1'!Q51+'Tabell 5.1'!Q65+'Tabell 5.1'!Q77+'Tabell 5.1'!Q89+'Tabell 5.1'!Q101+'Tabell 5.2'!Q15+'Tabell 5.2'!Q27+'Tabell 5.2'!Q39+'Tabell 5.2'!Q51+'Tabell 5.2'!Q87+'Tabell 5.2'!Q99+'Tabell 5.2'!Q125+'Tabell 5.2'!Q137+Q15+Q27+'Tabell 5.2'!Q63+'Tabell 5.2'!Q75+'Tabell 5.2'!Q111</f>
        <v>0</v>
      </c>
      <c r="R41" s="679">
        <f>'Tabell 5.1'!R15+'Tabell 5.1'!R27+'Tabell 5.1'!R39+'Tabell 5.1'!R51+'Tabell 5.1'!R65+'Tabell 5.1'!R77+'Tabell 5.1'!R89+'Tabell 5.1'!R101+'Tabell 5.2'!R15+'Tabell 5.2'!R27+'Tabell 5.2'!R39+'Tabell 5.2'!R51+'Tabell 5.2'!R87+'Tabell 5.2'!R99+'Tabell 5.2'!R125+'Tabell 5.2'!R137+R15+R27+'Tabell 5.2'!R63+'Tabell 5.2'!R75+'Tabell 5.2'!R111</f>
        <v>0</v>
      </c>
      <c r="S41" s="679" t="str">
        <f t="shared" si="16"/>
        <v xml:space="preserve">    ---- </v>
      </c>
      <c r="T41" s="685">
        <f>'Tabell 5.1'!T15+'Tabell 5.1'!T27+'Tabell 5.1'!T39+'Tabell 5.1'!T51+'Tabell 5.1'!T65+'Tabell 5.1'!T77+'Tabell 5.1'!T89+'Tabell 5.1'!T101+'Tabell 5.2'!T15+'Tabell 5.2'!T27+'Tabell 5.2'!T39+'Tabell 5.2'!T51+'Tabell 5.2'!T87+'Tabell 5.2'!T99+'Tabell 5.2'!T125+'Tabell 5.2'!T137+T15+T27+'Tabell 5.2'!T63+'Tabell 5.2'!T75+'Tabell 5.2'!T111</f>
        <v>3</v>
      </c>
      <c r="U41" s="679">
        <f>'Tabell 5.1'!U15+'Tabell 5.1'!U27+'Tabell 5.1'!U39+'Tabell 5.1'!U51+'Tabell 5.1'!U65+'Tabell 5.1'!U77+'Tabell 5.1'!U89+'Tabell 5.1'!U101+'Tabell 5.2'!U15+'Tabell 5.2'!U27+'Tabell 5.2'!U39+'Tabell 5.2'!U51+'Tabell 5.2'!U87+'Tabell 5.2'!U99+'Tabell 5.2'!U125+'Tabell 5.2'!U137+U15+U27+'Tabell 5.2'!U63+'Tabell 5.2'!U75+'Tabell 5.2'!U111</f>
        <v>4</v>
      </c>
      <c r="V41" s="679">
        <f t="shared" si="17"/>
        <v>33.299999999999997</v>
      </c>
      <c r="W41" s="685">
        <v>1.1754993</v>
      </c>
      <c r="X41" s="679">
        <v>0.99353970000000014</v>
      </c>
      <c r="Y41" s="679">
        <f t="shared" si="18"/>
        <v>-15.5</v>
      </c>
      <c r="Z41" s="685">
        <f>'Tabell 5.1'!Z15+'Tabell 5.1'!Z27+'Tabell 5.1'!Z39+'Tabell 5.1'!Z51+'Tabell 5.1'!Z65+'Tabell 5.1'!Z77+'Tabell 5.1'!Z89+'Tabell 5.1'!Z101+'Tabell 5.2'!Z15+'Tabell 5.2'!Z27+'Tabell 5.2'!Z39+'Tabell 5.2'!Z51+'Tabell 5.2'!Z87+'Tabell 5.2'!Z99+'Tabell 5.2'!Z125+'Tabell 5.2'!Z137+Z15+Z27+'Tabell 5.2'!Z63+'Tabell 5.2'!Z75+'Tabell 5.2'!Z111</f>
        <v>0</v>
      </c>
      <c r="AA41" s="679">
        <f>'Tabell 5.1'!AA15+'Tabell 5.1'!AA27+'Tabell 5.1'!AA39+'Tabell 5.1'!AA51+'Tabell 5.1'!AA65+'Tabell 5.1'!AA77+'Tabell 5.1'!AA89+'Tabell 5.1'!AA101+'Tabell 5.2'!AA15+'Tabell 5.2'!AA27+'Tabell 5.2'!AA39+'Tabell 5.2'!AA51+'Tabell 5.2'!AA87+'Tabell 5.2'!AA99+'Tabell 5.2'!AA125+'Tabell 5.2'!AA137+AA15+AA27+'Tabell 5.2'!AA63+'Tabell 5.2'!AA75+'Tabell 5.2'!AA111</f>
        <v>0</v>
      </c>
      <c r="AB41" s="679" t="str">
        <f t="shared" si="19"/>
        <v xml:space="preserve">    ---- </v>
      </c>
      <c r="AC41" s="685">
        <f>'Tabell 5.1'!AC15+'Tabell 5.1'!AC27+'Tabell 5.1'!AC39+'Tabell 5.1'!AC51+'Tabell 5.1'!AC65+'Tabell 5.1'!AC77+'Tabell 5.1'!AC89+'Tabell 5.1'!AC101+'Tabell 5.2'!AC15+'Tabell 5.2'!AC27+'Tabell 5.2'!AC39+'Tabell 5.2'!AC51+'Tabell 5.2'!AC87+'Tabell 5.2'!AC99+'Tabell 5.2'!AC125+'Tabell 5.2'!AC137+AC15+AC27+'Tabell 5.2'!AC63+'Tabell 5.2'!AC75+'Tabell 5.2'!AC111</f>
        <v>0</v>
      </c>
      <c r="AD41" s="679">
        <f>'Tabell 5.1'!AD15+'Tabell 5.1'!AD27+'Tabell 5.1'!AD39+'Tabell 5.1'!AD51+'Tabell 5.1'!AD65+'Tabell 5.1'!AD77+'Tabell 5.1'!AD89+'Tabell 5.1'!AD101+'Tabell 5.2'!AD15+'Tabell 5.2'!AD27+'Tabell 5.2'!AD39+'Tabell 5.2'!AD51+'Tabell 5.2'!AD87+'Tabell 5.2'!AD99+'Tabell 5.2'!AD125+'Tabell 5.2'!AD137+AD15+AD27+'Tabell 5.2'!AD63+'Tabell 5.2'!AD75+'Tabell 5.2'!AD111</f>
        <v>0</v>
      </c>
      <c r="AE41" s="679" t="str">
        <f t="shared" si="20"/>
        <v xml:space="preserve">    ---- </v>
      </c>
      <c r="AF41" s="685">
        <f>'Tabell 5.1'!AF15+'Tabell 5.1'!AF27+'Tabell 5.1'!AF39+'Tabell 5.1'!AF51+'Tabell 5.1'!AF65+'Tabell 5.1'!AF77+'Tabell 5.1'!AF89+'Tabell 5.1'!AF101+'Tabell 5.2'!AF15+'Tabell 5.2'!AF27+'Tabell 5.2'!AF39+'Tabell 5.2'!AF51+'Tabell 5.2'!AF87+'Tabell 5.2'!AF99+'Tabell 5.2'!AF125+'Tabell 5.2'!AF137+AF15+AF27+'Tabell 5.2'!AF63+'Tabell 5.2'!AF75+'Tabell 5.2'!AF111</f>
        <v>0</v>
      </c>
      <c r="AG41" s="679">
        <f>'Tabell 5.1'!AG15+'Tabell 5.1'!AG27+'Tabell 5.1'!AG39+'Tabell 5.1'!AG51+'Tabell 5.1'!AG65+'Tabell 5.1'!AG77+'Tabell 5.1'!AG89+'Tabell 5.1'!AG101+'Tabell 5.2'!AG15+'Tabell 5.2'!AG27+'Tabell 5.2'!AG39+'Tabell 5.2'!AG51+'Tabell 5.2'!AG87+'Tabell 5.2'!AG99+'Tabell 5.2'!AG125+'Tabell 5.2'!AG137+AG15+AG27+'Tabell 5.2'!AG63+'Tabell 5.2'!AG75+'Tabell 5.2'!AG111</f>
        <v>0</v>
      </c>
      <c r="AH41" s="679" t="str">
        <f t="shared" si="21"/>
        <v xml:space="preserve">    ---- </v>
      </c>
      <c r="AI41" s="685">
        <v>73.61</v>
      </c>
      <c r="AJ41" s="679">
        <v>45.7</v>
      </c>
      <c r="AK41" s="679">
        <f t="shared" si="22"/>
        <v>-37.9</v>
      </c>
      <c r="AL41" s="679">
        <f t="shared" si="5"/>
        <v>108.3454993</v>
      </c>
      <c r="AM41" s="679">
        <f t="shared" si="5"/>
        <v>78.493539700000014</v>
      </c>
      <c r="AN41" s="679">
        <f t="shared" si="23"/>
        <v>-27.6</v>
      </c>
      <c r="AO41" s="679">
        <f>'Tabell 5.1'!AO15+'Tabell 5.1'!AO27+'Tabell 5.1'!AO39+'Tabell 5.1'!AO51+'Tabell 5.1'!AO65+'Tabell 5.1'!AO77+'Tabell 5.1'!AO89+'Tabell 5.1'!AO101+'Tabell 5.2'!AO15+'Tabell 5.2'!AO27+'Tabell 5.2'!AO39+'Tabell 5.2'!AO51+'Tabell 5.2'!AO87+'Tabell 5.2'!AO99+'Tabell 5.2'!AO125+'Tabell 5.2'!AO137+AO15+AO27+'Tabell 5.2'!AO63+'Tabell 5.2'!AO75+'Tabell 5.2'!AO111</f>
        <v>108.3454993</v>
      </c>
      <c r="AP41" s="679">
        <f>'Tabell 5.1'!AP15+'Tabell 5.1'!AP27+'Tabell 5.1'!AP39+'Tabell 5.1'!AP51+'Tabell 5.1'!AP65+'Tabell 5.1'!AP77+'Tabell 5.1'!AP89+'Tabell 5.1'!AP101+'Tabell 5.2'!AP15+'Tabell 5.2'!AP27+'Tabell 5.2'!AP39+'Tabell 5.2'!AP51+'Tabell 5.2'!AP87+'Tabell 5.2'!AP99+'Tabell 5.2'!AP125+'Tabell 5.2'!AP137+AP15+AP27+'Tabell 5.2'!AP63+'Tabell 5.2'!AP75+'Tabell 5.2'!AP111</f>
        <v>78.493539699999999</v>
      </c>
      <c r="AQ41" s="680">
        <f t="shared" si="24"/>
        <v>-27.6</v>
      </c>
      <c r="AR41" s="715"/>
      <c r="AS41" s="661"/>
      <c r="AT41" s="656"/>
      <c r="AU41" s="656"/>
    </row>
    <row r="42" spans="1:47" s="681" customFormat="1" ht="18.75" customHeight="1" x14ac:dyDescent="0.3">
      <c r="A42" s="629" t="s">
        <v>381</v>
      </c>
      <c r="B42" s="685">
        <v>1.0820000000000001</v>
      </c>
      <c r="C42" s="679">
        <f>'Tabell 5.1'!C16+'Tabell 5.1'!C28+'Tabell 5.1'!C40+'Tabell 5.1'!C52+'Tabell 5.1'!C66+'Tabell 5.1'!C78+'Tabell 5.1'!C90+'Tabell 5.1'!C102+'Tabell 5.2'!C16+'Tabell 5.2'!C28+'Tabell 5.2'!C40+'Tabell 5.2'!C52+'Tabell 5.2'!C88+'Tabell 5.2'!C100+'Tabell 5.2'!C126+'Tabell 5.2'!C138+C16+C28+'Tabell 5.2'!C64+'Tabell 5.2'!C76+'Tabell 5.2'!C112</f>
        <v>1.0660000000000001</v>
      </c>
      <c r="D42" s="679">
        <f t="shared" si="11"/>
        <v>-1.5</v>
      </c>
      <c r="E42" s="685">
        <v>206.82999999999998</v>
      </c>
      <c r="F42" s="679">
        <v>206</v>
      </c>
      <c r="G42" s="679">
        <f t="shared" si="12"/>
        <v>-0.4</v>
      </c>
      <c r="H42" s="679">
        <f>'Tabell 5.1'!H16+'Tabell 5.1'!H28+'Tabell 5.1'!H40+'Tabell 5.1'!H52+'Tabell 5.1'!H66+'Tabell 5.1'!H78+'Tabell 5.1'!H90+'Tabell 5.1'!H102+'Tabell 5.2'!H16+'Tabell 5.2'!H28+'Tabell 5.2'!H40+'Tabell 5.2'!H52+'Tabell 5.2'!H88+'Tabell 5.2'!H100+'Tabell 5.2'!H126+'Tabell 5.2'!H138+H16+H28+'Tabell 5.2'!H64+'Tabell 5.2'!H76+'Tabell 5.2'!H112</f>
        <v>0</v>
      </c>
      <c r="I42" s="679">
        <f>'Tabell 5.1'!I16+'Tabell 5.1'!I28+'Tabell 5.1'!I40+'Tabell 5.1'!I52+'Tabell 5.1'!I66+'Tabell 5.1'!I78+'Tabell 5.1'!I90+'Tabell 5.1'!I102+'Tabell 5.2'!I16+'Tabell 5.2'!I28+'Tabell 5.2'!I40+'Tabell 5.2'!I52+'Tabell 5.2'!I88+'Tabell 5.2'!I100+'Tabell 5.2'!I126+'Tabell 5.2'!I138+I16+I28+'Tabell 5.2'!I64+'Tabell 5.2'!I76+'Tabell 5.2'!I112</f>
        <v>0</v>
      </c>
      <c r="J42" s="679" t="str">
        <f t="shared" si="13"/>
        <v xml:space="preserve">    ---- </v>
      </c>
      <c r="K42" s="685">
        <f>'Tabell 5.1'!K16+'Tabell 5.1'!K28+'Tabell 5.1'!K40+'Tabell 5.1'!K52+'Tabell 5.1'!K66+'Tabell 5.1'!K78+'Tabell 5.1'!K90+'Tabell 5.1'!K102+'Tabell 5.2'!K16+'Tabell 5.2'!K28+'Tabell 5.2'!K40+'Tabell 5.2'!K52+'Tabell 5.2'!K88+'Tabell 5.2'!K100+'Tabell 5.2'!K126+'Tabell 5.2'!K138+K16+K28+'Tabell 5.2'!K64+'Tabell 5.2'!K76+'Tabell 5.2'!K112</f>
        <v>0</v>
      </c>
      <c r="L42" s="679">
        <f>'Tabell 5.1'!L16+'Tabell 5.1'!L28+'Tabell 5.1'!L40+'Tabell 5.1'!L52+'Tabell 5.1'!L66+'Tabell 5.1'!L78+'Tabell 5.1'!L90+'Tabell 5.1'!L102+'Tabell 5.2'!L16+'Tabell 5.2'!L28+'Tabell 5.2'!L40+'Tabell 5.2'!L52+'Tabell 5.2'!L88+'Tabell 5.2'!L100+'Tabell 5.2'!L126+'Tabell 5.2'!L138+L16+L28+'Tabell 5.2'!L64+'Tabell 5.2'!L76+'Tabell 5.2'!L112</f>
        <v>2.1</v>
      </c>
      <c r="M42" s="679" t="str">
        <f t="shared" si="14"/>
        <v xml:space="preserve">    ---- </v>
      </c>
      <c r="N42" s="685">
        <f>'Tabell 5.1'!N16+'Tabell 5.1'!N28+'Tabell 5.1'!N40+'Tabell 5.1'!N52+'Tabell 5.1'!N66+'Tabell 5.1'!N78+'Tabell 5.1'!N90+'Tabell 5.1'!N102+'Tabell 5.2'!N16+'Tabell 5.2'!N28+'Tabell 5.2'!N40+'Tabell 5.2'!N52+'Tabell 5.2'!N88+'Tabell 5.2'!N100+'Tabell 5.2'!N126+'Tabell 5.2'!N138+N16+N28+'Tabell 5.2'!N64+'Tabell 5.2'!N76+'Tabell 5.2'!N112</f>
        <v>0</v>
      </c>
      <c r="O42" s="679">
        <f>'Tabell 5.1'!O16+'Tabell 5.1'!O28+'Tabell 5.1'!O40+'Tabell 5.1'!O52+'Tabell 5.1'!O66+'Tabell 5.1'!O78+'Tabell 5.1'!O90+'Tabell 5.1'!O102+'Tabell 5.2'!O16+'Tabell 5.2'!O28+'Tabell 5.2'!O40+'Tabell 5.2'!O52+'Tabell 5.2'!O88+'Tabell 5.2'!O100+'Tabell 5.2'!O126+'Tabell 5.2'!O138+O16+O28+'Tabell 5.2'!O64+'Tabell 5.2'!O76+'Tabell 5.2'!O112</f>
        <v>0</v>
      </c>
      <c r="P42" s="679" t="str">
        <f t="shared" si="15"/>
        <v xml:space="preserve">    ---- </v>
      </c>
      <c r="Q42" s="685">
        <f>'Tabell 5.1'!Q16+'Tabell 5.1'!Q28+'Tabell 5.1'!Q40+'Tabell 5.1'!Q52+'Tabell 5.1'!Q66+'Tabell 5.1'!Q78+'Tabell 5.1'!Q90+'Tabell 5.1'!Q102+'Tabell 5.2'!Q16+'Tabell 5.2'!Q28+'Tabell 5.2'!Q40+'Tabell 5.2'!Q52+'Tabell 5.2'!Q88+'Tabell 5.2'!Q100+'Tabell 5.2'!Q126+'Tabell 5.2'!Q138+Q16+Q28+'Tabell 5.2'!Q64+'Tabell 5.2'!Q76+'Tabell 5.2'!Q112</f>
        <v>710.54850600000009</v>
      </c>
      <c r="R42" s="679">
        <f>'Tabell 5.1'!R16+'Tabell 5.1'!R28+'Tabell 5.1'!R40+'Tabell 5.1'!R52+'Tabell 5.1'!R66+'Tabell 5.1'!R78+'Tabell 5.1'!R90+'Tabell 5.1'!R102+'Tabell 5.2'!R16+'Tabell 5.2'!R28+'Tabell 5.2'!R40+'Tabell 5.2'!R52+'Tabell 5.2'!R88+'Tabell 5.2'!R100+'Tabell 5.2'!R126+'Tabell 5.2'!R138+R16+R28+'Tabell 5.2'!R64+'Tabell 5.2'!R76+'Tabell 5.2'!R112</f>
        <v>757.76423</v>
      </c>
      <c r="S42" s="679">
        <f t="shared" si="16"/>
        <v>6.6</v>
      </c>
      <c r="T42" s="685">
        <f>'Tabell 5.1'!T16+'Tabell 5.1'!T28+'Tabell 5.1'!T40+'Tabell 5.1'!T52+'Tabell 5.1'!T66+'Tabell 5.1'!T78+'Tabell 5.1'!T90+'Tabell 5.1'!T102+'Tabell 5.2'!T16+'Tabell 5.2'!T28+'Tabell 5.2'!T40+'Tabell 5.2'!T52+'Tabell 5.2'!T88+'Tabell 5.2'!T100+'Tabell 5.2'!T126+'Tabell 5.2'!T138+T16+T28+'Tabell 5.2'!T64+'Tabell 5.2'!T76+'Tabell 5.2'!T112</f>
        <v>2</v>
      </c>
      <c r="U42" s="679">
        <f>'Tabell 5.1'!U16+'Tabell 5.1'!U28+'Tabell 5.1'!U40+'Tabell 5.1'!U52+'Tabell 5.1'!U66+'Tabell 5.1'!U78+'Tabell 5.1'!U90+'Tabell 5.1'!U102+'Tabell 5.2'!U16+'Tabell 5.2'!U28+'Tabell 5.2'!U40+'Tabell 5.2'!U52+'Tabell 5.2'!U88+'Tabell 5.2'!U100+'Tabell 5.2'!U126+'Tabell 5.2'!U138+U16+U28+'Tabell 5.2'!U64+'Tabell 5.2'!U76+'Tabell 5.2'!U112</f>
        <v>3</v>
      </c>
      <c r="V42" s="679">
        <f t="shared" si="17"/>
        <v>50</v>
      </c>
      <c r="W42" s="685">
        <v>106.77247326666667</v>
      </c>
      <c r="X42" s="679">
        <v>98.474376933333332</v>
      </c>
      <c r="Y42" s="679">
        <f t="shared" si="18"/>
        <v>-7.8</v>
      </c>
      <c r="Z42" s="685">
        <f>'Tabell 5.1'!Z16+'Tabell 5.1'!Z28+'Tabell 5.1'!Z40+'Tabell 5.1'!Z52+'Tabell 5.1'!Z66+'Tabell 5.1'!Z78+'Tabell 5.1'!Z90+'Tabell 5.1'!Z102+'Tabell 5.2'!Z16+'Tabell 5.2'!Z28+'Tabell 5.2'!Z40+'Tabell 5.2'!Z52+'Tabell 5.2'!Z88+'Tabell 5.2'!Z100+'Tabell 5.2'!Z126+'Tabell 5.2'!Z138+Z16+Z28+'Tabell 5.2'!Z64+'Tabell 5.2'!Z76+'Tabell 5.2'!Z112</f>
        <v>306</v>
      </c>
      <c r="AA42" s="679">
        <f>'Tabell 5.1'!AA16+'Tabell 5.1'!AA28+'Tabell 5.1'!AA40+'Tabell 5.1'!AA52+'Tabell 5.1'!AA66+'Tabell 5.1'!AA78+'Tabell 5.1'!AA90+'Tabell 5.1'!AA102+'Tabell 5.2'!AA16+'Tabell 5.2'!AA28+'Tabell 5.2'!AA40+'Tabell 5.2'!AA52+'Tabell 5.2'!AA88+'Tabell 5.2'!AA100+'Tabell 5.2'!AA126+'Tabell 5.2'!AA138+AA16+AA28+'Tabell 5.2'!AA64+'Tabell 5.2'!AA76+'Tabell 5.2'!AA112</f>
        <v>257</v>
      </c>
      <c r="AB42" s="679">
        <f t="shared" si="19"/>
        <v>-16</v>
      </c>
      <c r="AC42" s="685">
        <f>'Tabell 5.1'!AC16+'Tabell 5.1'!AC28+'Tabell 5.1'!AC40+'Tabell 5.1'!AC52+'Tabell 5.1'!AC66+'Tabell 5.1'!AC78+'Tabell 5.1'!AC90+'Tabell 5.1'!AC102+'Tabell 5.2'!AC16+'Tabell 5.2'!AC28+'Tabell 5.2'!AC40+'Tabell 5.2'!AC52+'Tabell 5.2'!AC88+'Tabell 5.2'!AC100+'Tabell 5.2'!AC126+'Tabell 5.2'!AC138+AC16+AC28+'Tabell 5.2'!AC64+'Tabell 5.2'!AC76+'Tabell 5.2'!AC112</f>
        <v>0</v>
      </c>
      <c r="AD42" s="679">
        <f>'Tabell 5.1'!AD16+'Tabell 5.1'!AD28+'Tabell 5.1'!AD40+'Tabell 5.1'!AD52+'Tabell 5.1'!AD66+'Tabell 5.1'!AD78+'Tabell 5.1'!AD90+'Tabell 5.1'!AD102+'Tabell 5.2'!AD16+'Tabell 5.2'!AD28+'Tabell 5.2'!AD40+'Tabell 5.2'!AD52+'Tabell 5.2'!AD88+'Tabell 5.2'!AD100+'Tabell 5.2'!AD126+'Tabell 5.2'!AD138+AD16+AD28+'Tabell 5.2'!AD64+'Tabell 5.2'!AD76+'Tabell 5.2'!AD112</f>
        <v>0</v>
      </c>
      <c r="AE42" s="679" t="str">
        <f t="shared" si="20"/>
        <v xml:space="preserve">    ---- </v>
      </c>
      <c r="AF42" s="685">
        <f>'Tabell 5.1'!AF16+'Tabell 5.1'!AF28+'Tabell 5.1'!AF40+'Tabell 5.1'!AF52+'Tabell 5.1'!AF66+'Tabell 5.1'!AF78+'Tabell 5.1'!AF90+'Tabell 5.1'!AF102+'Tabell 5.2'!AF16+'Tabell 5.2'!AF28+'Tabell 5.2'!AF40+'Tabell 5.2'!AF52+'Tabell 5.2'!AF88+'Tabell 5.2'!AF100+'Tabell 5.2'!AF126+'Tabell 5.2'!AF138+AF16+AF28+'Tabell 5.2'!AF64+'Tabell 5.2'!AF76+'Tabell 5.2'!AF112</f>
        <v>22.575000000000003</v>
      </c>
      <c r="AG42" s="679">
        <f>'Tabell 5.1'!AG16+'Tabell 5.1'!AG28+'Tabell 5.1'!AG40+'Tabell 5.1'!AG52+'Tabell 5.1'!AG66+'Tabell 5.1'!AG78+'Tabell 5.1'!AG90+'Tabell 5.1'!AG102+'Tabell 5.2'!AG16+'Tabell 5.2'!AG28+'Tabell 5.2'!AG40+'Tabell 5.2'!AG52+'Tabell 5.2'!AG88+'Tabell 5.2'!AG100+'Tabell 5.2'!AG126+'Tabell 5.2'!AG138+AG16+AG28+'Tabell 5.2'!AG64+'Tabell 5.2'!AG76+'Tabell 5.2'!AG112</f>
        <v>21.208999999999996</v>
      </c>
      <c r="AH42" s="679">
        <f t="shared" si="21"/>
        <v>-6.1</v>
      </c>
      <c r="AI42" s="685">
        <v>271.07</v>
      </c>
      <c r="AJ42" s="679">
        <v>269</v>
      </c>
      <c r="AK42" s="679">
        <f t="shared" si="22"/>
        <v>-0.8</v>
      </c>
      <c r="AL42" s="679">
        <f t="shared" si="5"/>
        <v>1626.8779792666667</v>
      </c>
      <c r="AM42" s="679">
        <f t="shared" si="5"/>
        <v>1615.6136069333334</v>
      </c>
      <c r="AN42" s="679">
        <f t="shared" si="23"/>
        <v>-0.7</v>
      </c>
      <c r="AO42" s="679">
        <f>'Tabell 5.1'!AO16+'Tabell 5.1'!AO28+'Tabell 5.1'!AO40+'Tabell 5.1'!AO52+'Tabell 5.1'!AO66+'Tabell 5.1'!AO78+'Tabell 5.1'!AO90+'Tabell 5.1'!AO102+'Tabell 5.2'!AO16+'Tabell 5.2'!AO28+'Tabell 5.2'!AO40+'Tabell 5.2'!AO52+'Tabell 5.2'!AO88+'Tabell 5.2'!AO100+'Tabell 5.2'!AO126+'Tabell 5.2'!AO138+AO16+AO28+'Tabell 5.2'!AO64+'Tabell 5.2'!AO76+'Tabell 5.2'!AO112</f>
        <v>1626.8779792666669</v>
      </c>
      <c r="AP42" s="679">
        <f>'Tabell 5.1'!AP16+'Tabell 5.1'!AP28+'Tabell 5.1'!AP40+'Tabell 5.1'!AP52+'Tabell 5.1'!AP66+'Tabell 5.1'!AP78+'Tabell 5.1'!AP90+'Tabell 5.1'!AP102+'Tabell 5.2'!AP16+'Tabell 5.2'!AP28+'Tabell 5.2'!AP40+'Tabell 5.2'!AP52+'Tabell 5.2'!AP88+'Tabell 5.2'!AP100+'Tabell 5.2'!AP126+'Tabell 5.2'!AP138+AP16+AP28+'Tabell 5.2'!AP64+'Tabell 5.2'!AP76+'Tabell 5.2'!AP112</f>
        <v>1614.5136069333334</v>
      </c>
      <c r="AQ42" s="680">
        <f t="shared" si="24"/>
        <v>-0.8</v>
      </c>
      <c r="AR42" s="715"/>
      <c r="AS42" s="661"/>
      <c r="AT42" s="656"/>
      <c r="AU42" s="656"/>
    </row>
    <row r="43" spans="1:47" s="681" customFormat="1" ht="18.75" customHeight="1" x14ac:dyDescent="0.3">
      <c r="A43" s="629" t="s">
        <v>382</v>
      </c>
      <c r="B43" s="685">
        <v>133.41300000000001</v>
      </c>
      <c r="C43" s="679">
        <f>'Tabell 5.1'!C17+'Tabell 5.1'!C29+'Tabell 5.1'!C41+'Tabell 5.1'!C53+'Tabell 5.1'!C67+'Tabell 5.1'!C79+'Tabell 5.1'!C91+'Tabell 5.1'!C103+'Tabell 5.2'!C17+'Tabell 5.2'!C29+'Tabell 5.2'!C41+'Tabell 5.2'!C53+'Tabell 5.2'!C89+'Tabell 5.2'!C101+'Tabell 5.2'!C127+'Tabell 5.2'!C139+C17+C29+'Tabell 5.2'!C65+'Tabell 5.2'!C77+'Tabell 5.2'!C113</f>
        <v>76.209999999999994</v>
      </c>
      <c r="D43" s="679">
        <f t="shared" si="11"/>
        <v>-42.9</v>
      </c>
      <c r="E43" s="685">
        <v>484.74299999999994</v>
      </c>
      <c r="F43" s="679">
        <v>394</v>
      </c>
      <c r="G43" s="679">
        <f t="shared" si="12"/>
        <v>-18.7</v>
      </c>
      <c r="H43" s="685">
        <f>'Tabell 5.1'!H17+'Tabell 5.1'!H29+'Tabell 5.1'!H41+'Tabell 5.1'!H53+'Tabell 5.1'!H67+'Tabell 5.1'!H79+'Tabell 5.1'!H91+'Tabell 5.1'!H103+'Tabell 5.2'!H17+'Tabell 5.2'!H29+'Tabell 5.2'!H41+'Tabell 5.2'!H53+'Tabell 5.2'!H89+'Tabell 5.2'!H101+'Tabell 5.2'!H127+'Tabell 5.2'!H139+H17+H29+'Tabell 5.2'!H65+'Tabell 5.2'!H77+'Tabell 5.2'!H113</f>
        <v>126.65600000000001</v>
      </c>
      <c r="I43" s="679">
        <f>'Tabell 5.1'!I17+'Tabell 5.1'!I29+'Tabell 5.1'!I41+'Tabell 5.1'!I53+'Tabell 5.1'!I67+'Tabell 5.1'!I79+'Tabell 5.1'!I91+'Tabell 5.1'!I103+'Tabell 5.2'!I17+'Tabell 5.2'!I29+'Tabell 5.2'!I41+'Tabell 5.2'!I53+'Tabell 5.2'!I89+'Tabell 5.2'!I101+'Tabell 5.2'!I127+'Tabell 5.2'!I139+I17+I29+'Tabell 5.2'!I65+'Tabell 5.2'!I77+'Tabell 5.2'!I113</f>
        <v>122.78999999999999</v>
      </c>
      <c r="J43" s="679">
        <f t="shared" si="13"/>
        <v>-3.1</v>
      </c>
      <c r="K43" s="685">
        <f>'Tabell 5.1'!K17+'Tabell 5.1'!K29+'Tabell 5.1'!K41+'Tabell 5.1'!K53+'Tabell 5.1'!K67+'Tabell 5.1'!K79+'Tabell 5.1'!K91+'Tabell 5.1'!K103+'Tabell 5.2'!K17+'Tabell 5.2'!K29+'Tabell 5.2'!K41+'Tabell 5.2'!K53+'Tabell 5.2'!K89+'Tabell 5.2'!K101+'Tabell 5.2'!K127+'Tabell 5.2'!K139+K17+K29+'Tabell 5.2'!K65+'Tabell 5.2'!K77+'Tabell 5.2'!K113</f>
        <v>-27.469000000000001</v>
      </c>
      <c r="L43" s="679">
        <f>'Tabell 5.1'!L17+'Tabell 5.1'!L29+'Tabell 5.1'!L41+'Tabell 5.1'!L53+'Tabell 5.1'!L67+'Tabell 5.1'!L79+'Tabell 5.1'!L91+'Tabell 5.1'!L103+'Tabell 5.2'!L17+'Tabell 5.2'!L29+'Tabell 5.2'!L41+'Tabell 5.2'!L53+'Tabell 5.2'!L89+'Tabell 5.2'!L101+'Tabell 5.2'!L127+'Tabell 5.2'!L139+L17+L29+'Tabell 5.2'!L65+'Tabell 5.2'!L77+'Tabell 5.2'!L113</f>
        <v>18.600000000000001</v>
      </c>
      <c r="M43" s="679">
        <f t="shared" si="14"/>
        <v>-167.7</v>
      </c>
      <c r="N43" s="685">
        <f>'Tabell 5.1'!N17+'Tabell 5.1'!N29+'Tabell 5.1'!N41+'Tabell 5.1'!N53+'Tabell 5.1'!N67+'Tabell 5.1'!N79+'Tabell 5.1'!N91+'Tabell 5.1'!N103+'Tabell 5.2'!N17+'Tabell 5.2'!N29+'Tabell 5.2'!N41+'Tabell 5.2'!N53+'Tabell 5.2'!N89+'Tabell 5.2'!N101+'Tabell 5.2'!N127+'Tabell 5.2'!N139+N17+N29+'Tabell 5.2'!N65+'Tabell 5.2'!N77+'Tabell 5.2'!N113</f>
        <v>19.786999999999999</v>
      </c>
      <c r="O43" s="679">
        <f>'Tabell 5.1'!O17+'Tabell 5.1'!O29+'Tabell 5.1'!O41+'Tabell 5.1'!O53+'Tabell 5.1'!O67+'Tabell 5.1'!O79+'Tabell 5.1'!O91+'Tabell 5.1'!O103+'Tabell 5.2'!O17+'Tabell 5.2'!O29+'Tabell 5.2'!O41+'Tabell 5.2'!O53+'Tabell 5.2'!O89+'Tabell 5.2'!O101+'Tabell 5.2'!O127+'Tabell 5.2'!O139+O17+O29+'Tabell 5.2'!O65+'Tabell 5.2'!O77+'Tabell 5.2'!O113</f>
        <v>14.0133458</v>
      </c>
      <c r="P43" s="679">
        <f t="shared" si="15"/>
        <v>-29.2</v>
      </c>
      <c r="Q43" s="685">
        <f>'Tabell 5.1'!Q17+'Tabell 5.1'!Q29+'Tabell 5.1'!Q41+'Tabell 5.1'!Q53+'Tabell 5.1'!Q67+'Tabell 5.1'!Q79+'Tabell 5.1'!Q91+'Tabell 5.1'!Q103+'Tabell 5.2'!Q17+'Tabell 5.2'!Q29+'Tabell 5.2'!Q41+'Tabell 5.2'!Q53+'Tabell 5.2'!Q89+'Tabell 5.2'!Q101+'Tabell 5.2'!Q127+'Tabell 5.2'!Q139+Q17+Q29+'Tabell 5.2'!Q65+'Tabell 5.2'!Q77+'Tabell 5.2'!Q113</f>
        <v>896.7885152580651</v>
      </c>
      <c r="R43" s="679">
        <f>'Tabell 5.1'!R17+'Tabell 5.1'!R29+'Tabell 5.1'!R41+'Tabell 5.1'!R53+'Tabell 5.1'!R67+'Tabell 5.1'!R79+'Tabell 5.1'!R91+'Tabell 5.1'!R103+'Tabell 5.2'!R17+'Tabell 5.2'!R29+'Tabell 5.2'!R41+'Tabell 5.2'!R53+'Tabell 5.2'!R89+'Tabell 5.2'!R101+'Tabell 5.2'!R127+'Tabell 5.2'!R139+R17+R29+'Tabell 5.2'!R65+'Tabell 5.2'!R77+'Tabell 5.2'!R113</f>
        <v>957.75800602723746</v>
      </c>
      <c r="S43" s="679">
        <f t="shared" si="16"/>
        <v>6.8</v>
      </c>
      <c r="T43" s="685">
        <f>'Tabell 5.1'!T17+'Tabell 5.1'!T29+'Tabell 5.1'!T41+'Tabell 5.1'!T53+'Tabell 5.1'!T67+'Tabell 5.1'!T79+'Tabell 5.1'!T91+'Tabell 5.1'!T103+'Tabell 5.2'!T17+'Tabell 5.2'!T29+'Tabell 5.2'!T41+'Tabell 5.2'!T53+'Tabell 5.2'!T89+'Tabell 5.2'!T101+'Tabell 5.2'!T127+'Tabell 5.2'!T139+T17+T29+'Tabell 5.2'!T65+'Tabell 5.2'!T77+'Tabell 5.2'!T113</f>
        <v>-1</v>
      </c>
      <c r="U43" s="679">
        <f>'Tabell 5.1'!U17+'Tabell 5.1'!U29+'Tabell 5.1'!U41+'Tabell 5.1'!U53+'Tabell 5.1'!U67+'Tabell 5.1'!U79+'Tabell 5.1'!U91+'Tabell 5.1'!U103+'Tabell 5.2'!U17+'Tabell 5.2'!U29+'Tabell 5.2'!U41+'Tabell 5.2'!U53+'Tabell 5.2'!U89+'Tabell 5.2'!U101+'Tabell 5.2'!U127+'Tabell 5.2'!U139+U17+U29+'Tabell 5.2'!U65+'Tabell 5.2'!U77+'Tabell 5.2'!U113</f>
        <v>3</v>
      </c>
      <c r="V43" s="679">
        <f t="shared" si="17"/>
        <v>-400</v>
      </c>
      <c r="W43" s="685">
        <v>274.91252291840863</v>
      </c>
      <c r="X43" s="679">
        <v>194.87119369650983</v>
      </c>
      <c r="Y43" s="679">
        <f t="shared" si="18"/>
        <v>-29.1</v>
      </c>
      <c r="Z43" s="685">
        <f>'Tabell 5.1'!Z17+'Tabell 5.1'!Z29+'Tabell 5.1'!Z41+'Tabell 5.1'!Z53+'Tabell 5.1'!Z67+'Tabell 5.1'!Z79+'Tabell 5.1'!Z91+'Tabell 5.1'!Z103+'Tabell 5.2'!Z17+'Tabell 5.2'!Z29+'Tabell 5.2'!Z41+'Tabell 5.2'!Z53+'Tabell 5.2'!Z89+'Tabell 5.2'!Z101+'Tabell 5.2'!Z127+'Tabell 5.2'!Z139+Z17+Z29+'Tabell 5.2'!Z65+'Tabell 5.2'!Z77+'Tabell 5.2'!Z113</f>
        <v>358</v>
      </c>
      <c r="AA43" s="679">
        <f>'Tabell 5.1'!AA17+'Tabell 5.1'!AA29+'Tabell 5.1'!AA41+'Tabell 5.1'!AA53+'Tabell 5.1'!AA67+'Tabell 5.1'!AA79+'Tabell 5.1'!AA91+'Tabell 5.1'!AA103+'Tabell 5.2'!AA17+'Tabell 5.2'!AA29+'Tabell 5.2'!AA41+'Tabell 5.2'!AA53+'Tabell 5.2'!AA89+'Tabell 5.2'!AA101+'Tabell 5.2'!AA127+'Tabell 5.2'!AA139+AA17+AA29+'Tabell 5.2'!AA65+'Tabell 5.2'!AA77+'Tabell 5.2'!AA113</f>
        <v>402</v>
      </c>
      <c r="AB43" s="679">
        <f t="shared" si="19"/>
        <v>12.3</v>
      </c>
      <c r="AC43" s="685">
        <f>'Tabell 5.1'!AC17+'Tabell 5.1'!AC29+'Tabell 5.1'!AC41+'Tabell 5.1'!AC53+'Tabell 5.1'!AC67+'Tabell 5.1'!AC79+'Tabell 5.1'!AC91+'Tabell 5.1'!AC103+'Tabell 5.2'!AC17+'Tabell 5.2'!AC29+'Tabell 5.2'!AC41+'Tabell 5.2'!AC53+'Tabell 5.2'!AC89+'Tabell 5.2'!AC101+'Tabell 5.2'!AC127+'Tabell 5.2'!AC139+AC17+AC29+'Tabell 5.2'!AC65+'Tabell 5.2'!AC77+'Tabell 5.2'!AC113</f>
        <v>0</v>
      </c>
      <c r="AD43" s="679">
        <f>'Tabell 5.1'!AD17+'Tabell 5.1'!AD29+'Tabell 5.1'!AD41+'Tabell 5.1'!AD53+'Tabell 5.1'!AD67+'Tabell 5.1'!AD79+'Tabell 5.1'!AD91+'Tabell 5.1'!AD103+'Tabell 5.2'!AD17+'Tabell 5.2'!AD29+'Tabell 5.2'!AD41+'Tabell 5.2'!AD53+'Tabell 5.2'!AD89+'Tabell 5.2'!AD101+'Tabell 5.2'!AD127+'Tabell 5.2'!AD139+AD17+AD29+'Tabell 5.2'!AD65+'Tabell 5.2'!AD77+'Tabell 5.2'!AD113</f>
        <v>0</v>
      </c>
      <c r="AE43" s="679" t="str">
        <f t="shared" si="20"/>
        <v xml:space="preserve">    ---- </v>
      </c>
      <c r="AF43" s="685">
        <f>'Tabell 5.1'!AF17+'Tabell 5.1'!AF29+'Tabell 5.1'!AF41+'Tabell 5.1'!AF53+'Tabell 5.1'!AF67+'Tabell 5.1'!AF79+'Tabell 5.1'!AF91+'Tabell 5.1'!AF103+'Tabell 5.2'!AF17+'Tabell 5.2'!AF29+'Tabell 5.2'!AF41+'Tabell 5.2'!AF53+'Tabell 5.2'!AF89+'Tabell 5.2'!AF101+'Tabell 5.2'!AF127+'Tabell 5.2'!AF139+AF17+AF29+'Tabell 5.2'!AF65+'Tabell 5.2'!AF77+'Tabell 5.2'!AF113</f>
        <v>334.24100000000004</v>
      </c>
      <c r="AG43" s="679">
        <f>'Tabell 5.1'!AG17+'Tabell 5.1'!AG29+'Tabell 5.1'!AG41+'Tabell 5.1'!AG53+'Tabell 5.1'!AG67+'Tabell 5.1'!AG79+'Tabell 5.1'!AG91+'Tabell 5.1'!AG103+'Tabell 5.2'!AG17+'Tabell 5.2'!AG29+'Tabell 5.2'!AG41+'Tabell 5.2'!AG53+'Tabell 5.2'!AG89+'Tabell 5.2'!AG101+'Tabell 5.2'!AG127+'Tabell 5.2'!AG139+AG17+AG29+'Tabell 5.2'!AG65+'Tabell 5.2'!AG77+'Tabell 5.2'!AG113</f>
        <v>223.66200000000003</v>
      </c>
      <c r="AH43" s="679">
        <f t="shared" si="21"/>
        <v>-33.1</v>
      </c>
      <c r="AI43" s="685">
        <v>603.51</v>
      </c>
      <c r="AJ43" s="679">
        <v>1080.7</v>
      </c>
      <c r="AK43" s="679">
        <f t="shared" si="22"/>
        <v>79.099999999999994</v>
      </c>
      <c r="AL43" s="679">
        <f t="shared" si="5"/>
        <v>3183.795038176474</v>
      </c>
      <c r="AM43" s="679">
        <f t="shared" si="5"/>
        <v>3473.5911997237472</v>
      </c>
      <c r="AN43" s="679">
        <f t="shared" si="23"/>
        <v>9.1</v>
      </c>
      <c r="AO43" s="679">
        <f>'Tabell 5.1'!AO17+'Tabell 5.1'!AO29+'Tabell 5.1'!AO41+'Tabell 5.1'!AO53+'Tabell 5.1'!AO67+'Tabell 5.1'!AO79+'Tabell 5.1'!AO91+'Tabell 5.1'!AO103+'Tabell 5.2'!AO17+'Tabell 5.2'!AO29+'Tabell 5.2'!AO41+'Tabell 5.2'!AO53+'Tabell 5.2'!AO89+'Tabell 5.2'!AO101+'Tabell 5.2'!AO127+'Tabell 5.2'!AO139+AO17+AO29+'Tabell 5.2'!AO65+'Tabell 5.2'!AO77+'Tabell 5.2'!AO113</f>
        <v>3203.5820381764738</v>
      </c>
      <c r="AP43" s="679">
        <f>'Tabell 5.1'!AP17+'Tabell 5.1'!AP29+'Tabell 5.1'!AP41+'Tabell 5.1'!AP53+'Tabell 5.1'!AP67+'Tabell 5.1'!AP79+'Tabell 5.1'!AP91+'Tabell 5.1'!AP103+'Tabell 5.2'!AP17+'Tabell 5.2'!AP29+'Tabell 5.2'!AP41+'Tabell 5.2'!AP53+'Tabell 5.2'!AP89+'Tabell 5.2'!AP101+'Tabell 5.2'!AP127+'Tabell 5.2'!AP139+AP17+AP29+'Tabell 5.2'!AP65+'Tabell 5.2'!AP77+'Tabell 5.2'!AP113</f>
        <v>3486.6445455237472</v>
      </c>
      <c r="AQ43" s="680">
        <f t="shared" si="24"/>
        <v>8.8000000000000007</v>
      </c>
      <c r="AR43" s="715"/>
      <c r="AS43" s="661"/>
      <c r="AT43" s="656"/>
      <c r="AU43" s="656"/>
    </row>
    <row r="44" spans="1:47" s="681" customFormat="1" ht="18.75" customHeight="1" x14ac:dyDescent="0.3">
      <c r="A44" s="629" t="s">
        <v>383</v>
      </c>
      <c r="B44" s="685">
        <v>0</v>
      </c>
      <c r="C44" s="679">
        <f>'Tabell 5.1'!C18+'Tabell 5.1'!C30+'Tabell 5.1'!C42+'Tabell 5.1'!C54+'Tabell 5.1'!C68+'Tabell 5.1'!C80+'Tabell 5.1'!C92+'Tabell 5.1'!C104+'Tabell 5.2'!C18+'Tabell 5.2'!C30+'Tabell 5.2'!C42+'Tabell 5.2'!C54+'Tabell 5.2'!C90+'Tabell 5.2'!C102+'Tabell 5.2'!C128+'Tabell 5.2'!C140+C18+C30+'Tabell 5.2'!C66+'Tabell 5.2'!C78+'Tabell 5.2'!C114</f>
        <v>0</v>
      </c>
      <c r="D44" s="679" t="str">
        <f t="shared" si="11"/>
        <v xml:space="preserve">    ---- </v>
      </c>
      <c r="E44" s="685">
        <v>0</v>
      </c>
      <c r="F44" s="679">
        <v>0</v>
      </c>
      <c r="G44" s="679" t="str">
        <f t="shared" si="12"/>
        <v xml:space="preserve">    ---- </v>
      </c>
      <c r="H44" s="679">
        <f>'Tabell 5.1'!H18+'Tabell 5.1'!H30+'Tabell 5.1'!H42+'Tabell 5.1'!H54+'Tabell 5.1'!H68+'Tabell 5.1'!H80+'Tabell 5.1'!H92+'Tabell 5.1'!H104+'Tabell 5.2'!H18+'Tabell 5.2'!H30+'Tabell 5.2'!H42+'Tabell 5.2'!H54+'Tabell 5.2'!H90+'Tabell 5.2'!H102+'Tabell 5.2'!H128+'Tabell 5.2'!H140+H18+H30+'Tabell 5.2'!H66+'Tabell 5.2'!H78+'Tabell 5.2'!H114</f>
        <v>0</v>
      </c>
      <c r="I44" s="679">
        <f>'Tabell 5.1'!I18+'Tabell 5.1'!I30+'Tabell 5.1'!I42+'Tabell 5.1'!I54+'Tabell 5.1'!I68+'Tabell 5.1'!I80+'Tabell 5.1'!I92+'Tabell 5.1'!I104+'Tabell 5.2'!I18+'Tabell 5.2'!I30+'Tabell 5.2'!I42+'Tabell 5.2'!I54+'Tabell 5.2'!I90+'Tabell 5.2'!I102+'Tabell 5.2'!I128+'Tabell 5.2'!I140+I18+I30+'Tabell 5.2'!I66+'Tabell 5.2'!I78+'Tabell 5.2'!I114</f>
        <v>0</v>
      </c>
      <c r="J44" s="679" t="str">
        <f t="shared" si="13"/>
        <v xml:space="preserve">    ---- </v>
      </c>
      <c r="K44" s="685">
        <f>'Tabell 5.1'!K18+'Tabell 5.1'!K30+'Tabell 5.1'!K42+'Tabell 5.1'!K54+'Tabell 5.1'!K68+'Tabell 5.1'!K80+'Tabell 5.1'!K92+'Tabell 5.1'!K104+'Tabell 5.2'!K18+'Tabell 5.2'!K30+'Tabell 5.2'!K42+'Tabell 5.2'!K54+'Tabell 5.2'!K90+'Tabell 5.2'!K102+'Tabell 5.2'!K128+'Tabell 5.2'!K140+K18+K30+'Tabell 5.2'!K66+'Tabell 5.2'!K78+'Tabell 5.2'!K114</f>
        <v>0</v>
      </c>
      <c r="L44" s="679">
        <f>'Tabell 5.1'!L18+'Tabell 5.1'!L30+'Tabell 5.1'!L42+'Tabell 5.1'!L54+'Tabell 5.1'!L68+'Tabell 5.1'!L80+'Tabell 5.1'!L92+'Tabell 5.1'!L104+'Tabell 5.2'!L18+'Tabell 5.2'!L30+'Tabell 5.2'!L42+'Tabell 5.2'!L54+'Tabell 5.2'!L90+'Tabell 5.2'!L102+'Tabell 5.2'!L128+'Tabell 5.2'!L140+L18+L30+'Tabell 5.2'!L66+'Tabell 5.2'!L78+'Tabell 5.2'!L114</f>
        <v>15.3</v>
      </c>
      <c r="M44" s="679" t="str">
        <f t="shared" si="14"/>
        <v xml:space="preserve">    ---- </v>
      </c>
      <c r="N44" s="685">
        <f>'Tabell 5.1'!N18+'Tabell 5.1'!N30+'Tabell 5.1'!N42+'Tabell 5.1'!N54+'Tabell 5.1'!N68+'Tabell 5.1'!N80+'Tabell 5.1'!N92+'Tabell 5.1'!N104+'Tabell 5.2'!N18+'Tabell 5.2'!N30+'Tabell 5.2'!N42+'Tabell 5.2'!N54+'Tabell 5.2'!N90+'Tabell 5.2'!N102+'Tabell 5.2'!N128+'Tabell 5.2'!N140+N18+N30+'Tabell 5.2'!N66+'Tabell 5.2'!N78+'Tabell 5.2'!N114</f>
        <v>0</v>
      </c>
      <c r="O44" s="679">
        <f>'Tabell 5.1'!O18+'Tabell 5.1'!O30+'Tabell 5.1'!O42+'Tabell 5.1'!O54+'Tabell 5.1'!O68+'Tabell 5.1'!O80+'Tabell 5.1'!O92+'Tabell 5.1'!O104+'Tabell 5.2'!O18+'Tabell 5.2'!O30+'Tabell 5.2'!O42+'Tabell 5.2'!O54+'Tabell 5.2'!O90+'Tabell 5.2'!O102+'Tabell 5.2'!O128+'Tabell 5.2'!O140+O18+O30+'Tabell 5.2'!O66+'Tabell 5.2'!O78+'Tabell 5.2'!O114</f>
        <v>0</v>
      </c>
      <c r="P44" s="679" t="str">
        <f t="shared" si="15"/>
        <v xml:space="preserve">    ---- </v>
      </c>
      <c r="Q44" s="685">
        <f>'Tabell 5.1'!Q18+'Tabell 5.1'!Q30+'Tabell 5.1'!Q42+'Tabell 5.1'!Q54+'Tabell 5.1'!Q68+'Tabell 5.1'!Q80+'Tabell 5.1'!Q92+'Tabell 5.1'!Q104+'Tabell 5.2'!Q18+'Tabell 5.2'!Q30+'Tabell 5.2'!Q42+'Tabell 5.2'!Q54+'Tabell 5.2'!Q90+'Tabell 5.2'!Q102+'Tabell 5.2'!Q128+'Tabell 5.2'!Q140+Q18+Q30+'Tabell 5.2'!Q66+'Tabell 5.2'!Q78+'Tabell 5.2'!Q114</f>
        <v>520.62116400000002</v>
      </c>
      <c r="R44" s="679">
        <f>'Tabell 5.1'!R18+'Tabell 5.1'!R30+'Tabell 5.1'!R42+'Tabell 5.1'!R54+'Tabell 5.1'!R68+'Tabell 5.1'!R80+'Tabell 5.1'!R92+'Tabell 5.1'!R104+'Tabell 5.2'!R18+'Tabell 5.2'!R30+'Tabell 5.2'!R42+'Tabell 5.2'!R54+'Tabell 5.2'!R90+'Tabell 5.2'!R102+'Tabell 5.2'!R128+'Tabell 5.2'!R140+R18+R30+'Tabell 5.2'!R66+'Tabell 5.2'!R78+'Tabell 5.2'!R114</f>
        <v>479.90902800000003</v>
      </c>
      <c r="S44" s="679">
        <f t="shared" si="16"/>
        <v>-7.8</v>
      </c>
      <c r="T44" s="685">
        <f>'Tabell 5.1'!T18+'Tabell 5.1'!T30+'Tabell 5.1'!T42+'Tabell 5.1'!T54+'Tabell 5.1'!T68+'Tabell 5.1'!T80+'Tabell 5.1'!T92+'Tabell 5.1'!T104+'Tabell 5.2'!T18+'Tabell 5.2'!T30+'Tabell 5.2'!T42+'Tabell 5.2'!T54+'Tabell 5.2'!T90+'Tabell 5.2'!T102+'Tabell 5.2'!T128+'Tabell 5.2'!T140+T18+T30+'Tabell 5.2'!T66+'Tabell 5.2'!T78+'Tabell 5.2'!T114</f>
        <v>2</v>
      </c>
      <c r="U44" s="679">
        <f>'Tabell 5.1'!U18+'Tabell 5.1'!U30+'Tabell 5.1'!U42+'Tabell 5.1'!U54+'Tabell 5.1'!U68+'Tabell 5.1'!U80+'Tabell 5.1'!U92+'Tabell 5.1'!U104+'Tabell 5.2'!U18+'Tabell 5.2'!U30+'Tabell 5.2'!U42+'Tabell 5.2'!U54+'Tabell 5.2'!U90+'Tabell 5.2'!U102+'Tabell 5.2'!U128+'Tabell 5.2'!U140+U18+U30+'Tabell 5.2'!U66+'Tabell 5.2'!U78+'Tabell 5.2'!U114</f>
        <v>2</v>
      </c>
      <c r="V44" s="679">
        <f t="shared" si="17"/>
        <v>0</v>
      </c>
      <c r="W44" s="685">
        <v>103.27705467592259</v>
      </c>
      <c r="X44" s="679">
        <v>66.139687563091258</v>
      </c>
      <c r="Y44" s="679">
        <f t="shared" si="18"/>
        <v>-36</v>
      </c>
      <c r="Z44" s="685">
        <f>'Tabell 5.1'!Z18+'Tabell 5.1'!Z30+'Tabell 5.1'!Z42+'Tabell 5.1'!Z54+'Tabell 5.1'!Z68+'Tabell 5.1'!Z80+'Tabell 5.1'!Z92+'Tabell 5.1'!Z104+'Tabell 5.2'!Z18+'Tabell 5.2'!Z30+'Tabell 5.2'!Z42+'Tabell 5.2'!Z54+'Tabell 5.2'!Z90+'Tabell 5.2'!Z102+'Tabell 5.2'!Z128+'Tabell 5.2'!Z140+Z18+Z30+'Tabell 5.2'!Z66+'Tabell 5.2'!Z78+'Tabell 5.2'!Z114</f>
        <v>-179</v>
      </c>
      <c r="AA44" s="679">
        <f>'Tabell 5.1'!AA18+'Tabell 5.1'!AA30+'Tabell 5.1'!AA42+'Tabell 5.1'!AA54+'Tabell 5.1'!AA68+'Tabell 5.1'!AA80+'Tabell 5.1'!AA92+'Tabell 5.1'!AA104+'Tabell 5.2'!AA18+'Tabell 5.2'!AA30+'Tabell 5.2'!AA42+'Tabell 5.2'!AA54+'Tabell 5.2'!AA90+'Tabell 5.2'!AA102+'Tabell 5.2'!AA128+'Tabell 5.2'!AA140+AA18+AA30+'Tabell 5.2'!AA66+'Tabell 5.2'!AA78+'Tabell 5.2'!AA114</f>
        <v>-201</v>
      </c>
      <c r="AB44" s="679">
        <f t="shared" si="19"/>
        <v>12.3</v>
      </c>
      <c r="AC44" s="685">
        <f>'Tabell 5.1'!AC18+'Tabell 5.1'!AC30+'Tabell 5.1'!AC42+'Tabell 5.1'!AC54+'Tabell 5.1'!AC68+'Tabell 5.1'!AC80+'Tabell 5.1'!AC92+'Tabell 5.1'!AC104+'Tabell 5.2'!AC18+'Tabell 5.2'!AC30+'Tabell 5.2'!AC42+'Tabell 5.2'!AC54+'Tabell 5.2'!AC90+'Tabell 5.2'!AC102+'Tabell 5.2'!AC128+'Tabell 5.2'!AC140+AC18+AC30+'Tabell 5.2'!AC66+'Tabell 5.2'!AC78+'Tabell 5.2'!AC114</f>
        <v>0</v>
      </c>
      <c r="AD44" s="679">
        <f>'Tabell 5.1'!AD18+'Tabell 5.1'!AD30+'Tabell 5.1'!AD42+'Tabell 5.1'!AD54+'Tabell 5.1'!AD68+'Tabell 5.1'!AD80+'Tabell 5.1'!AD92+'Tabell 5.1'!AD104+'Tabell 5.2'!AD18+'Tabell 5.2'!AD30+'Tabell 5.2'!AD42+'Tabell 5.2'!AD54+'Tabell 5.2'!AD90+'Tabell 5.2'!AD102+'Tabell 5.2'!AD128+'Tabell 5.2'!AD140+AD18+AD30+'Tabell 5.2'!AD66+'Tabell 5.2'!AD78+'Tabell 5.2'!AD114</f>
        <v>0</v>
      </c>
      <c r="AE44" s="679" t="str">
        <f t="shared" si="20"/>
        <v xml:space="preserve">    ---- </v>
      </c>
      <c r="AF44" s="685">
        <f>'Tabell 5.1'!AF18+'Tabell 5.1'!AF30+'Tabell 5.1'!AF42+'Tabell 5.1'!AF54+'Tabell 5.1'!AF68+'Tabell 5.1'!AF80+'Tabell 5.1'!AF92+'Tabell 5.1'!AF104+'Tabell 5.2'!AF18+'Tabell 5.2'!AF30+'Tabell 5.2'!AF42+'Tabell 5.2'!AF54+'Tabell 5.2'!AF90+'Tabell 5.2'!AF102+'Tabell 5.2'!AF128+'Tabell 5.2'!AF140+AF18+AF30+'Tabell 5.2'!AF66+'Tabell 5.2'!AF78+'Tabell 5.2'!AF114</f>
        <v>0</v>
      </c>
      <c r="AG44" s="679">
        <f>'Tabell 5.1'!AG18+'Tabell 5.1'!AG30+'Tabell 5.1'!AG42+'Tabell 5.1'!AG54+'Tabell 5.1'!AG68+'Tabell 5.1'!AG80+'Tabell 5.1'!AG92+'Tabell 5.1'!AG104+'Tabell 5.2'!AG18+'Tabell 5.2'!AG30+'Tabell 5.2'!AG42+'Tabell 5.2'!AG54+'Tabell 5.2'!AG90+'Tabell 5.2'!AG102+'Tabell 5.2'!AG128+'Tabell 5.2'!AG140+AG18+AG30+'Tabell 5.2'!AG66+'Tabell 5.2'!AG78+'Tabell 5.2'!AG114</f>
        <v>0</v>
      </c>
      <c r="AH44" s="679" t="str">
        <f t="shared" si="21"/>
        <v xml:space="preserve">    ---- </v>
      </c>
      <c r="AI44" s="685">
        <v>0</v>
      </c>
      <c r="AJ44" s="679">
        <v>219.6</v>
      </c>
      <c r="AK44" s="679" t="str">
        <f t="shared" si="22"/>
        <v xml:space="preserve">    ---- </v>
      </c>
      <c r="AL44" s="679">
        <f t="shared" si="5"/>
        <v>446.89821867592264</v>
      </c>
      <c r="AM44" s="679">
        <f t="shared" si="5"/>
        <v>581.94871556309135</v>
      </c>
      <c r="AN44" s="679">
        <f t="shared" si="23"/>
        <v>30.2</v>
      </c>
      <c r="AO44" s="679">
        <f>'Tabell 5.1'!AO18+'Tabell 5.1'!AO30+'Tabell 5.1'!AO42+'Tabell 5.1'!AO54+'Tabell 5.1'!AO68+'Tabell 5.1'!AO80+'Tabell 5.1'!AO92+'Tabell 5.1'!AO104+'Tabell 5.2'!AO18+'Tabell 5.2'!AO30+'Tabell 5.2'!AO42+'Tabell 5.2'!AO54+'Tabell 5.2'!AO90+'Tabell 5.2'!AO102+'Tabell 5.2'!AO128+'Tabell 5.2'!AO140+AO18+AO30+'Tabell 5.2'!AO66+'Tabell 5.2'!AO78+'Tabell 5.2'!AO114</f>
        <v>446.89821867592264</v>
      </c>
      <c r="AP44" s="679">
        <f>'Tabell 5.1'!AP18+'Tabell 5.1'!AP30+'Tabell 5.1'!AP42+'Tabell 5.1'!AP54+'Tabell 5.1'!AP68+'Tabell 5.1'!AP80+'Tabell 5.1'!AP92+'Tabell 5.1'!AP104+'Tabell 5.2'!AP18+'Tabell 5.2'!AP30+'Tabell 5.2'!AP42+'Tabell 5.2'!AP54+'Tabell 5.2'!AP90+'Tabell 5.2'!AP102+'Tabell 5.2'!AP128+'Tabell 5.2'!AP140+AP18+AP30+'Tabell 5.2'!AP66+'Tabell 5.2'!AP78+'Tabell 5.2'!AP114</f>
        <v>581.94871556309124</v>
      </c>
      <c r="AQ44" s="680">
        <f t="shared" si="24"/>
        <v>30.2</v>
      </c>
      <c r="AR44" s="715"/>
      <c r="AS44" s="661"/>
      <c r="AT44" s="656"/>
      <c r="AU44" s="656"/>
    </row>
    <row r="45" spans="1:47" s="681" customFormat="1" ht="18.75" customHeight="1" x14ac:dyDescent="0.3">
      <c r="A45" s="629" t="s">
        <v>384</v>
      </c>
      <c r="B45" s="685">
        <v>0</v>
      </c>
      <c r="C45" s="679">
        <f>'Tabell 5.1'!C19+'Tabell 5.1'!C31+'Tabell 5.1'!C43+'Tabell 5.1'!C55+'Tabell 5.1'!C69+'Tabell 5.1'!C81+'Tabell 5.1'!C93+'Tabell 5.1'!C105+'Tabell 5.2'!C19+'Tabell 5.2'!C31+'Tabell 5.2'!C43+'Tabell 5.2'!C55+'Tabell 5.2'!C91+'Tabell 5.2'!C103+'Tabell 5.2'!C129+'Tabell 5.2'!C141+C19+C31+'Tabell 5.2'!C67+'Tabell 5.2'!C79+'Tabell 5.2'!C115</f>
        <v>0</v>
      </c>
      <c r="D45" s="679" t="str">
        <f t="shared" si="11"/>
        <v xml:space="preserve">    ---- </v>
      </c>
      <c r="E45" s="685">
        <v>0</v>
      </c>
      <c r="F45" s="679">
        <v>0</v>
      </c>
      <c r="G45" s="679" t="str">
        <f t="shared" si="12"/>
        <v xml:space="preserve">    ---- </v>
      </c>
      <c r="H45" s="679">
        <f>'Tabell 5.1'!H19+'Tabell 5.1'!H31+'Tabell 5.1'!H43+'Tabell 5.1'!H55+'Tabell 5.1'!H69+'Tabell 5.1'!H81+'Tabell 5.1'!H93+'Tabell 5.1'!H105+'Tabell 5.2'!H19+'Tabell 5.2'!H31+'Tabell 5.2'!H43+'Tabell 5.2'!H55+'Tabell 5.2'!H91+'Tabell 5.2'!H103+'Tabell 5.2'!H129+'Tabell 5.2'!H141+H19+H31+'Tabell 5.2'!H67+'Tabell 5.2'!H79+'Tabell 5.2'!H115</f>
        <v>0</v>
      </c>
      <c r="I45" s="679">
        <f>'Tabell 5.1'!I19+'Tabell 5.1'!I31+'Tabell 5.1'!I43+'Tabell 5.1'!I55+'Tabell 5.1'!I69+'Tabell 5.1'!I81+'Tabell 5.1'!I93+'Tabell 5.1'!I105+'Tabell 5.2'!I19+'Tabell 5.2'!I31+'Tabell 5.2'!I43+'Tabell 5.2'!I55+'Tabell 5.2'!I91+'Tabell 5.2'!I103+'Tabell 5.2'!I129+'Tabell 5.2'!I141+I19+I31+'Tabell 5.2'!I67+'Tabell 5.2'!I79+'Tabell 5.2'!I115</f>
        <v>0</v>
      </c>
      <c r="J45" s="679" t="str">
        <f t="shared" si="13"/>
        <v xml:space="preserve">    ---- </v>
      </c>
      <c r="K45" s="685">
        <f>'Tabell 5.1'!K19+'Tabell 5.1'!K31+'Tabell 5.1'!K43+'Tabell 5.1'!K55+'Tabell 5.1'!K69+'Tabell 5.1'!K81+'Tabell 5.1'!K93+'Tabell 5.1'!K105+'Tabell 5.2'!K19+'Tabell 5.2'!K31+'Tabell 5.2'!K43+'Tabell 5.2'!K55+'Tabell 5.2'!K91+'Tabell 5.2'!K103+'Tabell 5.2'!K129+'Tabell 5.2'!K141+K19+K31+'Tabell 5.2'!K67+'Tabell 5.2'!K79+'Tabell 5.2'!K115</f>
        <v>130.84700000000001</v>
      </c>
      <c r="L45" s="679">
        <f>'Tabell 5.1'!L19+'Tabell 5.1'!L31+'Tabell 5.1'!L43+'Tabell 5.1'!L55+'Tabell 5.1'!L69+'Tabell 5.1'!L81+'Tabell 5.1'!L93+'Tabell 5.1'!L105+'Tabell 5.2'!L19+'Tabell 5.2'!L31+'Tabell 5.2'!L43+'Tabell 5.2'!L55+'Tabell 5.2'!L91+'Tabell 5.2'!L103+'Tabell 5.2'!L129+'Tabell 5.2'!L141+L19+L31+'Tabell 5.2'!L67+'Tabell 5.2'!L79+'Tabell 5.2'!L115</f>
        <v>0</v>
      </c>
      <c r="M45" s="679">
        <f t="shared" si="14"/>
        <v>-100</v>
      </c>
      <c r="N45" s="685">
        <f>'Tabell 5.1'!N19+'Tabell 5.1'!N31+'Tabell 5.1'!N43+'Tabell 5.1'!N55+'Tabell 5.1'!N69+'Tabell 5.1'!N81+'Tabell 5.1'!N93+'Tabell 5.1'!N105+'Tabell 5.2'!N19+'Tabell 5.2'!N31+'Tabell 5.2'!N43+'Tabell 5.2'!N55+'Tabell 5.2'!N91+'Tabell 5.2'!N103+'Tabell 5.2'!N129+'Tabell 5.2'!N141+N19+N31+'Tabell 5.2'!N67+'Tabell 5.2'!N79+'Tabell 5.2'!N115</f>
        <v>0</v>
      </c>
      <c r="O45" s="679">
        <f>'Tabell 5.1'!O19+'Tabell 5.1'!O31+'Tabell 5.1'!O43+'Tabell 5.1'!O55+'Tabell 5.1'!O69+'Tabell 5.1'!O81+'Tabell 5.1'!O93+'Tabell 5.1'!O105+'Tabell 5.2'!O19+'Tabell 5.2'!O31+'Tabell 5.2'!O43+'Tabell 5.2'!O55+'Tabell 5.2'!O91+'Tabell 5.2'!O103+'Tabell 5.2'!O129+'Tabell 5.2'!O141+O19+O31+'Tabell 5.2'!O67+'Tabell 5.2'!O79+'Tabell 5.2'!O115</f>
        <v>0</v>
      </c>
      <c r="P45" s="679" t="str">
        <f t="shared" si="15"/>
        <v xml:space="preserve">    ---- </v>
      </c>
      <c r="Q45" s="685">
        <f>'Tabell 5.1'!Q19+'Tabell 5.1'!Q31+'Tabell 5.1'!Q43+'Tabell 5.1'!Q55+'Tabell 5.1'!Q69+'Tabell 5.1'!Q81+'Tabell 5.1'!Q93+'Tabell 5.1'!Q105+'Tabell 5.2'!Q19+'Tabell 5.2'!Q31+'Tabell 5.2'!Q43+'Tabell 5.2'!Q55+'Tabell 5.2'!Q91+'Tabell 5.2'!Q103+'Tabell 5.2'!Q129+'Tabell 5.2'!Q141+Q19+Q31+'Tabell 5.2'!Q67+'Tabell 5.2'!Q79+'Tabell 5.2'!Q115</f>
        <v>0</v>
      </c>
      <c r="R45" s="679">
        <f>'Tabell 5.1'!R19+'Tabell 5.1'!R31+'Tabell 5.1'!R43+'Tabell 5.1'!R55+'Tabell 5.1'!R69+'Tabell 5.1'!R81+'Tabell 5.1'!R93+'Tabell 5.1'!R105+'Tabell 5.2'!R19+'Tabell 5.2'!R31+'Tabell 5.2'!R43+'Tabell 5.2'!R55+'Tabell 5.2'!R91+'Tabell 5.2'!R103+'Tabell 5.2'!R129+'Tabell 5.2'!R141+R19+R31+'Tabell 5.2'!R67+'Tabell 5.2'!R79+'Tabell 5.2'!R115</f>
        <v>0</v>
      </c>
      <c r="S45" s="679" t="str">
        <f t="shared" si="16"/>
        <v xml:space="preserve">    ---- </v>
      </c>
      <c r="T45" s="685">
        <f>'Tabell 5.1'!T19+'Tabell 5.1'!T31+'Tabell 5.1'!T43+'Tabell 5.1'!T55+'Tabell 5.1'!T69+'Tabell 5.1'!T81+'Tabell 5.1'!T93+'Tabell 5.1'!T105+'Tabell 5.2'!T19+'Tabell 5.2'!T31+'Tabell 5.2'!T43+'Tabell 5.2'!T55+'Tabell 5.2'!T91+'Tabell 5.2'!T103+'Tabell 5.2'!T129+'Tabell 5.2'!T141+T19+T31+'Tabell 5.2'!T67+'Tabell 5.2'!T79+'Tabell 5.2'!T115</f>
        <v>9</v>
      </c>
      <c r="U45" s="679">
        <f>'Tabell 5.1'!U19+'Tabell 5.1'!U31+'Tabell 5.1'!U43+'Tabell 5.1'!U55+'Tabell 5.1'!U69+'Tabell 5.1'!U81+'Tabell 5.1'!U93+'Tabell 5.1'!U105+'Tabell 5.2'!U19+'Tabell 5.2'!U31+'Tabell 5.2'!U43+'Tabell 5.2'!U55+'Tabell 5.2'!U91+'Tabell 5.2'!U103+'Tabell 5.2'!U129+'Tabell 5.2'!U141+U19+U31+'Tabell 5.2'!U67+'Tabell 5.2'!U79+'Tabell 5.2'!U115</f>
        <v>8</v>
      </c>
      <c r="V45" s="679">
        <f t="shared" si="17"/>
        <v>-11.1</v>
      </c>
      <c r="W45" s="685">
        <v>-238.19681299999999</v>
      </c>
      <c r="X45" s="679">
        <v>-306.55223000000001</v>
      </c>
      <c r="Y45" s="679">
        <f t="shared" si="18"/>
        <v>28.7</v>
      </c>
      <c r="Z45" s="685">
        <f>'Tabell 5.1'!Z19+'Tabell 5.1'!Z31+'Tabell 5.1'!Z43+'Tabell 5.1'!Z55+'Tabell 5.1'!Z69+'Tabell 5.1'!Z81+'Tabell 5.1'!Z93+'Tabell 5.1'!Z105+'Tabell 5.2'!Z19+'Tabell 5.2'!Z31+'Tabell 5.2'!Z43+'Tabell 5.2'!Z55+'Tabell 5.2'!Z91+'Tabell 5.2'!Z103+'Tabell 5.2'!Z129+'Tabell 5.2'!Z141+Z19+Z31+'Tabell 5.2'!Z67+'Tabell 5.2'!Z79+'Tabell 5.2'!Z115</f>
        <v>0</v>
      </c>
      <c r="AA45" s="679">
        <f>'Tabell 5.1'!AA19+'Tabell 5.1'!AA31+'Tabell 5.1'!AA43+'Tabell 5.1'!AA55+'Tabell 5.1'!AA69+'Tabell 5.1'!AA81+'Tabell 5.1'!AA93+'Tabell 5.1'!AA105+'Tabell 5.2'!AA19+'Tabell 5.2'!AA31+'Tabell 5.2'!AA43+'Tabell 5.2'!AA55+'Tabell 5.2'!AA91+'Tabell 5.2'!AA103+'Tabell 5.2'!AA129+'Tabell 5.2'!AA141+AA19+AA31+'Tabell 5.2'!AA67+'Tabell 5.2'!AA79+'Tabell 5.2'!AA115</f>
        <v>0</v>
      </c>
      <c r="AB45" s="679" t="str">
        <f t="shared" si="19"/>
        <v xml:space="preserve">    ---- </v>
      </c>
      <c r="AC45" s="685">
        <f>'Tabell 5.1'!AC19+'Tabell 5.1'!AC31+'Tabell 5.1'!AC43+'Tabell 5.1'!AC55+'Tabell 5.1'!AC69+'Tabell 5.1'!AC81+'Tabell 5.1'!AC93+'Tabell 5.1'!AC105+'Tabell 5.2'!AC19+'Tabell 5.2'!AC31+'Tabell 5.2'!AC43+'Tabell 5.2'!AC55+'Tabell 5.2'!AC91+'Tabell 5.2'!AC103+'Tabell 5.2'!AC129+'Tabell 5.2'!AC141+AC19+AC31+'Tabell 5.2'!AC67+'Tabell 5.2'!AC79+'Tabell 5.2'!AC115</f>
        <v>0</v>
      </c>
      <c r="AD45" s="679">
        <f>'Tabell 5.1'!AD19+'Tabell 5.1'!AD31+'Tabell 5.1'!AD43+'Tabell 5.1'!AD55+'Tabell 5.1'!AD69+'Tabell 5.1'!AD81+'Tabell 5.1'!AD93+'Tabell 5.1'!AD105+'Tabell 5.2'!AD19+'Tabell 5.2'!AD31+'Tabell 5.2'!AD43+'Tabell 5.2'!AD55+'Tabell 5.2'!AD91+'Tabell 5.2'!AD103+'Tabell 5.2'!AD129+'Tabell 5.2'!AD141+AD19+AD31+'Tabell 5.2'!AD67+'Tabell 5.2'!AD79+'Tabell 5.2'!AD115</f>
        <v>0</v>
      </c>
      <c r="AE45" s="679" t="str">
        <f t="shared" si="20"/>
        <v xml:space="preserve">    ---- </v>
      </c>
      <c r="AF45" s="685">
        <f>'Tabell 5.1'!AF19+'Tabell 5.1'!AF31+'Tabell 5.1'!AF43+'Tabell 5.1'!AF55+'Tabell 5.1'!AF69+'Tabell 5.1'!AF81+'Tabell 5.1'!AF93+'Tabell 5.1'!AF105+'Tabell 5.2'!AF19+'Tabell 5.2'!AF31+'Tabell 5.2'!AF43+'Tabell 5.2'!AF55+'Tabell 5.2'!AF91+'Tabell 5.2'!AF103+'Tabell 5.2'!AF129+'Tabell 5.2'!AF141+AF19+AF31+'Tabell 5.2'!AF67+'Tabell 5.2'!AF79+'Tabell 5.2'!AF115</f>
        <v>0</v>
      </c>
      <c r="AG45" s="679">
        <f>'Tabell 5.1'!AG19+'Tabell 5.1'!AG31+'Tabell 5.1'!AG43+'Tabell 5.1'!AG55+'Tabell 5.1'!AG69+'Tabell 5.1'!AG81+'Tabell 5.1'!AG93+'Tabell 5.1'!AG105+'Tabell 5.2'!AG19+'Tabell 5.2'!AG31+'Tabell 5.2'!AG43+'Tabell 5.2'!AG55+'Tabell 5.2'!AG91+'Tabell 5.2'!AG103+'Tabell 5.2'!AG129+'Tabell 5.2'!AG141+AG19+AG31+'Tabell 5.2'!AG67+'Tabell 5.2'!AG79+'Tabell 5.2'!AG115</f>
        <v>0</v>
      </c>
      <c r="AH45" s="679" t="str">
        <f t="shared" si="21"/>
        <v xml:space="preserve">    ---- </v>
      </c>
      <c r="AI45" s="685">
        <v>-3.42</v>
      </c>
      <c r="AJ45" s="679">
        <v>141.19999999999999</v>
      </c>
      <c r="AK45" s="679">
        <f t="shared" si="22"/>
        <v>-999</v>
      </c>
      <c r="AL45" s="679">
        <f t="shared" si="5"/>
        <v>-101.76981299999998</v>
      </c>
      <c r="AM45" s="679">
        <f t="shared" si="5"/>
        <v>-157.35223000000002</v>
      </c>
      <c r="AN45" s="679">
        <f t="shared" si="23"/>
        <v>54.6</v>
      </c>
      <c r="AO45" s="679">
        <f>'Tabell 5.1'!AO19+'Tabell 5.1'!AO31+'Tabell 5.1'!AO43+'Tabell 5.1'!AO55+'Tabell 5.1'!AO69+'Tabell 5.1'!AO81+'Tabell 5.1'!AO93+'Tabell 5.1'!AO105+'Tabell 5.2'!AO19+'Tabell 5.2'!AO31+'Tabell 5.2'!AO43+'Tabell 5.2'!AO55+'Tabell 5.2'!AO91+'Tabell 5.2'!AO103+'Tabell 5.2'!AO129+'Tabell 5.2'!AO141+AO19+AO31+'Tabell 5.2'!AO67+'Tabell 5.2'!AO79+'Tabell 5.2'!AO115</f>
        <v>-101.76981299999997</v>
      </c>
      <c r="AP45" s="679">
        <f>'Tabell 5.1'!AP19+'Tabell 5.1'!AP31+'Tabell 5.1'!AP43+'Tabell 5.1'!AP55+'Tabell 5.1'!AP69+'Tabell 5.1'!AP81+'Tabell 5.1'!AP93+'Tabell 5.1'!AP105+'Tabell 5.2'!AP19+'Tabell 5.2'!AP31+'Tabell 5.2'!AP43+'Tabell 5.2'!AP55+'Tabell 5.2'!AP91+'Tabell 5.2'!AP103+'Tabell 5.2'!AP129+'Tabell 5.2'!AP141+AP19+AP31+'Tabell 5.2'!AP67+'Tabell 5.2'!AP79+'Tabell 5.2'!AP115</f>
        <v>-157.35223000000002</v>
      </c>
      <c r="AQ45" s="680">
        <f t="shared" si="24"/>
        <v>54.6</v>
      </c>
      <c r="AR45" s="715"/>
      <c r="AS45" s="661"/>
      <c r="AT45" s="656"/>
      <c r="AU45" s="656"/>
    </row>
    <row r="46" spans="1:47" s="684" customFormat="1" ht="18.75" customHeight="1" x14ac:dyDescent="0.3">
      <c r="A46" s="623" t="s">
        <v>385</v>
      </c>
      <c r="B46" s="686">
        <v>121.72800000000001</v>
      </c>
      <c r="C46" s="677">
        <f>'Tabell 5.1'!C20+'Tabell 5.1'!C32+'Tabell 5.1'!C44+'Tabell 5.1'!C56+'Tabell 5.1'!C70+'Tabell 5.1'!C82+'Tabell 5.1'!C94+'Tabell 5.1'!C106+'Tabell 5.2'!C20+'Tabell 5.2'!C32+'Tabell 5.2'!C44+'Tabell 5.2'!C56+'Tabell 5.2'!C92+'Tabell 5.2'!C104+'Tabell 5.2'!C130+'Tabell 5.2'!C142+C20+C32+'Tabell 5.2'!C68+'Tabell 5.2'!C80+'Tabell 5.2'!C116</f>
        <v>69.167999999999992</v>
      </c>
      <c r="D46" s="677">
        <f t="shared" si="11"/>
        <v>-43.2</v>
      </c>
      <c r="E46" s="686">
        <v>10025.293</v>
      </c>
      <c r="F46" s="677">
        <v>-1777</v>
      </c>
      <c r="G46" s="677">
        <f t="shared" si="12"/>
        <v>-117.7</v>
      </c>
      <c r="H46" s="686">
        <f>'Tabell 5.1'!H20+'Tabell 5.1'!H32+'Tabell 5.1'!H44+'Tabell 5.1'!H56+'Tabell 5.1'!H70+'Tabell 5.1'!H82+'Tabell 5.1'!H94+'Tabell 5.1'!H106+'Tabell 5.2'!H20+'Tabell 5.2'!H32+'Tabell 5.2'!H44+'Tabell 5.2'!H56+'Tabell 5.2'!H92+'Tabell 5.2'!H104+'Tabell 5.2'!H130+'Tabell 5.2'!H142+H20+H32+'Tabell 5.2'!H68+'Tabell 5.2'!H80+'Tabell 5.2'!H116</f>
        <v>117.06700000000001</v>
      </c>
      <c r="I46" s="677">
        <f>'Tabell 5.1'!I20+'Tabell 5.1'!I32+'Tabell 5.1'!I44+'Tabell 5.1'!I56+'Tabell 5.1'!I70+'Tabell 5.1'!I82+'Tabell 5.1'!I94+'Tabell 5.1'!I106+'Tabell 5.2'!I20+'Tabell 5.2'!I32+'Tabell 5.2'!I44+'Tabell 5.2'!I56+'Tabell 5.2'!I92+'Tabell 5.2'!I104+'Tabell 5.2'!I130+'Tabell 5.2'!I142+I20+I32+'Tabell 5.2'!I68+'Tabell 5.2'!I80+'Tabell 5.2'!I116</f>
        <v>79.37</v>
      </c>
      <c r="J46" s="677">
        <f t="shared" si="13"/>
        <v>-32.200000000000003</v>
      </c>
      <c r="K46" s="686">
        <f>'Tabell 5.1'!K20+'Tabell 5.1'!K32+'Tabell 5.1'!K44+'Tabell 5.1'!K56+'Tabell 5.1'!K70+'Tabell 5.1'!K82+'Tabell 5.1'!K94+'Tabell 5.1'!K106+'Tabell 5.2'!K20+'Tabell 5.2'!K32+'Tabell 5.2'!K44+'Tabell 5.2'!K56+'Tabell 5.2'!K92+'Tabell 5.2'!K104+'Tabell 5.2'!K130+'Tabell 5.2'!K142+K20+K32+'Tabell 5.2'!K68+'Tabell 5.2'!K80+'Tabell 5.2'!K116</f>
        <v>122.934</v>
      </c>
      <c r="L46" s="677">
        <f>'Tabell 5.1'!L20+'Tabell 5.1'!L32+'Tabell 5.1'!L44+'Tabell 5.1'!L56+'Tabell 5.1'!L70+'Tabell 5.1'!L82+'Tabell 5.1'!L94+'Tabell 5.1'!L106+'Tabell 5.2'!L20+'Tabell 5.2'!L32+'Tabell 5.2'!L44+'Tabell 5.2'!L56+'Tabell 5.2'!L92+'Tabell 5.2'!L104+'Tabell 5.2'!L130+'Tabell 5.2'!L142+L20+L32+'Tabell 5.2'!L68+'Tabell 5.2'!L80+'Tabell 5.2'!L116</f>
        <v>267.5</v>
      </c>
      <c r="M46" s="677">
        <f t="shared" si="14"/>
        <v>117.6</v>
      </c>
      <c r="N46" s="686">
        <f>'Tabell 5.1'!N20+'Tabell 5.1'!N32+'Tabell 5.1'!N44+'Tabell 5.1'!N56+'Tabell 5.1'!N70+'Tabell 5.1'!N82+'Tabell 5.1'!N94+'Tabell 5.1'!N106+'Tabell 5.2'!N20+'Tabell 5.2'!N32+'Tabell 5.2'!N44+'Tabell 5.2'!N56+'Tabell 5.2'!N92+'Tabell 5.2'!N104+'Tabell 5.2'!N130+'Tabell 5.2'!N142+N20+N32+'Tabell 5.2'!N68+'Tabell 5.2'!N80+'Tabell 5.2'!N116</f>
        <v>26.760999999999999</v>
      </c>
      <c r="O46" s="677">
        <f>'Tabell 5.1'!O20+'Tabell 5.1'!O32+'Tabell 5.1'!O44+'Tabell 5.1'!O56+'Tabell 5.1'!O70+'Tabell 5.1'!O82+'Tabell 5.1'!O94+'Tabell 5.1'!O106+'Tabell 5.2'!O20+'Tabell 5.2'!O32+'Tabell 5.2'!O44+'Tabell 5.2'!O56+'Tabell 5.2'!O92+'Tabell 5.2'!O104+'Tabell 5.2'!O130+'Tabell 5.2'!O142+O20+O32+'Tabell 5.2'!O68+'Tabell 5.2'!O80+'Tabell 5.2'!O116</f>
        <v>20.052604803644044</v>
      </c>
      <c r="P46" s="677">
        <f t="shared" si="15"/>
        <v>-25.1</v>
      </c>
      <c r="Q46" s="686">
        <f>'Tabell 5.1'!Q20+'Tabell 5.1'!Q32+'Tabell 5.1'!Q44+'Tabell 5.1'!Q56+'Tabell 5.1'!Q70+'Tabell 5.1'!Q82+'Tabell 5.1'!Q94+'Tabell 5.1'!Q106+'Tabell 5.2'!Q20+'Tabell 5.2'!Q32+'Tabell 5.2'!Q44+'Tabell 5.2'!Q56+'Tabell 5.2'!Q92+'Tabell 5.2'!Q104+'Tabell 5.2'!Q130+'Tabell 5.2'!Q142+Q20+Q32+'Tabell 5.2'!Q68+'Tabell 5.2'!Q80+'Tabell 5.2'!Q116</f>
        <v>8517.4157191924805</v>
      </c>
      <c r="R46" s="677">
        <f>'Tabell 5.1'!R20+'Tabell 5.1'!R32+'Tabell 5.1'!R44+'Tabell 5.1'!R56+'Tabell 5.1'!R70+'Tabell 5.1'!R82+'Tabell 5.1'!R94+'Tabell 5.1'!R106+'Tabell 5.2'!R20+'Tabell 5.2'!R32+'Tabell 5.2'!R44+'Tabell 5.2'!R56+'Tabell 5.2'!R92+'Tabell 5.2'!R104+'Tabell 5.2'!R130+'Tabell 5.2'!R142+R20+R32+'Tabell 5.2'!R68+'Tabell 5.2'!R80+'Tabell 5.2'!R116</f>
        <v>7058.7671053986924</v>
      </c>
      <c r="S46" s="677">
        <f t="shared" si="16"/>
        <v>-17.100000000000001</v>
      </c>
      <c r="T46" s="686">
        <f>'Tabell 5.1'!T20+'Tabell 5.1'!T32+'Tabell 5.1'!T44+'Tabell 5.1'!T56+'Tabell 5.1'!T70+'Tabell 5.1'!T82+'Tabell 5.1'!T94+'Tabell 5.1'!T106+'Tabell 5.2'!T20+'Tabell 5.2'!T32+'Tabell 5.2'!T44+'Tabell 5.2'!T56+'Tabell 5.2'!T92+'Tabell 5.2'!T104+'Tabell 5.2'!T130+'Tabell 5.2'!T142+T20+T32+'Tabell 5.2'!T68+'Tabell 5.2'!T80+'Tabell 5.2'!T116</f>
        <v>-9</v>
      </c>
      <c r="U46" s="677">
        <f>'Tabell 5.1'!U20+'Tabell 5.1'!U32+'Tabell 5.1'!U44+'Tabell 5.1'!U56+'Tabell 5.1'!U70+'Tabell 5.1'!U82+'Tabell 5.1'!U94+'Tabell 5.1'!U106+'Tabell 5.2'!U20+'Tabell 5.2'!U32+'Tabell 5.2'!U44+'Tabell 5.2'!U56+'Tabell 5.2'!U92+'Tabell 5.2'!U104+'Tabell 5.2'!U130+'Tabell 5.2'!U142+U20+U32+'Tabell 5.2'!U68+'Tabell 5.2'!U80+'Tabell 5.2'!U116</f>
        <v>-1</v>
      </c>
      <c r="V46" s="677">
        <f t="shared" si="17"/>
        <v>-88.9</v>
      </c>
      <c r="W46" s="686">
        <v>711.31202046830538</v>
      </c>
      <c r="X46" s="677">
        <v>695.77318467645512</v>
      </c>
      <c r="Y46" s="677">
        <f t="shared" si="18"/>
        <v>-2.2000000000000002</v>
      </c>
      <c r="Z46" s="686">
        <f>'Tabell 5.1'!Z20+'Tabell 5.1'!Z32+'Tabell 5.1'!Z44+'Tabell 5.1'!Z56+'Tabell 5.1'!Z70+'Tabell 5.1'!Z82+'Tabell 5.1'!Z94+'Tabell 5.1'!Z106+'Tabell 5.2'!Z20+'Tabell 5.2'!Z32+'Tabell 5.2'!Z44+'Tabell 5.2'!Z56+'Tabell 5.2'!Z92+'Tabell 5.2'!Z104+'Tabell 5.2'!Z130+'Tabell 5.2'!Z142+Z20+Z32+'Tabell 5.2'!Z68+'Tabell 5.2'!Z80+'Tabell 5.2'!Z116</f>
        <v>1646</v>
      </c>
      <c r="AA46" s="677">
        <f>'Tabell 5.1'!AA20+'Tabell 5.1'!AA32+'Tabell 5.1'!AA44+'Tabell 5.1'!AA56+'Tabell 5.1'!AA70+'Tabell 5.1'!AA82+'Tabell 5.1'!AA94+'Tabell 5.1'!AA106+'Tabell 5.2'!AA20+'Tabell 5.2'!AA32+'Tabell 5.2'!AA44+'Tabell 5.2'!AA56+'Tabell 5.2'!AA92+'Tabell 5.2'!AA104+'Tabell 5.2'!AA130+'Tabell 5.2'!AA142+AA20+AA32+'Tabell 5.2'!AA68+'Tabell 5.2'!AA80+'Tabell 5.2'!AA116</f>
        <v>2056</v>
      </c>
      <c r="AB46" s="677">
        <f t="shared" si="19"/>
        <v>24.9</v>
      </c>
      <c r="AC46" s="686">
        <f>'Tabell 5.1'!AC20+'Tabell 5.1'!AC32+'Tabell 5.1'!AC44+'Tabell 5.1'!AC56+'Tabell 5.1'!AC70+'Tabell 5.1'!AC82+'Tabell 5.1'!AC94+'Tabell 5.1'!AC106+'Tabell 5.2'!AC20+'Tabell 5.2'!AC32+'Tabell 5.2'!AC44+'Tabell 5.2'!AC56+'Tabell 5.2'!AC92+'Tabell 5.2'!AC104+'Tabell 5.2'!AC130+'Tabell 5.2'!AC142+AC20+AC32+'Tabell 5.2'!AC68+'Tabell 5.2'!AC80+'Tabell 5.2'!AC116</f>
        <v>12.686</v>
      </c>
      <c r="AD46" s="677">
        <f>'Tabell 5.1'!AD20+'Tabell 5.1'!AD32+'Tabell 5.1'!AD44+'Tabell 5.1'!AD56+'Tabell 5.1'!AD70+'Tabell 5.1'!AD82+'Tabell 5.1'!AD94+'Tabell 5.1'!AD106+'Tabell 5.2'!AD20+'Tabell 5.2'!AD32+'Tabell 5.2'!AD44+'Tabell 5.2'!AD56+'Tabell 5.2'!AD92+'Tabell 5.2'!AD104+'Tabell 5.2'!AD130+'Tabell 5.2'!AD142+AD20+AD32+'Tabell 5.2'!AD68+'Tabell 5.2'!AD80+'Tabell 5.2'!AD116</f>
        <v>13.34519899</v>
      </c>
      <c r="AE46" s="677">
        <f t="shared" si="20"/>
        <v>5.2</v>
      </c>
      <c r="AF46" s="686">
        <f>'Tabell 5.1'!AF20+'Tabell 5.1'!AF32+'Tabell 5.1'!AF44+'Tabell 5.1'!AF56+'Tabell 5.1'!AF70+'Tabell 5.1'!AF82+'Tabell 5.1'!AF94+'Tabell 5.1'!AF106+'Tabell 5.2'!AF20+'Tabell 5.2'!AF32+'Tabell 5.2'!AF44+'Tabell 5.2'!AF56+'Tabell 5.2'!AF92+'Tabell 5.2'!AF104+'Tabell 5.2'!AF130+'Tabell 5.2'!AF142+AF20+AF32+'Tabell 5.2'!AF68+'Tabell 5.2'!AF80+'Tabell 5.2'!AF116</f>
        <v>867.92299999999977</v>
      </c>
      <c r="AG46" s="677">
        <f>'Tabell 5.1'!AG20+'Tabell 5.1'!AG32+'Tabell 5.1'!AG44+'Tabell 5.1'!AG56+'Tabell 5.1'!AG70+'Tabell 5.1'!AG82+'Tabell 5.1'!AG94+'Tabell 5.1'!AG106+'Tabell 5.2'!AG20+'Tabell 5.2'!AG32+'Tabell 5.2'!AG44+'Tabell 5.2'!AG56+'Tabell 5.2'!AG92+'Tabell 5.2'!AG104+'Tabell 5.2'!AG130+'Tabell 5.2'!AG142+AG20+AG32+'Tabell 5.2'!AG68+'Tabell 5.2'!AG80+'Tabell 5.2'!AG116</f>
        <v>739.96100000000013</v>
      </c>
      <c r="AH46" s="677">
        <f t="shared" si="21"/>
        <v>-14.7</v>
      </c>
      <c r="AI46" s="686">
        <v>3925.6899999999996</v>
      </c>
      <c r="AJ46" s="677">
        <v>1990.73</v>
      </c>
      <c r="AK46" s="677">
        <f t="shared" si="22"/>
        <v>-49.3</v>
      </c>
      <c r="AL46" s="677">
        <f t="shared" si="5"/>
        <v>26046.362739660781</v>
      </c>
      <c r="AM46" s="677">
        <f t="shared" si="5"/>
        <v>11179.269290075146</v>
      </c>
      <c r="AN46" s="677">
        <f t="shared" si="23"/>
        <v>-57.1</v>
      </c>
      <c r="AO46" s="677">
        <f>'Tabell 5.1'!AO20+'Tabell 5.1'!AO32+'Tabell 5.1'!AO44+'Tabell 5.1'!AO56+'Tabell 5.1'!AO70+'Tabell 5.1'!AO82+'Tabell 5.1'!AO94+'Tabell 5.1'!AO106+'Tabell 5.2'!AO20+'Tabell 5.2'!AO32+'Tabell 5.2'!AO44+'Tabell 5.2'!AO56+'Tabell 5.2'!AO92+'Tabell 5.2'!AO104+'Tabell 5.2'!AO130+'Tabell 5.2'!AO142+AO20+AO32+'Tabell 5.2'!AO68+'Tabell 5.2'!AO80+'Tabell 5.2'!AO116</f>
        <v>26085.809739660788</v>
      </c>
      <c r="AP46" s="677">
        <f>'Tabell 5.1'!AP20+'Tabell 5.1'!AP32+'Tabell 5.1'!AP44+'Tabell 5.1'!AP56+'Tabell 5.1'!AP70+'Tabell 5.1'!AP82+'Tabell 5.1'!AP94+'Tabell 5.1'!AP106+'Tabell 5.2'!AP20+'Tabell 5.2'!AP32+'Tabell 5.2'!AP44+'Tabell 5.2'!AP56+'Tabell 5.2'!AP92+'Tabell 5.2'!AP104+'Tabell 5.2'!AP130+'Tabell 5.2'!AP142+AP20+AP32+'Tabell 5.2'!AP68+'Tabell 5.2'!AP80+'Tabell 5.2'!AP116</f>
        <v>11212.667093868791</v>
      </c>
      <c r="AQ46" s="678">
        <f t="shared" si="24"/>
        <v>-57</v>
      </c>
      <c r="AR46" s="716"/>
      <c r="AS46" s="659"/>
      <c r="AT46" s="683"/>
      <c r="AU46" s="683"/>
    </row>
    <row r="47" spans="1:47" s="681" customFormat="1" ht="18.75" customHeight="1" x14ac:dyDescent="0.3">
      <c r="A47" s="629" t="s">
        <v>386</v>
      </c>
      <c r="B47" s="685">
        <v>0</v>
      </c>
      <c r="C47" s="679">
        <f>'Tabell 5.1'!C21+'Tabell 5.1'!C33+'Tabell 5.1'!C45+'Tabell 5.1'!C57+'Tabell 5.1'!C71+'Tabell 5.1'!C83+'Tabell 5.1'!C95+'Tabell 5.1'!C107+'Tabell 5.2'!C21+'Tabell 5.2'!C33+'Tabell 5.2'!C45+'Tabell 5.2'!C57+'Tabell 5.2'!C93+'Tabell 5.2'!C105+'Tabell 5.2'!C131+'Tabell 5.2'!C143+C21+C33+'Tabell 5.2'!C69+'Tabell 5.2'!C81+'Tabell 5.2'!C117</f>
        <v>6.71</v>
      </c>
      <c r="D47" s="679" t="str">
        <f t="shared" si="11"/>
        <v xml:space="preserve">    ---- </v>
      </c>
      <c r="E47" s="685">
        <v>8881.8019999999997</v>
      </c>
      <c r="F47" s="679">
        <v>-2858</v>
      </c>
      <c r="G47" s="679">
        <f t="shared" si="12"/>
        <v>-132.19999999999999</v>
      </c>
      <c r="H47" s="679">
        <f>'Tabell 5.1'!H21+'Tabell 5.1'!H33+'Tabell 5.1'!H45+'Tabell 5.1'!H57+'Tabell 5.1'!H71+'Tabell 5.1'!H83+'Tabell 5.1'!H95+'Tabell 5.1'!H107+'Tabell 5.2'!H21+'Tabell 5.2'!H33+'Tabell 5.2'!H45+'Tabell 5.2'!H57+'Tabell 5.2'!H93+'Tabell 5.2'!H105+'Tabell 5.2'!H131+'Tabell 5.2'!H143+H21+H33+'Tabell 5.2'!H69+'Tabell 5.2'!H81+'Tabell 5.2'!H117</f>
        <v>0</v>
      </c>
      <c r="I47" s="679">
        <f>'Tabell 5.1'!I21+'Tabell 5.1'!I33+'Tabell 5.1'!I45+'Tabell 5.1'!I57+'Tabell 5.1'!I71+'Tabell 5.1'!I83+'Tabell 5.1'!I95+'Tabell 5.1'!I107+'Tabell 5.2'!I21+'Tabell 5.2'!I33+'Tabell 5.2'!I45+'Tabell 5.2'!I57+'Tabell 5.2'!I93+'Tabell 5.2'!I105+'Tabell 5.2'!I131+'Tabell 5.2'!I143+I21+I33+'Tabell 5.2'!I69+'Tabell 5.2'!I81+'Tabell 5.2'!I117</f>
        <v>0</v>
      </c>
      <c r="J47" s="679" t="str">
        <f t="shared" si="13"/>
        <v xml:space="preserve">    ---- </v>
      </c>
      <c r="K47" s="685">
        <f>'Tabell 5.1'!K21+'Tabell 5.1'!K33+'Tabell 5.1'!K45+'Tabell 5.1'!K57+'Tabell 5.1'!K71+'Tabell 5.1'!K83+'Tabell 5.1'!K95+'Tabell 5.1'!K107+'Tabell 5.2'!K21+'Tabell 5.2'!K33+'Tabell 5.2'!K45+'Tabell 5.2'!K57+'Tabell 5.2'!K93+'Tabell 5.2'!K105+'Tabell 5.2'!K131+'Tabell 5.2'!K143+K21+K33+'Tabell 5.2'!K69+'Tabell 5.2'!K81+'Tabell 5.2'!K117</f>
        <v>20.210999999999999</v>
      </c>
      <c r="L47" s="679">
        <f>'Tabell 5.1'!L21+'Tabell 5.1'!L33+'Tabell 5.1'!L45+'Tabell 5.1'!L57+'Tabell 5.1'!L71+'Tabell 5.1'!L83+'Tabell 5.1'!L95+'Tabell 5.1'!L107+'Tabell 5.2'!L21+'Tabell 5.2'!L33+'Tabell 5.2'!L45+'Tabell 5.2'!L57+'Tabell 5.2'!L93+'Tabell 5.2'!L105+'Tabell 5.2'!L131+'Tabell 5.2'!L143+L21+L33+'Tabell 5.2'!L69+'Tabell 5.2'!L81+'Tabell 5.2'!L117</f>
        <v>107.10000000000001</v>
      </c>
      <c r="M47" s="679">
        <f t="shared" si="14"/>
        <v>429.9</v>
      </c>
      <c r="N47" s="685">
        <f>'Tabell 5.1'!N21+'Tabell 5.1'!N33+'Tabell 5.1'!N45+'Tabell 5.1'!N57+'Tabell 5.1'!N71+'Tabell 5.1'!N83+'Tabell 5.1'!N95+'Tabell 5.1'!N107+'Tabell 5.2'!N21+'Tabell 5.2'!N33+'Tabell 5.2'!N45+'Tabell 5.2'!N57+'Tabell 5.2'!N93+'Tabell 5.2'!N105+'Tabell 5.2'!N131+'Tabell 5.2'!N143+N21+N33+'Tabell 5.2'!N69+'Tabell 5.2'!N81+'Tabell 5.2'!N117</f>
        <v>0</v>
      </c>
      <c r="O47" s="679">
        <f>'Tabell 5.1'!O21+'Tabell 5.1'!O33+'Tabell 5.1'!O45+'Tabell 5.1'!O57+'Tabell 5.1'!O71+'Tabell 5.1'!O83+'Tabell 5.1'!O95+'Tabell 5.1'!O107+'Tabell 5.2'!O21+'Tabell 5.2'!O33+'Tabell 5.2'!O45+'Tabell 5.2'!O57+'Tabell 5.2'!O93+'Tabell 5.2'!O105+'Tabell 5.2'!O131+'Tabell 5.2'!O143+O21+O33+'Tabell 5.2'!O69+'Tabell 5.2'!O81+'Tabell 5.2'!O117</f>
        <v>0</v>
      </c>
      <c r="P47" s="679" t="str">
        <f t="shared" si="15"/>
        <v xml:space="preserve">    ---- </v>
      </c>
      <c r="Q47" s="685">
        <f>'Tabell 5.1'!Q21+'Tabell 5.1'!Q33+'Tabell 5.1'!Q45+'Tabell 5.1'!Q57+'Tabell 5.1'!Q71+'Tabell 5.1'!Q83+'Tabell 5.1'!Q95+'Tabell 5.1'!Q107+'Tabell 5.2'!Q21+'Tabell 5.2'!Q33+'Tabell 5.2'!Q45+'Tabell 5.2'!Q57+'Tabell 5.2'!Q93+'Tabell 5.2'!Q105+'Tabell 5.2'!Q131+'Tabell 5.2'!Q143+Q21+Q33+'Tabell 5.2'!Q69+'Tabell 5.2'!Q81+'Tabell 5.2'!Q117</f>
        <v>7420.8617709746895</v>
      </c>
      <c r="R47" s="679">
        <f>'Tabell 5.1'!R21+'Tabell 5.1'!R33+'Tabell 5.1'!R45+'Tabell 5.1'!R57+'Tabell 5.1'!R71+'Tabell 5.1'!R83+'Tabell 5.1'!R95+'Tabell 5.1'!R107+'Tabell 5.2'!R21+'Tabell 5.2'!R33+'Tabell 5.2'!R45+'Tabell 5.2'!R57+'Tabell 5.2'!R93+'Tabell 5.2'!R105+'Tabell 5.2'!R131+'Tabell 5.2'!R143+R21+R33+'Tabell 5.2'!R69+'Tabell 5.2'!R81+'Tabell 5.2'!R117</f>
        <v>5743.3265343232815</v>
      </c>
      <c r="S47" s="679">
        <f t="shared" si="16"/>
        <v>-22.6</v>
      </c>
      <c r="T47" s="685">
        <f>'Tabell 5.1'!T21+'Tabell 5.1'!T33+'Tabell 5.1'!T45+'Tabell 5.1'!T57+'Tabell 5.1'!T71+'Tabell 5.1'!T83+'Tabell 5.1'!T95+'Tabell 5.1'!T107+'Tabell 5.2'!T21+'Tabell 5.2'!T33+'Tabell 5.2'!T45+'Tabell 5.2'!T57+'Tabell 5.2'!T93+'Tabell 5.2'!T105+'Tabell 5.2'!T131+'Tabell 5.2'!T143+T21+T33+'Tabell 5.2'!T69+'Tabell 5.2'!T81+'Tabell 5.2'!T117</f>
        <v>17</v>
      </c>
      <c r="U47" s="679">
        <f>'Tabell 5.1'!U21+'Tabell 5.1'!U33+'Tabell 5.1'!U45+'Tabell 5.1'!U57+'Tabell 5.1'!U71+'Tabell 5.1'!U83+'Tabell 5.1'!U95+'Tabell 5.1'!U107+'Tabell 5.2'!U21+'Tabell 5.2'!U33+'Tabell 5.2'!U45+'Tabell 5.2'!U57+'Tabell 5.2'!U93+'Tabell 5.2'!U105+'Tabell 5.2'!U131+'Tabell 5.2'!U143+U21+U33+'Tabell 5.2'!U69+'Tabell 5.2'!U81+'Tabell 5.2'!U117</f>
        <v>20</v>
      </c>
      <c r="V47" s="679">
        <f t="shared" si="17"/>
        <v>17.600000000000001</v>
      </c>
      <c r="W47" s="685">
        <v>52.027203712205903</v>
      </c>
      <c r="X47" s="679">
        <v>115.4245625255509</v>
      </c>
      <c r="Y47" s="679">
        <f t="shared" si="18"/>
        <v>121.9</v>
      </c>
      <c r="Z47" s="685">
        <f>'Tabell 5.1'!Z21+'Tabell 5.1'!Z33+'Tabell 5.1'!Z45+'Tabell 5.1'!Z57+'Tabell 5.1'!Z71+'Tabell 5.1'!Z83+'Tabell 5.1'!Z95+'Tabell 5.1'!Z107+'Tabell 5.2'!Z21+'Tabell 5.2'!Z33+'Tabell 5.2'!Z45+'Tabell 5.2'!Z57+'Tabell 5.2'!Z93+'Tabell 5.2'!Z105+'Tabell 5.2'!Z131+'Tabell 5.2'!Z143+Z21+Z33+'Tabell 5.2'!Z69+'Tabell 5.2'!Z81+'Tabell 5.2'!Z117</f>
        <v>480</v>
      </c>
      <c r="AA47" s="679">
        <f>'Tabell 5.1'!AA21+'Tabell 5.1'!AA33+'Tabell 5.1'!AA45+'Tabell 5.1'!AA57+'Tabell 5.1'!AA71+'Tabell 5.1'!AA83+'Tabell 5.1'!AA95+'Tabell 5.1'!AA107+'Tabell 5.2'!AA21+'Tabell 5.2'!AA33+'Tabell 5.2'!AA45+'Tabell 5.2'!AA57+'Tabell 5.2'!AA93+'Tabell 5.2'!AA105+'Tabell 5.2'!AA131+'Tabell 5.2'!AA143+AA21+AA33+'Tabell 5.2'!AA69+'Tabell 5.2'!AA81+'Tabell 5.2'!AA117</f>
        <v>1265</v>
      </c>
      <c r="AB47" s="679">
        <f t="shared" si="19"/>
        <v>163.5</v>
      </c>
      <c r="AC47" s="685">
        <f>'Tabell 5.1'!AC21+'Tabell 5.1'!AC33+'Tabell 5.1'!AC45+'Tabell 5.1'!AC57+'Tabell 5.1'!AC71+'Tabell 5.1'!AC83+'Tabell 5.1'!AC95+'Tabell 5.1'!AC107+'Tabell 5.2'!AC21+'Tabell 5.2'!AC33+'Tabell 5.2'!AC45+'Tabell 5.2'!AC57+'Tabell 5.2'!AC93+'Tabell 5.2'!AC105+'Tabell 5.2'!AC131+'Tabell 5.2'!AC143+AC21+AC33+'Tabell 5.2'!AC69+'Tabell 5.2'!AC81+'Tabell 5.2'!AC117</f>
        <v>0</v>
      </c>
      <c r="AD47" s="679">
        <f>'Tabell 5.1'!AD21+'Tabell 5.1'!AD33+'Tabell 5.1'!AD45+'Tabell 5.1'!AD57+'Tabell 5.1'!AD71+'Tabell 5.1'!AD83+'Tabell 5.1'!AD95+'Tabell 5.1'!AD107+'Tabell 5.2'!AD21+'Tabell 5.2'!AD33+'Tabell 5.2'!AD45+'Tabell 5.2'!AD57+'Tabell 5.2'!AD93+'Tabell 5.2'!AD105+'Tabell 5.2'!AD131+'Tabell 5.2'!AD143+AD21+AD33+'Tabell 5.2'!AD69+'Tabell 5.2'!AD81+'Tabell 5.2'!AD117</f>
        <v>0</v>
      </c>
      <c r="AE47" s="679" t="str">
        <f t="shared" si="20"/>
        <v xml:space="preserve">    ---- </v>
      </c>
      <c r="AF47" s="685">
        <f>'Tabell 5.1'!AF21+'Tabell 5.1'!AF33+'Tabell 5.1'!AF45+'Tabell 5.1'!AF57+'Tabell 5.1'!AF71+'Tabell 5.1'!AF83+'Tabell 5.1'!AF95+'Tabell 5.1'!AF107+'Tabell 5.2'!AF21+'Tabell 5.2'!AF33+'Tabell 5.2'!AF45+'Tabell 5.2'!AF57+'Tabell 5.2'!AF93+'Tabell 5.2'!AF105+'Tabell 5.2'!AF131+'Tabell 5.2'!AF143+AF21+AF33+'Tabell 5.2'!AF69+'Tabell 5.2'!AF81+'Tabell 5.2'!AF117</f>
        <v>295.98700000000002</v>
      </c>
      <c r="AG47" s="679">
        <f>'Tabell 5.1'!AG21+'Tabell 5.1'!AG33+'Tabell 5.1'!AG45+'Tabell 5.1'!AG57+'Tabell 5.1'!AG71+'Tabell 5.1'!AG83+'Tabell 5.1'!AG95+'Tabell 5.1'!AG107+'Tabell 5.2'!AG21+'Tabell 5.2'!AG33+'Tabell 5.2'!AG45+'Tabell 5.2'!AG57+'Tabell 5.2'!AG93+'Tabell 5.2'!AG105+'Tabell 5.2'!AG131+'Tabell 5.2'!AG143+AG21+AG33+'Tabell 5.2'!AG69+'Tabell 5.2'!AG81+'Tabell 5.2'!AG117</f>
        <v>195.655</v>
      </c>
      <c r="AH47" s="679">
        <f t="shared" si="21"/>
        <v>-33.9</v>
      </c>
      <c r="AI47" s="685">
        <v>2769.6200000000003</v>
      </c>
      <c r="AJ47" s="679">
        <v>415</v>
      </c>
      <c r="AK47" s="679">
        <f t="shared" si="22"/>
        <v>-85</v>
      </c>
      <c r="AL47" s="679">
        <f t="shared" si="5"/>
        <v>19937.508974686894</v>
      </c>
      <c r="AM47" s="679">
        <f t="shared" si="5"/>
        <v>5010.2160968488324</v>
      </c>
      <c r="AN47" s="679">
        <f t="shared" si="23"/>
        <v>-74.900000000000006</v>
      </c>
      <c r="AO47" s="679">
        <f>'Tabell 5.1'!AO21+'Tabell 5.1'!AO33+'Tabell 5.1'!AO45+'Tabell 5.1'!AO57+'Tabell 5.1'!AO71+'Tabell 5.1'!AO83+'Tabell 5.1'!AO95+'Tabell 5.1'!AO107+'Tabell 5.2'!AO21+'Tabell 5.2'!AO33+'Tabell 5.2'!AO45+'Tabell 5.2'!AO57+'Tabell 5.2'!AO93+'Tabell 5.2'!AO105+'Tabell 5.2'!AO131+'Tabell 5.2'!AO143+AO21+AO33+'Tabell 5.2'!AO69+'Tabell 5.2'!AO81+'Tabell 5.2'!AO117</f>
        <v>19937.508974686898</v>
      </c>
      <c r="AP47" s="679">
        <f>'Tabell 5.1'!AP21+'Tabell 5.1'!AP33+'Tabell 5.1'!AP45+'Tabell 5.1'!AP57+'Tabell 5.1'!AP71+'Tabell 5.1'!AP83+'Tabell 5.1'!AP95+'Tabell 5.1'!AP107+'Tabell 5.2'!AP21+'Tabell 5.2'!AP33+'Tabell 5.2'!AP45+'Tabell 5.2'!AP57+'Tabell 5.2'!AP93+'Tabell 5.2'!AP105+'Tabell 5.2'!AP131+'Tabell 5.2'!AP143+AP21+AP33+'Tabell 5.2'!AP69+'Tabell 5.2'!AP81+'Tabell 5.2'!AP117</f>
        <v>4967.5560968488317</v>
      </c>
      <c r="AQ47" s="680">
        <f t="shared" si="24"/>
        <v>-75.099999999999994</v>
      </c>
      <c r="AR47" s="715"/>
      <c r="AS47" s="661"/>
      <c r="AT47" s="656"/>
      <c r="AU47" s="656"/>
    </row>
    <row r="48" spans="1:47" s="681" customFormat="1" ht="18.75" customHeight="1" x14ac:dyDescent="0.3">
      <c r="A48" s="641" t="s">
        <v>387</v>
      </c>
      <c r="B48" s="717">
        <v>121.58500000000001</v>
      </c>
      <c r="C48" s="697">
        <f>'Tabell 5.1'!C22+'Tabell 5.1'!C34+'Tabell 5.1'!C46+'Tabell 5.1'!C58+'Tabell 5.1'!C72+'Tabell 5.1'!C84+'Tabell 5.1'!C96+'Tabell 5.1'!C108+'Tabell 5.2'!C22+'Tabell 5.2'!C34+'Tabell 5.2'!C46+'Tabell 5.2'!C58+'Tabell 5.2'!C94+'Tabell 5.2'!C106+'Tabell 5.2'!C132+'Tabell 5.2'!C144+C22+C34+'Tabell 5.2'!C70+'Tabell 5.2'!C82+'Tabell 5.2'!C118</f>
        <v>62.459000000000003</v>
      </c>
      <c r="D48" s="696">
        <f t="shared" si="11"/>
        <v>-48.6</v>
      </c>
      <c r="E48" s="717">
        <v>1143.538</v>
      </c>
      <c r="F48" s="697">
        <v>1081</v>
      </c>
      <c r="G48" s="696">
        <f t="shared" si="12"/>
        <v>-5.5</v>
      </c>
      <c r="H48" s="717">
        <f>'Tabell 5.1'!H22+'Tabell 5.1'!H34+'Tabell 5.1'!H46+'Tabell 5.1'!H58+'Tabell 5.1'!H72+'Tabell 5.1'!H84+'Tabell 5.1'!H96+'Tabell 5.1'!H108+'Tabell 5.2'!H22+'Tabell 5.2'!H34+'Tabell 5.2'!H46+'Tabell 5.2'!H58+'Tabell 5.2'!H94+'Tabell 5.2'!H106+'Tabell 5.2'!H132+'Tabell 5.2'!H144+H22+H34+'Tabell 5.2'!H70+'Tabell 5.2'!H82+'Tabell 5.2'!H118</f>
        <v>117.06700000000001</v>
      </c>
      <c r="I48" s="697">
        <f>'Tabell 5.1'!I22+'Tabell 5.1'!I34+'Tabell 5.1'!I46+'Tabell 5.1'!I58+'Tabell 5.1'!I72+'Tabell 5.1'!I84+'Tabell 5.1'!I96+'Tabell 5.1'!I108+'Tabell 5.2'!I22+'Tabell 5.2'!I34+'Tabell 5.2'!I46+'Tabell 5.2'!I58+'Tabell 5.2'!I94+'Tabell 5.2'!I106+'Tabell 5.2'!I132+'Tabell 5.2'!I144+I22+I34+'Tabell 5.2'!I70+'Tabell 5.2'!I82+'Tabell 5.2'!I118</f>
        <v>79.38000000000001</v>
      </c>
      <c r="J48" s="696">
        <f t="shared" si="13"/>
        <v>-32.200000000000003</v>
      </c>
      <c r="K48" s="717">
        <f>'Tabell 5.1'!K22+'Tabell 5.1'!K34+'Tabell 5.1'!K46+'Tabell 5.1'!K58+'Tabell 5.1'!K72+'Tabell 5.1'!K84+'Tabell 5.1'!K96+'Tabell 5.1'!K108+'Tabell 5.2'!K22+'Tabell 5.2'!K34+'Tabell 5.2'!K46+'Tabell 5.2'!K58+'Tabell 5.2'!K94+'Tabell 5.2'!K106+'Tabell 5.2'!K132+'Tabell 5.2'!K144+K22+K34+'Tabell 5.2'!K70+'Tabell 5.2'!K82+'Tabell 5.2'!K118</f>
        <v>102.723</v>
      </c>
      <c r="L48" s="697">
        <f>'Tabell 5.1'!L22+'Tabell 5.1'!L34+'Tabell 5.1'!L46+'Tabell 5.1'!L58+'Tabell 5.1'!L72+'Tabell 5.1'!L84+'Tabell 5.1'!L96+'Tabell 5.1'!L108+'Tabell 5.2'!L22+'Tabell 5.2'!L34+'Tabell 5.2'!L46+'Tabell 5.2'!L58+'Tabell 5.2'!L94+'Tabell 5.2'!L106+'Tabell 5.2'!L132+'Tabell 5.2'!L144+L22+L34+'Tabell 5.2'!L70+'Tabell 5.2'!L82+'Tabell 5.2'!L118</f>
        <v>160.5</v>
      </c>
      <c r="M48" s="696">
        <f t="shared" si="14"/>
        <v>56.2</v>
      </c>
      <c r="N48" s="717">
        <f>'Tabell 5.1'!N22+'Tabell 5.1'!N34+'Tabell 5.1'!N46+'Tabell 5.1'!N58+'Tabell 5.1'!N72+'Tabell 5.1'!N84+'Tabell 5.1'!N96+'Tabell 5.1'!N108+'Tabell 5.2'!N22+'Tabell 5.2'!N34+'Tabell 5.2'!N46+'Tabell 5.2'!N58+'Tabell 5.2'!N94+'Tabell 5.2'!N106+'Tabell 5.2'!N132+'Tabell 5.2'!N144+N22+N34+'Tabell 5.2'!N70+'Tabell 5.2'!N82+'Tabell 5.2'!N118</f>
        <v>26.760999999999999</v>
      </c>
      <c r="O48" s="697">
        <f>'Tabell 5.1'!O22+'Tabell 5.1'!O34+'Tabell 5.1'!O46+'Tabell 5.1'!O58+'Tabell 5.1'!O72+'Tabell 5.1'!O84+'Tabell 5.1'!O96+'Tabell 5.1'!O108+'Tabell 5.2'!O22+'Tabell 5.2'!O34+'Tabell 5.2'!O46+'Tabell 5.2'!O58+'Tabell 5.2'!O94+'Tabell 5.2'!O106+'Tabell 5.2'!O132+'Tabell 5.2'!O144+O22+O34+'Tabell 5.2'!O70+'Tabell 5.2'!O82+'Tabell 5.2'!O118</f>
        <v>20.05260480364403</v>
      </c>
      <c r="P48" s="696">
        <f t="shared" si="15"/>
        <v>-25.1</v>
      </c>
      <c r="Q48" s="717">
        <f>'Tabell 5.1'!Q22+'Tabell 5.1'!Q34+'Tabell 5.1'!Q46+'Tabell 5.1'!Q58+'Tabell 5.1'!Q72+'Tabell 5.1'!Q84+'Tabell 5.1'!Q96+'Tabell 5.1'!Q108+'Tabell 5.2'!Q22+'Tabell 5.2'!Q34+'Tabell 5.2'!Q46+'Tabell 5.2'!Q58+'Tabell 5.2'!Q94+'Tabell 5.2'!Q106+'Tabell 5.2'!Q132+'Tabell 5.2'!Q144+Q22+Q34+'Tabell 5.2'!Q70+'Tabell 5.2'!Q82+'Tabell 5.2'!Q118</f>
        <v>1096.5539482177924</v>
      </c>
      <c r="R48" s="697">
        <f>'Tabell 5.1'!R22+'Tabell 5.1'!R34+'Tabell 5.1'!R46+'Tabell 5.1'!R58+'Tabell 5.1'!R72+'Tabell 5.1'!R84+'Tabell 5.1'!R96+'Tabell 5.1'!R108+'Tabell 5.2'!R22+'Tabell 5.2'!R34+'Tabell 5.2'!R46+'Tabell 5.2'!R58+'Tabell 5.2'!R94+'Tabell 5.2'!R106+'Tabell 5.2'!R132+'Tabell 5.2'!R144+R22+R34+'Tabell 5.2'!R70+'Tabell 5.2'!R82+'Tabell 5.2'!R118</f>
        <v>1315.698046240763</v>
      </c>
      <c r="S48" s="696">
        <f t="shared" si="16"/>
        <v>20</v>
      </c>
      <c r="T48" s="717">
        <f>'Tabell 5.1'!T22+'Tabell 5.1'!T34+'Tabell 5.1'!T46+'Tabell 5.1'!T58+'Tabell 5.1'!T72+'Tabell 5.1'!T84+'Tabell 5.1'!T96+'Tabell 5.1'!T108+'Tabell 5.2'!T22+'Tabell 5.2'!T34+'Tabell 5.2'!T46+'Tabell 5.2'!T58+'Tabell 5.2'!T94+'Tabell 5.2'!T106+'Tabell 5.2'!T132+'Tabell 5.2'!T144+T22+T34+'Tabell 5.2'!T70+'Tabell 5.2'!T82+'Tabell 5.2'!T118</f>
        <v>-26</v>
      </c>
      <c r="U48" s="697">
        <f>'Tabell 5.1'!U22+'Tabell 5.1'!U34+'Tabell 5.1'!U46+'Tabell 5.1'!U58+'Tabell 5.1'!U72+'Tabell 5.1'!U84+'Tabell 5.1'!U96+'Tabell 5.1'!U108+'Tabell 5.2'!U22+'Tabell 5.2'!U34+'Tabell 5.2'!U46+'Tabell 5.2'!U58+'Tabell 5.2'!U94+'Tabell 5.2'!U106+'Tabell 5.2'!U132+'Tabell 5.2'!U144+U22+U34+'Tabell 5.2'!U70+'Tabell 5.2'!U82+'Tabell 5.2'!U118</f>
        <v>-21</v>
      </c>
      <c r="V48" s="696">
        <f t="shared" si="17"/>
        <v>-19.2</v>
      </c>
      <c r="W48" s="717">
        <v>659.2848167560993</v>
      </c>
      <c r="X48" s="697">
        <v>580.34862215090436</v>
      </c>
      <c r="Y48" s="696">
        <f t="shared" si="18"/>
        <v>-12</v>
      </c>
      <c r="Z48" s="717">
        <f>'Tabell 5.1'!Z22+'Tabell 5.1'!Z34+'Tabell 5.1'!Z46+'Tabell 5.1'!Z58+'Tabell 5.1'!Z72+'Tabell 5.1'!Z84+'Tabell 5.1'!Z96+'Tabell 5.1'!Z108+'Tabell 5.2'!Z22+'Tabell 5.2'!Z34+'Tabell 5.2'!Z46+'Tabell 5.2'!Z58+'Tabell 5.2'!Z94+'Tabell 5.2'!Z106+'Tabell 5.2'!Z132+'Tabell 5.2'!Z144+Z22+Z34+'Tabell 5.2'!Z70+'Tabell 5.2'!Z82+'Tabell 5.2'!Z118</f>
        <v>1166</v>
      </c>
      <c r="AA48" s="697">
        <f>'Tabell 5.1'!AA22+'Tabell 5.1'!AA34+'Tabell 5.1'!AA46+'Tabell 5.1'!AA58+'Tabell 5.1'!AA72+'Tabell 5.1'!AA84+'Tabell 5.1'!AA96+'Tabell 5.1'!AA108+'Tabell 5.2'!AA22+'Tabell 5.2'!AA34+'Tabell 5.2'!AA46+'Tabell 5.2'!AA58+'Tabell 5.2'!AA94+'Tabell 5.2'!AA106+'Tabell 5.2'!AA132+'Tabell 5.2'!AA144+AA22+AA34+'Tabell 5.2'!AA70+'Tabell 5.2'!AA82+'Tabell 5.2'!AA118</f>
        <v>791</v>
      </c>
      <c r="AB48" s="696">
        <f t="shared" si="19"/>
        <v>-32.200000000000003</v>
      </c>
      <c r="AC48" s="717">
        <f>'Tabell 5.1'!AC22+'Tabell 5.1'!AC34+'Tabell 5.1'!AC46+'Tabell 5.1'!AC58+'Tabell 5.1'!AC72+'Tabell 5.1'!AC84+'Tabell 5.1'!AC96+'Tabell 5.1'!AC108+'Tabell 5.2'!AC22+'Tabell 5.2'!AC34+'Tabell 5.2'!AC46+'Tabell 5.2'!AC58+'Tabell 5.2'!AC94+'Tabell 5.2'!AC106+'Tabell 5.2'!AC132+'Tabell 5.2'!AC144+AC22+AC34+'Tabell 5.2'!AC70+'Tabell 5.2'!AC82+'Tabell 5.2'!AC118</f>
        <v>12.686</v>
      </c>
      <c r="AD48" s="697">
        <f>'Tabell 5.1'!AD22+'Tabell 5.1'!AD34+'Tabell 5.1'!AD46+'Tabell 5.1'!AD58+'Tabell 5.1'!AD72+'Tabell 5.1'!AD84+'Tabell 5.1'!AD96+'Tabell 5.1'!AD108+'Tabell 5.2'!AD22+'Tabell 5.2'!AD34+'Tabell 5.2'!AD46+'Tabell 5.2'!AD58+'Tabell 5.2'!AD94+'Tabell 5.2'!AD106+'Tabell 5.2'!AD132+'Tabell 5.2'!AD144+AD22+AD34+'Tabell 5.2'!AD70+'Tabell 5.2'!AD82+'Tabell 5.2'!AD118</f>
        <v>13.8171559488258</v>
      </c>
      <c r="AE48" s="696">
        <f t="shared" si="20"/>
        <v>8.9</v>
      </c>
      <c r="AF48" s="717">
        <f>'Tabell 5.1'!AF22+'Tabell 5.1'!AF34+'Tabell 5.1'!AF46+'Tabell 5.1'!AF58+'Tabell 5.1'!AF72+'Tabell 5.1'!AF84+'Tabell 5.1'!AF96+'Tabell 5.1'!AF108+'Tabell 5.2'!AF22+'Tabell 5.2'!AF34+'Tabell 5.2'!AF46+'Tabell 5.2'!AF58+'Tabell 5.2'!AF94+'Tabell 5.2'!AF106+'Tabell 5.2'!AF132+'Tabell 5.2'!AF144+AF22+AF34+'Tabell 5.2'!AF70+'Tabell 5.2'!AF82+'Tabell 5.2'!AF118</f>
        <v>570.64099999999996</v>
      </c>
      <c r="AG48" s="697">
        <f>'Tabell 5.1'!AG22+'Tabell 5.1'!AG34+'Tabell 5.1'!AG46+'Tabell 5.1'!AG58+'Tabell 5.1'!AG72+'Tabell 5.1'!AG84+'Tabell 5.1'!AG96+'Tabell 5.1'!AG108+'Tabell 5.2'!AG22+'Tabell 5.2'!AG34+'Tabell 5.2'!AG46+'Tabell 5.2'!AG58+'Tabell 5.2'!AG94+'Tabell 5.2'!AG106+'Tabell 5.2'!AG132+'Tabell 5.2'!AG144+AG22+AG34+'Tabell 5.2'!AG70+'Tabell 5.2'!AG82+'Tabell 5.2'!AG118</f>
        <v>544.20400000000018</v>
      </c>
      <c r="AH48" s="696">
        <f t="shared" si="21"/>
        <v>-4.5999999999999996</v>
      </c>
      <c r="AI48" s="717">
        <v>1155.4829999999999</v>
      </c>
      <c r="AJ48" s="697">
        <v>1575.7</v>
      </c>
      <c r="AK48" s="696">
        <f t="shared" si="22"/>
        <v>36.4</v>
      </c>
      <c r="AL48" s="697">
        <f t="shared" si="5"/>
        <v>6106.8757649738909</v>
      </c>
      <c r="AM48" s="697">
        <f t="shared" si="5"/>
        <v>6169.289668391667</v>
      </c>
      <c r="AN48" s="696">
        <f t="shared" si="23"/>
        <v>1</v>
      </c>
      <c r="AO48" s="697">
        <f>'Tabell 5.1'!AO22+'Tabell 5.1'!AO34+'Tabell 5.1'!AO46+'Tabell 5.1'!AO58+'Tabell 5.1'!AO72+'Tabell 5.1'!AO84+'Tabell 5.1'!AO96+'Tabell 5.1'!AO108+'Tabell 5.2'!AO22+'Tabell 5.2'!AO34+'Tabell 5.2'!AO46+'Tabell 5.2'!AO58+'Tabell 5.2'!AO94+'Tabell 5.2'!AO106+'Tabell 5.2'!AO132+'Tabell 5.2'!AO144+AO22+AO34+'Tabell 5.2'!AO70+'Tabell 5.2'!AO82+'Tabell 5.2'!AO118</f>
        <v>6146.322764973891</v>
      </c>
      <c r="AP48" s="697">
        <f>'Tabell 5.1'!AP22+'Tabell 5.1'!AP34+'Tabell 5.1'!AP46+'Tabell 5.1'!AP58+'Tabell 5.1'!AP72+'Tabell 5.1'!AP84+'Tabell 5.1'!AP96+'Tabell 5.1'!AP108+'Tabell 5.2'!AP22+'Tabell 5.2'!AP34+'Tabell 5.2'!AP46+'Tabell 5.2'!AP58+'Tabell 5.2'!AP94+'Tabell 5.2'!AP106+'Tabell 5.2'!AP132+'Tabell 5.2'!AP144+AP22+AP34+'Tabell 5.2'!AP70+'Tabell 5.2'!AP82+'Tabell 5.2'!AP118</f>
        <v>6246.119429144137</v>
      </c>
      <c r="AQ48" s="697">
        <f t="shared" si="24"/>
        <v>1.6</v>
      </c>
      <c r="AR48" s="715"/>
      <c r="AS48" s="661"/>
      <c r="AT48" s="656"/>
      <c r="AU48" s="656"/>
    </row>
    <row r="49" spans="1:47" s="699" customFormat="1" ht="18.75" customHeight="1" x14ac:dyDescent="0.3">
      <c r="A49" s="656" t="s">
        <v>261</v>
      </c>
      <c r="B49" s="602"/>
      <c r="C49" s="698"/>
      <c r="D49" s="698"/>
      <c r="E49" s="698"/>
      <c r="F49" s="698"/>
      <c r="G49" s="698"/>
      <c r="H49" s="661"/>
      <c r="I49" s="656"/>
      <c r="J49" s="656"/>
      <c r="L49" s="656"/>
      <c r="M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61"/>
      <c r="AP49" s="661"/>
      <c r="AQ49" s="661"/>
      <c r="AR49" s="700"/>
      <c r="AS49" s="701"/>
      <c r="AT49" s="700"/>
      <c r="AU49" s="700"/>
    </row>
    <row r="50" spans="1:47" s="699" customFormat="1" ht="18.75" customHeight="1" x14ac:dyDescent="0.3">
      <c r="A50" s="656"/>
      <c r="C50" s="698"/>
      <c r="D50" s="698"/>
      <c r="E50" s="698"/>
      <c r="F50" s="698"/>
      <c r="G50" s="698"/>
      <c r="H50" s="661"/>
      <c r="I50" s="656"/>
      <c r="J50" s="656"/>
      <c r="K50" s="656"/>
      <c r="L50" s="656"/>
      <c r="M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61"/>
      <c r="AP50" s="661"/>
      <c r="AQ50" s="661"/>
      <c r="AR50" s="700"/>
      <c r="AS50" s="701"/>
      <c r="AT50" s="700"/>
      <c r="AU50" s="700"/>
    </row>
    <row r="51" spans="1:47" s="699" customFormat="1" ht="18.75" x14ac:dyDescent="0.3">
      <c r="A51" s="700"/>
      <c r="B51" s="698"/>
      <c r="C51" s="698"/>
      <c r="D51" s="698"/>
      <c r="E51" s="698"/>
      <c r="F51" s="698"/>
      <c r="G51" s="698"/>
      <c r="H51" s="701"/>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00"/>
      <c r="AI51" s="700"/>
      <c r="AJ51" s="700"/>
      <c r="AK51" s="700"/>
      <c r="AL51" s="700"/>
      <c r="AM51" s="700"/>
      <c r="AN51" s="700"/>
      <c r="AO51" s="700"/>
      <c r="AP51" s="700"/>
      <c r="AQ51" s="700"/>
      <c r="AR51" s="700"/>
      <c r="AS51" s="701"/>
      <c r="AT51" s="700"/>
      <c r="AU51" s="700"/>
    </row>
    <row r="52" spans="1:47" s="699" customFormat="1" ht="18.75" x14ac:dyDescent="0.3">
      <c r="A52" s="700"/>
      <c r="B52" s="718"/>
      <c r="C52" s="698"/>
      <c r="D52" s="698"/>
      <c r="E52" s="698"/>
      <c r="F52" s="698"/>
      <c r="G52" s="698"/>
      <c r="H52" s="701"/>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1"/>
      <c r="AT52" s="700"/>
      <c r="AU52" s="700"/>
    </row>
    <row r="53" spans="1:47" s="699" customFormat="1" ht="18.75" x14ac:dyDescent="0.3">
      <c r="A53" s="700"/>
      <c r="B53" s="698"/>
      <c r="C53" s="698"/>
      <c r="D53" s="698"/>
      <c r="E53" s="698"/>
      <c r="F53" s="698"/>
      <c r="G53" s="698"/>
      <c r="H53" s="704"/>
      <c r="AS53" s="704"/>
    </row>
    <row r="54" spans="1:47" s="699" customFormat="1" ht="18.75" x14ac:dyDescent="0.3">
      <c r="A54" s="700"/>
      <c r="Q54" s="719"/>
      <c r="R54" s="719"/>
      <c r="AS54" s="704"/>
    </row>
    <row r="55" spans="1:47" s="699" customFormat="1" ht="18.75" x14ac:dyDescent="0.3">
      <c r="A55" s="700"/>
      <c r="Q55" s="719"/>
      <c r="R55" s="719"/>
      <c r="AS55" s="704"/>
    </row>
    <row r="56" spans="1:47" s="699" customFormat="1" ht="18.75" x14ac:dyDescent="0.3">
      <c r="A56" s="700"/>
      <c r="Q56" s="719"/>
      <c r="R56" s="719"/>
      <c r="AS56" s="704"/>
    </row>
    <row r="57" spans="1:47" ht="18.75" x14ac:dyDescent="0.3">
      <c r="A57" s="656"/>
      <c r="Q57" s="681"/>
      <c r="R57" s="681"/>
      <c r="AS57" s="706"/>
    </row>
    <row r="58" spans="1:47" ht="18.75" x14ac:dyDescent="0.3">
      <c r="A58" s="656"/>
      <c r="Q58" s="681"/>
      <c r="R58" s="681"/>
      <c r="AS58" s="706"/>
    </row>
    <row r="59" spans="1:47" ht="18.75" x14ac:dyDescent="0.3">
      <c r="A59" s="656"/>
      <c r="Q59" s="681"/>
      <c r="R59" s="681"/>
      <c r="AS59" s="706"/>
    </row>
    <row r="60" spans="1:47" ht="18.75" x14ac:dyDescent="0.3">
      <c r="A60" s="656"/>
      <c r="Q60" s="681"/>
      <c r="R60" s="681"/>
      <c r="AS60" s="706"/>
    </row>
    <row r="61" spans="1:47" ht="18.75" x14ac:dyDescent="0.3">
      <c r="A61" s="656"/>
      <c r="Q61" s="681"/>
      <c r="R61" s="681"/>
      <c r="AS61" s="706"/>
    </row>
    <row r="62" spans="1:47" ht="18.75" x14ac:dyDescent="0.3">
      <c r="A62" s="656"/>
      <c r="Q62" s="681"/>
      <c r="R62" s="681"/>
      <c r="AS62" s="706"/>
    </row>
    <row r="63" spans="1:47" ht="18.75" x14ac:dyDescent="0.3">
      <c r="A63" s="656"/>
      <c r="Q63" s="681"/>
      <c r="R63" s="681"/>
      <c r="AS63" s="706"/>
    </row>
    <row r="64" spans="1:47" ht="18.75" x14ac:dyDescent="0.3">
      <c r="A64" s="656"/>
      <c r="Q64" s="681"/>
      <c r="R64" s="681"/>
      <c r="AS64" s="706"/>
    </row>
    <row r="65" spans="1:45" ht="18.75" x14ac:dyDescent="0.3">
      <c r="A65" s="656"/>
      <c r="Q65" s="681"/>
      <c r="R65" s="681"/>
      <c r="AS65" s="706"/>
    </row>
    <row r="66" spans="1:45" ht="18.75" x14ac:dyDescent="0.3">
      <c r="A66" s="656"/>
      <c r="Q66" s="681"/>
      <c r="R66" s="681"/>
      <c r="AS66" s="706"/>
    </row>
    <row r="67" spans="1:45" ht="18.75" x14ac:dyDescent="0.3">
      <c r="A67" s="656"/>
      <c r="Q67" s="681"/>
      <c r="R67" s="681"/>
      <c r="AS67" s="706"/>
    </row>
    <row r="68" spans="1:45" ht="18.75" x14ac:dyDescent="0.3">
      <c r="A68" s="656"/>
      <c r="Q68" s="681"/>
      <c r="R68" s="681"/>
      <c r="AS68" s="706"/>
    </row>
    <row r="69" spans="1:45" ht="18.75" x14ac:dyDescent="0.3">
      <c r="A69" s="656"/>
      <c r="Q69" s="681"/>
      <c r="R69" s="681"/>
      <c r="AS69" s="706"/>
    </row>
    <row r="70" spans="1:45" ht="18.75" x14ac:dyDescent="0.3">
      <c r="A70" s="656"/>
      <c r="Q70" s="681"/>
      <c r="R70" s="681"/>
      <c r="AS70" s="706"/>
    </row>
    <row r="71" spans="1:45" ht="18.75" x14ac:dyDescent="0.3">
      <c r="A71" s="656"/>
      <c r="Q71" s="681"/>
      <c r="R71" s="681"/>
      <c r="AS71" s="706"/>
    </row>
    <row r="72" spans="1:45" ht="18.75" x14ac:dyDescent="0.3">
      <c r="A72" s="656"/>
      <c r="Q72" s="681"/>
      <c r="R72" s="681"/>
      <c r="AS72" s="706"/>
    </row>
    <row r="73" spans="1:45" ht="18.75" x14ac:dyDescent="0.3">
      <c r="A73" s="656"/>
      <c r="Q73" s="681"/>
      <c r="R73" s="681"/>
      <c r="AS73" s="706"/>
    </row>
    <row r="74" spans="1:45" ht="18.75" x14ac:dyDescent="0.3">
      <c r="A74" s="656"/>
      <c r="Q74" s="681"/>
      <c r="R74" s="681"/>
      <c r="AS74" s="706"/>
    </row>
    <row r="75" spans="1:45" ht="18.75" x14ac:dyDescent="0.3">
      <c r="A75" s="656"/>
      <c r="Q75" s="681"/>
      <c r="R75" s="681"/>
      <c r="AS75" s="706"/>
    </row>
    <row r="76" spans="1:45" ht="18.75" x14ac:dyDescent="0.3">
      <c r="A76" s="656"/>
      <c r="Q76" s="681"/>
      <c r="R76" s="681"/>
      <c r="AS76" s="706"/>
    </row>
    <row r="77" spans="1:45" ht="18.75" x14ac:dyDescent="0.3">
      <c r="A77" s="656"/>
      <c r="Q77" s="681"/>
      <c r="R77" s="681"/>
      <c r="AS77" s="706"/>
    </row>
    <row r="78" spans="1:45" ht="18.75" x14ac:dyDescent="0.3">
      <c r="A78" s="656"/>
      <c r="Q78" s="681"/>
      <c r="R78" s="681"/>
      <c r="AS78" s="706"/>
    </row>
    <row r="79" spans="1:45" ht="18.75" x14ac:dyDescent="0.3">
      <c r="A79" s="656"/>
      <c r="Q79" s="681"/>
      <c r="R79" s="681"/>
      <c r="AS79" s="706"/>
    </row>
    <row r="80" spans="1:45" ht="18.75" x14ac:dyDescent="0.3">
      <c r="A80" s="656"/>
      <c r="Q80" s="681"/>
      <c r="R80" s="681"/>
      <c r="AS80" s="706"/>
    </row>
    <row r="81" spans="1:45" ht="18.75" x14ac:dyDescent="0.3">
      <c r="A81" s="656"/>
      <c r="Q81" s="681"/>
      <c r="R81" s="681"/>
      <c r="AS81" s="706"/>
    </row>
    <row r="82" spans="1:45" ht="18.75" x14ac:dyDescent="0.3">
      <c r="A82" s="656"/>
      <c r="Q82" s="681"/>
      <c r="R82" s="681"/>
      <c r="AS82" s="706"/>
    </row>
    <row r="83" spans="1:45" ht="18.75" x14ac:dyDescent="0.3">
      <c r="A83" s="656"/>
      <c r="Q83" s="681"/>
      <c r="R83" s="681"/>
      <c r="AS83" s="706"/>
    </row>
    <row r="84" spans="1:45" ht="18.75" x14ac:dyDescent="0.3">
      <c r="A84" s="656"/>
      <c r="Q84" s="681"/>
      <c r="R84" s="681"/>
      <c r="AS84" s="706"/>
    </row>
    <row r="85" spans="1:45" ht="18.75" x14ac:dyDescent="0.3">
      <c r="A85" s="656"/>
      <c r="Q85" s="681"/>
      <c r="R85" s="681"/>
      <c r="AS85" s="706"/>
    </row>
    <row r="86" spans="1:45" ht="18.75" x14ac:dyDescent="0.3">
      <c r="A86" s="656"/>
      <c r="Q86" s="681"/>
      <c r="R86" s="681"/>
      <c r="AS86" s="706"/>
    </row>
    <row r="87" spans="1:45" ht="18.75" x14ac:dyDescent="0.3">
      <c r="A87" s="656"/>
      <c r="Q87" s="681"/>
      <c r="R87" s="681"/>
      <c r="AS87" s="706"/>
    </row>
    <row r="88" spans="1:45" ht="18.75" x14ac:dyDescent="0.3">
      <c r="A88" s="656"/>
      <c r="Q88" s="681"/>
      <c r="R88" s="681"/>
      <c r="AS88" s="706"/>
    </row>
    <row r="89" spans="1:45" ht="18.75" x14ac:dyDescent="0.3">
      <c r="A89" s="656"/>
      <c r="Q89" s="681"/>
      <c r="R89" s="681"/>
      <c r="AS89" s="706"/>
    </row>
    <row r="90" spans="1:45" ht="18.75" x14ac:dyDescent="0.3">
      <c r="A90" s="656"/>
      <c r="Q90" s="681"/>
      <c r="R90" s="681"/>
      <c r="AS90" s="706"/>
    </row>
    <row r="91" spans="1:45" ht="18.75" x14ac:dyDescent="0.3">
      <c r="A91" s="656"/>
      <c r="Q91" s="681"/>
      <c r="R91" s="681"/>
      <c r="AS91" s="706"/>
    </row>
    <row r="92" spans="1:45" ht="18.75" x14ac:dyDescent="0.3">
      <c r="A92" s="656"/>
      <c r="Q92" s="681"/>
      <c r="R92" s="681"/>
      <c r="AS92" s="706"/>
    </row>
    <row r="93" spans="1:45" ht="18.75" x14ac:dyDescent="0.3">
      <c r="A93" s="656"/>
      <c r="Q93" s="681"/>
      <c r="R93" s="681"/>
      <c r="AS93" s="706"/>
    </row>
    <row r="94" spans="1:45" ht="18.75" x14ac:dyDescent="0.3">
      <c r="A94" s="656"/>
      <c r="Q94" s="681"/>
      <c r="R94" s="681"/>
      <c r="AS94" s="706"/>
    </row>
    <row r="95" spans="1:45" ht="18.75" x14ac:dyDescent="0.3">
      <c r="A95" s="656"/>
      <c r="Q95" s="681"/>
      <c r="R95" s="681"/>
      <c r="AS95" s="706"/>
    </row>
    <row r="96" spans="1:45" ht="18.75" x14ac:dyDescent="0.3">
      <c r="A96" s="656"/>
      <c r="Q96" s="681"/>
      <c r="R96" s="681"/>
      <c r="AS96" s="706"/>
    </row>
    <row r="97" spans="1:45" ht="18.75" x14ac:dyDescent="0.3">
      <c r="A97" s="656"/>
      <c r="Q97" s="681"/>
      <c r="R97" s="681"/>
      <c r="AS97" s="706"/>
    </row>
    <row r="98" spans="1:45" ht="18.75" x14ac:dyDescent="0.3">
      <c r="A98" s="656"/>
      <c r="Q98" s="681"/>
      <c r="R98" s="681"/>
      <c r="AS98" s="706"/>
    </row>
    <row r="99" spans="1:45" ht="18.75" x14ac:dyDescent="0.3">
      <c r="A99" s="656"/>
      <c r="Q99" s="681"/>
      <c r="R99" s="681"/>
      <c r="AS99" s="706"/>
    </row>
    <row r="100" spans="1:45" ht="18.75" x14ac:dyDescent="0.3">
      <c r="A100" s="656"/>
      <c r="Q100" s="681"/>
      <c r="R100" s="681"/>
      <c r="AS100" s="706"/>
    </row>
    <row r="101" spans="1:45" ht="18.75" x14ac:dyDescent="0.3">
      <c r="A101" s="656"/>
      <c r="E101" s="657">
        <v>0</v>
      </c>
      <c r="Q101" s="681">
        <v>8021.1680385597992</v>
      </c>
      <c r="R101" s="681"/>
      <c r="AS101" s="706"/>
    </row>
    <row r="102" spans="1:45" ht="18.75" x14ac:dyDescent="0.3">
      <c r="A102" s="656"/>
      <c r="E102" s="657">
        <v>0</v>
      </c>
      <c r="Q102" s="681">
        <v>4.3610605525112156</v>
      </c>
      <c r="R102" s="681"/>
      <c r="AS102" s="706"/>
    </row>
    <row r="103" spans="1:45" ht="18.75" x14ac:dyDescent="0.3">
      <c r="A103" s="656"/>
      <c r="E103" s="657">
        <v>-10.638999999999999</v>
      </c>
      <c r="Q103" s="681">
        <v>-49.179410697877408</v>
      </c>
      <c r="R103" s="681"/>
      <c r="AS103" s="706"/>
    </row>
    <row r="104" spans="1:45" ht="18.75" x14ac:dyDescent="0.3">
      <c r="A104" s="656"/>
      <c r="E104" s="657">
        <v>0.87009999999999998</v>
      </c>
      <c r="Q104" s="681"/>
      <c r="R104" s="681"/>
      <c r="AS104" s="706"/>
    </row>
    <row r="105" spans="1:45" ht="18.75" x14ac:dyDescent="0.3">
      <c r="A105" s="656"/>
      <c r="E105" s="657">
        <v>4.2350000000000003</v>
      </c>
      <c r="Q105" s="681">
        <v>683.36542899999995</v>
      </c>
      <c r="R105" s="681"/>
      <c r="AS105" s="706"/>
    </row>
    <row r="106" spans="1:45" ht="18.75" x14ac:dyDescent="0.3">
      <c r="A106" s="656"/>
      <c r="E106" s="657">
        <v>27.494</v>
      </c>
      <c r="Q106" s="681">
        <v>784.80863243128704</v>
      </c>
      <c r="R106" s="681"/>
      <c r="AS106" s="706"/>
    </row>
    <row r="107" spans="1:45" ht="18.75" x14ac:dyDescent="0.3">
      <c r="A107" s="656"/>
      <c r="Q107" s="681">
        <v>392.40431699999999</v>
      </c>
      <c r="R107" s="681"/>
      <c r="AS107" s="706"/>
    </row>
    <row r="108" spans="1:45" ht="18.75" x14ac:dyDescent="0.3">
      <c r="A108" s="656"/>
      <c r="Q108" s="681"/>
      <c r="R108" s="681"/>
      <c r="AS108" s="706"/>
    </row>
    <row r="109" spans="1:45" ht="18.75" x14ac:dyDescent="0.3">
      <c r="A109" s="656"/>
      <c r="E109" s="657">
        <v>21.960100000000001</v>
      </c>
      <c r="Q109" s="681">
        <v>9444.5237498457191</v>
      </c>
      <c r="R109" s="681"/>
      <c r="AS109" s="706"/>
    </row>
    <row r="110" spans="1:45" ht="18.75" x14ac:dyDescent="0.3">
      <c r="A110" s="656"/>
      <c r="E110" s="657">
        <v>13.747</v>
      </c>
      <c r="Q110" s="681">
        <v>8266.1340353077503</v>
      </c>
      <c r="R110" s="681"/>
      <c r="AS110" s="706"/>
    </row>
    <row r="111" spans="1:45" ht="18.75" x14ac:dyDescent="0.3">
      <c r="A111" s="656"/>
      <c r="E111" s="657">
        <v>8.2140000000000004</v>
      </c>
      <c r="Q111" s="681">
        <v>1178.3897145379706</v>
      </c>
      <c r="R111" s="681"/>
      <c r="AS111" s="706"/>
    </row>
    <row r="112" spans="1:45" ht="18.75" x14ac:dyDescent="0.3">
      <c r="A112" s="656"/>
      <c r="Q112" s="681"/>
      <c r="R112" s="681"/>
      <c r="AS112" s="706"/>
    </row>
    <row r="113" spans="1:45" ht="18.75" x14ac:dyDescent="0.3">
      <c r="A113" s="656"/>
      <c r="Q113" s="681">
        <v>75.069982449999998</v>
      </c>
      <c r="R113" s="681"/>
      <c r="AS113" s="706"/>
    </row>
    <row r="114" spans="1:45" ht="18.75" x14ac:dyDescent="0.3">
      <c r="A114" s="656"/>
      <c r="Q114" s="681">
        <v>-5.1040498539805413E-7</v>
      </c>
      <c r="R114" s="681"/>
      <c r="AS114" s="706"/>
    </row>
    <row r="115" spans="1:45" ht="18.75" x14ac:dyDescent="0.3">
      <c r="A115" s="656"/>
      <c r="Q115" s="681">
        <v>0.52398130088905714</v>
      </c>
      <c r="R115" s="681"/>
      <c r="AS115" s="706"/>
    </row>
    <row r="116" spans="1:45" ht="18.75" x14ac:dyDescent="0.3">
      <c r="A116" s="656"/>
      <c r="Q116" s="681"/>
      <c r="R116" s="681"/>
      <c r="AS116" s="706"/>
    </row>
    <row r="117" spans="1:45" ht="18.75" x14ac:dyDescent="0.3">
      <c r="A117" s="656"/>
      <c r="Q117" s="681">
        <v>6.8000999999999996</v>
      </c>
      <c r="R117" s="681"/>
      <c r="AS117" s="706"/>
    </row>
    <row r="118" spans="1:45" ht="18.75" x14ac:dyDescent="0.3">
      <c r="A118" s="656"/>
      <c r="Q118" s="681">
        <v>3.4650685687130585</v>
      </c>
      <c r="R118" s="681"/>
      <c r="AS118" s="706"/>
    </row>
    <row r="119" spans="1:45" ht="18.75" x14ac:dyDescent="0.3">
      <c r="A119" s="656"/>
      <c r="Q119" s="681">
        <v>1.732534</v>
      </c>
      <c r="R119" s="681"/>
      <c r="AS119" s="706"/>
    </row>
    <row r="120" spans="1:45" ht="18.75" x14ac:dyDescent="0.3">
      <c r="A120" s="656"/>
      <c r="Q120" s="681"/>
      <c r="R120" s="681"/>
      <c r="AS120" s="706"/>
    </row>
    <row r="121" spans="1:45" ht="18.75" x14ac:dyDescent="0.3">
      <c r="A121" s="656"/>
      <c r="Q121" s="681">
        <v>85.859131809197137</v>
      </c>
      <c r="R121" s="681"/>
      <c r="AS121" s="706"/>
    </row>
    <row r="122" spans="1:45" ht="18.75" x14ac:dyDescent="0.3">
      <c r="A122" s="656"/>
      <c r="Q122" s="681">
        <v>76.802516734356502</v>
      </c>
      <c r="R122" s="681"/>
    </row>
    <row r="123" spans="1:45" ht="18.75" x14ac:dyDescent="0.3">
      <c r="A123" s="656"/>
      <c r="Q123" s="681">
        <v>9.0566150748406198</v>
      </c>
      <c r="R123" s="681"/>
    </row>
    <row r="124" spans="1:45" ht="18.75" x14ac:dyDescent="0.3">
      <c r="A124" s="656"/>
    </row>
    <row r="125" spans="1:45" ht="18.75" x14ac:dyDescent="0.3">
      <c r="A125" s="656"/>
    </row>
    <row r="126" spans="1:45" ht="18.75" x14ac:dyDescent="0.3">
      <c r="A126" s="656"/>
    </row>
    <row r="127" spans="1:45" ht="18.75" x14ac:dyDescent="0.3">
      <c r="A127" s="656"/>
    </row>
    <row r="128" spans="1:45" ht="18.75" x14ac:dyDescent="0.3">
      <c r="A128" s="656"/>
    </row>
    <row r="129" spans="1:1" ht="18.75" x14ac:dyDescent="0.3">
      <c r="A129" s="656"/>
    </row>
    <row r="130" spans="1:1" ht="18.75" x14ac:dyDescent="0.3">
      <c r="A130" s="656"/>
    </row>
    <row r="131" spans="1:1" ht="18.75" x14ac:dyDescent="0.3">
      <c r="A131" s="656"/>
    </row>
  </sheetData>
  <mergeCells count="25">
    <mergeCell ref="AL7:AN7"/>
    <mergeCell ref="AO7:AQ7"/>
    <mergeCell ref="T7:V7"/>
    <mergeCell ref="W7:Y7"/>
    <mergeCell ref="Z7:AB7"/>
    <mergeCell ref="AC7:AE7"/>
    <mergeCell ref="AF7:AH7"/>
    <mergeCell ref="B7:D7"/>
    <mergeCell ref="E7:G7"/>
    <mergeCell ref="H7:J7"/>
    <mergeCell ref="K7:M7"/>
    <mergeCell ref="N7:P7"/>
    <mergeCell ref="Q7:S7"/>
    <mergeCell ref="Z6:AB6"/>
    <mergeCell ref="AF6:AH6"/>
    <mergeCell ref="AI6:AK6"/>
    <mergeCell ref="AI7:AK7"/>
    <mergeCell ref="AL6:AN6"/>
    <mergeCell ref="AO6:AQ6"/>
    <mergeCell ref="B6:D6"/>
    <mergeCell ref="E6:G6"/>
    <mergeCell ref="H6:J6"/>
    <mergeCell ref="K6:M6"/>
    <mergeCell ref="N6:P6"/>
    <mergeCell ref="T6:V6"/>
  </mergeCells>
  <conditionalFormatting sqref="K32">
    <cfRule type="expression" dxfId="342" priority="129">
      <formula>#REF!="32≠24+25+26+27+28+29+31"</formula>
    </cfRule>
  </conditionalFormatting>
  <conditionalFormatting sqref="K32">
    <cfRule type="expression" dxfId="341" priority="130">
      <formula>#REF!="32≠33+34"</formula>
    </cfRule>
  </conditionalFormatting>
  <conditionalFormatting sqref="K20">
    <cfRule type="expression" dxfId="340" priority="131">
      <formula>#REF!="20≠12+13+14+15+16+17+19"</formula>
    </cfRule>
    <cfRule type="expression" dxfId="339" priority="132">
      <formula>#REF!="20≠21+22"</formula>
    </cfRule>
  </conditionalFormatting>
  <conditionalFormatting sqref="Z32">
    <cfRule type="expression" dxfId="338" priority="109">
      <formula>#REF!="32≠24+25+26+27+28+29+31"</formula>
    </cfRule>
  </conditionalFormatting>
  <conditionalFormatting sqref="Z32">
    <cfRule type="expression" dxfId="337" priority="110">
      <formula>#REF!="32≠33+34"</formula>
    </cfRule>
  </conditionalFormatting>
  <conditionalFormatting sqref="Z20">
    <cfRule type="expression" dxfId="336" priority="111">
      <formula>#REF!="20≠12+13+14+15+16+17+19"</formula>
    </cfRule>
    <cfRule type="expression" dxfId="335" priority="112">
      <formula>#REF!="20≠21+22"</formula>
    </cfRule>
  </conditionalFormatting>
  <conditionalFormatting sqref="T32">
    <cfRule type="expression" dxfId="334" priority="99">
      <formula>#REF!="32≠24+25+26+27+28+29+31"</formula>
    </cfRule>
  </conditionalFormatting>
  <conditionalFormatting sqref="T32">
    <cfRule type="expression" dxfId="333" priority="100">
      <formula>#REF!="32≠33+34"</formula>
    </cfRule>
  </conditionalFormatting>
  <conditionalFormatting sqref="T20">
    <cfRule type="expression" dxfId="332" priority="101">
      <formula>#REF!="20≠12+13+14+15+16+17+19"</formula>
    </cfRule>
    <cfRule type="expression" dxfId="331" priority="102">
      <formula>#REF!="20≠21+22"</formula>
    </cfRule>
  </conditionalFormatting>
  <conditionalFormatting sqref="Q32">
    <cfRule type="expression" dxfId="330" priority="89">
      <formula>#REF!="32≠24+25+26+27+28+29+31"</formula>
    </cfRule>
  </conditionalFormatting>
  <conditionalFormatting sqref="Q32">
    <cfRule type="expression" dxfId="329" priority="90">
      <formula>#REF!="32≠33+34"</formula>
    </cfRule>
  </conditionalFormatting>
  <conditionalFormatting sqref="Q20">
    <cfRule type="expression" dxfId="328" priority="91">
      <formula>#REF!="20≠12+13+14+15+16+17+19"</formula>
    </cfRule>
    <cfRule type="expression" dxfId="327" priority="92">
      <formula>#REF!="20≠21+22"</formula>
    </cfRule>
  </conditionalFormatting>
  <conditionalFormatting sqref="N32">
    <cfRule type="expression" dxfId="326" priority="79">
      <formula>#REF!="32≠24+25+26+27+28+29+31"</formula>
    </cfRule>
  </conditionalFormatting>
  <conditionalFormatting sqref="N32">
    <cfRule type="expression" dxfId="325" priority="80">
      <formula>#REF!="32≠33+34"</formula>
    </cfRule>
  </conditionalFormatting>
  <conditionalFormatting sqref="N20">
    <cfRule type="expression" dxfId="324" priority="81">
      <formula>#REF!="20≠12+13+14+15+16+17+19"</formula>
    </cfRule>
    <cfRule type="expression" dxfId="323" priority="82">
      <formula>#REF!="20≠21+22"</formula>
    </cfRule>
  </conditionalFormatting>
  <conditionalFormatting sqref="AC32">
    <cfRule type="expression" dxfId="322" priority="69">
      <formula>#REF!="32≠24+25+26+27+28+29+31"</formula>
    </cfRule>
  </conditionalFormatting>
  <conditionalFormatting sqref="AC32">
    <cfRule type="expression" dxfId="321" priority="70">
      <formula>#REF!="32≠33+34"</formula>
    </cfRule>
  </conditionalFormatting>
  <conditionalFormatting sqref="AC20">
    <cfRule type="expression" dxfId="320" priority="71">
      <formula>#REF!="20≠12+13+14+15+16+17+19"</formula>
    </cfRule>
    <cfRule type="expression" dxfId="319" priority="72">
      <formula>#REF!="20≠21+22"</formula>
    </cfRule>
  </conditionalFormatting>
  <conditionalFormatting sqref="AF32">
    <cfRule type="expression" dxfId="318" priority="39">
      <formula>#REF!="32≠24+25+26+27+28+29+31"</formula>
    </cfRule>
  </conditionalFormatting>
  <conditionalFormatting sqref="AF32">
    <cfRule type="expression" dxfId="317" priority="40">
      <formula>#REF!="32≠33+34"</formula>
    </cfRule>
  </conditionalFormatting>
  <conditionalFormatting sqref="AF20">
    <cfRule type="expression" dxfId="316" priority="41">
      <formula>#REF!="20≠12+13+14+15+16+17+19"</formula>
    </cfRule>
    <cfRule type="expression" dxfId="315" priority="42">
      <formula>#REF!="20≠21+22"</formula>
    </cfRule>
  </conditionalFormatting>
  <conditionalFormatting sqref="W32">
    <cfRule type="expression" dxfId="314" priority="29">
      <formula>#REF!="32≠24+25+26+27+28+29+31"</formula>
    </cfRule>
  </conditionalFormatting>
  <conditionalFormatting sqref="W32">
    <cfRule type="expression" dxfId="313" priority="30">
      <formula>#REF!="32≠33+34"</formula>
    </cfRule>
  </conditionalFormatting>
  <conditionalFormatting sqref="W20">
    <cfRule type="expression" dxfId="312" priority="31">
      <formula>#REF!="20≠12+13+14+15+16+17+19"</formula>
    </cfRule>
    <cfRule type="expression" dxfId="311" priority="32">
      <formula>#REF!="20≠21+22"</formula>
    </cfRule>
  </conditionalFormatting>
  <conditionalFormatting sqref="H32">
    <cfRule type="expression" dxfId="310" priority="19">
      <formula>#REF!="32≠24+25+26+27+28+29+31"</formula>
    </cfRule>
  </conditionalFormatting>
  <conditionalFormatting sqref="H32">
    <cfRule type="expression" dxfId="309" priority="20">
      <formula>#REF!="32≠33+34"</formula>
    </cfRule>
  </conditionalFormatting>
  <conditionalFormatting sqref="H20">
    <cfRule type="expression" dxfId="308" priority="21">
      <formula>#REF!="20≠12+13+14+15+16+17+19"</formula>
    </cfRule>
    <cfRule type="expression" dxfId="307" priority="22">
      <formula>#REF!="20≠21+22"</formula>
    </cfRule>
  </conditionalFormatting>
  <conditionalFormatting sqref="E32">
    <cfRule type="expression" dxfId="306" priority="9">
      <formula>#REF!="32≠24+25+26+27+28+29+31"</formula>
    </cfRule>
  </conditionalFormatting>
  <conditionalFormatting sqref="E32">
    <cfRule type="expression" dxfId="305" priority="10">
      <formula>#REF!="32≠33+34"</formula>
    </cfRule>
  </conditionalFormatting>
  <conditionalFormatting sqref="E20">
    <cfRule type="expression" dxfId="304" priority="11">
      <formula>#REF!="20≠12+13+14+15+16+17+19"</formula>
    </cfRule>
    <cfRule type="expression" dxfId="303" priority="12">
      <formula>#REF!="20≠21+22"</formula>
    </cfRule>
  </conditionalFormatting>
  <conditionalFormatting sqref="B20:C20 AI20 AL20:AM20 AO20:AP20">
    <cfRule type="expression" dxfId="302" priority="742">
      <formula>#REF!="20≠12+13+14+15+16+17+19"</formula>
    </cfRule>
    <cfRule type="expression" dxfId="301" priority="743">
      <formula>#REF!="20≠21+22"</formula>
    </cfRule>
  </conditionalFormatting>
  <conditionalFormatting sqref="B32:C32 AI32:AJ32 L32 AA32 U32 R32 O32 AD32 AG32 X32 I32 F32 AL32:AM32 AO32:AP32">
    <cfRule type="expression" dxfId="300" priority="750">
      <formula>#REF!="32≠24+25+26+27+28+29+31"</formula>
    </cfRule>
  </conditionalFormatting>
  <conditionalFormatting sqref="B32:C32 AI32:AJ32 L32 AA32 U32 R32 O32 AD32 AG32 X32 I32 F32 AL32:AM32 AO32:AP32">
    <cfRule type="expression" dxfId="299" priority="754">
      <formula>#REF!="32≠33+34"</formula>
    </cfRule>
  </conditionalFormatting>
  <conditionalFormatting sqref="AJ20 AG20 L20 AA20 U20 R20 O20 AD20 X20 I20 F20">
    <cfRule type="expression" dxfId="298" priority="758">
      <formula>#REF!="20≠12+13+14+15+16+17+19"</formula>
    </cfRule>
    <cfRule type="expression" dxfId="297" priority="759">
      <formula>#REF!="20≠21+22"</formula>
    </cfRule>
  </conditionalFormatting>
  <conditionalFormatting sqref="X46">
    <cfRule type="expression" dxfId="296" priority="794">
      <formula>#REF!="46≠47+48"</formula>
    </cfRule>
  </conditionalFormatting>
  <conditionalFormatting sqref="X46">
    <cfRule type="expression" dxfId="295" priority="795">
      <formula>#REF!="46≠38+39+40+41+42+43+45"</formula>
    </cfRule>
  </conditionalFormatting>
  <hyperlinks>
    <hyperlink ref="B1" location="Innhold!A1" display="Tilbake"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1"/>
  <sheetViews>
    <sheetView showGridLines="0" zoomScale="70" zoomScaleNormal="70" workbookViewId="0">
      <pane xSplit="1" ySplit="8" topLeftCell="AB28" activePane="bottomRight" state="frozen"/>
      <selection activeCell="AU39" sqref="AU39"/>
      <selection pane="topRight" activeCell="AU39" sqref="AU39"/>
      <selection pane="bottomLeft" activeCell="AU39" sqref="AU39"/>
      <selection pane="bottomRight" activeCell="AL56" sqref="AL56"/>
    </sheetView>
  </sheetViews>
  <sheetFormatPr baseColWidth="10" defaultColWidth="11.42578125" defaultRowHeight="12.75" x14ac:dyDescent="0.2"/>
  <cols>
    <col min="1" max="1" width="106.7109375" style="474" customWidth="1"/>
    <col min="2" max="37" width="11.7109375" style="474" customWidth="1"/>
    <col min="38" max="38" width="15.140625" style="474" customWidth="1"/>
    <col min="39" max="39" width="13" style="474" customWidth="1"/>
    <col min="40" max="40" width="11.7109375" style="474" customWidth="1"/>
    <col min="41" max="42" width="13" style="474" customWidth="1"/>
    <col min="43" max="43" width="11.7109375" style="474" customWidth="1"/>
    <col min="44" max="16384" width="11.42578125" style="474"/>
  </cols>
  <sheetData>
    <row r="1" spans="1:60" ht="20.25" customHeight="1" x14ac:dyDescent="0.3">
      <c r="A1" s="479" t="s">
        <v>180</v>
      </c>
      <c r="B1" s="480" t="s">
        <v>52</v>
      </c>
      <c r="C1" s="481"/>
      <c r="D1" s="481"/>
      <c r="E1" s="481"/>
      <c r="F1" s="481"/>
      <c r="G1" s="481"/>
      <c r="H1" s="481"/>
      <c r="I1" s="481"/>
      <c r="J1" s="481"/>
      <c r="AR1" s="482"/>
    </row>
    <row r="2" spans="1:60" ht="20.100000000000001" customHeight="1" x14ac:dyDescent="0.3">
      <c r="A2" s="479" t="s">
        <v>181</v>
      </c>
      <c r="AR2" s="482"/>
    </row>
    <row r="3" spans="1:60" ht="20.100000000000001" customHeight="1" x14ac:dyDescent="0.3">
      <c r="A3" s="483" t="s">
        <v>182</v>
      </c>
      <c r="B3" s="484"/>
      <c r="C3" s="484"/>
      <c r="D3" s="484"/>
      <c r="E3" s="484"/>
      <c r="F3" s="484"/>
      <c r="G3" s="484"/>
      <c r="H3" s="484"/>
      <c r="I3" s="484"/>
      <c r="J3" s="484"/>
      <c r="AR3" s="485"/>
    </row>
    <row r="4" spans="1:60" ht="18.75" customHeight="1" x14ac:dyDescent="0.25">
      <c r="A4" s="486" t="s">
        <v>371</v>
      </c>
      <c r="B4" s="487"/>
      <c r="C4" s="487"/>
      <c r="D4" s="488"/>
      <c r="E4" s="487"/>
      <c r="F4" s="487"/>
      <c r="G4" s="488"/>
      <c r="H4" s="489"/>
      <c r="I4" s="487"/>
      <c r="J4" s="488"/>
      <c r="K4" s="490"/>
      <c r="L4" s="490"/>
      <c r="M4" s="490"/>
      <c r="N4" s="491"/>
      <c r="O4" s="490"/>
      <c r="P4" s="492"/>
      <c r="Q4" s="491"/>
      <c r="R4" s="490"/>
      <c r="S4" s="492"/>
      <c r="T4" s="491"/>
      <c r="U4" s="490"/>
      <c r="V4" s="492"/>
      <c r="W4" s="491"/>
      <c r="X4" s="490"/>
      <c r="Y4" s="492"/>
      <c r="Z4" s="491"/>
      <c r="AA4" s="490"/>
      <c r="AB4" s="492"/>
      <c r="AC4" s="491"/>
      <c r="AD4" s="490"/>
      <c r="AE4" s="492"/>
      <c r="AF4" s="491"/>
      <c r="AG4" s="490"/>
      <c r="AH4" s="492"/>
      <c r="AI4" s="491"/>
      <c r="AJ4" s="490"/>
      <c r="AK4" s="492"/>
      <c r="AL4" s="491"/>
      <c r="AM4" s="490"/>
      <c r="AN4" s="492"/>
      <c r="AO4" s="491"/>
      <c r="AP4" s="490"/>
      <c r="AQ4" s="492"/>
      <c r="AR4" s="493"/>
      <c r="AS4" s="494"/>
      <c r="AT4" s="494"/>
      <c r="AU4" s="494"/>
      <c r="AV4" s="494"/>
      <c r="AW4" s="494"/>
      <c r="AX4" s="494"/>
      <c r="AY4" s="494"/>
      <c r="AZ4" s="494"/>
      <c r="BA4" s="494"/>
      <c r="BB4" s="494"/>
      <c r="BC4" s="494"/>
      <c r="BD4" s="494"/>
      <c r="BE4" s="494"/>
      <c r="BF4" s="494"/>
      <c r="BG4" s="494"/>
      <c r="BH4" s="494"/>
    </row>
    <row r="5" spans="1:60" ht="18.75" customHeight="1" x14ac:dyDescent="0.3">
      <c r="A5" s="495" t="s">
        <v>106</v>
      </c>
      <c r="B5" s="1013" t="s">
        <v>183</v>
      </c>
      <c r="C5" s="1014"/>
      <c r="D5" s="1015"/>
      <c r="E5" s="1013" t="s">
        <v>184</v>
      </c>
      <c r="F5" s="1014"/>
      <c r="G5" s="1015"/>
      <c r="H5" s="1013" t="s">
        <v>185</v>
      </c>
      <c r="I5" s="1014"/>
      <c r="J5" s="1015"/>
      <c r="K5" s="1013" t="s">
        <v>186</v>
      </c>
      <c r="L5" s="1014"/>
      <c r="M5" s="1015"/>
      <c r="N5" s="1013" t="s">
        <v>187</v>
      </c>
      <c r="O5" s="1014"/>
      <c r="P5" s="1015"/>
      <c r="Q5" s="906" t="s">
        <v>187</v>
      </c>
      <c r="R5" s="907"/>
      <c r="S5" s="908"/>
      <c r="T5" s="1013" t="s">
        <v>64</v>
      </c>
      <c r="U5" s="1014"/>
      <c r="V5" s="1015"/>
      <c r="W5" s="852"/>
      <c r="X5" s="853"/>
      <c r="Y5" s="854"/>
      <c r="Z5" s="1013" t="s">
        <v>188</v>
      </c>
      <c r="AA5" s="1014"/>
      <c r="AB5" s="1015"/>
      <c r="AC5" s="921"/>
      <c r="AD5" s="922"/>
      <c r="AE5" s="923"/>
      <c r="AF5" s="1013"/>
      <c r="AG5" s="1014"/>
      <c r="AH5" s="1015"/>
      <c r="AI5" s="1013" t="s">
        <v>75</v>
      </c>
      <c r="AJ5" s="1014"/>
      <c r="AK5" s="1015"/>
      <c r="AL5" s="1013" t="s">
        <v>2</v>
      </c>
      <c r="AM5" s="1014"/>
      <c r="AN5" s="1015"/>
      <c r="AO5" s="1013" t="s">
        <v>2</v>
      </c>
      <c r="AP5" s="1014"/>
      <c r="AQ5" s="1015"/>
      <c r="AR5" s="496"/>
      <c r="AS5" s="497"/>
      <c r="AT5" s="1009"/>
      <c r="AU5" s="1009"/>
      <c r="AV5" s="1009"/>
      <c r="AW5" s="1009"/>
      <c r="AX5" s="1009"/>
      <c r="AY5" s="1009"/>
      <c r="AZ5" s="1009"/>
      <c r="BA5" s="1009"/>
      <c r="BB5" s="1009"/>
      <c r="BC5" s="1009"/>
      <c r="BD5" s="1009"/>
      <c r="BE5" s="1009"/>
      <c r="BF5" s="1009"/>
      <c r="BG5" s="1009"/>
      <c r="BH5" s="1009"/>
    </row>
    <row r="6" spans="1:60" ht="21" customHeight="1" x14ac:dyDescent="0.3">
      <c r="A6" s="498"/>
      <c r="B6" s="1010" t="s">
        <v>189</v>
      </c>
      <c r="C6" s="1011"/>
      <c r="D6" s="1012"/>
      <c r="E6" s="1010" t="s">
        <v>190</v>
      </c>
      <c r="F6" s="1011"/>
      <c r="G6" s="1012"/>
      <c r="H6" s="1010" t="s">
        <v>190</v>
      </c>
      <c r="I6" s="1011"/>
      <c r="J6" s="1012"/>
      <c r="K6" s="1010" t="s">
        <v>191</v>
      </c>
      <c r="L6" s="1011"/>
      <c r="M6" s="1012"/>
      <c r="N6" s="1010" t="s">
        <v>94</v>
      </c>
      <c r="O6" s="1011"/>
      <c r="P6" s="1012"/>
      <c r="Q6" s="1010" t="s">
        <v>64</v>
      </c>
      <c r="R6" s="1011"/>
      <c r="S6" s="1012"/>
      <c r="T6" s="1010" t="s">
        <v>192</v>
      </c>
      <c r="U6" s="1011"/>
      <c r="V6" s="1012"/>
      <c r="W6" s="1010" t="s">
        <v>68</v>
      </c>
      <c r="X6" s="1011"/>
      <c r="Y6" s="1012"/>
      <c r="Z6" s="1010" t="s">
        <v>189</v>
      </c>
      <c r="AA6" s="1011"/>
      <c r="AB6" s="1012"/>
      <c r="AC6" s="1010" t="s">
        <v>74</v>
      </c>
      <c r="AD6" s="1011"/>
      <c r="AE6" s="1012"/>
      <c r="AF6" s="1010" t="s">
        <v>70</v>
      </c>
      <c r="AG6" s="1011"/>
      <c r="AH6" s="1012"/>
      <c r="AI6" s="1010" t="s">
        <v>190</v>
      </c>
      <c r="AJ6" s="1011"/>
      <c r="AK6" s="1012"/>
      <c r="AL6" s="1010" t="s">
        <v>193</v>
      </c>
      <c r="AM6" s="1011"/>
      <c r="AN6" s="1012"/>
      <c r="AO6" s="1010" t="s">
        <v>194</v>
      </c>
      <c r="AP6" s="1011"/>
      <c r="AQ6" s="1012"/>
      <c r="AR6" s="496"/>
      <c r="AS6" s="497"/>
      <c r="AT6" s="1009"/>
      <c r="AU6" s="1009"/>
      <c r="AV6" s="1009"/>
      <c r="AW6" s="1009"/>
      <c r="AX6" s="1009"/>
      <c r="AY6" s="1009"/>
      <c r="AZ6" s="1009"/>
      <c r="BA6" s="1009"/>
      <c r="BB6" s="1009"/>
      <c r="BC6" s="1009"/>
      <c r="BD6" s="1009"/>
      <c r="BE6" s="1009"/>
      <c r="BF6" s="1009"/>
      <c r="BG6" s="1009"/>
      <c r="BH6" s="1009"/>
    </row>
    <row r="7" spans="1:60" ht="18.75" customHeight="1" x14ac:dyDescent="0.3">
      <c r="A7" s="498"/>
      <c r="B7" s="531"/>
      <c r="C7" s="531"/>
      <c r="D7" s="499" t="s">
        <v>83</v>
      </c>
      <c r="E7" s="531"/>
      <c r="F7" s="531"/>
      <c r="G7" s="499" t="s">
        <v>83</v>
      </c>
      <c r="H7" s="531"/>
      <c r="I7" s="531"/>
      <c r="J7" s="499" t="s">
        <v>83</v>
      </c>
      <c r="K7" s="531"/>
      <c r="L7" s="531"/>
      <c r="M7" s="499" t="s">
        <v>83</v>
      </c>
      <c r="N7" s="531"/>
      <c r="O7" s="531"/>
      <c r="P7" s="499" t="s">
        <v>83</v>
      </c>
      <c r="Q7" s="531"/>
      <c r="R7" s="531"/>
      <c r="S7" s="499" t="s">
        <v>83</v>
      </c>
      <c r="T7" s="531"/>
      <c r="U7" s="531"/>
      <c r="V7" s="499" t="s">
        <v>83</v>
      </c>
      <c r="W7" s="531"/>
      <c r="X7" s="531"/>
      <c r="Y7" s="499" t="s">
        <v>83</v>
      </c>
      <c r="Z7" s="531"/>
      <c r="AA7" s="531"/>
      <c r="AB7" s="499" t="s">
        <v>83</v>
      </c>
      <c r="AC7" s="531"/>
      <c r="AD7" s="531"/>
      <c r="AE7" s="499" t="s">
        <v>83</v>
      </c>
      <c r="AF7" s="531"/>
      <c r="AG7" s="531"/>
      <c r="AH7" s="499" t="s">
        <v>83</v>
      </c>
      <c r="AI7" s="531"/>
      <c r="AJ7" s="531"/>
      <c r="AK7" s="499" t="s">
        <v>83</v>
      </c>
      <c r="AL7" s="531"/>
      <c r="AM7" s="531"/>
      <c r="AN7" s="499" t="s">
        <v>83</v>
      </c>
      <c r="AO7" s="531"/>
      <c r="AP7" s="531"/>
      <c r="AQ7" s="499" t="s">
        <v>83</v>
      </c>
      <c r="AR7" s="496"/>
      <c r="AS7" s="497"/>
      <c r="AT7" s="497"/>
      <c r="AU7" s="497"/>
      <c r="AV7" s="497"/>
      <c r="AW7" s="497"/>
      <c r="AX7" s="497"/>
      <c r="AY7" s="497"/>
      <c r="AZ7" s="497"/>
      <c r="BA7" s="497"/>
      <c r="BB7" s="497"/>
      <c r="BC7" s="497"/>
      <c r="BD7" s="497"/>
      <c r="BE7" s="497"/>
      <c r="BF7" s="497"/>
      <c r="BG7" s="497"/>
      <c r="BH7" s="497"/>
    </row>
    <row r="8" spans="1:60" ht="18.75" customHeight="1" x14ac:dyDescent="0.25">
      <c r="A8" s="464" t="s">
        <v>195</v>
      </c>
      <c r="B8" s="841">
        <v>2017</v>
      </c>
      <c r="C8" s="841">
        <v>2018</v>
      </c>
      <c r="D8" s="465" t="s">
        <v>85</v>
      </c>
      <c r="E8" s="841">
        <v>2017</v>
      </c>
      <c r="F8" s="841">
        <v>2018</v>
      </c>
      <c r="G8" s="465" t="s">
        <v>85</v>
      </c>
      <c r="H8" s="841">
        <v>2017</v>
      </c>
      <c r="I8" s="841">
        <v>2018</v>
      </c>
      <c r="J8" s="465" t="s">
        <v>85</v>
      </c>
      <c r="K8" s="841">
        <v>2017</v>
      </c>
      <c r="L8" s="841">
        <v>2018</v>
      </c>
      <c r="M8" s="465" t="s">
        <v>85</v>
      </c>
      <c r="N8" s="841">
        <v>2017</v>
      </c>
      <c r="O8" s="841">
        <v>2018</v>
      </c>
      <c r="P8" s="465" t="s">
        <v>85</v>
      </c>
      <c r="Q8" s="841">
        <v>2017</v>
      </c>
      <c r="R8" s="841">
        <v>2018</v>
      </c>
      <c r="S8" s="465" t="s">
        <v>85</v>
      </c>
      <c r="T8" s="841">
        <v>2017</v>
      </c>
      <c r="U8" s="841">
        <v>2018</v>
      </c>
      <c r="V8" s="465" t="s">
        <v>85</v>
      </c>
      <c r="W8" s="841">
        <v>2017</v>
      </c>
      <c r="X8" s="841">
        <v>2018</v>
      </c>
      <c r="Y8" s="465" t="s">
        <v>85</v>
      </c>
      <c r="Z8" s="841">
        <v>2017</v>
      </c>
      <c r="AA8" s="841">
        <v>2018</v>
      </c>
      <c r="AB8" s="465" t="s">
        <v>85</v>
      </c>
      <c r="AC8" s="841">
        <v>2017</v>
      </c>
      <c r="AD8" s="841">
        <v>2018</v>
      </c>
      <c r="AE8" s="465" t="s">
        <v>85</v>
      </c>
      <c r="AF8" s="841">
        <v>2017</v>
      </c>
      <c r="AG8" s="841">
        <v>2018</v>
      </c>
      <c r="AH8" s="465" t="s">
        <v>85</v>
      </c>
      <c r="AI8" s="841">
        <v>2017</v>
      </c>
      <c r="AJ8" s="841">
        <v>2018</v>
      </c>
      <c r="AK8" s="465" t="s">
        <v>85</v>
      </c>
      <c r="AL8" s="841">
        <v>2017</v>
      </c>
      <c r="AM8" s="841">
        <v>2018</v>
      </c>
      <c r="AN8" s="465" t="s">
        <v>85</v>
      </c>
      <c r="AO8" s="841">
        <v>2017</v>
      </c>
      <c r="AP8" s="841">
        <v>2018</v>
      </c>
      <c r="AQ8" s="465" t="s">
        <v>85</v>
      </c>
      <c r="AR8" s="496"/>
      <c r="AS8" s="500"/>
      <c r="AT8" s="501"/>
      <c r="AU8" s="501"/>
      <c r="AV8" s="500"/>
      <c r="AW8" s="501"/>
      <c r="AX8" s="501"/>
      <c r="AY8" s="500"/>
      <c r="AZ8" s="501"/>
      <c r="BA8" s="501"/>
      <c r="BB8" s="500"/>
      <c r="BC8" s="501"/>
      <c r="BD8" s="501"/>
      <c r="BE8" s="500"/>
      <c r="BF8" s="501"/>
      <c r="BG8" s="501"/>
      <c r="BH8" s="500"/>
    </row>
    <row r="9" spans="1:60" ht="18.75" customHeight="1" x14ac:dyDescent="0.3">
      <c r="A9" s="466"/>
      <c r="B9" s="431"/>
      <c r="C9" s="432"/>
      <c r="D9" s="432"/>
      <c r="E9" s="431"/>
      <c r="F9" s="432"/>
      <c r="G9" s="432"/>
      <c r="H9" s="431"/>
      <c r="I9" s="432"/>
      <c r="J9" s="432"/>
      <c r="K9" s="436"/>
      <c r="L9" s="433"/>
      <c r="M9" s="433"/>
      <c r="N9" s="434"/>
      <c r="O9" s="435"/>
      <c r="P9" s="336"/>
      <c r="Q9" s="436"/>
      <c r="R9" s="433"/>
      <c r="S9" s="336"/>
      <c r="T9" s="436"/>
      <c r="U9" s="433"/>
      <c r="V9" s="336"/>
      <c r="W9" s="436"/>
      <c r="X9" s="433"/>
      <c r="Y9" s="336"/>
      <c r="Z9" s="436"/>
      <c r="AA9" s="433"/>
      <c r="AB9" s="336"/>
      <c r="AC9" s="436"/>
      <c r="AD9" s="433"/>
      <c r="AE9" s="336"/>
      <c r="AF9" s="436"/>
      <c r="AG9" s="433"/>
      <c r="AH9" s="336"/>
      <c r="AI9" s="436"/>
      <c r="AJ9" s="433"/>
      <c r="AK9" s="336"/>
      <c r="AL9" s="436"/>
      <c r="AM9" s="436"/>
      <c r="AN9" s="336"/>
      <c r="AO9" s="436"/>
      <c r="AP9" s="436"/>
      <c r="AQ9" s="336"/>
      <c r="AR9" s="496"/>
      <c r="AS9" s="496"/>
    </row>
    <row r="10" spans="1:60" s="475" customFormat="1" ht="18.75" customHeight="1" x14ac:dyDescent="0.3">
      <c r="A10" s="467" t="s">
        <v>196</v>
      </c>
      <c r="B10" s="437"/>
      <c r="C10" s="438"/>
      <c r="D10" s="438"/>
      <c r="E10" s="437"/>
      <c r="F10" s="438"/>
      <c r="G10" s="438"/>
      <c r="H10" s="437"/>
      <c r="I10" s="438"/>
      <c r="J10" s="438"/>
      <c r="K10" s="436"/>
      <c r="L10" s="433"/>
      <c r="M10" s="433"/>
      <c r="N10" s="434"/>
      <c r="O10" s="435"/>
      <c r="P10" s="336"/>
      <c r="Q10" s="436"/>
      <c r="R10" s="433"/>
      <c r="S10" s="336"/>
      <c r="T10" s="436"/>
      <c r="U10" s="433"/>
      <c r="V10" s="336"/>
      <c r="W10" s="436"/>
      <c r="X10" s="433"/>
      <c r="Y10" s="336"/>
      <c r="Z10" s="436"/>
      <c r="AA10" s="433"/>
      <c r="AB10" s="336"/>
      <c r="AC10" s="436"/>
      <c r="AD10" s="433"/>
      <c r="AE10" s="336"/>
      <c r="AF10" s="436"/>
      <c r="AG10" s="433"/>
      <c r="AH10" s="336"/>
      <c r="AI10" s="436"/>
      <c r="AJ10" s="433"/>
      <c r="AK10" s="336"/>
      <c r="AL10" s="436"/>
      <c r="AM10" s="436"/>
      <c r="AN10" s="336"/>
      <c r="AO10" s="436"/>
      <c r="AP10" s="436"/>
      <c r="AQ10" s="336"/>
      <c r="AR10" s="502"/>
      <c r="AS10" s="502"/>
    </row>
    <row r="11" spans="1:60" s="475" customFormat="1" ht="18.75" customHeight="1" x14ac:dyDescent="0.3">
      <c r="A11" s="468"/>
      <c r="B11" s="437"/>
      <c r="C11" s="438"/>
      <c r="D11" s="438"/>
      <c r="E11" s="437"/>
      <c r="F11" s="438"/>
      <c r="G11" s="438"/>
      <c r="H11" s="437"/>
      <c r="I11" s="438"/>
      <c r="J11" s="438"/>
      <c r="K11" s="436"/>
      <c r="L11" s="433"/>
      <c r="M11" s="433"/>
      <c r="N11" s="434"/>
      <c r="O11" s="435"/>
      <c r="P11" s="336"/>
      <c r="Q11" s="436"/>
      <c r="R11" s="433"/>
      <c r="S11" s="336"/>
      <c r="T11" s="436"/>
      <c r="U11" s="433"/>
      <c r="V11" s="336"/>
      <c r="W11" s="436"/>
      <c r="X11" s="433"/>
      <c r="Y11" s="336"/>
      <c r="Z11" s="436"/>
      <c r="AA11" s="433"/>
      <c r="AB11" s="336"/>
      <c r="AC11" s="436"/>
      <c r="AD11" s="433"/>
      <c r="AE11" s="336"/>
      <c r="AF11" s="436"/>
      <c r="AG11" s="433"/>
      <c r="AH11" s="336"/>
      <c r="AI11" s="436"/>
      <c r="AJ11" s="433"/>
      <c r="AK11" s="336"/>
      <c r="AL11" s="436"/>
      <c r="AM11" s="436"/>
      <c r="AN11" s="336"/>
      <c r="AO11" s="436"/>
      <c r="AP11" s="436"/>
      <c r="AQ11" s="336"/>
      <c r="AR11" s="502"/>
      <c r="AS11" s="502"/>
    </row>
    <row r="12" spans="1:60" s="475" customFormat="1" ht="20.100000000000001" customHeight="1" x14ac:dyDescent="0.3">
      <c r="A12" s="467" t="s">
        <v>197</v>
      </c>
      <c r="B12" s="439"/>
      <c r="C12" s="440"/>
      <c r="D12" s="440"/>
      <c r="E12" s="439"/>
      <c r="F12" s="440"/>
      <c r="G12" s="440"/>
      <c r="H12" s="439"/>
      <c r="I12" s="440"/>
      <c r="J12" s="440"/>
      <c r="K12" s="436"/>
      <c r="L12" s="433"/>
      <c r="M12" s="433"/>
      <c r="N12" s="434"/>
      <c r="O12" s="435"/>
      <c r="P12" s="336"/>
      <c r="Q12" s="436"/>
      <c r="R12" s="433"/>
      <c r="S12" s="336"/>
      <c r="T12" s="436"/>
      <c r="U12" s="433"/>
      <c r="V12" s="336"/>
      <c r="W12" s="436"/>
      <c r="X12" s="433"/>
      <c r="Y12" s="336"/>
      <c r="Z12" s="436"/>
      <c r="AA12" s="433"/>
      <c r="AB12" s="336"/>
      <c r="AC12" s="436"/>
      <c r="AD12" s="433"/>
      <c r="AE12" s="336"/>
      <c r="AF12" s="436"/>
      <c r="AG12" s="433"/>
      <c r="AH12" s="336"/>
      <c r="AI12" s="436"/>
      <c r="AJ12" s="433"/>
      <c r="AK12" s="336"/>
      <c r="AL12" s="436"/>
      <c r="AM12" s="436"/>
      <c r="AN12" s="336"/>
      <c r="AO12" s="436"/>
      <c r="AP12" s="436"/>
      <c r="AQ12" s="336"/>
      <c r="AR12" s="502"/>
      <c r="AS12" s="502"/>
    </row>
    <row r="13" spans="1:60" s="504" customFormat="1" ht="20.100000000000001" customHeight="1" x14ac:dyDescent="0.3">
      <c r="A13" s="467" t="s">
        <v>198</v>
      </c>
      <c r="B13" s="441"/>
      <c r="C13" s="442"/>
      <c r="D13" s="442"/>
      <c r="E13" s="441"/>
      <c r="F13" s="442"/>
      <c r="G13" s="442"/>
      <c r="H13" s="441"/>
      <c r="I13" s="442"/>
      <c r="J13" s="442"/>
      <c r="K13" s="448"/>
      <c r="L13" s="444"/>
      <c r="M13" s="444"/>
      <c r="N13" s="445"/>
      <c r="O13" s="446"/>
      <c r="P13" s="447"/>
      <c r="Q13" s="448"/>
      <c r="R13" s="444"/>
      <c r="S13" s="447"/>
      <c r="T13" s="448"/>
      <c r="U13" s="444"/>
      <c r="V13" s="447"/>
      <c r="W13" s="448"/>
      <c r="X13" s="444"/>
      <c r="Y13" s="447"/>
      <c r="Z13" s="448"/>
      <c r="AA13" s="444"/>
      <c r="AB13" s="447"/>
      <c r="AC13" s="448"/>
      <c r="AD13" s="444"/>
      <c r="AE13" s="447"/>
      <c r="AF13" s="448"/>
      <c r="AG13" s="444"/>
      <c r="AH13" s="447"/>
      <c r="AI13" s="448"/>
      <c r="AJ13" s="444"/>
      <c r="AK13" s="447"/>
      <c r="AL13" s="448"/>
      <c r="AM13" s="448"/>
      <c r="AN13" s="447"/>
      <c r="AO13" s="448"/>
      <c r="AP13" s="448"/>
      <c r="AQ13" s="447"/>
      <c r="AR13" s="503"/>
      <c r="AS13" s="503"/>
    </row>
    <row r="14" spans="1:60" s="504" customFormat="1" ht="20.100000000000001" customHeight="1" x14ac:dyDescent="0.3">
      <c r="A14" s="469" t="s">
        <v>199</v>
      </c>
      <c r="B14" s="449"/>
      <c r="C14" s="447"/>
      <c r="D14" s="447"/>
      <c r="E14" s="449"/>
      <c r="F14" s="447"/>
      <c r="G14" s="447"/>
      <c r="H14" s="449"/>
      <c r="I14" s="447"/>
      <c r="J14" s="447"/>
      <c r="K14" s="448"/>
      <c r="L14" s="444"/>
      <c r="M14" s="444"/>
      <c r="N14" s="445"/>
      <c r="O14" s="446"/>
      <c r="P14" s="447"/>
      <c r="Q14" s="448">
        <v>1002.73897575</v>
      </c>
      <c r="R14" s="444">
        <v>924.26844574999996</v>
      </c>
      <c r="S14" s="447">
        <f t="shared" ref="S14:S28" si="0">IF(Q14=0, "    ---- ", IF(ABS(ROUND(100/Q14*R14-100,1))&lt;999,ROUND(100/Q14*R14-100,1),IF(ROUND(100/Q14*R14-100,1)&gt;999,999,-999)))</f>
        <v>-7.8</v>
      </c>
      <c r="T14" s="448"/>
      <c r="U14" s="444"/>
      <c r="V14" s="447"/>
      <c r="W14" s="448"/>
      <c r="X14" s="444"/>
      <c r="Y14" s="447"/>
      <c r="Z14" s="448"/>
      <c r="AA14" s="444"/>
      <c r="AB14" s="447"/>
      <c r="AC14" s="448"/>
      <c r="AD14" s="444"/>
      <c r="AE14" s="447"/>
      <c r="AF14" s="448">
        <v>1.605</v>
      </c>
      <c r="AG14" s="444"/>
      <c r="AH14" s="447">
        <f t="shared" ref="AH14:AH28" si="1">IF(AF14=0, "    ---- ", IF(ABS(ROUND(100/AF14*AG14-100,1))&lt;999,ROUND(100/AF14*AG14-100,1),IF(ROUND(100/AF14*AG14-100,1)&gt;999,999,-999)))</f>
        <v>-100</v>
      </c>
      <c r="AI14" s="448"/>
      <c r="AJ14" s="444"/>
      <c r="AK14" s="447"/>
      <c r="AL14" s="448">
        <f>B14+E14+H14+K14+Q14+T14+W14+Z14+AF14+AI14</f>
        <v>1004.34397575</v>
      </c>
      <c r="AM14" s="448">
        <f>C14+F14+I14+L14+R14+U14+X14+AA14+AG14+AJ14</f>
        <v>924.26844574999996</v>
      </c>
      <c r="AN14" s="447">
        <f t="shared" ref="AN14:AN28" si="2">IF(AL14=0, "    ---- ", IF(ABS(ROUND(100/AL14*AM14-100,1))&lt;999,ROUND(100/AL14*AM14-100,1),IF(ROUND(100/AL14*AM14-100,1)&gt;999,999,-999)))</f>
        <v>-8</v>
      </c>
      <c r="AO14" s="448">
        <f>B14+E14+H14+K14+N14+Q14+T14+W14+Z14+AC14+AF14+AI14</f>
        <v>1004.34397575</v>
      </c>
      <c r="AP14" s="448">
        <f>C14+F14+I14+L14+O14+R14+U14+X14+AA14+AD14+AG14+AJ14</f>
        <v>924.26844574999996</v>
      </c>
      <c r="AQ14" s="447">
        <f t="shared" ref="AQ14:AQ29" si="3">IF(AO14=0, "    ---- ", IF(ABS(ROUND(100/AO14*AP14-100,1))&lt;999,ROUND(100/AO14*AP14-100,1),IF(ROUND(100/AO14*AP14-100,1)&gt;999,999,-999)))</f>
        <v>-8</v>
      </c>
      <c r="AR14" s="503"/>
      <c r="AS14" s="503"/>
    </row>
    <row r="15" spans="1:60" s="504" customFormat="1" ht="20.100000000000001" customHeight="1" x14ac:dyDescent="0.3">
      <c r="A15" s="469" t="s">
        <v>200</v>
      </c>
      <c r="B15" s="449"/>
      <c r="C15" s="447"/>
      <c r="D15" s="447"/>
      <c r="E15" s="449">
        <v>68.965999999999994</v>
      </c>
      <c r="F15" s="447">
        <v>69.704999999999998</v>
      </c>
      <c r="G15" s="447">
        <f t="shared" ref="G15:G28" si="4">IF(E15=0, "    ---- ", IF(ABS(ROUND(100/E15*F15-100,1))&lt;999,ROUND(100/E15*F15-100,1),IF(ROUND(100/E15*F15-100,1)&gt;999,999,-999)))</f>
        <v>1.1000000000000001</v>
      </c>
      <c r="H15" s="449"/>
      <c r="I15" s="447"/>
      <c r="J15" s="447"/>
      <c r="K15" s="448"/>
      <c r="L15" s="444"/>
      <c r="M15" s="444"/>
      <c r="N15" s="445"/>
      <c r="O15" s="446"/>
      <c r="P15" s="447"/>
      <c r="Q15" s="448">
        <v>6471.0601837200002</v>
      </c>
      <c r="R15" s="444">
        <v>6678.6921849600003</v>
      </c>
      <c r="S15" s="447">
        <f t="shared" si="0"/>
        <v>3.2</v>
      </c>
      <c r="T15" s="448"/>
      <c r="U15" s="444"/>
      <c r="V15" s="447"/>
      <c r="W15" s="448"/>
      <c r="X15" s="444"/>
      <c r="Y15" s="447"/>
      <c r="Z15" s="448">
        <v>1011</v>
      </c>
      <c r="AA15" s="444">
        <f>583+526</f>
        <v>1109</v>
      </c>
      <c r="AB15" s="447">
        <f t="shared" ref="AB15:AB28" si="5">IF(Z15=0, "    ---- ", IF(ABS(ROUND(100/Z15*AA15-100,1))&lt;999,ROUND(100/Z15*AA15-100,1),IF(ROUND(100/Z15*AA15-100,1)&gt;999,999,-999)))</f>
        <v>9.6999999999999993</v>
      </c>
      <c r="AC15" s="448"/>
      <c r="AD15" s="444"/>
      <c r="AE15" s="447"/>
      <c r="AF15" s="448">
        <v>1138.7809999999999</v>
      </c>
      <c r="AG15" s="444">
        <v>2171.8789999999999</v>
      </c>
      <c r="AH15" s="447">
        <f t="shared" si="1"/>
        <v>90.7</v>
      </c>
      <c r="AI15" s="448">
        <v>13168</v>
      </c>
      <c r="AJ15" s="444">
        <v>13136</v>
      </c>
      <c r="AK15" s="447">
        <f t="shared" ref="AK15:AK28" si="6">IF(AI15=0, "    ---- ", IF(ABS(ROUND(100/AI15*AJ15-100,1))&lt;999,ROUND(100/AI15*AJ15-100,1),IF(ROUND(100/AI15*AJ15-100,1)&gt;999,999,-999)))</f>
        <v>-0.2</v>
      </c>
      <c r="AL15" s="448">
        <f t="shared" ref="AL15:AM29" si="7">B15+E15+H15+K15+Q15+T15+W15+Z15+AF15+AI15</f>
        <v>21857.80718372</v>
      </c>
      <c r="AM15" s="448">
        <f t="shared" si="7"/>
        <v>23165.276184959999</v>
      </c>
      <c r="AN15" s="447">
        <f t="shared" si="2"/>
        <v>6</v>
      </c>
      <c r="AO15" s="448">
        <f t="shared" ref="AO15:AP29" si="8">B15+E15+H15+K15+N15+Q15+T15+W15+Z15+AC15+AF15+AI15</f>
        <v>21857.80718372</v>
      </c>
      <c r="AP15" s="448">
        <f t="shared" si="8"/>
        <v>23165.276184959999</v>
      </c>
      <c r="AQ15" s="447">
        <f t="shared" si="3"/>
        <v>6</v>
      </c>
      <c r="AR15" s="503"/>
      <c r="AS15" s="503"/>
    </row>
    <row r="16" spans="1:60" s="504" customFormat="1" ht="20.100000000000001" customHeight="1" x14ac:dyDescent="0.3">
      <c r="A16" s="469" t="s">
        <v>201</v>
      </c>
      <c r="B16" s="449"/>
      <c r="C16" s="447"/>
      <c r="D16" s="447"/>
      <c r="E16" s="449">
        <f>SUM(E17+E19)</f>
        <v>3714.7309999999998</v>
      </c>
      <c r="F16" s="447">
        <f>SUM(F17+F19)</f>
        <v>3991.0159999999996</v>
      </c>
      <c r="G16" s="447">
        <f t="shared" si="4"/>
        <v>7.4</v>
      </c>
      <c r="H16" s="449">
        <f>H18</f>
        <v>37.656999999999996</v>
      </c>
      <c r="I16" s="447">
        <f>SUM(I17+I19)</f>
        <v>32.6</v>
      </c>
      <c r="J16" s="447">
        <f t="shared" ref="J16:J18" si="9">IF(H16=0, "    ---- ", IF(ABS(ROUND(100/H16*I16-100,1))&lt;999,ROUND(100/H16*I16-100,1),IF(ROUND(100/H16*I16-100,1)&gt;999,999,-999)))</f>
        <v>-13.4</v>
      </c>
      <c r="K16" s="448"/>
      <c r="L16" s="444"/>
      <c r="M16" s="444"/>
      <c r="N16" s="445"/>
      <c r="O16" s="446"/>
      <c r="P16" s="447"/>
      <c r="Q16" s="448">
        <f>SUM(Q17+Q19)</f>
        <v>16233.496316670002</v>
      </c>
      <c r="R16" s="444">
        <f>SUM(R17+R19)</f>
        <v>18175.25045268</v>
      </c>
      <c r="S16" s="447">
        <f t="shared" si="0"/>
        <v>12</v>
      </c>
      <c r="T16" s="448">
        <f>SUM(T17+T19)</f>
        <v>226.6</v>
      </c>
      <c r="U16" s="444">
        <f>SUM(U17+U19)</f>
        <v>247.9</v>
      </c>
      <c r="V16" s="447">
        <f t="shared" ref="V16" si="10">IF(T16=0, "    ---- ", IF(ABS(ROUND(100/T16*U16-100,1))&lt;999,ROUND(100/T16*U16-100,1),IF(ROUND(100/T16*U16-100,1)&gt;999,999,-999)))</f>
        <v>9.4</v>
      </c>
      <c r="W16" s="448"/>
      <c r="X16" s="444"/>
      <c r="Y16" s="447"/>
      <c r="Z16" s="448">
        <f>SUM(Z17+Z19)</f>
        <v>4386</v>
      </c>
      <c r="AA16" s="444">
        <f>SUM(AA17+AA19)</f>
        <v>4609</v>
      </c>
      <c r="AB16" s="447">
        <f t="shared" si="5"/>
        <v>5.0999999999999996</v>
      </c>
      <c r="AC16" s="448"/>
      <c r="AD16" s="444"/>
      <c r="AE16" s="447"/>
      <c r="AF16" s="448">
        <f>SUM(AF17+AF19)</f>
        <v>1145.83</v>
      </c>
      <c r="AG16" s="444">
        <f>SUM(AG17+AG19)</f>
        <v>1242.7809999999999</v>
      </c>
      <c r="AH16" s="447">
        <f t="shared" si="1"/>
        <v>8.5</v>
      </c>
      <c r="AI16" s="448">
        <f>SUM(AI17+AI19)</f>
        <v>3423</v>
      </c>
      <c r="AJ16" s="444">
        <f>SUM(AJ17+AJ19)</f>
        <v>8142</v>
      </c>
      <c r="AK16" s="447">
        <f t="shared" si="6"/>
        <v>137.9</v>
      </c>
      <c r="AL16" s="448">
        <f t="shared" si="7"/>
        <v>29167.314316670003</v>
      </c>
      <c r="AM16" s="448">
        <f t="shared" si="7"/>
        <v>36440.547452679995</v>
      </c>
      <c r="AN16" s="447">
        <f t="shared" si="2"/>
        <v>24.9</v>
      </c>
      <c r="AO16" s="448">
        <f t="shared" si="8"/>
        <v>29167.314316670003</v>
      </c>
      <c r="AP16" s="448">
        <f t="shared" si="8"/>
        <v>36440.547452679995</v>
      </c>
      <c r="AQ16" s="447">
        <f t="shared" si="3"/>
        <v>24.9</v>
      </c>
      <c r="AR16" s="503"/>
      <c r="AS16" s="503"/>
    </row>
    <row r="17" spans="1:46" s="504" customFormat="1" ht="20.100000000000001" customHeight="1" x14ac:dyDescent="0.3">
      <c r="A17" s="469" t="s">
        <v>202</v>
      </c>
      <c r="B17" s="449"/>
      <c r="C17" s="447"/>
      <c r="D17" s="447"/>
      <c r="E17" s="449">
        <v>1872</v>
      </c>
      <c r="F17" s="447">
        <v>2166.5569999999998</v>
      </c>
      <c r="G17" s="447">
        <f t="shared" si="4"/>
        <v>15.7</v>
      </c>
      <c r="H17" s="449"/>
      <c r="I17" s="447">
        <v>32.6</v>
      </c>
      <c r="J17" s="447" t="str">
        <f t="shared" si="9"/>
        <v xml:space="preserve">    ---- </v>
      </c>
      <c r="K17" s="448"/>
      <c r="L17" s="444"/>
      <c r="M17" s="444"/>
      <c r="N17" s="445"/>
      <c r="O17" s="446"/>
      <c r="P17" s="447"/>
      <c r="Q17" s="448">
        <v>6906.0084478900008</v>
      </c>
      <c r="R17" s="444">
        <v>7078.3049667299993</v>
      </c>
      <c r="S17" s="447">
        <f t="shared" si="0"/>
        <v>2.5</v>
      </c>
      <c r="T17" s="448"/>
      <c r="U17" s="444"/>
      <c r="V17" s="447"/>
      <c r="W17" s="448"/>
      <c r="X17" s="444"/>
      <c r="Y17" s="447"/>
      <c r="Z17" s="448">
        <v>276</v>
      </c>
      <c r="AA17" s="444">
        <v>172</v>
      </c>
      <c r="AB17" s="447">
        <f t="shared" si="5"/>
        <v>-37.700000000000003</v>
      </c>
      <c r="AC17" s="448"/>
      <c r="AD17" s="444"/>
      <c r="AE17" s="447"/>
      <c r="AF17" s="448">
        <v>141.255</v>
      </c>
      <c r="AG17" s="444">
        <v>129.476</v>
      </c>
      <c r="AH17" s="447">
        <f t="shared" si="1"/>
        <v>-8.3000000000000007</v>
      </c>
      <c r="AI17" s="448"/>
      <c r="AJ17" s="444"/>
      <c r="AK17" s="447"/>
      <c r="AL17" s="448">
        <f t="shared" si="7"/>
        <v>9195.26344789</v>
      </c>
      <c r="AM17" s="448">
        <f t="shared" si="7"/>
        <v>9578.93796673</v>
      </c>
      <c r="AN17" s="447">
        <f t="shared" si="2"/>
        <v>4.2</v>
      </c>
      <c r="AO17" s="448">
        <f t="shared" si="8"/>
        <v>9195.26344789</v>
      </c>
      <c r="AP17" s="448">
        <f t="shared" si="8"/>
        <v>9578.93796673</v>
      </c>
      <c r="AQ17" s="447">
        <f t="shared" si="3"/>
        <v>4.2</v>
      </c>
      <c r="AR17" s="503"/>
      <c r="AS17" s="503"/>
    </row>
    <row r="18" spans="1:46" s="504" customFormat="1" ht="20.100000000000001" customHeight="1" x14ac:dyDescent="0.3">
      <c r="A18" s="469" t="s">
        <v>203</v>
      </c>
      <c r="B18" s="449"/>
      <c r="C18" s="447"/>
      <c r="D18" s="447"/>
      <c r="E18" s="449">
        <v>1872</v>
      </c>
      <c r="F18" s="447">
        <v>2166.5569999999998</v>
      </c>
      <c r="G18" s="447">
        <f t="shared" si="4"/>
        <v>15.7</v>
      </c>
      <c r="H18" s="449">
        <v>37.656999999999996</v>
      </c>
      <c r="I18" s="447">
        <v>32.6</v>
      </c>
      <c r="J18" s="447">
        <f t="shared" si="9"/>
        <v>-13.4</v>
      </c>
      <c r="K18" s="448"/>
      <c r="L18" s="444"/>
      <c r="M18" s="444"/>
      <c r="N18" s="445"/>
      <c r="O18" s="446"/>
      <c r="P18" s="447"/>
      <c r="Q18" s="448">
        <v>6906.0084478900008</v>
      </c>
      <c r="R18" s="444">
        <v>7078.3049667299993</v>
      </c>
      <c r="S18" s="447">
        <f t="shared" si="0"/>
        <v>2.5</v>
      </c>
      <c r="T18" s="448"/>
      <c r="U18" s="444"/>
      <c r="V18" s="447"/>
      <c r="W18" s="448"/>
      <c r="X18" s="444"/>
      <c r="Y18" s="447"/>
      <c r="Z18" s="448"/>
      <c r="AA18" s="444"/>
      <c r="AB18" s="447"/>
      <c r="AC18" s="448"/>
      <c r="AD18" s="444"/>
      <c r="AE18" s="447"/>
      <c r="AF18" s="448">
        <v>27.976073720000013</v>
      </c>
      <c r="AG18" s="444">
        <v>27.986308660000113</v>
      </c>
      <c r="AH18" s="447">
        <f t="shared" si="1"/>
        <v>0</v>
      </c>
      <c r="AI18" s="448"/>
      <c r="AJ18" s="444"/>
      <c r="AK18" s="447"/>
      <c r="AL18" s="448">
        <f t="shared" si="7"/>
        <v>8843.6415216099995</v>
      </c>
      <c r="AM18" s="448">
        <f t="shared" si="7"/>
        <v>9305.4482753899993</v>
      </c>
      <c r="AN18" s="447">
        <f t="shared" si="2"/>
        <v>5.2</v>
      </c>
      <c r="AO18" s="448">
        <f t="shared" si="8"/>
        <v>8843.6415216099995</v>
      </c>
      <c r="AP18" s="448">
        <f t="shared" si="8"/>
        <v>9305.4482753899993</v>
      </c>
      <c r="AQ18" s="447">
        <f t="shared" si="3"/>
        <v>5.2</v>
      </c>
      <c r="AR18" s="503"/>
      <c r="AS18" s="503"/>
    </row>
    <row r="19" spans="1:46" s="504" customFormat="1" ht="20.100000000000001" customHeight="1" x14ac:dyDescent="0.3">
      <c r="A19" s="469" t="s">
        <v>204</v>
      </c>
      <c r="B19" s="449"/>
      <c r="C19" s="447"/>
      <c r="D19" s="447"/>
      <c r="E19" s="449">
        <v>1842.731</v>
      </c>
      <c r="F19" s="447">
        <v>1824.4590000000001</v>
      </c>
      <c r="G19" s="447">
        <f t="shared" si="4"/>
        <v>-1</v>
      </c>
      <c r="H19" s="449"/>
      <c r="I19" s="447"/>
      <c r="J19" s="447"/>
      <c r="K19" s="448"/>
      <c r="L19" s="444"/>
      <c r="M19" s="444"/>
      <c r="N19" s="445"/>
      <c r="O19" s="446"/>
      <c r="P19" s="447"/>
      <c r="Q19" s="448">
        <v>9327.487868780001</v>
      </c>
      <c r="R19" s="444">
        <v>11096.94548595</v>
      </c>
      <c r="S19" s="447">
        <f t="shared" si="0"/>
        <v>19</v>
      </c>
      <c r="T19" s="448">
        <v>226.6</v>
      </c>
      <c r="U19" s="444">
        <v>247.9</v>
      </c>
      <c r="V19" s="447">
        <f t="shared" ref="V19:V28" si="11">IF(T19=0, "    ---- ", IF(ABS(ROUND(100/T19*U19-100,1))&lt;999,ROUND(100/T19*U19-100,1),IF(ROUND(100/T19*U19-100,1)&gt;999,999,-999)))</f>
        <v>9.4</v>
      </c>
      <c r="W19" s="448"/>
      <c r="X19" s="444"/>
      <c r="Y19" s="447"/>
      <c r="Z19" s="448">
        <v>4110</v>
      </c>
      <c r="AA19" s="444">
        <v>4437</v>
      </c>
      <c r="AB19" s="447">
        <f t="shared" si="5"/>
        <v>8</v>
      </c>
      <c r="AC19" s="448"/>
      <c r="AD19" s="444"/>
      <c r="AE19" s="447"/>
      <c r="AF19" s="448">
        <v>1004.575</v>
      </c>
      <c r="AG19" s="444">
        <v>1113.3050000000001</v>
      </c>
      <c r="AH19" s="447">
        <f t="shared" si="1"/>
        <v>10.8</v>
      </c>
      <c r="AI19" s="448">
        <v>3423</v>
      </c>
      <c r="AJ19" s="444">
        <f>1+7655+486</f>
        <v>8142</v>
      </c>
      <c r="AK19" s="447">
        <f t="shared" si="6"/>
        <v>137.9</v>
      </c>
      <c r="AL19" s="448">
        <f t="shared" si="7"/>
        <v>19934.39386878</v>
      </c>
      <c r="AM19" s="448">
        <f t="shared" si="7"/>
        <v>26861.609485950001</v>
      </c>
      <c r="AN19" s="447">
        <f t="shared" si="2"/>
        <v>34.799999999999997</v>
      </c>
      <c r="AO19" s="448">
        <f t="shared" si="8"/>
        <v>19934.39386878</v>
      </c>
      <c r="AP19" s="448">
        <f t="shared" si="8"/>
        <v>26861.609485950001</v>
      </c>
      <c r="AQ19" s="447">
        <f t="shared" si="3"/>
        <v>34.799999999999997</v>
      </c>
      <c r="AR19" s="503"/>
      <c r="AS19" s="503"/>
    </row>
    <row r="20" spans="1:46" s="504" customFormat="1" ht="20.100000000000001" customHeight="1" x14ac:dyDescent="0.3">
      <c r="A20" s="469" t="s">
        <v>205</v>
      </c>
      <c r="B20" s="449">
        <f>SUM(B21:B25)</f>
        <v>237.44300000000001</v>
      </c>
      <c r="C20" s="447">
        <f>SUM(C21:C25)</f>
        <v>233.376</v>
      </c>
      <c r="D20" s="447">
        <f>IF(B20=0, "    ---- ", IF(ABS(ROUND(100/B20*C20-100,1))&lt;999,ROUND(100/B20*C20-100,1),IF(ROUND(100/B20*C20-100,1)&gt;999,999,-999)))</f>
        <v>-1.7</v>
      </c>
      <c r="E20" s="449">
        <f>SUM(E21:E25)</f>
        <v>27144.075000000001</v>
      </c>
      <c r="F20" s="447">
        <f>SUM(F21:F25)</f>
        <v>27359.170999999995</v>
      </c>
      <c r="G20" s="447">
        <f t="shared" si="4"/>
        <v>0.8</v>
      </c>
      <c r="H20" s="449">
        <f>SUM(H21:H25)</f>
        <v>175.92500000000001</v>
      </c>
      <c r="I20" s="447">
        <f>SUM(I21:I25)</f>
        <v>129.1</v>
      </c>
      <c r="J20" s="447">
        <f t="shared" ref="J20:J28" si="12">IF(H20=0, "    ---- ", IF(ABS(ROUND(100/H20*I20-100,1))&lt;999,ROUND(100/H20*I20-100,1),IF(ROUND(100/H20*I20-100,1)&gt;999,999,-999)))</f>
        <v>-26.6</v>
      </c>
      <c r="K20" s="448">
        <f>SUM(K21:K25)</f>
        <v>849</v>
      </c>
      <c r="L20" s="444">
        <f>SUM(L21:L25)</f>
        <v>1018.3929999999999</v>
      </c>
      <c r="M20" s="444">
        <f t="shared" ref="M20:M28" si="13">IF(K20=0, "    ---- ", IF(ABS(ROUND(100/K20*L20-100,1))&lt;999,ROUND(100/K20*L20-100,1),IF(ROUND(100/K20*L20-100,1)&gt;999,999,-999)))</f>
        <v>20</v>
      </c>
      <c r="N20" s="445"/>
      <c r="O20" s="446"/>
      <c r="P20" s="447"/>
      <c r="Q20" s="448">
        <f>SUM(Q21:Q25)</f>
        <v>10994.71855159</v>
      </c>
      <c r="R20" s="444">
        <f>SUM(R21:R25)</f>
        <v>12705.276104479999</v>
      </c>
      <c r="S20" s="447">
        <f t="shared" si="0"/>
        <v>15.6</v>
      </c>
      <c r="T20" s="448">
        <f>SUM(T21:T25)</f>
        <v>288.89999999999998</v>
      </c>
      <c r="U20" s="444">
        <f>SUM(U21:U25)</f>
        <v>244.4</v>
      </c>
      <c r="V20" s="447">
        <f t="shared" si="11"/>
        <v>-15.4</v>
      </c>
      <c r="W20" s="448">
        <f>SUM(W21:W25)</f>
        <v>9237.08</v>
      </c>
      <c r="X20" s="444">
        <f>SUM(X21:X25)</f>
        <v>10096.57</v>
      </c>
      <c r="Y20" s="447">
        <f t="shared" ref="Y20:Y28" si="14">IF(W20=0, "    ---- ", IF(ABS(ROUND(100/W20*X20-100,1))&lt;999,ROUND(100/W20*X20-100,1),IF(ROUND(100/W20*X20-100,1)&gt;999,999,-999)))</f>
        <v>9.3000000000000007</v>
      </c>
      <c r="Z20" s="448">
        <f>SUM(Z21:Z25)</f>
        <v>3032</v>
      </c>
      <c r="AA20" s="444">
        <f>SUM(AA21:AA25)</f>
        <v>3596</v>
      </c>
      <c r="AB20" s="447">
        <f t="shared" si="5"/>
        <v>18.600000000000001</v>
      </c>
      <c r="AC20" s="448"/>
      <c r="AD20" s="444"/>
      <c r="AE20" s="447"/>
      <c r="AF20" s="448">
        <f>SUM(AF21:AF25)</f>
        <v>3845.7040000000002</v>
      </c>
      <c r="AG20" s="444">
        <f>SUM(AG21:AG25)</f>
        <v>2673.2759999999998</v>
      </c>
      <c r="AH20" s="447">
        <f t="shared" si="1"/>
        <v>-30.5</v>
      </c>
      <c r="AI20" s="448">
        <f>SUM(AI21:AI25)</f>
        <v>16963</v>
      </c>
      <c r="AJ20" s="444">
        <f>SUM(AJ21:AJ25)</f>
        <v>12163</v>
      </c>
      <c r="AK20" s="447">
        <f t="shared" si="6"/>
        <v>-28.3</v>
      </c>
      <c r="AL20" s="448">
        <f t="shared" si="7"/>
        <v>72767.845551589999</v>
      </c>
      <c r="AM20" s="448">
        <f t="shared" si="7"/>
        <v>70218.562104479992</v>
      </c>
      <c r="AN20" s="447">
        <f t="shared" si="2"/>
        <v>-3.5</v>
      </c>
      <c r="AO20" s="448">
        <f t="shared" si="8"/>
        <v>72767.845551589999</v>
      </c>
      <c r="AP20" s="448">
        <f t="shared" si="8"/>
        <v>70218.562104479992</v>
      </c>
      <c r="AQ20" s="447">
        <f t="shared" si="3"/>
        <v>-3.5</v>
      </c>
      <c r="AR20" s="503"/>
      <c r="AS20" s="503"/>
    </row>
    <row r="21" spans="1:46" s="504" customFormat="1" ht="20.100000000000001" customHeight="1" x14ac:dyDescent="0.3">
      <c r="A21" s="469" t="s">
        <v>206</v>
      </c>
      <c r="B21" s="449">
        <v>5.56</v>
      </c>
      <c r="C21" s="447">
        <v>5.3979999999999997</v>
      </c>
      <c r="D21" s="447">
        <f>IF(B21=0, "    ---- ", IF(ABS(ROUND(100/B21*C21-100,1))&lt;999,ROUND(100/B21*C21-100,1),IF(ROUND(100/B21*C21-100,1)&gt;999,999,-999)))</f>
        <v>-2.9</v>
      </c>
      <c r="E21" s="449">
        <v>1206.1420000000001</v>
      </c>
      <c r="F21" s="447">
        <v>1326.4559999999999</v>
      </c>
      <c r="G21" s="447">
        <f t="shared" si="4"/>
        <v>10</v>
      </c>
      <c r="H21" s="449">
        <v>22.088999999999999</v>
      </c>
      <c r="I21" s="447">
        <v>17.100000000000001</v>
      </c>
      <c r="J21" s="447">
        <f t="shared" si="12"/>
        <v>-22.6</v>
      </c>
      <c r="K21" s="448">
        <v>6</v>
      </c>
      <c r="L21" s="444">
        <v>67.19</v>
      </c>
      <c r="M21" s="444">
        <f t="shared" si="13"/>
        <v>999</v>
      </c>
      <c r="N21" s="445"/>
      <c r="O21" s="446"/>
      <c r="P21" s="447"/>
      <c r="Q21" s="448">
        <v>527.12440000000004</v>
      </c>
      <c r="R21" s="444">
        <v>601.26160845000004</v>
      </c>
      <c r="S21" s="447">
        <f t="shared" si="0"/>
        <v>14.1</v>
      </c>
      <c r="T21" s="448">
        <v>7.3</v>
      </c>
      <c r="U21" s="444">
        <v>6.8</v>
      </c>
      <c r="V21" s="447">
        <f t="shared" si="11"/>
        <v>-6.8</v>
      </c>
      <c r="W21" s="448">
        <v>0</v>
      </c>
      <c r="X21" s="444">
        <v>0</v>
      </c>
      <c r="Y21" s="447" t="str">
        <f t="shared" si="14"/>
        <v xml:space="preserve">    ---- </v>
      </c>
      <c r="Z21" s="448">
        <v>1474</v>
      </c>
      <c r="AA21" s="444">
        <v>1730</v>
      </c>
      <c r="AB21" s="447">
        <f t="shared" si="5"/>
        <v>17.399999999999999</v>
      </c>
      <c r="AC21" s="448"/>
      <c r="AD21" s="444"/>
      <c r="AE21" s="447"/>
      <c r="AF21" s="448">
        <v>0.52700000000000002</v>
      </c>
      <c r="AG21" s="444">
        <v>0.48899999999999999</v>
      </c>
      <c r="AH21" s="447">
        <f t="shared" si="1"/>
        <v>-7.2</v>
      </c>
      <c r="AI21" s="448">
        <v>17</v>
      </c>
      <c r="AJ21" s="444">
        <v>16</v>
      </c>
      <c r="AK21" s="447">
        <f t="shared" si="6"/>
        <v>-5.9</v>
      </c>
      <c r="AL21" s="448">
        <f t="shared" si="7"/>
        <v>3265.7424000000001</v>
      </c>
      <c r="AM21" s="448">
        <f t="shared" si="7"/>
        <v>3770.69460845</v>
      </c>
      <c r="AN21" s="447">
        <f t="shared" si="2"/>
        <v>15.5</v>
      </c>
      <c r="AO21" s="448">
        <f t="shared" si="8"/>
        <v>3265.7424000000001</v>
      </c>
      <c r="AP21" s="448">
        <f t="shared" si="8"/>
        <v>3770.69460845</v>
      </c>
      <c r="AQ21" s="447">
        <f t="shared" si="3"/>
        <v>15.5</v>
      </c>
      <c r="AR21" s="503"/>
      <c r="AS21" s="503"/>
    </row>
    <row r="22" spans="1:46" s="504" customFormat="1" ht="20.100000000000001" customHeight="1" x14ac:dyDescent="0.3">
      <c r="A22" s="469" t="s">
        <v>207</v>
      </c>
      <c r="B22" s="449">
        <v>231.88300000000001</v>
      </c>
      <c r="C22" s="447">
        <v>227.97800000000001</v>
      </c>
      <c r="D22" s="447">
        <f>IF(B22=0, "    ---- ", IF(ABS(ROUND(100/B22*C22-100,1))&lt;999,ROUND(100/B22*C22-100,1),IF(ROUND(100/B22*C22-100,1)&gt;999,999,-999)))</f>
        <v>-1.7</v>
      </c>
      <c r="E22" s="449">
        <v>25896.494999999999</v>
      </c>
      <c r="F22" s="447">
        <v>26010.010999999999</v>
      </c>
      <c r="G22" s="447">
        <f t="shared" si="4"/>
        <v>0.4</v>
      </c>
      <c r="H22" s="449">
        <v>129.941</v>
      </c>
      <c r="I22" s="447">
        <v>94</v>
      </c>
      <c r="J22" s="447">
        <f t="shared" si="12"/>
        <v>-27.7</v>
      </c>
      <c r="K22" s="448">
        <v>746</v>
      </c>
      <c r="L22" s="444">
        <v>852.60299999999995</v>
      </c>
      <c r="M22" s="444">
        <f t="shared" si="13"/>
        <v>14.3</v>
      </c>
      <c r="N22" s="445"/>
      <c r="O22" s="446"/>
      <c r="P22" s="447"/>
      <c r="Q22" s="448">
        <v>9002.2610627199992</v>
      </c>
      <c r="R22" s="444">
        <v>9938.8467140499997</v>
      </c>
      <c r="S22" s="447">
        <f t="shared" si="0"/>
        <v>10.4</v>
      </c>
      <c r="T22" s="448">
        <v>279.2</v>
      </c>
      <c r="U22" s="444">
        <v>235.4</v>
      </c>
      <c r="V22" s="447">
        <f t="shared" si="11"/>
        <v>-15.7</v>
      </c>
      <c r="W22" s="448">
        <v>9236.76</v>
      </c>
      <c r="X22" s="444">
        <v>9559.25</v>
      </c>
      <c r="Y22" s="447">
        <f t="shared" si="14"/>
        <v>3.5</v>
      </c>
      <c r="Z22" s="448">
        <v>1558</v>
      </c>
      <c r="AA22" s="444">
        <v>1866</v>
      </c>
      <c r="AB22" s="447">
        <f t="shared" si="5"/>
        <v>19.8</v>
      </c>
      <c r="AC22" s="448"/>
      <c r="AD22" s="444"/>
      <c r="AE22" s="447"/>
      <c r="AF22" s="448">
        <v>3332.4059999999999</v>
      </c>
      <c r="AG22" s="444">
        <v>2040.9059999999999</v>
      </c>
      <c r="AH22" s="447">
        <f t="shared" si="1"/>
        <v>-38.799999999999997</v>
      </c>
      <c r="AI22" s="448">
        <v>15801</v>
      </c>
      <c r="AJ22" s="444">
        <v>11026</v>
      </c>
      <c r="AK22" s="447">
        <f t="shared" si="6"/>
        <v>-30.2</v>
      </c>
      <c r="AL22" s="448">
        <f t="shared" si="7"/>
        <v>66213.946062720002</v>
      </c>
      <c r="AM22" s="448">
        <f t="shared" si="7"/>
        <v>61850.994714050001</v>
      </c>
      <c r="AN22" s="447">
        <f t="shared" si="2"/>
        <v>-6.6</v>
      </c>
      <c r="AO22" s="448">
        <f t="shared" si="8"/>
        <v>66213.946062720002</v>
      </c>
      <c r="AP22" s="448">
        <f t="shared" si="8"/>
        <v>61850.994714050001</v>
      </c>
      <c r="AQ22" s="447">
        <f t="shared" si="3"/>
        <v>-6.6</v>
      </c>
      <c r="AR22" s="503"/>
      <c r="AS22" s="503"/>
    </row>
    <row r="23" spans="1:46" s="504" customFormat="1" ht="20.100000000000001" customHeight="1" x14ac:dyDescent="0.3">
      <c r="A23" s="469" t="s">
        <v>208</v>
      </c>
      <c r="B23" s="449"/>
      <c r="C23" s="447"/>
      <c r="D23" s="447"/>
      <c r="E23" s="449">
        <v>37.448</v>
      </c>
      <c r="F23" s="447">
        <v>1.3520000000000001</v>
      </c>
      <c r="G23" s="447">
        <f t="shared" si="4"/>
        <v>-96.4</v>
      </c>
      <c r="H23" s="449"/>
      <c r="I23" s="447"/>
      <c r="J23" s="447"/>
      <c r="K23" s="448"/>
      <c r="L23" s="444"/>
      <c r="M23" s="444"/>
      <c r="N23" s="445"/>
      <c r="O23" s="446"/>
      <c r="P23" s="447"/>
      <c r="Q23" s="448">
        <v>938.52901801999997</v>
      </c>
      <c r="R23" s="444">
        <v>1514.3077356199999</v>
      </c>
      <c r="S23" s="447">
        <f t="shared" si="0"/>
        <v>61.3</v>
      </c>
      <c r="T23" s="448">
        <v>2.4</v>
      </c>
      <c r="U23" s="444">
        <v>2.2000000000000002</v>
      </c>
      <c r="V23" s="447">
        <f t="shared" si="11"/>
        <v>-8.3000000000000007</v>
      </c>
      <c r="W23" s="448">
        <v>0.32</v>
      </c>
      <c r="X23" s="444">
        <v>97.32</v>
      </c>
      <c r="Y23" s="447">
        <f t="shared" si="14"/>
        <v>999</v>
      </c>
      <c r="Z23" s="448"/>
      <c r="AA23" s="444"/>
      <c r="AB23" s="447"/>
      <c r="AC23" s="448"/>
      <c r="AD23" s="444"/>
      <c r="AE23" s="447"/>
      <c r="AF23" s="448"/>
      <c r="AG23" s="444">
        <v>0</v>
      </c>
      <c r="AH23" s="447" t="str">
        <f t="shared" si="1"/>
        <v xml:space="preserve">    ---- </v>
      </c>
      <c r="AI23" s="448"/>
      <c r="AJ23" s="444"/>
      <c r="AK23" s="447"/>
      <c r="AL23" s="448">
        <f t="shared" si="7"/>
        <v>978.69701801999997</v>
      </c>
      <c r="AM23" s="448">
        <f t="shared" si="7"/>
        <v>1615.17973562</v>
      </c>
      <c r="AN23" s="447">
        <f t="shared" si="2"/>
        <v>65</v>
      </c>
      <c r="AO23" s="448">
        <f t="shared" si="8"/>
        <v>978.69701801999997</v>
      </c>
      <c r="AP23" s="448">
        <f t="shared" si="8"/>
        <v>1615.17973562</v>
      </c>
      <c r="AQ23" s="447">
        <f t="shared" si="3"/>
        <v>65</v>
      </c>
      <c r="AR23" s="503"/>
      <c r="AS23" s="503"/>
    </row>
    <row r="24" spans="1:46" s="504" customFormat="1" ht="20.100000000000001" customHeight="1" x14ac:dyDescent="0.3">
      <c r="A24" s="469" t="s">
        <v>209</v>
      </c>
      <c r="B24" s="449"/>
      <c r="C24" s="447"/>
      <c r="D24" s="447"/>
      <c r="E24" s="449"/>
      <c r="F24" s="447">
        <v>0</v>
      </c>
      <c r="G24" s="447" t="str">
        <f t="shared" si="4"/>
        <v xml:space="preserve">    ---- </v>
      </c>
      <c r="H24" s="449"/>
      <c r="I24" s="447"/>
      <c r="J24" s="447"/>
      <c r="K24" s="448"/>
      <c r="L24" s="444"/>
      <c r="M24" s="444"/>
      <c r="N24" s="445"/>
      <c r="O24" s="446"/>
      <c r="P24" s="447"/>
      <c r="Q24" s="448">
        <v>526.80407086000002</v>
      </c>
      <c r="R24" s="444">
        <v>650.86004636999996</v>
      </c>
      <c r="S24" s="447">
        <f t="shared" si="0"/>
        <v>23.5</v>
      </c>
      <c r="T24" s="448"/>
      <c r="U24" s="444"/>
      <c r="V24" s="447"/>
      <c r="W24" s="448">
        <v>0</v>
      </c>
      <c r="X24" s="444">
        <v>0</v>
      </c>
      <c r="Y24" s="447" t="str">
        <f t="shared" si="14"/>
        <v xml:space="preserve">    ---- </v>
      </c>
      <c r="Z24" s="448"/>
      <c r="AA24" s="444"/>
      <c r="AB24" s="447"/>
      <c r="AC24" s="448"/>
      <c r="AD24" s="444"/>
      <c r="AE24" s="447"/>
      <c r="AF24" s="448">
        <v>9.2929999999999993</v>
      </c>
      <c r="AG24" s="444">
        <v>0</v>
      </c>
      <c r="AH24" s="447">
        <f t="shared" si="1"/>
        <v>-100</v>
      </c>
      <c r="AI24" s="448">
        <v>1145</v>
      </c>
      <c r="AJ24" s="444">
        <v>1121</v>
      </c>
      <c r="AK24" s="447">
        <f t="shared" si="6"/>
        <v>-2.1</v>
      </c>
      <c r="AL24" s="448">
        <f t="shared" si="7"/>
        <v>1681.09707086</v>
      </c>
      <c r="AM24" s="448">
        <f t="shared" si="7"/>
        <v>1771.86004637</v>
      </c>
      <c r="AN24" s="447">
        <f t="shared" si="2"/>
        <v>5.4</v>
      </c>
      <c r="AO24" s="448">
        <f t="shared" si="8"/>
        <v>1681.09707086</v>
      </c>
      <c r="AP24" s="448">
        <f t="shared" si="8"/>
        <v>1771.86004637</v>
      </c>
      <c r="AQ24" s="447">
        <f t="shared" si="3"/>
        <v>5.4</v>
      </c>
      <c r="AR24" s="503"/>
      <c r="AS24" s="503"/>
    </row>
    <row r="25" spans="1:46" s="504" customFormat="1" ht="20.100000000000001" customHeight="1" x14ac:dyDescent="0.3">
      <c r="A25" s="469" t="s">
        <v>210</v>
      </c>
      <c r="B25" s="449"/>
      <c r="C25" s="447"/>
      <c r="D25" s="447"/>
      <c r="E25" s="449">
        <v>3.99</v>
      </c>
      <c r="F25" s="447">
        <v>21.352</v>
      </c>
      <c r="G25" s="447">
        <f t="shared" si="4"/>
        <v>435.1</v>
      </c>
      <c r="H25" s="449">
        <v>23.895</v>
      </c>
      <c r="I25" s="447">
        <v>18</v>
      </c>
      <c r="J25" s="447">
        <f t="shared" si="12"/>
        <v>-24.7</v>
      </c>
      <c r="K25" s="448">
        <v>97</v>
      </c>
      <c r="L25" s="444">
        <v>98.6</v>
      </c>
      <c r="M25" s="444">
        <f t="shared" si="13"/>
        <v>1.6</v>
      </c>
      <c r="N25" s="445"/>
      <c r="O25" s="446"/>
      <c r="P25" s="447"/>
      <c r="Q25" s="448">
        <v>-1E-8</v>
      </c>
      <c r="R25" s="444">
        <v>-1E-8</v>
      </c>
      <c r="S25" s="447">
        <f t="shared" si="0"/>
        <v>0</v>
      </c>
      <c r="T25" s="448"/>
      <c r="U25" s="444"/>
      <c r="V25" s="447"/>
      <c r="W25" s="448">
        <v>0</v>
      </c>
      <c r="X25" s="444">
        <v>440</v>
      </c>
      <c r="Y25" s="447" t="str">
        <f t="shared" si="14"/>
        <v xml:space="preserve">    ---- </v>
      </c>
      <c r="Z25" s="448"/>
      <c r="AA25" s="444"/>
      <c r="AB25" s="447"/>
      <c r="AC25" s="448"/>
      <c r="AD25" s="444"/>
      <c r="AE25" s="447"/>
      <c r="AF25" s="448">
        <v>503.47800000000001</v>
      </c>
      <c r="AG25" s="444">
        <v>631.88099999999997</v>
      </c>
      <c r="AH25" s="447">
        <f t="shared" si="1"/>
        <v>25.5</v>
      </c>
      <c r="AI25" s="448"/>
      <c r="AJ25" s="444"/>
      <c r="AK25" s="447"/>
      <c r="AL25" s="448">
        <f t="shared" si="7"/>
        <v>628.36299999000005</v>
      </c>
      <c r="AM25" s="448">
        <f t="shared" si="7"/>
        <v>1209.83299999</v>
      </c>
      <c r="AN25" s="447">
        <f t="shared" si="2"/>
        <v>92.5</v>
      </c>
      <c r="AO25" s="448">
        <f t="shared" si="8"/>
        <v>628.36299999000005</v>
      </c>
      <c r="AP25" s="448">
        <f t="shared" si="8"/>
        <v>1209.83299999</v>
      </c>
      <c r="AQ25" s="447">
        <f t="shared" si="3"/>
        <v>92.5</v>
      </c>
      <c r="AR25" s="503"/>
      <c r="AS25" s="503"/>
    </row>
    <row r="26" spans="1:46" s="504" customFormat="1" ht="20.100000000000001" customHeight="1" x14ac:dyDescent="0.3">
      <c r="A26" s="469" t="s">
        <v>211</v>
      </c>
      <c r="B26" s="449"/>
      <c r="C26" s="447"/>
      <c r="D26" s="447"/>
      <c r="E26" s="449"/>
      <c r="F26" s="447"/>
      <c r="G26" s="447"/>
      <c r="H26" s="449"/>
      <c r="I26" s="447"/>
      <c r="J26" s="447"/>
      <c r="K26" s="448"/>
      <c r="L26" s="444"/>
      <c r="M26" s="444"/>
      <c r="N26" s="445"/>
      <c r="O26" s="446"/>
      <c r="P26" s="447"/>
      <c r="Q26" s="448"/>
      <c r="R26" s="444"/>
      <c r="S26" s="447"/>
      <c r="T26" s="448"/>
      <c r="U26" s="444"/>
      <c r="V26" s="447"/>
      <c r="W26" s="448"/>
      <c r="X26" s="444"/>
      <c r="Y26" s="447"/>
      <c r="Z26" s="448"/>
      <c r="AA26" s="444"/>
      <c r="AB26" s="447"/>
      <c r="AC26" s="448"/>
      <c r="AD26" s="444"/>
      <c r="AE26" s="447"/>
      <c r="AF26" s="448"/>
      <c r="AG26" s="444"/>
      <c r="AH26" s="447"/>
      <c r="AI26" s="448"/>
      <c r="AJ26" s="444"/>
      <c r="AK26" s="447"/>
      <c r="AL26" s="448">
        <f t="shared" si="7"/>
        <v>0</v>
      </c>
      <c r="AM26" s="448">
        <f t="shared" si="7"/>
        <v>0</v>
      </c>
      <c r="AN26" s="447" t="str">
        <f t="shared" si="2"/>
        <v xml:space="preserve">    ---- </v>
      </c>
      <c r="AO26" s="448">
        <f t="shared" si="8"/>
        <v>0</v>
      </c>
      <c r="AP26" s="448">
        <f t="shared" si="8"/>
        <v>0</v>
      </c>
      <c r="AQ26" s="447" t="str">
        <f t="shared" si="3"/>
        <v xml:space="preserve">    ---- </v>
      </c>
      <c r="AR26" s="503"/>
      <c r="AS26" s="503"/>
    </row>
    <row r="27" spans="1:46" s="504" customFormat="1" ht="20.100000000000001" customHeight="1" x14ac:dyDescent="0.3">
      <c r="A27" s="470" t="s">
        <v>212</v>
      </c>
      <c r="B27" s="449">
        <f>SUM(B14+B15+B16+B20+B26)</f>
        <v>237.44300000000001</v>
      </c>
      <c r="C27" s="447">
        <f>SUM(C14+C15+C16+C20+C26)</f>
        <v>233.376</v>
      </c>
      <c r="D27" s="447">
        <f>IF(B27=0, "    ---- ", IF(ABS(ROUND(100/B27*C27-100,1))&lt;999,ROUND(100/B27*C27-100,1),IF(ROUND(100/B27*C27-100,1)&gt;999,999,-999)))</f>
        <v>-1.7</v>
      </c>
      <c r="E27" s="449">
        <f>SUM(E14+E15+E16+E20+E26)</f>
        <v>30927.772000000001</v>
      </c>
      <c r="F27" s="447">
        <f>SUM(F14+F15+F16+F20+F26)</f>
        <v>31419.891999999993</v>
      </c>
      <c r="G27" s="447">
        <f t="shared" si="4"/>
        <v>1.6</v>
      </c>
      <c r="H27" s="449">
        <f>SUM(H14+H15+H16+H20+H26)</f>
        <v>213.58199999999999</v>
      </c>
      <c r="I27" s="447">
        <f>SUM(I14+I15+I16+I20+I26)</f>
        <v>161.69999999999999</v>
      </c>
      <c r="J27" s="447">
        <f t="shared" si="12"/>
        <v>-24.3</v>
      </c>
      <c r="K27" s="448">
        <f>SUM(K14+K15+K16+K20+K26)</f>
        <v>849</v>
      </c>
      <c r="L27" s="444">
        <f>SUM(L14+L15+L16+L20+L26)</f>
        <v>1018.3929999999999</v>
      </c>
      <c r="M27" s="444">
        <f t="shared" si="13"/>
        <v>20</v>
      </c>
      <c r="N27" s="445"/>
      <c r="O27" s="446"/>
      <c r="P27" s="447"/>
      <c r="Q27" s="448">
        <f>SUM(Q14+Q15+Q16+Q20+Q26)</f>
        <v>34702.014027730002</v>
      </c>
      <c r="R27" s="444">
        <f>SUM(R14+R15+R16+R20+R26)</f>
        <v>38483.48718787</v>
      </c>
      <c r="S27" s="447">
        <f t="shared" si="0"/>
        <v>10.9</v>
      </c>
      <c r="T27" s="448">
        <f>SUM(T14+T15+T16+T20+T26)</f>
        <v>515.5</v>
      </c>
      <c r="U27" s="444">
        <f>SUM(U14+U15+U16+U20+U26)</f>
        <v>492.3</v>
      </c>
      <c r="V27" s="447">
        <f t="shared" si="11"/>
        <v>-4.5</v>
      </c>
      <c r="W27" s="448">
        <f>SUM(W14+W15+W16+W20+W26)</f>
        <v>9237.08</v>
      </c>
      <c r="X27" s="444">
        <f>SUM(X14+X15+X16+X20+X26)</f>
        <v>10096.57</v>
      </c>
      <c r="Y27" s="447">
        <f t="shared" si="14"/>
        <v>9.3000000000000007</v>
      </c>
      <c r="Z27" s="448">
        <f>SUM(Z14+Z15+Z16+Z20+Z26)</f>
        <v>8429</v>
      </c>
      <c r="AA27" s="444">
        <f>SUM(AA14+AA15+AA16+AA20+AA26)</f>
        <v>9314</v>
      </c>
      <c r="AB27" s="447">
        <f t="shared" si="5"/>
        <v>10.5</v>
      </c>
      <c r="AC27" s="448"/>
      <c r="AD27" s="444"/>
      <c r="AE27" s="447"/>
      <c r="AF27" s="448">
        <f>SUM(AF14+AF15+AF16+AF20+AF26)</f>
        <v>6131.92</v>
      </c>
      <c r="AG27" s="444">
        <f>SUM(AG14+AG15+AG16+AG20+AG26)</f>
        <v>6087.9359999999997</v>
      </c>
      <c r="AH27" s="447">
        <f t="shared" si="1"/>
        <v>-0.7</v>
      </c>
      <c r="AI27" s="448">
        <f>SUM(AI14+AI15+AI16+AI20+AI26)</f>
        <v>33554</v>
      </c>
      <c r="AJ27" s="444">
        <f>SUM(AJ14+AJ15+AJ16+AJ20+AJ26)</f>
        <v>33441</v>
      </c>
      <c r="AK27" s="447">
        <f t="shared" si="6"/>
        <v>-0.3</v>
      </c>
      <c r="AL27" s="448">
        <f t="shared" si="7"/>
        <v>124797.31102773</v>
      </c>
      <c r="AM27" s="448">
        <f t="shared" si="7"/>
        <v>130748.65418786999</v>
      </c>
      <c r="AN27" s="447">
        <f t="shared" si="2"/>
        <v>4.8</v>
      </c>
      <c r="AO27" s="448">
        <f t="shared" si="8"/>
        <v>124797.31102773</v>
      </c>
      <c r="AP27" s="448">
        <f t="shared" si="8"/>
        <v>130748.65418786999</v>
      </c>
      <c r="AQ27" s="447">
        <f t="shared" si="3"/>
        <v>4.8</v>
      </c>
      <c r="AR27" s="503"/>
      <c r="AS27" s="503"/>
    </row>
    <row r="28" spans="1:46" s="504" customFormat="1" ht="20.100000000000001" customHeight="1" x14ac:dyDescent="0.3">
      <c r="A28" s="469" t="s">
        <v>213</v>
      </c>
      <c r="B28" s="449">
        <v>250.65599999999998</v>
      </c>
      <c r="C28" s="447">
        <f>65.542+187.22+1.343</f>
        <v>254.10499999999999</v>
      </c>
      <c r="D28" s="447">
        <f>IF(B28=0, "    ---- ", IF(ABS(ROUND(100/B28*C28-100,1))&lt;999,ROUND(100/B28*C28-100,1),IF(ROUND(100/B28*C28-100,1)&gt;999,999,-999)))</f>
        <v>1.4</v>
      </c>
      <c r="E28" s="449">
        <v>761.90000000000009</v>
      </c>
      <c r="F28" s="447">
        <v>917.04300000000001</v>
      </c>
      <c r="G28" s="447">
        <f t="shared" si="4"/>
        <v>20.399999999999999</v>
      </c>
      <c r="H28" s="449">
        <v>117.087</v>
      </c>
      <c r="I28" s="447">
        <v>139.5</v>
      </c>
      <c r="J28" s="447">
        <f t="shared" si="12"/>
        <v>19.100000000000001</v>
      </c>
      <c r="K28" s="448">
        <v>339</v>
      </c>
      <c r="L28" s="444">
        <f>58.147+164.661+81.654</f>
        <v>304.46199999999999</v>
      </c>
      <c r="M28" s="444">
        <f t="shared" si="13"/>
        <v>-10.199999999999999</v>
      </c>
      <c r="N28" s="445">
        <v>141</v>
      </c>
      <c r="O28" s="446">
        <v>145</v>
      </c>
      <c r="P28" s="447">
        <f t="shared" ref="P28" si="15">IF(N28=0, "    ---- ", IF(ABS(ROUND(100/N28*O28-100,1))&lt;999,ROUND(100/N28*O28-100,1),IF(ROUND(100/N28*O28-100,1)&gt;999,999,-999)))</f>
        <v>2.8</v>
      </c>
      <c r="Q28" s="448">
        <v>2100.4723774399999</v>
      </c>
      <c r="R28" s="444">
        <v>1908.3303953200002</v>
      </c>
      <c r="S28" s="447">
        <f t="shared" si="0"/>
        <v>-9.1</v>
      </c>
      <c r="T28" s="448">
        <v>50.5</v>
      </c>
      <c r="U28" s="444">
        <v>30.6</v>
      </c>
      <c r="V28" s="447">
        <f t="shared" si="11"/>
        <v>-39.4</v>
      </c>
      <c r="W28" s="448">
        <v>585.03067591998843</v>
      </c>
      <c r="X28" s="444">
        <v>749</v>
      </c>
      <c r="Y28" s="447">
        <f t="shared" si="14"/>
        <v>28</v>
      </c>
      <c r="Z28" s="448">
        <v>898</v>
      </c>
      <c r="AA28" s="444">
        <f>72+536+24+10</f>
        <v>642</v>
      </c>
      <c r="AB28" s="447">
        <f t="shared" si="5"/>
        <v>-28.5</v>
      </c>
      <c r="AC28" s="448">
        <v>54</v>
      </c>
      <c r="AD28" s="444">
        <v>62.343768490000002</v>
      </c>
      <c r="AE28" s="447">
        <f>IF(AC28=0, "    ---- ", IF(ABS(ROUND(100/AC28*AD28-100,1))&lt;999,ROUND(100/AC28*AD28-100,1),IF(ROUND(100/AC28*AD28-100,1)&gt;999,999,-999)))</f>
        <v>15.5</v>
      </c>
      <c r="AF28" s="448">
        <v>665.96199999999999</v>
      </c>
      <c r="AG28" s="444">
        <v>656.78599999999994</v>
      </c>
      <c r="AH28" s="447">
        <f t="shared" si="1"/>
        <v>-1.4</v>
      </c>
      <c r="AI28" s="448">
        <v>2713</v>
      </c>
      <c r="AJ28" s="444">
        <f>2469+2725+38+338</f>
        <v>5570</v>
      </c>
      <c r="AK28" s="447">
        <f t="shared" si="6"/>
        <v>105.3</v>
      </c>
      <c r="AL28" s="448">
        <f t="shared" si="7"/>
        <v>8481.6080533599888</v>
      </c>
      <c r="AM28" s="448">
        <f t="shared" si="7"/>
        <v>11171.82639532</v>
      </c>
      <c r="AN28" s="447">
        <f t="shared" si="2"/>
        <v>31.7</v>
      </c>
      <c r="AO28" s="448">
        <f t="shared" si="8"/>
        <v>8676.6080533599888</v>
      </c>
      <c r="AP28" s="448">
        <f t="shared" si="8"/>
        <v>11379.17016381</v>
      </c>
      <c r="AQ28" s="447">
        <f t="shared" si="3"/>
        <v>31.1</v>
      </c>
      <c r="AR28" s="503"/>
      <c r="AS28" s="503"/>
    </row>
    <row r="29" spans="1:46" s="504" customFormat="1" ht="20.100000000000001" customHeight="1" x14ac:dyDescent="0.3">
      <c r="A29" s="469" t="s">
        <v>214</v>
      </c>
      <c r="B29" s="449">
        <f>SUM(B27+B28)</f>
        <v>488.09899999999999</v>
      </c>
      <c r="C29" s="447">
        <f>SUM(C27+C28)</f>
        <v>487.48099999999999</v>
      </c>
      <c r="D29" s="447">
        <f>IF(B29=0, "    ---- ", IF(ABS(ROUND(100/B29*C29-100,1))&lt;999,ROUND(100/B29*C29-100,1),IF(ROUND(100/B29*C29-100,1)&gt;999,999,-999)))</f>
        <v>-0.1</v>
      </c>
      <c r="E29" s="449">
        <f>SUM(E27+E28)</f>
        <v>31689.672000000002</v>
      </c>
      <c r="F29" s="447">
        <f>SUM(F27+F28)</f>
        <v>32336.934999999994</v>
      </c>
      <c r="G29" s="447">
        <f>IF(E29=0, "    ---- ", IF(ABS(ROUND(100/E29*F29-100,1))&lt;999,ROUND(100/E29*F29-100,1),IF(ROUND(100/E29*F29-100,1)&gt;999,999,-999)))</f>
        <v>2</v>
      </c>
      <c r="H29" s="449">
        <f>SUM(H27+H28)</f>
        <v>330.66899999999998</v>
      </c>
      <c r="I29" s="447">
        <f>SUM(I27+I28)</f>
        <v>301.2</v>
      </c>
      <c r="J29" s="447">
        <f>IF(H29=0, "    ---- ", IF(ABS(ROUND(100/H29*I29-100,1))&lt;999,ROUND(100/H29*I29-100,1),IF(ROUND(100/H29*I29-100,1)&gt;999,999,-999)))</f>
        <v>-8.9</v>
      </c>
      <c r="K29" s="449">
        <f>SUM(K27+K28)</f>
        <v>1188</v>
      </c>
      <c r="L29" s="447">
        <f>SUM(L27+L28)</f>
        <v>1322.855</v>
      </c>
      <c r="M29" s="447">
        <f>IF(K29=0, "    ---- ", IF(ABS(ROUND(100/K29*L29-100,1))&lt;999,ROUND(100/K29*L29-100,1),IF(ROUND(100/K29*L29-100,1)&gt;999,999,-999)))</f>
        <v>11.4</v>
      </c>
      <c r="N29" s="449">
        <f>SUM(N27+N28)</f>
        <v>141</v>
      </c>
      <c r="O29" s="447">
        <f>SUM(O27+O28)</f>
        <v>145</v>
      </c>
      <c r="P29" s="447">
        <f>IF(N29=0, "    ---- ", IF(ABS(ROUND(100/N29*O29-100,1))&lt;999,ROUND(100/N29*O29-100,1),IF(ROUND(100/N29*O29-100,1)&gt;999,999,-999)))</f>
        <v>2.8</v>
      </c>
      <c r="Q29" s="449">
        <f>SUM(Q27+Q28)</f>
        <v>36802.486405169999</v>
      </c>
      <c r="R29" s="447">
        <f>SUM(R27+R28)</f>
        <v>40391.817583190001</v>
      </c>
      <c r="S29" s="447">
        <f>IF(Q29=0, "    ---- ", IF(ABS(ROUND(100/Q29*R29-100,1))&lt;999,ROUND(100/Q29*R29-100,1),IF(ROUND(100/Q29*R29-100,1)&gt;999,999,-999)))</f>
        <v>9.8000000000000007</v>
      </c>
      <c r="T29" s="449">
        <f>SUM(T27+T28)</f>
        <v>566</v>
      </c>
      <c r="U29" s="447">
        <f>SUM(U27+U28)</f>
        <v>522.9</v>
      </c>
      <c r="V29" s="447">
        <f>IF(T29=0, "    ---- ", IF(ABS(ROUND(100/T29*U29-100,1))&lt;999,ROUND(100/T29*U29-100,1),IF(ROUND(100/T29*U29-100,1)&gt;999,999,-999)))</f>
        <v>-7.6</v>
      </c>
      <c r="W29" s="449">
        <f>SUM(W27+W28)</f>
        <v>9822.1106759199884</v>
      </c>
      <c r="X29" s="447">
        <f>SUM(X27+X28)</f>
        <v>10845.57</v>
      </c>
      <c r="Y29" s="447">
        <f>IF(W29=0, "    ---- ", IF(ABS(ROUND(100/W29*X29-100,1))&lt;999,ROUND(100/W29*X29-100,1),IF(ROUND(100/W29*X29-100,1)&gt;999,999,-999)))</f>
        <v>10.4</v>
      </c>
      <c r="Z29" s="449">
        <f>SUM(Z27+Z28)</f>
        <v>9327</v>
      </c>
      <c r="AA29" s="447">
        <f>SUM(AA27+AA28)</f>
        <v>9956</v>
      </c>
      <c r="AB29" s="447">
        <f>IF(Z29=0, "    ---- ", IF(ABS(ROUND(100/Z29*AA29-100,1))&lt;999,ROUND(100/Z29*AA29-100,1),IF(ROUND(100/Z29*AA29-100,1)&gt;999,999,-999)))</f>
        <v>6.7</v>
      </c>
      <c r="AC29" s="449">
        <f>SUM(AC27+AC28)</f>
        <v>54</v>
      </c>
      <c r="AD29" s="447">
        <f>SUM(AD27+AD28)</f>
        <v>62.343768490000002</v>
      </c>
      <c r="AE29" s="447">
        <f>IF(AC29=0, "    ---- ", IF(ABS(ROUND(100/AC29*AD29-100,1))&lt;999,ROUND(100/AC29*AD29-100,1),IF(ROUND(100/AC29*AD29-100,1)&gt;999,999,-999)))</f>
        <v>15.5</v>
      </c>
      <c r="AF29" s="449">
        <f>SUM(AF27+AF28)</f>
        <v>6797.8819999999996</v>
      </c>
      <c r="AG29" s="447">
        <f>SUM(AG27+AG28)</f>
        <v>6744.7219999999998</v>
      </c>
      <c r="AH29" s="447">
        <f>IF(AF29=0, "    ---- ", IF(ABS(ROUND(100/AF29*AG29-100,1))&lt;999,ROUND(100/AF29*AG29-100,1),IF(ROUND(100/AF29*AG29-100,1)&gt;999,999,-999)))</f>
        <v>-0.8</v>
      </c>
      <c r="AI29" s="449">
        <f>SUM(AI27+AI28)</f>
        <v>36267</v>
      </c>
      <c r="AJ29" s="447">
        <f>SUM(AJ27+AJ28)</f>
        <v>39011</v>
      </c>
      <c r="AK29" s="447">
        <f>IF(AI29=0, "    ---- ", IF(ABS(ROUND(100/AI29*AJ29-100,1))&lt;999,ROUND(100/AI29*AJ29-100,1),IF(ROUND(100/AI29*AJ29-100,1)&gt;999,999,-999)))</f>
        <v>7.6</v>
      </c>
      <c r="AL29" s="448">
        <f t="shared" si="7"/>
        <v>133278.91908108999</v>
      </c>
      <c r="AM29" s="448">
        <f t="shared" si="7"/>
        <v>141920.48058318999</v>
      </c>
      <c r="AN29" s="447">
        <f>IF(AL29=0, "    ---- ", IF(ABS(ROUND(100/AL29*AM29-100,1))&lt;999,ROUND(100/AL29*AM29-100,1),IF(ROUND(100/AL29*AM29-100,1)&gt;999,999,-999)))</f>
        <v>6.5</v>
      </c>
      <c r="AO29" s="448">
        <f t="shared" si="8"/>
        <v>133473.91908108999</v>
      </c>
      <c r="AP29" s="448">
        <f t="shared" si="8"/>
        <v>142127.82435168</v>
      </c>
      <c r="AQ29" s="450">
        <f t="shared" si="3"/>
        <v>6.5</v>
      </c>
      <c r="AR29" s="503"/>
      <c r="AS29" s="503"/>
      <c r="AT29" s="505"/>
    </row>
    <row r="30" spans="1:46" s="475" customFormat="1" ht="20.100000000000001" customHeight="1" x14ac:dyDescent="0.3">
      <c r="A30" s="469"/>
      <c r="B30" s="436"/>
      <c r="C30" s="433"/>
      <c r="D30" s="451"/>
      <c r="E30" s="436"/>
      <c r="F30" s="433"/>
      <c r="G30" s="451"/>
      <c r="H30" s="436"/>
      <c r="I30" s="433"/>
      <c r="J30" s="451"/>
      <c r="K30" s="453"/>
      <c r="L30" s="451"/>
      <c r="M30" s="433"/>
      <c r="N30" s="436"/>
      <c r="O30" s="433"/>
      <c r="P30" s="336"/>
      <c r="Q30" s="436"/>
      <c r="R30" s="433"/>
      <c r="S30" s="336"/>
      <c r="T30" s="436"/>
      <c r="U30" s="433"/>
      <c r="V30" s="336"/>
      <c r="W30" s="436"/>
      <c r="X30" s="433"/>
      <c r="Y30" s="336"/>
      <c r="Z30" s="436"/>
      <c r="AA30" s="433"/>
      <c r="AB30" s="336"/>
      <c r="AC30" s="436"/>
      <c r="AD30" s="433"/>
      <c r="AE30" s="336"/>
      <c r="AF30" s="436"/>
      <c r="AG30" s="433"/>
      <c r="AH30" s="336"/>
      <c r="AI30" s="436"/>
      <c r="AJ30" s="433"/>
      <c r="AK30" s="336"/>
      <c r="AL30" s="436"/>
      <c r="AM30" s="436"/>
      <c r="AN30" s="336"/>
      <c r="AO30" s="436"/>
      <c r="AP30" s="436"/>
      <c r="AQ30" s="452"/>
      <c r="AR30" s="502"/>
      <c r="AS30" s="502"/>
    </row>
    <row r="31" spans="1:46" s="475" customFormat="1" ht="20.100000000000001" customHeight="1" x14ac:dyDescent="0.3">
      <c r="A31" s="467" t="s">
        <v>215</v>
      </c>
      <c r="B31" s="453"/>
      <c r="C31" s="451"/>
      <c r="D31" s="451"/>
      <c r="E31" s="453"/>
      <c r="F31" s="451"/>
      <c r="G31" s="451"/>
      <c r="H31" s="453"/>
      <c r="I31" s="451"/>
      <c r="J31" s="451"/>
      <c r="K31" s="453"/>
      <c r="L31" s="451"/>
      <c r="M31" s="433"/>
      <c r="N31" s="453"/>
      <c r="O31" s="451"/>
      <c r="P31" s="336"/>
      <c r="Q31" s="453"/>
      <c r="R31" s="451"/>
      <c r="S31" s="336"/>
      <c r="T31" s="453"/>
      <c r="U31" s="451"/>
      <c r="V31" s="336"/>
      <c r="W31" s="453"/>
      <c r="X31" s="451"/>
      <c r="Y31" s="336"/>
      <c r="Z31" s="453"/>
      <c r="AA31" s="451"/>
      <c r="AB31" s="336"/>
      <c r="AC31" s="453"/>
      <c r="AD31" s="451"/>
      <c r="AE31" s="336"/>
      <c r="AF31" s="453"/>
      <c r="AG31" s="451"/>
      <c r="AH31" s="336"/>
      <c r="AI31" s="453"/>
      <c r="AJ31" s="451"/>
      <c r="AK31" s="336"/>
      <c r="AL31" s="436"/>
      <c r="AM31" s="436"/>
      <c r="AN31" s="336"/>
      <c r="AO31" s="436"/>
      <c r="AP31" s="436"/>
      <c r="AQ31" s="452"/>
      <c r="AR31" s="502"/>
      <c r="AS31" s="502"/>
    </row>
    <row r="32" spans="1:46" s="475" customFormat="1" ht="20.100000000000001" customHeight="1" x14ac:dyDescent="0.3">
      <c r="A32" s="467" t="s">
        <v>216</v>
      </c>
      <c r="B32" s="453"/>
      <c r="C32" s="451"/>
      <c r="D32" s="336"/>
      <c r="E32" s="453"/>
      <c r="F32" s="451"/>
      <c r="G32" s="336"/>
      <c r="H32" s="453"/>
      <c r="I32" s="451"/>
      <c r="J32" s="336"/>
      <c r="K32" s="453"/>
      <c r="L32" s="451"/>
      <c r="M32" s="433"/>
      <c r="N32" s="453"/>
      <c r="O32" s="451"/>
      <c r="P32" s="336"/>
      <c r="Q32" s="453"/>
      <c r="R32" s="451"/>
      <c r="S32" s="336"/>
      <c r="T32" s="453"/>
      <c r="U32" s="451"/>
      <c r="V32" s="336"/>
      <c r="W32" s="453"/>
      <c r="X32" s="451"/>
      <c r="Y32" s="336"/>
      <c r="Z32" s="453"/>
      <c r="AA32" s="451"/>
      <c r="AB32" s="336"/>
      <c r="AC32" s="453"/>
      <c r="AD32" s="451"/>
      <c r="AE32" s="336"/>
      <c r="AF32" s="453"/>
      <c r="AG32" s="451"/>
      <c r="AH32" s="336"/>
      <c r="AI32" s="453"/>
      <c r="AJ32" s="451"/>
      <c r="AK32" s="336"/>
      <c r="AL32" s="436"/>
      <c r="AM32" s="436"/>
      <c r="AN32" s="336"/>
      <c r="AO32" s="436"/>
      <c r="AP32" s="436"/>
      <c r="AQ32" s="452"/>
      <c r="AR32" s="502"/>
      <c r="AS32" s="502"/>
    </row>
    <row r="33" spans="1:46" s="475" customFormat="1" ht="20.100000000000001" customHeight="1" x14ac:dyDescent="0.3">
      <c r="A33" s="469" t="s">
        <v>217</v>
      </c>
      <c r="B33" s="453"/>
      <c r="C33" s="451"/>
      <c r="D33" s="451"/>
      <c r="E33" s="453">
        <v>33.582000000000001</v>
      </c>
      <c r="F33" s="451">
        <v>33.442</v>
      </c>
      <c r="G33" s="451">
        <f t="shared" ref="G33:G91" si="16">IF(E33=0, "    ---- ", IF(ABS(ROUND(100/E33*F33-100,1))&lt;999,ROUND(100/E33*F33-100,1),IF(ROUND(100/E33*F33-100,1)&gt;999,999,-999)))</f>
        <v>-0.4</v>
      </c>
      <c r="H33" s="453"/>
      <c r="I33" s="451"/>
      <c r="J33" s="451"/>
      <c r="K33" s="453"/>
      <c r="L33" s="451"/>
      <c r="M33" s="433"/>
      <c r="N33" s="453"/>
      <c r="O33" s="451"/>
      <c r="P33" s="336"/>
      <c r="Q33" s="453"/>
      <c r="R33" s="451"/>
      <c r="S33" s="336"/>
      <c r="T33" s="453"/>
      <c r="U33" s="451"/>
      <c r="V33" s="336"/>
      <c r="W33" s="453">
        <v>1.9699999999999998E-6</v>
      </c>
      <c r="X33" s="451">
        <v>1.9699999999999998E-6</v>
      </c>
      <c r="Y33" s="336">
        <f t="shared" ref="Y33:Y91" si="17">IF(W33=0, "    ---- ", IF(ABS(ROUND(100/W33*X33-100,1))&lt;999,ROUND(100/W33*X33-100,1),IF(ROUND(100/W33*X33-100,1)&gt;999,999,-999)))</f>
        <v>0</v>
      </c>
      <c r="Z33" s="453"/>
      <c r="AA33" s="451"/>
      <c r="AB33" s="336"/>
      <c r="AC33" s="453"/>
      <c r="AD33" s="451"/>
      <c r="AE33" s="336"/>
      <c r="AF33" s="453">
        <v>0.98099999999999998</v>
      </c>
      <c r="AG33" s="451"/>
      <c r="AH33" s="336">
        <f t="shared" ref="AH33:AH91" si="18">IF(AF33=0, "    ---- ", IF(ABS(ROUND(100/AF33*AG33-100,1))&lt;999,ROUND(100/AF33*AG33-100,1),IF(ROUND(100/AF33*AG33-100,1)&gt;999,999,-999)))</f>
        <v>-100</v>
      </c>
      <c r="AI33" s="453"/>
      <c r="AJ33" s="451"/>
      <c r="AK33" s="336"/>
      <c r="AL33" s="448">
        <f t="shared" ref="AL33:AM46" si="19">B33+E33+H33+K33+Q33+T33+W33+Z33+AF33+AI33</f>
        <v>34.563001970000002</v>
      </c>
      <c r="AM33" s="448">
        <f t="shared" si="19"/>
        <v>33.44200197</v>
      </c>
      <c r="AN33" s="336">
        <f t="shared" ref="AN33:AN91" si="20">IF(AL33=0, "    ---- ", IF(ABS(ROUND(100/AL33*AM33-100,1))&lt;999,ROUND(100/AL33*AM33-100,1),IF(ROUND(100/AL33*AM33-100,1)&gt;999,999,-999)))</f>
        <v>-3.2</v>
      </c>
      <c r="AO33" s="448">
        <f t="shared" ref="AO33:AP46" si="21">B33+E33+H33+K33+N33+Q33+T33+W33+Z33+AC33+AF33+AI33</f>
        <v>34.563001970000002</v>
      </c>
      <c r="AP33" s="448">
        <f t="shared" si="21"/>
        <v>33.44200197</v>
      </c>
      <c r="AQ33" s="452">
        <f t="shared" ref="AQ33:AQ91" si="22">IF(AO33=0, "    ---- ", IF(ABS(ROUND(100/AO33*AP33-100,1))&lt;999,ROUND(100/AO33*AP33-100,1),IF(ROUND(100/AO33*AP33-100,1)&gt;999,999,-999)))</f>
        <v>-3.2</v>
      </c>
      <c r="AR33" s="502"/>
      <c r="AS33" s="502"/>
      <c r="AT33" s="506"/>
    </row>
    <row r="34" spans="1:46" s="475" customFormat="1" ht="20.100000000000001" customHeight="1" x14ac:dyDescent="0.3">
      <c r="A34" s="469" t="s">
        <v>218</v>
      </c>
      <c r="B34" s="453"/>
      <c r="C34" s="451"/>
      <c r="D34" s="451"/>
      <c r="E34" s="453">
        <v>21072.681</v>
      </c>
      <c r="F34" s="451">
        <v>21553.93</v>
      </c>
      <c r="G34" s="451">
        <f t="shared" si="16"/>
        <v>2.2999999999999998</v>
      </c>
      <c r="H34" s="453"/>
      <c r="I34" s="451"/>
      <c r="J34" s="451"/>
      <c r="K34" s="453"/>
      <c r="L34" s="451">
        <v>908.45</v>
      </c>
      <c r="M34" s="444" t="str">
        <f t="shared" ref="M34" si="23">IF(K34=0, "    ---- ", IF(ABS(ROUND(100/K34*L34-100,1))&lt;999,ROUND(100/K34*L34-100,1),IF(ROUND(100/K34*L34-100,1)&gt;999,999,-999)))</f>
        <v xml:space="preserve">    ---- </v>
      </c>
      <c r="N34" s="453"/>
      <c r="O34" s="451"/>
      <c r="P34" s="336"/>
      <c r="Q34" s="453">
        <v>59376.594535429998</v>
      </c>
      <c r="R34" s="451">
        <v>63598.566075369999</v>
      </c>
      <c r="S34" s="336">
        <f>IF(Q34=0, "    ---- ", IF(ABS(ROUND(100/Q34*R34-100,1))&lt;999,ROUND(100/Q34*R34-100,1),IF(ROUND(100/Q34*R34-100,1)&gt;999,999,-999)))</f>
        <v>7.1</v>
      </c>
      <c r="T34" s="453">
        <v>195</v>
      </c>
      <c r="U34" s="451">
        <v>202.3</v>
      </c>
      <c r="V34" s="336">
        <f>IF(T34=0, "    ---- ", IF(ABS(ROUND(100/T34*U34-100,1))&lt;999,ROUND(100/T34*U34-100,1),IF(ROUND(100/T34*U34-100,1)&gt;999,999,-999)))</f>
        <v>3.7</v>
      </c>
      <c r="W34" s="453">
        <v>5260.26296714</v>
      </c>
      <c r="X34" s="451">
        <v>6436.7755403500005</v>
      </c>
      <c r="Y34" s="336">
        <f t="shared" si="17"/>
        <v>22.4</v>
      </c>
      <c r="Z34" s="453">
        <v>13844</v>
      </c>
      <c r="AA34" s="451">
        <f>8329+5489</f>
        <v>13818</v>
      </c>
      <c r="AB34" s="336">
        <f t="shared" ref="AB34:AB42" si="24">IF(Z34=0, "    ---- ", IF(ABS(ROUND(100/Z34*AA34-100,1))&lt;999,ROUND(100/Z34*AA34-100,1),IF(ROUND(100/Z34*AA34-100,1)&gt;999,999,-999)))</f>
        <v>-0.2</v>
      </c>
      <c r="AC34" s="453"/>
      <c r="AD34" s="451"/>
      <c r="AE34" s="336"/>
      <c r="AF34" s="453">
        <v>4051.509</v>
      </c>
      <c r="AG34" s="451">
        <v>3638.2130000000002</v>
      </c>
      <c r="AH34" s="336">
        <f t="shared" si="18"/>
        <v>-10.199999999999999</v>
      </c>
      <c r="AI34" s="453">
        <v>19532</v>
      </c>
      <c r="AJ34" s="451">
        <f>25919+529.4</f>
        <v>26448.400000000001</v>
      </c>
      <c r="AK34" s="336">
        <f t="shared" ref="AK34:AK91" si="25">IF(AI34=0, "    ---- ", IF(ABS(ROUND(100/AI34*AJ34-100,1))&lt;999,ROUND(100/AI34*AJ34-100,1),IF(ROUND(100/AI34*AJ34-100,1)&gt;999,999,-999)))</f>
        <v>35.4</v>
      </c>
      <c r="AL34" s="448">
        <f t="shared" si="19"/>
        <v>123332.04750257001</v>
      </c>
      <c r="AM34" s="448">
        <f t="shared" si="19"/>
        <v>136604.63461572002</v>
      </c>
      <c r="AN34" s="336">
        <f t="shared" si="20"/>
        <v>10.8</v>
      </c>
      <c r="AO34" s="448">
        <f t="shared" si="21"/>
        <v>123332.04750257001</v>
      </c>
      <c r="AP34" s="448">
        <f t="shared" si="21"/>
        <v>136604.63461572002</v>
      </c>
      <c r="AQ34" s="452">
        <f t="shared" si="22"/>
        <v>10.8</v>
      </c>
      <c r="AR34" s="502"/>
      <c r="AS34" s="502"/>
      <c r="AT34" s="506"/>
    </row>
    <row r="35" spans="1:46" s="475" customFormat="1" ht="20.100000000000001" customHeight="1" x14ac:dyDescent="0.3">
      <c r="A35" s="469" t="s">
        <v>219</v>
      </c>
      <c r="B35" s="453"/>
      <c r="C35" s="451"/>
      <c r="D35" s="451"/>
      <c r="E35" s="453">
        <f>SUM(E36+E38)</f>
        <v>110650.39600000001</v>
      </c>
      <c r="F35" s="451">
        <f>SUM(F36+F38)</f>
        <v>109543.978</v>
      </c>
      <c r="G35" s="451">
        <f t="shared" si="16"/>
        <v>-1</v>
      </c>
      <c r="H35" s="453">
        <f>SUM(H36+H38)</f>
        <v>158.14599999999999</v>
      </c>
      <c r="I35" s="451">
        <f>SUM(I36+I38)</f>
        <v>205.9</v>
      </c>
      <c r="J35" s="447">
        <f t="shared" ref="J35:J37" si="26">IF(H35=0, "    ---- ", IF(ABS(ROUND(100/H35*I35-100,1))&lt;999,ROUND(100/H35*I35-100,1),IF(ROUND(100/H35*I35-100,1)&gt;999,999,-999)))</f>
        <v>30.2</v>
      </c>
      <c r="K35" s="453">
        <f>SUM(K36+K38)</f>
        <v>4567</v>
      </c>
      <c r="L35" s="451">
        <f>SUM(L36+L38)</f>
        <v>4992.8739999999998</v>
      </c>
      <c r="M35" s="433">
        <f>IF(K35=0, "    ---- ", IF(ABS(ROUND(100/K35*L35-100,1))&lt;999,ROUND(100/K35*L35-100,1),IF(ROUND(100/K35*L35-100,1)&gt;999,999,-999)))</f>
        <v>9.3000000000000007</v>
      </c>
      <c r="N35" s="453"/>
      <c r="O35" s="451"/>
      <c r="P35" s="336"/>
      <c r="Q35" s="453">
        <f>SUM(Q36+Q38)</f>
        <v>189962.18838192002</v>
      </c>
      <c r="R35" s="451">
        <f>SUM(R36+R38)</f>
        <v>212595.62927291999</v>
      </c>
      <c r="S35" s="336">
        <f>IF(Q35=0, "    ---- ", IF(ABS(ROUND(100/Q35*R35-100,1))&lt;999,ROUND(100/Q35*R35-100,1),IF(ROUND(100/Q35*R35-100,1)&gt;999,999,-999)))</f>
        <v>11.9</v>
      </c>
      <c r="T35" s="453">
        <f>SUM(T36+T38)</f>
        <v>924.9</v>
      </c>
      <c r="U35" s="451">
        <f>SUM(U36+U38)</f>
        <v>1357.4</v>
      </c>
      <c r="V35" s="336">
        <f>IF(T35=0, "    ---- ", IF(ABS(ROUND(100/T35*U35-100,1))&lt;999,ROUND(100/T35*U35-100,1),IF(ROUND(100/T35*U35-100,1)&gt;999,999,-999)))</f>
        <v>46.8</v>
      </c>
      <c r="W35" s="453">
        <f>SUM(W36+W38)</f>
        <v>29516.143176769998</v>
      </c>
      <c r="X35" s="451">
        <f>SUM(X36+X38)</f>
        <v>31193.473594859901</v>
      </c>
      <c r="Y35" s="336">
        <f t="shared" si="17"/>
        <v>5.7</v>
      </c>
      <c r="Z35" s="453">
        <f>SUM(Z36+Z38)</f>
        <v>20668</v>
      </c>
      <c r="AA35" s="451">
        <f>SUM(AA36+AA38)</f>
        <v>22814</v>
      </c>
      <c r="AB35" s="336">
        <f t="shared" si="24"/>
        <v>10.4</v>
      </c>
      <c r="AC35" s="453"/>
      <c r="AD35" s="451"/>
      <c r="AE35" s="336"/>
      <c r="AF35" s="453">
        <f>SUM(AF36+AF38)</f>
        <v>8259.6470000000008</v>
      </c>
      <c r="AG35" s="451">
        <f>SUM(AG36+AG38)</f>
        <v>8580.6450000000004</v>
      </c>
      <c r="AH35" s="336">
        <f t="shared" si="18"/>
        <v>3.9</v>
      </c>
      <c r="AI35" s="453">
        <f>SUM(AI36+AI38)</f>
        <v>123154</v>
      </c>
      <c r="AJ35" s="451">
        <f>SUM(AJ36+AJ38)</f>
        <v>127838.39999999999</v>
      </c>
      <c r="AK35" s="336">
        <f t="shared" si="25"/>
        <v>3.8</v>
      </c>
      <c r="AL35" s="448">
        <f t="shared" si="19"/>
        <v>487860.42055869004</v>
      </c>
      <c r="AM35" s="448">
        <f t="shared" si="19"/>
        <v>519122.29986777995</v>
      </c>
      <c r="AN35" s="336">
        <f t="shared" si="20"/>
        <v>6.4</v>
      </c>
      <c r="AO35" s="448">
        <f t="shared" si="21"/>
        <v>487860.42055869004</v>
      </c>
      <c r="AP35" s="448">
        <f t="shared" si="21"/>
        <v>519122.29986777995</v>
      </c>
      <c r="AQ35" s="452">
        <f t="shared" si="22"/>
        <v>6.4</v>
      </c>
      <c r="AR35" s="502"/>
      <c r="AS35" s="502"/>
      <c r="AT35" s="506"/>
    </row>
    <row r="36" spans="1:46" s="475" customFormat="1" ht="20.100000000000001" customHeight="1" x14ac:dyDescent="0.3">
      <c r="A36" s="469" t="s">
        <v>220</v>
      </c>
      <c r="B36" s="453"/>
      <c r="C36" s="451"/>
      <c r="D36" s="336"/>
      <c r="E36" s="453">
        <v>73925.384000000005</v>
      </c>
      <c r="F36" s="451">
        <v>76334.095000000001</v>
      </c>
      <c r="G36" s="336">
        <f t="shared" si="16"/>
        <v>3.3</v>
      </c>
      <c r="H36" s="453">
        <v>158.14599999999999</v>
      </c>
      <c r="I36" s="451">
        <v>205.9</v>
      </c>
      <c r="J36" s="447">
        <f t="shared" si="26"/>
        <v>30.2</v>
      </c>
      <c r="K36" s="453">
        <v>31</v>
      </c>
      <c r="L36" s="451">
        <v>30.565000000000001</v>
      </c>
      <c r="M36" s="433">
        <f>IF(K36=0, "    ---- ", IF(ABS(ROUND(100/K36*L36-100,1))&lt;999,ROUND(100/K36*L36-100,1),IF(ROUND(100/K36*L36-100,1)&gt;999,999,-999)))</f>
        <v>-1.4</v>
      </c>
      <c r="N36" s="453"/>
      <c r="O36" s="451"/>
      <c r="P36" s="336"/>
      <c r="Q36" s="453">
        <v>23946.605281730001</v>
      </c>
      <c r="R36" s="451">
        <v>23722.348903090002</v>
      </c>
      <c r="S36" s="336">
        <f>IF(Q36=0, "    ---- ", IF(ABS(ROUND(100/Q36*R36-100,1))&lt;999,ROUND(100/Q36*R36-100,1),IF(ROUND(100/Q36*R36-100,1)&gt;999,999,-999)))</f>
        <v>-0.9</v>
      </c>
      <c r="T36" s="453">
        <v>71.5</v>
      </c>
      <c r="U36" s="451">
        <v>122.2</v>
      </c>
      <c r="V36" s="336">
        <f>IF(T36=0, "    ---- ", IF(ABS(ROUND(100/T36*U36-100,1))&lt;999,ROUND(100/T36*U36-100,1),IF(ROUND(100/T36*U36-100,1)&gt;999,999,-999)))</f>
        <v>70.900000000000006</v>
      </c>
      <c r="W36" s="453">
        <v>802.76421707000009</v>
      </c>
      <c r="X36" s="451">
        <v>789.52401641999995</v>
      </c>
      <c r="Y36" s="336">
        <f t="shared" si="17"/>
        <v>-1.6</v>
      </c>
      <c r="Z36" s="453">
        <v>1783</v>
      </c>
      <c r="AA36" s="451">
        <v>988</v>
      </c>
      <c r="AB36" s="336">
        <f t="shared" si="24"/>
        <v>-44.6</v>
      </c>
      <c r="AC36" s="453"/>
      <c r="AD36" s="451"/>
      <c r="AE36" s="336"/>
      <c r="AF36" s="453">
        <v>1429.4939999999999</v>
      </c>
      <c r="AG36" s="451">
        <v>1108.7090000000001</v>
      </c>
      <c r="AH36" s="336">
        <f t="shared" si="18"/>
        <v>-22.4</v>
      </c>
      <c r="AI36" s="453">
        <v>15128</v>
      </c>
      <c r="AJ36" s="451">
        <v>14403</v>
      </c>
      <c r="AK36" s="336">
        <f t="shared" si="25"/>
        <v>-4.8</v>
      </c>
      <c r="AL36" s="448">
        <f t="shared" si="19"/>
        <v>117275.89349880001</v>
      </c>
      <c r="AM36" s="448">
        <f t="shared" si="19"/>
        <v>117704.34191950999</v>
      </c>
      <c r="AN36" s="336">
        <f t="shared" si="20"/>
        <v>0.4</v>
      </c>
      <c r="AO36" s="448">
        <f t="shared" si="21"/>
        <v>117275.89349880001</v>
      </c>
      <c r="AP36" s="448">
        <f t="shared" si="21"/>
        <v>117704.34191950999</v>
      </c>
      <c r="AQ36" s="452">
        <f t="shared" si="22"/>
        <v>0.4</v>
      </c>
      <c r="AR36" s="502"/>
      <c r="AS36" s="502"/>
      <c r="AT36" s="506"/>
    </row>
    <row r="37" spans="1:46" s="475" customFormat="1" ht="20.100000000000001" customHeight="1" x14ac:dyDescent="0.3">
      <c r="A37" s="469" t="s">
        <v>203</v>
      </c>
      <c r="B37" s="453"/>
      <c r="C37" s="451"/>
      <c r="D37" s="451"/>
      <c r="E37" s="453">
        <v>73925.384000000005</v>
      </c>
      <c r="F37" s="451">
        <v>76334.095000000001</v>
      </c>
      <c r="G37" s="451">
        <f t="shared" si="16"/>
        <v>3.3</v>
      </c>
      <c r="H37" s="453">
        <v>158.14599999999999</v>
      </c>
      <c r="I37" s="451">
        <v>206.9</v>
      </c>
      <c r="J37" s="447">
        <f t="shared" si="26"/>
        <v>30.8</v>
      </c>
      <c r="K37" s="453">
        <v>31</v>
      </c>
      <c r="L37" s="451">
        <v>30.565000000000001</v>
      </c>
      <c r="M37" s="433">
        <f>IF(K37=0, "    ---- ", IF(ABS(ROUND(100/K37*L37-100,1))&lt;999,ROUND(100/K37*L37-100,1),IF(ROUND(100/K37*L37-100,1)&gt;999,999,-999)))</f>
        <v>-1.4</v>
      </c>
      <c r="N37" s="453"/>
      <c r="O37" s="451"/>
      <c r="P37" s="336"/>
      <c r="Q37" s="453">
        <v>23946.605281730001</v>
      </c>
      <c r="R37" s="451">
        <v>23722.348903090002</v>
      </c>
      <c r="S37" s="336">
        <f>IF(Q37=0, "    ---- ", IF(ABS(ROUND(100/Q37*R37-100,1))&lt;999,ROUND(100/Q37*R37-100,1),IF(ROUND(100/Q37*R37-100,1)&gt;999,999,-999)))</f>
        <v>-0.9</v>
      </c>
      <c r="T37" s="453"/>
      <c r="U37" s="451"/>
      <c r="V37" s="336"/>
      <c r="W37" s="453">
        <v>802.76421707000009</v>
      </c>
      <c r="X37" s="451">
        <v>789.52401641999995</v>
      </c>
      <c r="Y37" s="336">
        <f t="shared" si="17"/>
        <v>-1.6</v>
      </c>
      <c r="Z37" s="453"/>
      <c r="AA37" s="451"/>
      <c r="AB37" s="336"/>
      <c r="AC37" s="453"/>
      <c r="AD37" s="451"/>
      <c r="AE37" s="336"/>
      <c r="AF37" s="453">
        <v>180.97712267999984</v>
      </c>
      <c r="AG37" s="451">
        <v>180.98051559999806</v>
      </c>
      <c r="AH37" s="336">
        <f t="shared" si="18"/>
        <v>0</v>
      </c>
      <c r="AI37" s="453">
        <v>15128</v>
      </c>
      <c r="AJ37" s="451">
        <v>14403</v>
      </c>
      <c r="AK37" s="336">
        <f t="shared" si="25"/>
        <v>-4.8</v>
      </c>
      <c r="AL37" s="448">
        <f t="shared" si="19"/>
        <v>114172.87662148</v>
      </c>
      <c r="AM37" s="448">
        <f t="shared" si="19"/>
        <v>115667.41343510998</v>
      </c>
      <c r="AN37" s="336">
        <f t="shared" si="20"/>
        <v>1.3</v>
      </c>
      <c r="AO37" s="448">
        <f t="shared" si="21"/>
        <v>114172.87662148</v>
      </c>
      <c r="AP37" s="448">
        <f t="shared" si="21"/>
        <v>115667.41343510998</v>
      </c>
      <c r="AQ37" s="452">
        <f t="shared" si="22"/>
        <v>1.3</v>
      </c>
      <c r="AR37" s="502"/>
      <c r="AS37" s="502"/>
      <c r="AT37" s="506"/>
    </row>
    <row r="38" spans="1:46" s="475" customFormat="1" ht="20.100000000000001" customHeight="1" x14ac:dyDescent="0.3">
      <c r="A38" s="469" t="s">
        <v>221</v>
      </c>
      <c r="B38" s="453"/>
      <c r="C38" s="451"/>
      <c r="D38" s="451"/>
      <c r="E38" s="453">
        <v>36725.012000000002</v>
      </c>
      <c r="F38" s="451">
        <v>33209.883000000002</v>
      </c>
      <c r="G38" s="451">
        <f t="shared" si="16"/>
        <v>-9.6</v>
      </c>
      <c r="H38" s="453"/>
      <c r="I38" s="451"/>
      <c r="J38" s="451"/>
      <c r="K38" s="453">
        <v>4536</v>
      </c>
      <c r="L38" s="451">
        <v>4962.3090000000002</v>
      </c>
      <c r="M38" s="433">
        <f t="shared" ref="M38:M57" si="27">IF(K38=0, "    ---- ", IF(ABS(ROUND(100/K38*L38-100,1))&lt;999,ROUND(100/K38*L38-100,1),IF(ROUND(100/K38*L38-100,1)&gt;999,999,-999)))</f>
        <v>9.4</v>
      </c>
      <c r="N38" s="453"/>
      <c r="O38" s="451"/>
      <c r="P38" s="336"/>
      <c r="Q38" s="453">
        <v>166015.58310019001</v>
      </c>
      <c r="R38" s="451">
        <v>188873.28036983</v>
      </c>
      <c r="S38" s="336">
        <f t="shared" ref="S38:S45" si="28">IF(Q38=0, "    ---- ", IF(ABS(ROUND(100/Q38*R38-100,1))&lt;999,ROUND(100/Q38*R38-100,1),IF(ROUND(100/Q38*R38-100,1)&gt;999,999,-999)))</f>
        <v>13.8</v>
      </c>
      <c r="T38" s="453">
        <v>853.4</v>
      </c>
      <c r="U38" s="451">
        <v>1235.2</v>
      </c>
      <c r="V38" s="336">
        <f>IF(T38=0, "    ---- ", IF(ABS(ROUND(100/T38*U38-100,1))&lt;999,ROUND(100/T38*U38-100,1),IF(ROUND(100/T38*U38-100,1)&gt;999,999,-999)))</f>
        <v>44.7</v>
      </c>
      <c r="W38" s="453">
        <v>28713.3789597</v>
      </c>
      <c r="X38" s="451">
        <v>30403.949578439901</v>
      </c>
      <c r="Y38" s="336">
        <f t="shared" si="17"/>
        <v>5.9</v>
      </c>
      <c r="Z38" s="453">
        <v>18885</v>
      </c>
      <c r="AA38" s="451">
        <v>21826</v>
      </c>
      <c r="AB38" s="336">
        <f t="shared" si="24"/>
        <v>15.6</v>
      </c>
      <c r="AC38" s="453"/>
      <c r="AD38" s="451"/>
      <c r="AE38" s="336"/>
      <c r="AF38" s="453">
        <v>6830.1530000000002</v>
      </c>
      <c r="AG38" s="451">
        <v>7471.9359999999997</v>
      </c>
      <c r="AH38" s="336">
        <f t="shared" si="18"/>
        <v>9.4</v>
      </c>
      <c r="AI38" s="453">
        <v>108026</v>
      </c>
      <c r="AJ38" s="451">
        <f>86374+25270+1791.4</f>
        <v>113435.4</v>
      </c>
      <c r="AK38" s="336">
        <f t="shared" si="25"/>
        <v>5</v>
      </c>
      <c r="AL38" s="448">
        <f t="shared" si="19"/>
        <v>370584.52705989004</v>
      </c>
      <c r="AM38" s="448">
        <f t="shared" si="19"/>
        <v>401417.9579482699</v>
      </c>
      <c r="AN38" s="336">
        <f t="shared" si="20"/>
        <v>8.3000000000000007</v>
      </c>
      <c r="AO38" s="448">
        <f t="shared" si="21"/>
        <v>370584.52705989004</v>
      </c>
      <c r="AP38" s="448">
        <f t="shared" si="21"/>
        <v>401417.9579482699</v>
      </c>
      <c r="AQ38" s="452">
        <f t="shared" si="22"/>
        <v>8.3000000000000007</v>
      </c>
      <c r="AR38" s="502"/>
      <c r="AS38" s="502"/>
      <c r="AT38" s="506"/>
    </row>
    <row r="39" spans="1:46" s="475" customFormat="1" ht="20.100000000000001" customHeight="1" x14ac:dyDescent="0.3">
      <c r="A39" s="469" t="s">
        <v>222</v>
      </c>
      <c r="B39" s="453">
        <f>SUM(B40:B44)</f>
        <v>1023.333</v>
      </c>
      <c r="C39" s="451">
        <f>SUM(C40:C44)</f>
        <v>1144.7950000000001</v>
      </c>
      <c r="D39" s="451">
        <f>IF(B39=0, "    ---- ", IF(ABS(ROUND(100/B39*C39-100,1))&lt;999,ROUND(100/B39*C39-100,1),IF(ROUND(100/B39*C39-100,1)&gt;999,999,-999)))</f>
        <v>11.9</v>
      </c>
      <c r="E39" s="453">
        <f>SUM(E40:E44)</f>
        <v>77879.550999999992</v>
      </c>
      <c r="F39" s="451">
        <f>SUM(F40:F44)</f>
        <v>74163.459999999992</v>
      </c>
      <c r="G39" s="451">
        <f t="shared" si="16"/>
        <v>-4.8</v>
      </c>
      <c r="H39" s="453">
        <f>SUM(H40:H44)</f>
        <v>738.81900000000007</v>
      </c>
      <c r="I39" s="451">
        <f>SUM(I40:I44)</f>
        <v>817</v>
      </c>
      <c r="J39" s="451">
        <f t="shared" ref="J39:J46" si="29">IF(H39=0, "    ---- ", IF(ABS(ROUND(100/H39*I39-100,1))&lt;999,ROUND(100/H39*I39-100,1),IF(ROUND(100/H39*I39-100,1)&gt;999,999,-999)))</f>
        <v>10.6</v>
      </c>
      <c r="K39" s="453">
        <f>SUM(K40:K44)</f>
        <v>1433</v>
      </c>
      <c r="L39" s="451">
        <f>SUM(L40:L44)</f>
        <v>659.1049999999999</v>
      </c>
      <c r="M39" s="433">
        <f t="shared" si="27"/>
        <v>-54</v>
      </c>
      <c r="N39" s="453"/>
      <c r="O39" s="451"/>
      <c r="P39" s="336"/>
      <c r="Q39" s="453">
        <f>SUM(Q40:Q44)</f>
        <v>246268.47895876001</v>
      </c>
      <c r="R39" s="451">
        <f>SUM(R40:R44)</f>
        <v>239710.66199342997</v>
      </c>
      <c r="S39" s="336">
        <f t="shared" si="28"/>
        <v>-2.7</v>
      </c>
      <c r="T39" s="453">
        <f>SUM(T40:T44)</f>
        <v>499.5</v>
      </c>
      <c r="U39" s="451">
        <f>SUM(U40:U44)</f>
        <v>121.8</v>
      </c>
      <c r="V39" s="336">
        <f>IF(T39=0, "    ---- ", IF(ABS(ROUND(100/T39*U39-100,1))&lt;999,ROUND(100/T39*U39-100,1),IF(ROUND(100/T39*U39-100,1)&gt;999,999,-999)))</f>
        <v>-75.599999999999994</v>
      </c>
      <c r="W39" s="453">
        <f>SUM(W40:W44)</f>
        <v>15551.213178200003</v>
      </c>
      <c r="X39" s="451">
        <f>SUM(X40:X44)</f>
        <v>12973.156951860001</v>
      </c>
      <c r="Y39" s="336">
        <f t="shared" si="17"/>
        <v>-16.600000000000001</v>
      </c>
      <c r="Z39" s="453">
        <f>SUM(Z40:Z44)</f>
        <v>48287</v>
      </c>
      <c r="AA39" s="451">
        <f>SUM(AA40:AA44)</f>
        <v>49437</v>
      </c>
      <c r="AB39" s="336">
        <f t="shared" si="24"/>
        <v>2.4</v>
      </c>
      <c r="AC39" s="453"/>
      <c r="AD39" s="451"/>
      <c r="AE39" s="336"/>
      <c r="AF39" s="453">
        <f>SUM(AF40:AF44)</f>
        <v>10127.154999999999</v>
      </c>
      <c r="AG39" s="451">
        <f>SUM(AG40:AG44)</f>
        <v>10880.116</v>
      </c>
      <c r="AH39" s="336">
        <f t="shared" si="18"/>
        <v>7.4</v>
      </c>
      <c r="AI39" s="453">
        <f>SUM(AI40:AI44)</f>
        <v>44726</v>
      </c>
      <c r="AJ39" s="451">
        <f>SUM(AJ40:AJ44)</f>
        <v>32672</v>
      </c>
      <c r="AK39" s="336">
        <f t="shared" si="25"/>
        <v>-27</v>
      </c>
      <c r="AL39" s="448">
        <f t="shared" si="19"/>
        <v>446534.05013696</v>
      </c>
      <c r="AM39" s="448">
        <f t="shared" si="19"/>
        <v>422579.09494528995</v>
      </c>
      <c r="AN39" s="336">
        <f t="shared" si="20"/>
        <v>-5.4</v>
      </c>
      <c r="AO39" s="448">
        <f t="shared" si="21"/>
        <v>446534.05013696</v>
      </c>
      <c r="AP39" s="448">
        <f t="shared" si="21"/>
        <v>422579.09494528995</v>
      </c>
      <c r="AQ39" s="452">
        <f t="shared" si="22"/>
        <v>-5.4</v>
      </c>
      <c r="AR39" s="502"/>
      <c r="AS39" s="502"/>
      <c r="AT39" s="506"/>
    </row>
    <row r="40" spans="1:46" s="475" customFormat="1" ht="20.100000000000001" customHeight="1" x14ac:dyDescent="0.3">
      <c r="A40" s="469" t="s">
        <v>223</v>
      </c>
      <c r="B40" s="453">
        <v>30.372</v>
      </c>
      <c r="C40" s="451">
        <v>27.605</v>
      </c>
      <c r="D40" s="336">
        <f>IF(B40=0, "    ---- ", IF(ABS(ROUND(100/B40*C40-100,1))&lt;999,ROUND(100/B40*C40-100,1),IF(ROUND(100/B40*C40-100,1)&gt;999,999,-999)))</f>
        <v>-9.1</v>
      </c>
      <c r="E40" s="453">
        <v>16105.052</v>
      </c>
      <c r="F40" s="451">
        <v>18938.242999999999</v>
      </c>
      <c r="G40" s="336">
        <f t="shared" si="16"/>
        <v>17.600000000000001</v>
      </c>
      <c r="H40" s="453">
        <v>92.763999999999996</v>
      </c>
      <c r="I40" s="451">
        <v>108.2</v>
      </c>
      <c r="J40" s="336">
        <f t="shared" si="29"/>
        <v>16.600000000000001</v>
      </c>
      <c r="K40" s="453">
        <v>758</v>
      </c>
      <c r="L40" s="451">
        <v>0</v>
      </c>
      <c r="M40" s="444">
        <f t="shared" si="27"/>
        <v>-100</v>
      </c>
      <c r="N40" s="453"/>
      <c r="O40" s="451"/>
      <c r="P40" s="336"/>
      <c r="Q40" s="453">
        <v>112186.18341516001</v>
      </c>
      <c r="R40" s="451">
        <v>111007.08544047999</v>
      </c>
      <c r="S40" s="336">
        <f t="shared" si="28"/>
        <v>-1.1000000000000001</v>
      </c>
      <c r="T40" s="453">
        <v>75.099999999999994</v>
      </c>
      <c r="U40" s="451">
        <v>46</v>
      </c>
      <c r="V40" s="336">
        <f>IF(T40=0, "    ---- ", IF(ABS(ROUND(100/T40*U40-100,1))&lt;999,ROUND(100/T40*U40-100,1),IF(ROUND(100/T40*U40-100,1)&gt;999,999,-999)))</f>
        <v>-38.700000000000003</v>
      </c>
      <c r="W40" s="453">
        <v>5297.1790017100002</v>
      </c>
      <c r="X40" s="451">
        <v>4559.6922846400003</v>
      </c>
      <c r="Y40" s="336">
        <f t="shared" si="17"/>
        <v>-13.9</v>
      </c>
      <c r="Z40" s="453">
        <v>27239</v>
      </c>
      <c r="AA40" s="451">
        <v>28867</v>
      </c>
      <c r="AB40" s="336">
        <f t="shared" si="24"/>
        <v>6</v>
      </c>
      <c r="AC40" s="453"/>
      <c r="AD40" s="451"/>
      <c r="AE40" s="336"/>
      <c r="AF40" s="453">
        <v>3133.3110000000001</v>
      </c>
      <c r="AG40" s="451">
        <v>2540.9290000000001</v>
      </c>
      <c r="AH40" s="336">
        <f t="shared" si="18"/>
        <v>-18.899999999999999</v>
      </c>
      <c r="AI40" s="453">
        <v>14455</v>
      </c>
      <c r="AJ40" s="451">
        <v>6797</v>
      </c>
      <c r="AK40" s="336">
        <f t="shared" si="25"/>
        <v>-53</v>
      </c>
      <c r="AL40" s="448">
        <f t="shared" si="19"/>
        <v>179371.96141687001</v>
      </c>
      <c r="AM40" s="448">
        <f t="shared" si="19"/>
        <v>172891.75472512</v>
      </c>
      <c r="AN40" s="336">
        <f t="shared" si="20"/>
        <v>-3.6</v>
      </c>
      <c r="AO40" s="448">
        <f t="shared" si="21"/>
        <v>179371.96141687001</v>
      </c>
      <c r="AP40" s="448">
        <f t="shared" si="21"/>
        <v>172891.75472512</v>
      </c>
      <c r="AQ40" s="452">
        <f t="shared" si="22"/>
        <v>-3.6</v>
      </c>
      <c r="AR40" s="502"/>
      <c r="AS40" s="502"/>
      <c r="AT40" s="506"/>
    </row>
    <row r="41" spans="1:46" s="475" customFormat="1" ht="20.100000000000001" customHeight="1" x14ac:dyDescent="0.3">
      <c r="A41" s="469" t="s">
        <v>224</v>
      </c>
      <c r="B41" s="453">
        <v>938.03399999999999</v>
      </c>
      <c r="C41" s="451">
        <v>1028.9549999999999</v>
      </c>
      <c r="D41" s="451">
        <f>IF(B41=0, "    ---- ", IF(ABS(ROUND(100/B41*C41-100,1))&lt;999,ROUND(100/B41*C41-100,1),IF(ROUND(100/B41*C41-100,1)&gt;999,999,-999)))</f>
        <v>9.6999999999999993</v>
      </c>
      <c r="E41" s="453">
        <v>56922.69</v>
      </c>
      <c r="F41" s="451">
        <v>51386.002999999997</v>
      </c>
      <c r="G41" s="451">
        <f t="shared" si="16"/>
        <v>-9.6999999999999993</v>
      </c>
      <c r="H41" s="453">
        <v>545.70500000000004</v>
      </c>
      <c r="I41" s="451">
        <v>594.79999999999995</v>
      </c>
      <c r="J41" s="451">
        <f>IF(H41=0, "    ---- ", IF(ABS(ROUND(100/H41*I41-100,1))&lt;999,ROUND(100/H41*I41-100,1),IF(ROUND(100/H41*I41-100,1)&gt;999,999,-999)))</f>
        <v>9</v>
      </c>
      <c r="K41" s="453">
        <v>615</v>
      </c>
      <c r="L41" s="451">
        <v>612.48299999999995</v>
      </c>
      <c r="M41" s="433">
        <f t="shared" si="27"/>
        <v>-0.4</v>
      </c>
      <c r="N41" s="453"/>
      <c r="O41" s="451"/>
      <c r="P41" s="336"/>
      <c r="Q41" s="453">
        <v>125232.88915131</v>
      </c>
      <c r="R41" s="451">
        <v>122064.41095269</v>
      </c>
      <c r="S41" s="336">
        <f t="shared" si="28"/>
        <v>-2.5</v>
      </c>
      <c r="T41" s="453">
        <v>411.8</v>
      </c>
      <c r="U41" s="451">
        <v>62.6</v>
      </c>
      <c r="V41" s="336">
        <f>IF(T41=0, "    ---- ", IF(ABS(ROUND(100/T41*U41-100,1))&lt;999,ROUND(100/T41*U41-100,1),IF(ROUND(100/T41*U41-100,1)&gt;999,999,-999)))</f>
        <v>-84.8</v>
      </c>
      <c r="W41" s="453">
        <v>9903.3560857700013</v>
      </c>
      <c r="X41" s="451">
        <v>7902.2185951199999</v>
      </c>
      <c r="Y41" s="336">
        <f t="shared" si="17"/>
        <v>-20.2</v>
      </c>
      <c r="Z41" s="453">
        <v>18295</v>
      </c>
      <c r="AA41" s="451">
        <v>18369</v>
      </c>
      <c r="AB41" s="336">
        <f t="shared" si="24"/>
        <v>0.4</v>
      </c>
      <c r="AC41" s="453"/>
      <c r="AD41" s="451"/>
      <c r="AE41" s="336"/>
      <c r="AF41" s="453">
        <v>6975.7330000000002</v>
      </c>
      <c r="AG41" s="451">
        <v>7940.9759999999997</v>
      </c>
      <c r="AH41" s="336">
        <f t="shared" si="18"/>
        <v>13.8</v>
      </c>
      <c r="AI41" s="453">
        <v>30050</v>
      </c>
      <c r="AJ41" s="451">
        <v>25166</v>
      </c>
      <c r="AK41" s="336">
        <f t="shared" si="25"/>
        <v>-16.3</v>
      </c>
      <c r="AL41" s="448">
        <f t="shared" si="19"/>
        <v>249890.20723708</v>
      </c>
      <c r="AM41" s="448">
        <f t="shared" si="19"/>
        <v>235127.44654781002</v>
      </c>
      <c r="AN41" s="336">
        <f t="shared" si="20"/>
        <v>-5.9</v>
      </c>
      <c r="AO41" s="448">
        <f t="shared" si="21"/>
        <v>249890.20723708</v>
      </c>
      <c r="AP41" s="448">
        <f t="shared" si="21"/>
        <v>235127.44654781002</v>
      </c>
      <c r="AQ41" s="452">
        <f t="shared" si="22"/>
        <v>-5.9</v>
      </c>
      <c r="AR41" s="502"/>
      <c r="AS41" s="502"/>
      <c r="AT41" s="506"/>
    </row>
    <row r="42" spans="1:46" s="475" customFormat="1" ht="20.100000000000001" customHeight="1" x14ac:dyDescent="0.3">
      <c r="A42" s="469" t="s">
        <v>225</v>
      </c>
      <c r="B42" s="453"/>
      <c r="C42" s="451"/>
      <c r="D42" s="451"/>
      <c r="E42" s="453">
        <v>3991.3339999999998</v>
      </c>
      <c r="F42" s="451">
        <v>2940.8580000000002</v>
      </c>
      <c r="G42" s="451">
        <f t="shared" si="16"/>
        <v>-26.3</v>
      </c>
      <c r="H42" s="453"/>
      <c r="I42" s="451"/>
      <c r="J42" s="451"/>
      <c r="K42" s="453"/>
      <c r="L42" s="451"/>
      <c r="M42" s="433"/>
      <c r="N42" s="453"/>
      <c r="O42" s="451"/>
      <c r="P42" s="336"/>
      <c r="Q42" s="453">
        <v>7568.71565293</v>
      </c>
      <c r="R42" s="451">
        <v>6284.2883143299996</v>
      </c>
      <c r="S42" s="336">
        <f t="shared" si="28"/>
        <v>-17</v>
      </c>
      <c r="T42" s="453">
        <v>12.6</v>
      </c>
      <c r="U42" s="451">
        <v>13.2</v>
      </c>
      <c r="V42" s="336">
        <f>IF(T42=0, "    ---- ", IF(ABS(ROUND(100/T42*U42-100,1))&lt;999,ROUND(100/T42*U42-100,1),IF(ROUND(100/T42*U42-100,1)&gt;999,999,-999)))</f>
        <v>4.8</v>
      </c>
      <c r="W42" s="453"/>
      <c r="X42" s="451">
        <v>0</v>
      </c>
      <c r="Y42" s="336" t="str">
        <f t="shared" si="17"/>
        <v xml:space="preserve">    ---- </v>
      </c>
      <c r="Z42" s="453">
        <v>54</v>
      </c>
      <c r="AA42" s="451">
        <v>54</v>
      </c>
      <c r="AB42" s="336">
        <f t="shared" si="24"/>
        <v>0</v>
      </c>
      <c r="AC42" s="453"/>
      <c r="AD42" s="451"/>
      <c r="AE42" s="336"/>
      <c r="AF42" s="453"/>
      <c r="AG42" s="451"/>
      <c r="AH42" s="447"/>
      <c r="AI42" s="453"/>
      <c r="AJ42" s="451"/>
      <c r="AK42" s="336"/>
      <c r="AL42" s="448">
        <f t="shared" si="19"/>
        <v>11626.64965293</v>
      </c>
      <c r="AM42" s="448">
        <f t="shared" si="19"/>
        <v>9292.3463143299996</v>
      </c>
      <c r="AN42" s="336">
        <f t="shared" si="20"/>
        <v>-20.100000000000001</v>
      </c>
      <c r="AO42" s="448">
        <f t="shared" si="21"/>
        <v>11626.64965293</v>
      </c>
      <c r="AP42" s="448">
        <f t="shared" si="21"/>
        <v>9292.3463143299996</v>
      </c>
      <c r="AQ42" s="452">
        <f t="shared" si="22"/>
        <v>-20.100000000000001</v>
      </c>
      <c r="AR42" s="502"/>
      <c r="AS42" s="502"/>
      <c r="AT42" s="506"/>
    </row>
    <row r="43" spans="1:46" s="475" customFormat="1" ht="20.100000000000001" customHeight="1" x14ac:dyDescent="0.3">
      <c r="A43" s="469" t="s">
        <v>226</v>
      </c>
      <c r="B43" s="453">
        <v>0.66</v>
      </c>
      <c r="C43" s="451">
        <v>0.33400000000000002</v>
      </c>
      <c r="D43" s="451">
        <f>IF(B43=0, "    ---- ", IF(ABS(ROUND(100/B43*C43-100,1))&lt;999,ROUND(100/B43*C43-100,1),IF(ROUND(100/B43*C43-100,1)&gt;999,999,-999)))</f>
        <v>-49.4</v>
      </c>
      <c r="E43" s="453">
        <v>53.325000000000003</v>
      </c>
      <c r="F43" s="451">
        <v>29.157</v>
      </c>
      <c r="G43" s="451">
        <f t="shared" si="16"/>
        <v>-45.3</v>
      </c>
      <c r="H43" s="453"/>
      <c r="I43" s="451"/>
      <c r="J43" s="451"/>
      <c r="K43" s="453"/>
      <c r="L43" s="451"/>
      <c r="M43" s="433"/>
      <c r="N43" s="453"/>
      <c r="O43" s="451"/>
      <c r="P43" s="336"/>
      <c r="Q43" s="453">
        <v>567.35315625999999</v>
      </c>
      <c r="R43" s="451">
        <v>125.55338727</v>
      </c>
      <c r="S43" s="336">
        <f t="shared" si="28"/>
        <v>-77.900000000000006</v>
      </c>
      <c r="T43" s="453"/>
      <c r="U43" s="451"/>
      <c r="V43" s="336"/>
      <c r="W43" s="453">
        <v>152.76247212000001</v>
      </c>
      <c r="X43" s="451">
        <v>12.088737589999999</v>
      </c>
      <c r="Y43" s="336">
        <f t="shared" si="17"/>
        <v>-92.1</v>
      </c>
      <c r="Z43" s="453"/>
      <c r="AA43" s="451"/>
      <c r="AB43" s="336"/>
      <c r="AC43" s="453"/>
      <c r="AD43" s="451"/>
      <c r="AE43" s="336"/>
      <c r="AF43" s="453">
        <v>28.559000000000001</v>
      </c>
      <c r="AG43" s="451">
        <v>2.8969999999999998</v>
      </c>
      <c r="AH43" s="336">
        <f t="shared" si="18"/>
        <v>-89.9</v>
      </c>
      <c r="AI43" s="453">
        <v>221</v>
      </c>
      <c r="AJ43" s="451">
        <v>709</v>
      </c>
      <c r="AK43" s="336">
        <f t="shared" si="25"/>
        <v>220.8</v>
      </c>
      <c r="AL43" s="448">
        <f t="shared" si="19"/>
        <v>1023.65962838</v>
      </c>
      <c r="AM43" s="448">
        <f t="shared" si="19"/>
        <v>879.03012486</v>
      </c>
      <c r="AN43" s="336">
        <f t="shared" si="20"/>
        <v>-14.1</v>
      </c>
      <c r="AO43" s="448">
        <f t="shared" si="21"/>
        <v>1023.65962838</v>
      </c>
      <c r="AP43" s="448">
        <f t="shared" si="21"/>
        <v>879.03012486</v>
      </c>
      <c r="AQ43" s="452">
        <f t="shared" si="22"/>
        <v>-14.1</v>
      </c>
      <c r="AR43" s="502"/>
      <c r="AS43" s="502"/>
      <c r="AT43" s="506"/>
    </row>
    <row r="44" spans="1:46" s="475" customFormat="1" ht="20.100000000000001" customHeight="1" x14ac:dyDescent="0.3">
      <c r="A44" s="469" t="s">
        <v>227</v>
      </c>
      <c r="B44" s="453">
        <v>54.267000000000003</v>
      </c>
      <c r="C44" s="451">
        <v>87.900999999999996</v>
      </c>
      <c r="D44" s="451">
        <f>IF(B44=0, "    ---- ", IF(ABS(ROUND(100/B44*C44-100,1))&lt;999,ROUND(100/B44*C44-100,1),IF(ROUND(100/B44*C44-100,1)&gt;999,999,-999)))</f>
        <v>62</v>
      </c>
      <c r="E44" s="453">
        <v>807.15</v>
      </c>
      <c r="F44" s="451">
        <v>869.19899999999996</v>
      </c>
      <c r="G44" s="451">
        <f t="shared" si="16"/>
        <v>7.7</v>
      </c>
      <c r="H44" s="453">
        <v>100.35</v>
      </c>
      <c r="I44" s="451">
        <v>114</v>
      </c>
      <c r="J44" s="451">
        <f t="shared" si="29"/>
        <v>13.6</v>
      </c>
      <c r="K44" s="453">
        <v>60</v>
      </c>
      <c r="L44" s="451">
        <v>46.622</v>
      </c>
      <c r="M44" s="433">
        <f t="shared" si="27"/>
        <v>-22.3</v>
      </c>
      <c r="N44" s="453"/>
      <c r="O44" s="451"/>
      <c r="P44" s="336"/>
      <c r="Q44" s="453">
        <v>713.33758310000007</v>
      </c>
      <c r="R44" s="451">
        <v>229.32389866</v>
      </c>
      <c r="S44" s="336">
        <f t="shared" si="28"/>
        <v>-67.900000000000006</v>
      </c>
      <c r="T44" s="453"/>
      <c r="U44" s="451"/>
      <c r="V44" s="336"/>
      <c r="W44" s="453">
        <v>197.91561859999999</v>
      </c>
      <c r="X44" s="451">
        <v>499.15733451</v>
      </c>
      <c r="Y44" s="336">
        <f t="shared" si="17"/>
        <v>152.19999999999999</v>
      </c>
      <c r="Z44" s="453">
        <v>2699</v>
      </c>
      <c r="AA44" s="451">
        <v>2147</v>
      </c>
      <c r="AB44" s="336">
        <f>IF(Z44=0, "    ---- ", IF(ABS(ROUND(100/Z44*AA44-100,1))&lt;999,ROUND(100/Z44*AA44-100,1),IF(ROUND(100/Z44*AA44-100,1)&gt;999,999,-999)))</f>
        <v>-20.5</v>
      </c>
      <c r="AC44" s="453"/>
      <c r="AD44" s="451"/>
      <c r="AE44" s="336"/>
      <c r="AF44" s="453">
        <v>-10.448</v>
      </c>
      <c r="AG44" s="451">
        <v>395.31400000000002</v>
      </c>
      <c r="AH44" s="336">
        <f t="shared" si="18"/>
        <v>-999</v>
      </c>
      <c r="AI44" s="453"/>
      <c r="AJ44" s="451"/>
      <c r="AK44" s="336"/>
      <c r="AL44" s="448">
        <f t="shared" si="19"/>
        <v>4621.5722016999998</v>
      </c>
      <c r="AM44" s="448">
        <f t="shared" si="19"/>
        <v>4388.5172331700005</v>
      </c>
      <c r="AN44" s="336">
        <f t="shared" si="20"/>
        <v>-5</v>
      </c>
      <c r="AO44" s="448">
        <f t="shared" si="21"/>
        <v>4621.5722016999998</v>
      </c>
      <c r="AP44" s="448">
        <f t="shared" si="21"/>
        <v>4388.5172331700005</v>
      </c>
      <c r="AQ44" s="452">
        <f t="shared" si="22"/>
        <v>-5</v>
      </c>
      <c r="AR44" s="502"/>
      <c r="AS44" s="502"/>
      <c r="AT44" s="506"/>
    </row>
    <row r="45" spans="1:46" s="475" customFormat="1" ht="20.100000000000001" customHeight="1" x14ac:dyDescent="0.3">
      <c r="A45" s="470" t="s">
        <v>228</v>
      </c>
      <c r="B45" s="453">
        <f>SUM(B33+B34+B35+B39)</f>
        <v>1023.333</v>
      </c>
      <c r="C45" s="451">
        <f>SUM(C33+C34+C35+C39)</f>
        <v>1144.7950000000001</v>
      </c>
      <c r="D45" s="336">
        <f>IF(B45=0, "    ---- ", IF(ABS(ROUND(100/B45*C45-100,1))&lt;999,ROUND(100/B45*C45-100,1),IF(ROUND(100/B45*C45-100,1)&gt;999,999,-999)))</f>
        <v>11.9</v>
      </c>
      <c r="E45" s="453">
        <f>SUM(E33+E34+E35+E39)</f>
        <v>209636.21000000002</v>
      </c>
      <c r="F45" s="451">
        <f>SUM(F33+F34+F35+F39)</f>
        <v>205294.81</v>
      </c>
      <c r="G45" s="336">
        <f t="shared" si="16"/>
        <v>-2.1</v>
      </c>
      <c r="H45" s="453">
        <f>SUM(H33+H34+H35+H39)</f>
        <v>896.96500000000003</v>
      </c>
      <c r="I45" s="451">
        <f>SUM(I33+I34+I35+I39)</f>
        <v>1022.9</v>
      </c>
      <c r="J45" s="336">
        <f t="shared" si="29"/>
        <v>14</v>
      </c>
      <c r="K45" s="453">
        <f>SUM(K33+K34+K35+K39)</f>
        <v>6000</v>
      </c>
      <c r="L45" s="451">
        <f>SUM(L33+L34+L35+L39)</f>
        <v>6560.4289999999992</v>
      </c>
      <c r="M45" s="433">
        <f t="shared" si="27"/>
        <v>9.3000000000000007</v>
      </c>
      <c r="N45" s="453"/>
      <c r="O45" s="451"/>
      <c r="P45" s="336"/>
      <c r="Q45" s="453">
        <f>SUM(Q33+Q34+Q35+Q39)</f>
        <v>495607.26187610999</v>
      </c>
      <c r="R45" s="451">
        <f>SUM(R33+R34+R35+R39)</f>
        <v>515904.85734171991</v>
      </c>
      <c r="S45" s="336">
        <f t="shared" si="28"/>
        <v>4.0999999999999996</v>
      </c>
      <c r="T45" s="453">
        <f>SUM(T33+T34+T35+T39)</f>
        <v>1619.4</v>
      </c>
      <c r="U45" s="451">
        <f>SUM(U33+U34+U35+U39)</f>
        <v>1681.5</v>
      </c>
      <c r="V45" s="336">
        <f>IF(T45=0, "    ---- ", IF(ABS(ROUND(100/T45*U45-100,1))&lt;999,ROUND(100/T45*U45-100,1),IF(ROUND(100/T45*U45-100,1)&gt;999,999,-999)))</f>
        <v>3.8</v>
      </c>
      <c r="W45" s="453">
        <f>SUM(W33+W34+W35+W39)</f>
        <v>50327.619324080006</v>
      </c>
      <c r="X45" s="451">
        <f>SUM(X33+X34+X35+X39)</f>
        <v>50603.406089039905</v>
      </c>
      <c r="Y45" s="336">
        <f t="shared" si="17"/>
        <v>0.5</v>
      </c>
      <c r="Z45" s="453">
        <f>SUM(Z33+Z34+Z35+Z39)</f>
        <v>82799</v>
      </c>
      <c r="AA45" s="451">
        <f>SUM(AA33+AA34+AA35+AA39)</f>
        <v>86069</v>
      </c>
      <c r="AB45" s="336">
        <f>IF(Z45=0, "    ---- ", IF(ABS(ROUND(100/Z45*AA45-100,1))&lt;999,ROUND(100/Z45*AA45-100,1),IF(ROUND(100/Z45*AA45-100,1)&gt;999,999,-999)))</f>
        <v>3.9</v>
      </c>
      <c r="AC45" s="453"/>
      <c r="AD45" s="451"/>
      <c r="AE45" s="336"/>
      <c r="AF45" s="453">
        <f>SUM(AF33+AF34+AF35+AF39)</f>
        <v>22439.292000000001</v>
      </c>
      <c r="AG45" s="451">
        <f>SUM(AG33+AG34+AG35+AG39)</f>
        <v>23098.974000000002</v>
      </c>
      <c r="AH45" s="336">
        <f t="shared" si="18"/>
        <v>2.9</v>
      </c>
      <c r="AI45" s="453">
        <f>SUM(AI33+AI34+AI35+AI39)</f>
        <v>187412</v>
      </c>
      <c r="AJ45" s="451">
        <f>SUM(AJ33+AJ34+AJ35+AJ39)</f>
        <v>186958.8</v>
      </c>
      <c r="AK45" s="336">
        <f t="shared" si="25"/>
        <v>-0.2</v>
      </c>
      <c r="AL45" s="448">
        <f t="shared" si="19"/>
        <v>1057761.0812001899</v>
      </c>
      <c r="AM45" s="448">
        <f t="shared" si="19"/>
        <v>1078339.4714307599</v>
      </c>
      <c r="AN45" s="336">
        <f t="shared" si="20"/>
        <v>1.9</v>
      </c>
      <c r="AO45" s="448">
        <f t="shared" si="21"/>
        <v>1057761.0812001899</v>
      </c>
      <c r="AP45" s="448">
        <f t="shared" si="21"/>
        <v>1078339.4714307599</v>
      </c>
      <c r="AQ45" s="452">
        <f t="shared" si="22"/>
        <v>1.9</v>
      </c>
      <c r="AR45" s="502"/>
      <c r="AS45" s="502"/>
      <c r="AT45" s="506"/>
    </row>
    <row r="46" spans="1:46" s="475" customFormat="1" ht="20.100000000000001" customHeight="1" x14ac:dyDescent="0.3">
      <c r="A46" s="467" t="s">
        <v>345</v>
      </c>
      <c r="B46" s="453">
        <v>125.00700000000001</v>
      </c>
      <c r="C46" s="451">
        <v>146.20699999999999</v>
      </c>
      <c r="D46" s="336">
        <f>IF(B46=0, "    ---- ", IF(ABS(ROUND(100/B46*C46-100,1))&lt;999,ROUND(100/B46*C46-100,1),IF(ROUND(100/B46*C46-100,1)&gt;999,999,-999)))</f>
        <v>17</v>
      </c>
      <c r="E46" s="453"/>
      <c r="F46" s="451">
        <v>241.40600000000001</v>
      </c>
      <c r="G46" s="451" t="str">
        <f t="shared" si="16"/>
        <v xml:space="preserve">    ---- </v>
      </c>
      <c r="H46" s="453">
        <v>104.52200000000001</v>
      </c>
      <c r="I46" s="451">
        <v>119.6</v>
      </c>
      <c r="J46" s="336">
        <f t="shared" si="29"/>
        <v>14.4</v>
      </c>
      <c r="K46" s="453">
        <v>23</v>
      </c>
      <c r="L46" s="451">
        <v>385.28</v>
      </c>
      <c r="M46" s="433">
        <f t="shared" si="27"/>
        <v>999</v>
      </c>
      <c r="N46" s="453"/>
      <c r="O46" s="451"/>
      <c r="P46" s="336"/>
      <c r="Q46" s="453"/>
      <c r="R46" s="451"/>
      <c r="S46" s="336"/>
      <c r="T46" s="453"/>
      <c r="U46" s="451"/>
      <c r="V46" s="336"/>
      <c r="W46" s="453">
        <v>94.62</v>
      </c>
      <c r="X46" s="451">
        <v>49.87</v>
      </c>
      <c r="Y46" s="336">
        <f t="shared" si="17"/>
        <v>-47.3</v>
      </c>
      <c r="Z46" s="453"/>
      <c r="AA46" s="451"/>
      <c r="AB46" s="336"/>
      <c r="AC46" s="453"/>
      <c r="AD46" s="451"/>
      <c r="AE46" s="336"/>
      <c r="AF46" s="453">
        <v>443.4</v>
      </c>
      <c r="AG46" s="451">
        <v>451.72300000000001</v>
      </c>
      <c r="AH46" s="336">
        <f t="shared" si="18"/>
        <v>1.9</v>
      </c>
      <c r="AI46" s="453">
        <v>63</v>
      </c>
      <c r="AJ46" s="451">
        <v>48</v>
      </c>
      <c r="AK46" s="336">
        <f t="shared" si="25"/>
        <v>-23.8</v>
      </c>
      <c r="AL46" s="448">
        <f t="shared" si="19"/>
        <v>853.54899999999998</v>
      </c>
      <c r="AM46" s="448">
        <f t="shared" si="19"/>
        <v>1442.086</v>
      </c>
      <c r="AN46" s="336">
        <f t="shared" si="20"/>
        <v>69</v>
      </c>
      <c r="AO46" s="448">
        <f t="shared" si="21"/>
        <v>853.54899999999998</v>
      </c>
      <c r="AP46" s="448">
        <f t="shared" si="21"/>
        <v>1442.086</v>
      </c>
      <c r="AQ46" s="452">
        <f t="shared" si="22"/>
        <v>69</v>
      </c>
      <c r="AR46" s="502"/>
      <c r="AS46" s="502"/>
      <c r="AT46" s="506"/>
    </row>
    <row r="47" spans="1:46" s="475" customFormat="1" ht="20.100000000000001" customHeight="1" x14ac:dyDescent="0.3">
      <c r="A47" s="467" t="s">
        <v>229</v>
      </c>
      <c r="B47" s="453"/>
      <c r="C47" s="451"/>
      <c r="D47" s="451"/>
      <c r="E47" s="453"/>
      <c r="F47" s="451"/>
      <c r="G47" s="451"/>
      <c r="H47" s="453"/>
      <c r="I47" s="451"/>
      <c r="J47" s="451"/>
      <c r="K47" s="453"/>
      <c r="L47" s="451"/>
      <c r="M47" s="433"/>
      <c r="N47" s="453"/>
      <c r="O47" s="451"/>
      <c r="P47" s="336"/>
      <c r="Q47" s="453"/>
      <c r="R47" s="451"/>
      <c r="S47" s="336"/>
      <c r="T47" s="453"/>
      <c r="U47" s="451"/>
      <c r="V47" s="336"/>
      <c r="W47" s="453"/>
      <c r="X47" s="451"/>
      <c r="Y47" s="336"/>
      <c r="Z47" s="453"/>
      <c r="AA47" s="451"/>
      <c r="AB47" s="336"/>
      <c r="AC47" s="453"/>
      <c r="AD47" s="451"/>
      <c r="AE47" s="336"/>
      <c r="AF47" s="453"/>
      <c r="AG47" s="451"/>
      <c r="AH47" s="336"/>
      <c r="AI47" s="453"/>
      <c r="AJ47" s="451"/>
      <c r="AK47" s="336"/>
      <c r="AL47" s="436"/>
      <c r="AM47" s="436"/>
      <c r="AN47" s="336"/>
      <c r="AO47" s="436"/>
      <c r="AP47" s="436"/>
      <c r="AQ47" s="452"/>
      <c r="AR47" s="502"/>
      <c r="AS47" s="502"/>
      <c r="AT47" s="506"/>
    </row>
    <row r="48" spans="1:46" s="475" customFormat="1" ht="20.100000000000001" customHeight="1" x14ac:dyDescent="0.3">
      <c r="A48" s="469" t="s">
        <v>230</v>
      </c>
      <c r="B48" s="453"/>
      <c r="C48" s="451"/>
      <c r="D48" s="451"/>
      <c r="E48" s="453"/>
      <c r="F48" s="451"/>
      <c r="G48" s="451"/>
      <c r="H48" s="453"/>
      <c r="I48" s="451"/>
      <c r="J48" s="451"/>
      <c r="K48" s="453"/>
      <c r="L48" s="451"/>
      <c r="M48" s="433"/>
      <c r="N48" s="453"/>
      <c r="O48" s="451"/>
      <c r="P48" s="336"/>
      <c r="Q48" s="453"/>
      <c r="R48" s="451"/>
      <c r="S48" s="336"/>
      <c r="T48" s="453"/>
      <c r="U48" s="451"/>
      <c r="V48" s="336"/>
      <c r="W48" s="453"/>
      <c r="X48" s="451">
        <v>0</v>
      </c>
      <c r="Y48" s="336"/>
      <c r="Z48" s="453"/>
      <c r="AA48" s="451"/>
      <c r="AB48" s="336"/>
      <c r="AC48" s="453"/>
      <c r="AD48" s="451"/>
      <c r="AE48" s="336"/>
      <c r="AF48" s="453"/>
      <c r="AG48" s="451"/>
      <c r="AH48" s="336"/>
      <c r="AI48" s="453"/>
      <c r="AJ48" s="451"/>
      <c r="AK48" s="336"/>
      <c r="AL48" s="448">
        <f t="shared" ref="AL48:AM62" si="30">B48+E48+H48+K48+Q48+T48+W48+Z48+AF48+AI48</f>
        <v>0</v>
      </c>
      <c r="AM48" s="448">
        <f t="shared" si="30"/>
        <v>0</v>
      </c>
      <c r="AN48" s="336" t="str">
        <f t="shared" si="20"/>
        <v xml:space="preserve">    ---- </v>
      </c>
      <c r="AO48" s="448">
        <f t="shared" ref="AO48:AP62" si="31">B48+E48+H48+K48+N48+Q48+T48+W48+Z48+AC48+AF48+AI48</f>
        <v>0</v>
      </c>
      <c r="AP48" s="448">
        <f t="shared" si="31"/>
        <v>0</v>
      </c>
      <c r="AQ48" s="452" t="str">
        <f t="shared" si="22"/>
        <v xml:space="preserve">    ---- </v>
      </c>
      <c r="AR48" s="502"/>
      <c r="AS48" s="502"/>
      <c r="AT48" s="506"/>
    </row>
    <row r="49" spans="1:46" s="475" customFormat="1" ht="20.100000000000001" customHeight="1" x14ac:dyDescent="0.3">
      <c r="A49" s="469" t="s">
        <v>231</v>
      </c>
      <c r="B49" s="453"/>
      <c r="C49" s="451"/>
      <c r="D49" s="451"/>
      <c r="E49" s="453"/>
      <c r="F49" s="451"/>
      <c r="G49" s="451"/>
      <c r="H49" s="453"/>
      <c r="I49" s="451"/>
      <c r="J49" s="451"/>
      <c r="K49" s="453"/>
      <c r="L49" s="451">
        <v>815.69799999999998</v>
      </c>
      <c r="M49" s="433" t="str">
        <f t="shared" si="27"/>
        <v xml:space="preserve">    ---- </v>
      </c>
      <c r="N49" s="453"/>
      <c r="O49" s="451"/>
      <c r="P49" s="336"/>
      <c r="Q49" s="453">
        <v>289.61675788000002</v>
      </c>
      <c r="R49" s="451">
        <v>306.71543988000002</v>
      </c>
      <c r="S49" s="336">
        <f t="shared" ref="S49:S60" si="32">IF(Q49=0, "    ---- ", IF(ABS(ROUND(100/Q49*R49-100,1))&lt;999,ROUND(100/Q49*R49-100,1),IF(ROUND(100/Q49*R49-100,1)&gt;999,999,-999)))</f>
        <v>5.9</v>
      </c>
      <c r="T49" s="453"/>
      <c r="U49" s="451"/>
      <c r="V49" s="336"/>
      <c r="W49" s="453"/>
      <c r="X49" s="451"/>
      <c r="Y49" s="336"/>
      <c r="Z49" s="453"/>
      <c r="AA49" s="451"/>
      <c r="AB49" s="336"/>
      <c r="AC49" s="453"/>
      <c r="AD49" s="451"/>
      <c r="AE49" s="336"/>
      <c r="AF49" s="453"/>
      <c r="AG49" s="451"/>
      <c r="AH49" s="336"/>
      <c r="AI49" s="453">
        <v>3885</v>
      </c>
      <c r="AJ49" s="451">
        <f>15855+106.4</f>
        <v>15961.4</v>
      </c>
      <c r="AK49" s="336">
        <f t="shared" si="25"/>
        <v>310.8</v>
      </c>
      <c r="AL49" s="448">
        <f t="shared" si="30"/>
        <v>4174.6167578799996</v>
      </c>
      <c r="AM49" s="448">
        <f t="shared" si="30"/>
        <v>17083.813439879999</v>
      </c>
      <c r="AN49" s="336">
        <f t="shared" si="20"/>
        <v>309.2</v>
      </c>
      <c r="AO49" s="448">
        <f t="shared" si="31"/>
        <v>4174.6167578799996</v>
      </c>
      <c r="AP49" s="448">
        <f t="shared" si="31"/>
        <v>17083.813439879999</v>
      </c>
      <c r="AQ49" s="452">
        <f t="shared" si="22"/>
        <v>309.2</v>
      </c>
      <c r="AR49" s="502"/>
      <c r="AS49" s="502"/>
      <c r="AT49" s="506"/>
    </row>
    <row r="50" spans="1:46" s="475" customFormat="1" ht="20.100000000000001" customHeight="1" x14ac:dyDescent="0.3">
      <c r="A50" s="469" t="s">
        <v>232</v>
      </c>
      <c r="B50" s="453"/>
      <c r="C50" s="451"/>
      <c r="D50" s="451"/>
      <c r="E50" s="453"/>
      <c r="F50" s="451"/>
      <c r="G50" s="451"/>
      <c r="H50" s="453"/>
      <c r="I50" s="451"/>
      <c r="J50" s="451"/>
      <c r="K50" s="453"/>
      <c r="L50" s="451"/>
      <c r="M50" s="433"/>
      <c r="N50" s="453"/>
      <c r="O50" s="451"/>
      <c r="P50" s="336"/>
      <c r="Q50" s="453">
        <f>SUM(Q51+Q53)</f>
        <v>801.66420201000005</v>
      </c>
      <c r="R50" s="451">
        <f>SUM(R51+R53)</f>
        <v>876.24031490999994</v>
      </c>
      <c r="S50" s="336">
        <f t="shared" si="32"/>
        <v>9.3000000000000007</v>
      </c>
      <c r="T50" s="453"/>
      <c r="U50" s="451"/>
      <c r="V50" s="336"/>
      <c r="W50" s="453"/>
      <c r="X50" s="451"/>
      <c r="Y50" s="336"/>
      <c r="Z50" s="453"/>
      <c r="AA50" s="451"/>
      <c r="AB50" s="336"/>
      <c r="AC50" s="453"/>
      <c r="AD50" s="451"/>
      <c r="AE50" s="336"/>
      <c r="AF50" s="453"/>
      <c r="AG50" s="451"/>
      <c r="AH50" s="336"/>
      <c r="AI50" s="453">
        <f>SUM(AI51+AI53)</f>
        <v>300</v>
      </c>
      <c r="AJ50" s="451">
        <f>SUM(AJ51+AJ53)</f>
        <v>870</v>
      </c>
      <c r="AK50" s="336">
        <f t="shared" si="25"/>
        <v>190</v>
      </c>
      <c r="AL50" s="448">
        <f t="shared" si="30"/>
        <v>1101.6642020100001</v>
      </c>
      <c r="AM50" s="448">
        <f t="shared" si="30"/>
        <v>1746.2403149100001</v>
      </c>
      <c r="AN50" s="336">
        <f t="shared" si="20"/>
        <v>58.5</v>
      </c>
      <c r="AO50" s="448">
        <f t="shared" si="31"/>
        <v>1101.6642020100001</v>
      </c>
      <c r="AP50" s="448">
        <f t="shared" si="31"/>
        <v>1746.2403149100001</v>
      </c>
      <c r="AQ50" s="452">
        <f t="shared" si="22"/>
        <v>58.5</v>
      </c>
      <c r="AR50" s="502"/>
      <c r="AS50" s="502"/>
      <c r="AT50" s="506"/>
    </row>
    <row r="51" spans="1:46" s="475" customFormat="1" ht="20.100000000000001" customHeight="1" x14ac:dyDescent="0.3">
      <c r="A51" s="469" t="s">
        <v>233</v>
      </c>
      <c r="B51" s="453"/>
      <c r="C51" s="451"/>
      <c r="D51" s="336"/>
      <c r="E51" s="453"/>
      <c r="F51" s="451"/>
      <c r="G51" s="336"/>
      <c r="H51" s="453"/>
      <c r="I51" s="451"/>
      <c r="J51" s="336"/>
      <c r="K51" s="453"/>
      <c r="L51" s="451"/>
      <c r="M51" s="433"/>
      <c r="N51" s="453"/>
      <c r="O51" s="451"/>
      <c r="P51" s="336"/>
      <c r="Q51" s="453">
        <v>85.971516919999999</v>
      </c>
      <c r="R51" s="451">
        <v>80.919051730000007</v>
      </c>
      <c r="S51" s="336">
        <f t="shared" si="32"/>
        <v>-5.9</v>
      </c>
      <c r="T51" s="453"/>
      <c r="U51" s="451"/>
      <c r="V51" s="336"/>
      <c r="W51" s="453"/>
      <c r="X51" s="451"/>
      <c r="Y51" s="336"/>
      <c r="Z51" s="453"/>
      <c r="AA51" s="451"/>
      <c r="AB51" s="336"/>
      <c r="AC51" s="453"/>
      <c r="AD51" s="451"/>
      <c r="AE51" s="336"/>
      <c r="AF51" s="453"/>
      <c r="AG51" s="451"/>
      <c r="AH51" s="336"/>
      <c r="AI51" s="453"/>
      <c r="AJ51" s="451"/>
      <c r="AK51" s="336"/>
      <c r="AL51" s="448">
        <f t="shared" si="30"/>
        <v>85.971516919999999</v>
      </c>
      <c r="AM51" s="448">
        <f t="shared" si="30"/>
        <v>80.919051730000007</v>
      </c>
      <c r="AN51" s="336">
        <f t="shared" si="20"/>
        <v>-5.9</v>
      </c>
      <c r="AO51" s="448">
        <f t="shared" si="31"/>
        <v>85.971516919999999</v>
      </c>
      <c r="AP51" s="448">
        <f t="shared" si="31"/>
        <v>80.919051730000007</v>
      </c>
      <c r="AQ51" s="452">
        <f t="shared" si="22"/>
        <v>-5.9</v>
      </c>
      <c r="AR51" s="502"/>
      <c r="AS51" s="502"/>
      <c r="AT51" s="506"/>
    </row>
    <row r="52" spans="1:46" s="504" customFormat="1" ht="20.100000000000001" customHeight="1" x14ac:dyDescent="0.3">
      <c r="A52" s="469" t="s">
        <v>203</v>
      </c>
      <c r="B52" s="449"/>
      <c r="C52" s="447"/>
      <c r="D52" s="447"/>
      <c r="E52" s="449"/>
      <c r="F52" s="447"/>
      <c r="G52" s="447"/>
      <c r="H52" s="449"/>
      <c r="I52" s="447"/>
      <c r="J52" s="447"/>
      <c r="K52" s="449"/>
      <c r="L52" s="447"/>
      <c r="M52" s="444"/>
      <c r="N52" s="449"/>
      <c r="O52" s="447"/>
      <c r="P52" s="447"/>
      <c r="Q52" s="449">
        <v>85.971516919999999</v>
      </c>
      <c r="R52" s="447">
        <v>80.919051730000007</v>
      </c>
      <c r="S52" s="336">
        <f t="shared" si="32"/>
        <v>-5.9</v>
      </c>
      <c r="T52" s="449"/>
      <c r="U52" s="447"/>
      <c r="V52" s="447"/>
      <c r="W52" s="449"/>
      <c r="X52" s="447"/>
      <c r="Y52" s="447"/>
      <c r="Z52" s="449"/>
      <c r="AA52" s="447"/>
      <c r="AB52" s="447"/>
      <c r="AC52" s="449"/>
      <c r="AD52" s="447"/>
      <c r="AE52" s="447"/>
      <c r="AF52" s="449"/>
      <c r="AG52" s="447"/>
      <c r="AH52" s="447"/>
      <c r="AI52" s="449"/>
      <c r="AJ52" s="447"/>
      <c r="AK52" s="447"/>
      <c r="AL52" s="448">
        <f t="shared" si="30"/>
        <v>85.971516919999999</v>
      </c>
      <c r="AM52" s="448">
        <f t="shared" si="30"/>
        <v>80.919051730000007</v>
      </c>
      <c r="AN52" s="447">
        <f t="shared" si="20"/>
        <v>-5.9</v>
      </c>
      <c r="AO52" s="448">
        <f t="shared" si="31"/>
        <v>85.971516919999999</v>
      </c>
      <c r="AP52" s="448">
        <f t="shared" si="31"/>
        <v>80.919051730000007</v>
      </c>
      <c r="AQ52" s="450">
        <f t="shared" si="22"/>
        <v>-5.9</v>
      </c>
      <c r="AR52" s="503"/>
      <c r="AS52" s="503"/>
      <c r="AT52" s="505"/>
    </row>
    <row r="53" spans="1:46" s="475" customFormat="1" ht="20.100000000000001" customHeight="1" x14ac:dyDescent="0.3">
      <c r="A53" s="469" t="s">
        <v>234</v>
      </c>
      <c r="B53" s="453"/>
      <c r="C53" s="451"/>
      <c r="D53" s="451"/>
      <c r="E53" s="453"/>
      <c r="F53" s="451"/>
      <c r="G53" s="451"/>
      <c r="H53" s="453"/>
      <c r="I53" s="451"/>
      <c r="J53" s="451"/>
      <c r="K53" s="453"/>
      <c r="L53" s="451"/>
      <c r="M53" s="433"/>
      <c r="N53" s="453"/>
      <c r="O53" s="451"/>
      <c r="P53" s="336"/>
      <c r="Q53" s="453">
        <v>715.69268509000005</v>
      </c>
      <c r="R53" s="451">
        <v>795.32126317999996</v>
      </c>
      <c r="S53" s="336">
        <f t="shared" si="32"/>
        <v>11.1</v>
      </c>
      <c r="T53" s="453"/>
      <c r="U53" s="451"/>
      <c r="V53" s="336"/>
      <c r="W53" s="453"/>
      <c r="X53" s="451"/>
      <c r="Y53" s="336"/>
      <c r="Z53" s="453"/>
      <c r="AA53" s="451"/>
      <c r="AB53" s="336"/>
      <c r="AC53" s="453"/>
      <c r="AD53" s="451"/>
      <c r="AE53" s="336"/>
      <c r="AF53" s="453"/>
      <c r="AG53" s="451"/>
      <c r="AH53" s="336"/>
      <c r="AI53" s="453">
        <v>300</v>
      </c>
      <c r="AJ53" s="451">
        <v>870</v>
      </c>
      <c r="AK53" s="336">
        <f t="shared" si="25"/>
        <v>190</v>
      </c>
      <c r="AL53" s="448">
        <f t="shared" si="30"/>
        <v>1015.6926850900001</v>
      </c>
      <c r="AM53" s="448">
        <f t="shared" si="30"/>
        <v>1665.32126318</v>
      </c>
      <c r="AN53" s="336">
        <f t="shared" si="20"/>
        <v>64</v>
      </c>
      <c r="AO53" s="448">
        <f t="shared" si="31"/>
        <v>1015.6926850900001</v>
      </c>
      <c r="AP53" s="448">
        <f t="shared" si="31"/>
        <v>1665.32126318</v>
      </c>
      <c r="AQ53" s="452">
        <f t="shared" si="22"/>
        <v>64</v>
      </c>
      <c r="AR53" s="502"/>
      <c r="AS53" s="502"/>
      <c r="AT53" s="506"/>
    </row>
    <row r="54" spans="1:46" s="475" customFormat="1" ht="20.100000000000001" customHeight="1" x14ac:dyDescent="0.3">
      <c r="A54" s="469" t="s">
        <v>235</v>
      </c>
      <c r="B54" s="453">
        <f>SUM(B55:B59)</f>
        <v>16948.728999999999</v>
      </c>
      <c r="C54" s="451">
        <f>SUM(C55:C59)</f>
        <v>16857.045999999998</v>
      </c>
      <c r="D54" s="451">
        <f>IF(B54=0, "    ---- ", IF(ABS(ROUND(100/B54*C54-100,1))&lt;999,ROUND(100/B54*C54-100,1),IF(ROUND(100/B54*C54-100,1)&gt;999,999,-999)))</f>
        <v>-0.5</v>
      </c>
      <c r="E54" s="453">
        <f>SUM(E55:E59)</f>
        <v>75206.080000000002</v>
      </c>
      <c r="F54" s="451">
        <f>SUM(F55:F59)</f>
        <v>77241.342000000004</v>
      </c>
      <c r="G54" s="451">
        <f t="shared" si="16"/>
        <v>2.7</v>
      </c>
      <c r="H54" s="453">
        <f>SUM(H55:H59)</f>
        <v>3251.4210000000003</v>
      </c>
      <c r="I54" s="451">
        <f>SUM(I55:I59)</f>
        <v>3327.2</v>
      </c>
      <c r="J54" s="451">
        <f>IF(H54=0, "    ---- ", IF(ABS(ROUND(100/H54*I54-100,1))&lt;999,ROUND(100/H54*I54-100,1),IF(ROUND(100/H54*I54-100,1)&gt;999,999,-999)))</f>
        <v>2.2999999999999998</v>
      </c>
      <c r="K54" s="453">
        <f>SUM(K55:K59)</f>
        <v>22680</v>
      </c>
      <c r="L54" s="451">
        <f>SUM(L55:L59)</f>
        <v>23286.081999999995</v>
      </c>
      <c r="M54" s="433">
        <f t="shared" si="27"/>
        <v>2.7</v>
      </c>
      <c r="N54" s="453"/>
      <c r="O54" s="451"/>
      <c r="P54" s="336"/>
      <c r="Q54" s="453">
        <f>SUM(Q55:Q59)</f>
        <v>1283.3536960200001</v>
      </c>
      <c r="R54" s="451">
        <f>SUM(R55:R59)</f>
        <v>1239.6006023800003</v>
      </c>
      <c r="S54" s="336">
        <f t="shared" si="32"/>
        <v>-3.4</v>
      </c>
      <c r="T54" s="453">
        <f>SUM(T55:T59)</f>
        <v>2683.9</v>
      </c>
      <c r="U54" s="451">
        <f>SUM(U55:U59)</f>
        <v>3396.4</v>
      </c>
      <c r="V54" s="336">
        <f>IF(T54=0, "    ---- ", IF(ABS(ROUND(100/T54*U54-100,1))&lt;999,ROUND(100/T54*U54-100,1),IF(ROUND(100/T54*U54-100,1)&gt;999,999,-999)))</f>
        <v>26.5</v>
      </c>
      <c r="W54" s="453">
        <f>SUM(W55:W59)</f>
        <v>58646.3</v>
      </c>
      <c r="X54" s="451">
        <f>SUM(X55:X59)</f>
        <v>59037.75</v>
      </c>
      <c r="Y54" s="336">
        <f t="shared" si="17"/>
        <v>0.7</v>
      </c>
      <c r="Z54" s="453"/>
      <c r="AA54" s="451"/>
      <c r="AB54" s="336"/>
      <c r="AC54" s="453">
        <f>SUM(AC55:AC59)</f>
        <v>2082</v>
      </c>
      <c r="AD54" s="451">
        <f>SUM(AD55:AD59)</f>
        <v>2081.5378382600002</v>
      </c>
      <c r="AE54" s="336">
        <f>IF(AC54=0, "    ---- ", IF(ABS(ROUND(100/AC54*AD54-100,1))&lt;999,ROUND(100/AC54*AD54-100,1),IF(ROUND(100/AC54*AD54-100,1)&gt;999,999,-999)))</f>
        <v>0</v>
      </c>
      <c r="AF54" s="453">
        <f>SUM(AF55:AF59)</f>
        <v>25000.379000000001</v>
      </c>
      <c r="AG54" s="451">
        <f>SUM(AG55:AG59)</f>
        <v>28265.856000000003</v>
      </c>
      <c r="AH54" s="336">
        <f t="shared" si="18"/>
        <v>13.1</v>
      </c>
      <c r="AI54" s="453">
        <f>SUM(AI55:AI59)</f>
        <v>76546</v>
      </c>
      <c r="AJ54" s="451">
        <f>SUM(AJ55:AJ59)</f>
        <v>78101.399999999994</v>
      </c>
      <c r="AK54" s="336">
        <f t="shared" si="25"/>
        <v>2</v>
      </c>
      <c r="AL54" s="448">
        <f t="shared" si="30"/>
        <v>282246.16269602004</v>
      </c>
      <c r="AM54" s="448">
        <f t="shared" si="30"/>
        <v>290752.67660238</v>
      </c>
      <c r="AN54" s="336">
        <f t="shared" si="20"/>
        <v>3</v>
      </c>
      <c r="AO54" s="448">
        <f t="shared" si="31"/>
        <v>284328.16269602004</v>
      </c>
      <c r="AP54" s="448">
        <f t="shared" si="31"/>
        <v>292834.21444064</v>
      </c>
      <c r="AQ54" s="452">
        <f t="shared" si="22"/>
        <v>3</v>
      </c>
      <c r="AR54" s="502"/>
      <c r="AS54" s="502"/>
      <c r="AT54" s="506"/>
    </row>
    <row r="55" spans="1:46" s="475" customFormat="1" ht="20.100000000000001" customHeight="1" x14ac:dyDescent="0.3">
      <c r="A55" s="469" t="s">
        <v>236</v>
      </c>
      <c r="B55" s="453">
        <v>10251.415000000001</v>
      </c>
      <c r="C55" s="451">
        <v>9927.8410000000003</v>
      </c>
      <c r="D55" s="451">
        <f>IF(B55=0, "    ---- ", IF(ABS(ROUND(100/B55*C55-100,1))&lt;999,ROUND(100/B55*C55-100,1),IF(ROUND(100/B55*C55-100,1)&gt;999,999,-999)))</f>
        <v>-3.2</v>
      </c>
      <c r="E55" s="453">
        <v>40752.315999999999</v>
      </c>
      <c r="F55" s="451">
        <v>41362.053</v>
      </c>
      <c r="G55" s="451">
        <f t="shared" si="16"/>
        <v>1.5</v>
      </c>
      <c r="H55" s="453">
        <v>1909.0550000000001</v>
      </c>
      <c r="I55" s="451">
        <v>1869.2</v>
      </c>
      <c r="J55" s="451">
        <f>IF(H55=0, "    ---- ", IF(ABS(ROUND(100/H55*I55-100,1))&lt;999,ROUND(100/H55*I55-100,1),IF(ROUND(100/H55*I55-100,1)&gt;999,999,-999)))</f>
        <v>-2.1</v>
      </c>
      <c r="K55" s="453">
        <v>20034</v>
      </c>
      <c r="L55" s="451">
        <v>19811.526999999998</v>
      </c>
      <c r="M55" s="433">
        <f t="shared" si="27"/>
        <v>-1.1000000000000001</v>
      </c>
      <c r="N55" s="453"/>
      <c r="O55" s="451"/>
      <c r="P55" s="336"/>
      <c r="Q55" s="453">
        <v>644.59500171000002</v>
      </c>
      <c r="R55" s="451">
        <v>614.62150016999999</v>
      </c>
      <c r="S55" s="336">
        <f t="shared" si="32"/>
        <v>-4.5999999999999996</v>
      </c>
      <c r="T55" s="453">
        <v>1678.6</v>
      </c>
      <c r="U55" s="451">
        <v>2193.8000000000002</v>
      </c>
      <c r="V55" s="336">
        <f>IF(T55=0, "    ---- ", IF(ABS(ROUND(100/T55*U55-100,1))&lt;999,ROUND(100/T55*U55-100,1),IF(ROUND(100/T55*U55-100,1)&gt;999,999,-999)))</f>
        <v>30.7</v>
      </c>
      <c r="W55" s="453">
        <v>31334</v>
      </c>
      <c r="X55" s="451">
        <v>30168.21</v>
      </c>
      <c r="Y55" s="336">
        <f t="shared" si="17"/>
        <v>-3.7</v>
      </c>
      <c r="Z55" s="453"/>
      <c r="AA55" s="451"/>
      <c r="AB55" s="336"/>
      <c r="AC55" s="453">
        <v>2082</v>
      </c>
      <c r="AD55" s="451">
        <v>2081.5378382600002</v>
      </c>
      <c r="AE55" s="336">
        <f>IF(AC55=0, "    ---- ", IF(ABS(ROUND(100/AC55*AD55-100,1))&lt;999,ROUND(100/AC55*AD55-100,1),IF(ROUND(100/AC55*AD55-100,1)&gt;999,999,-999)))</f>
        <v>0</v>
      </c>
      <c r="AF55" s="453">
        <v>14740.538</v>
      </c>
      <c r="AG55" s="451">
        <v>16651.471000000001</v>
      </c>
      <c r="AH55" s="336">
        <f t="shared" si="18"/>
        <v>13</v>
      </c>
      <c r="AI55" s="453">
        <v>48963</v>
      </c>
      <c r="AJ55" s="451">
        <v>42617</v>
      </c>
      <c r="AK55" s="336">
        <f t="shared" si="25"/>
        <v>-13</v>
      </c>
      <c r="AL55" s="448">
        <f t="shared" si="30"/>
        <v>170307.51900171</v>
      </c>
      <c r="AM55" s="448">
        <f t="shared" si="30"/>
        <v>165215.72350016999</v>
      </c>
      <c r="AN55" s="336">
        <f t="shared" si="20"/>
        <v>-3</v>
      </c>
      <c r="AO55" s="448">
        <f t="shared" si="31"/>
        <v>172389.51900171</v>
      </c>
      <c r="AP55" s="448">
        <f t="shared" si="31"/>
        <v>167297.26133842999</v>
      </c>
      <c r="AQ55" s="452">
        <f t="shared" si="22"/>
        <v>-3</v>
      </c>
      <c r="AR55" s="502"/>
      <c r="AS55" s="502"/>
      <c r="AT55" s="506"/>
    </row>
    <row r="56" spans="1:46" s="475" customFormat="1" ht="20.100000000000001" customHeight="1" x14ac:dyDescent="0.3">
      <c r="A56" s="469" t="s">
        <v>237</v>
      </c>
      <c r="B56" s="453">
        <v>6595.9179999999997</v>
      </c>
      <c r="C56" s="451">
        <v>6783.2929999999997</v>
      </c>
      <c r="D56" s="451">
        <f>IF(B56=0, "    ---- ", IF(ABS(ROUND(100/B56*C56-100,1))&lt;999,ROUND(100/B56*C56-100,1),IF(ROUND(100/B56*C56-100,1)&gt;999,999,-999)))</f>
        <v>2.8</v>
      </c>
      <c r="E56" s="453">
        <v>32925.527999999998</v>
      </c>
      <c r="F56" s="451">
        <v>34317.017</v>
      </c>
      <c r="G56" s="451">
        <f t="shared" si="16"/>
        <v>4.2</v>
      </c>
      <c r="H56" s="453">
        <v>164.91900000000001</v>
      </c>
      <c r="I56" s="451">
        <v>171.4</v>
      </c>
      <c r="J56" s="451">
        <f>IF(H56=0, "    ---- ", IF(ABS(ROUND(100/H56*I56-100,1))&lt;999,ROUND(100/H56*I56-100,1),IF(ROUND(100/H56*I56-100,1)&gt;999,999,-999)))</f>
        <v>3.9</v>
      </c>
      <c r="K56" s="453">
        <v>2531</v>
      </c>
      <c r="L56" s="451">
        <v>3282.26</v>
      </c>
      <c r="M56" s="433">
        <f t="shared" si="27"/>
        <v>29.7</v>
      </c>
      <c r="N56" s="453"/>
      <c r="O56" s="451"/>
      <c r="P56" s="336"/>
      <c r="Q56" s="453">
        <v>603.20503169000006</v>
      </c>
      <c r="R56" s="451">
        <v>576.04830752999999</v>
      </c>
      <c r="S56" s="336">
        <f t="shared" si="32"/>
        <v>-4.5</v>
      </c>
      <c r="T56" s="453">
        <v>994.7</v>
      </c>
      <c r="U56" s="451">
        <v>1195.0999999999999</v>
      </c>
      <c r="V56" s="336">
        <f>IF(T56=0, "    ---- ", IF(ABS(ROUND(100/T56*U56-100,1))&lt;999,ROUND(100/T56*U56-100,1),IF(ROUND(100/T56*U56-100,1)&gt;999,999,-999)))</f>
        <v>20.100000000000001</v>
      </c>
      <c r="W56" s="453">
        <v>26342</v>
      </c>
      <c r="X56" s="451">
        <v>28341.22</v>
      </c>
      <c r="Y56" s="336"/>
      <c r="Z56" s="453"/>
      <c r="AA56" s="451"/>
      <c r="AB56" s="336"/>
      <c r="AC56" s="453"/>
      <c r="AD56" s="451"/>
      <c r="AE56" s="336"/>
      <c r="AF56" s="453">
        <v>10101.294</v>
      </c>
      <c r="AG56" s="451">
        <v>11365.790999999999</v>
      </c>
      <c r="AH56" s="336">
        <f t="shared" si="18"/>
        <v>12.5</v>
      </c>
      <c r="AI56" s="453">
        <v>27550</v>
      </c>
      <c r="AJ56" s="451">
        <v>34731</v>
      </c>
      <c r="AK56" s="336">
        <f t="shared" si="25"/>
        <v>26.1</v>
      </c>
      <c r="AL56" s="448">
        <f t="shared" si="30"/>
        <v>107808.56403168998</v>
      </c>
      <c r="AM56" s="448">
        <f t="shared" si="30"/>
        <v>120763.12930753001</v>
      </c>
      <c r="AN56" s="336">
        <f t="shared" si="20"/>
        <v>12</v>
      </c>
      <c r="AO56" s="448">
        <f t="shared" si="31"/>
        <v>107808.56403168998</v>
      </c>
      <c r="AP56" s="448">
        <f t="shared" si="31"/>
        <v>120763.12930753001</v>
      </c>
      <c r="AQ56" s="452">
        <f t="shared" si="22"/>
        <v>12</v>
      </c>
      <c r="AR56" s="502"/>
      <c r="AS56" s="502"/>
      <c r="AT56" s="506"/>
    </row>
    <row r="57" spans="1:46" s="475" customFormat="1" ht="20.100000000000001" customHeight="1" x14ac:dyDescent="0.3">
      <c r="A57" s="469" t="s">
        <v>238</v>
      </c>
      <c r="B57" s="453"/>
      <c r="C57" s="451">
        <v>115.42700000000001</v>
      </c>
      <c r="D57" s="336" t="str">
        <f t="shared" ref="D57:D58" si="33">IF(B57=0, "    ---- ", IF(ABS(ROUND(100/B57*C57-100,1))&lt;999,ROUND(100/B57*C57-100,1),IF(ROUND(100/B57*C57-100,1)&gt;999,999,-999)))</f>
        <v xml:space="preserve">    ---- </v>
      </c>
      <c r="E57" s="453">
        <v>1528.2360000000001</v>
      </c>
      <c r="F57" s="451">
        <v>1562.2719999999999</v>
      </c>
      <c r="G57" s="336">
        <f t="shared" si="16"/>
        <v>2.2000000000000002</v>
      </c>
      <c r="H57" s="453"/>
      <c r="I57" s="451"/>
      <c r="J57" s="336"/>
      <c r="K57" s="453">
        <v>52</v>
      </c>
      <c r="L57" s="451">
        <v>61.457999999999998</v>
      </c>
      <c r="M57" s="336">
        <f t="shared" si="27"/>
        <v>18.2</v>
      </c>
      <c r="N57" s="453"/>
      <c r="O57" s="451"/>
      <c r="P57" s="336"/>
      <c r="Q57" s="453">
        <v>35.054453240000001</v>
      </c>
      <c r="R57" s="451">
        <v>48.743715539999997</v>
      </c>
      <c r="S57" s="336">
        <f t="shared" si="32"/>
        <v>39.1</v>
      </c>
      <c r="T57" s="453">
        <v>7.2</v>
      </c>
      <c r="U57" s="451">
        <v>7.5</v>
      </c>
      <c r="V57" s="336">
        <f>IF(T57=0, "    ---- ", IF(ABS(ROUND(100/T57*U57-100,1))&lt;999,ROUND(100/T57*U57-100,1),IF(ROUND(100/T57*U57-100,1)&gt;999,999,-999)))</f>
        <v>4.2</v>
      </c>
      <c r="W57" s="453"/>
      <c r="X57" s="451"/>
      <c r="Y57" s="336"/>
      <c r="Z57" s="453"/>
      <c r="AA57" s="451"/>
      <c r="AB57" s="336"/>
      <c r="AC57" s="453"/>
      <c r="AD57" s="451"/>
      <c r="AE57" s="336"/>
      <c r="AF57" s="453"/>
      <c r="AG57" s="451"/>
      <c r="AH57" s="336"/>
      <c r="AI57" s="453"/>
      <c r="AJ57" s="451">
        <v>364</v>
      </c>
      <c r="AK57" s="336" t="str">
        <f t="shared" si="25"/>
        <v xml:space="preserve">    ---- </v>
      </c>
      <c r="AL57" s="448">
        <f t="shared" si="30"/>
        <v>1622.4904532400001</v>
      </c>
      <c r="AM57" s="448">
        <f t="shared" si="30"/>
        <v>2159.40071554</v>
      </c>
      <c r="AN57" s="336">
        <f t="shared" si="20"/>
        <v>33.1</v>
      </c>
      <c r="AO57" s="448">
        <f t="shared" si="31"/>
        <v>1622.4904532400001</v>
      </c>
      <c r="AP57" s="448">
        <f t="shared" si="31"/>
        <v>2159.40071554</v>
      </c>
      <c r="AQ57" s="452">
        <f t="shared" si="22"/>
        <v>33.1</v>
      </c>
      <c r="AR57" s="502"/>
      <c r="AS57" s="502"/>
      <c r="AT57" s="506"/>
    </row>
    <row r="58" spans="1:46" s="475" customFormat="1" ht="20.100000000000001" customHeight="1" x14ac:dyDescent="0.3">
      <c r="A58" s="469" t="s">
        <v>239</v>
      </c>
      <c r="B58" s="453"/>
      <c r="C58" s="451">
        <v>-116.83199999999999</v>
      </c>
      <c r="D58" s="336" t="str">
        <f t="shared" si="33"/>
        <v xml:space="preserve">    ---- </v>
      </c>
      <c r="E58" s="453"/>
      <c r="F58" s="451"/>
      <c r="G58" s="336"/>
      <c r="H58" s="453"/>
      <c r="I58" s="451"/>
      <c r="J58" s="336"/>
      <c r="K58" s="453"/>
      <c r="L58" s="451"/>
      <c r="M58" s="336"/>
      <c r="N58" s="453"/>
      <c r="O58" s="451"/>
      <c r="P58" s="336"/>
      <c r="Q58" s="453">
        <v>0.49920939000000003</v>
      </c>
      <c r="R58" s="451">
        <v>0.18707915</v>
      </c>
      <c r="S58" s="336">
        <f t="shared" si="32"/>
        <v>-62.5</v>
      </c>
      <c r="T58" s="453"/>
      <c r="U58" s="451"/>
      <c r="V58" s="336"/>
      <c r="W58" s="453"/>
      <c r="X58" s="451"/>
      <c r="Y58" s="336"/>
      <c r="Z58" s="453"/>
      <c r="AA58" s="451"/>
      <c r="AB58" s="336"/>
      <c r="AC58" s="453"/>
      <c r="AD58" s="451"/>
      <c r="AE58" s="336"/>
      <c r="AF58" s="453"/>
      <c r="AG58" s="451"/>
      <c r="AH58" s="336"/>
      <c r="AI58" s="453">
        <v>33</v>
      </c>
      <c r="AJ58" s="451">
        <v>389.4</v>
      </c>
      <c r="AK58" s="336">
        <f t="shared" si="25"/>
        <v>999</v>
      </c>
      <c r="AL58" s="448">
        <f t="shared" si="30"/>
        <v>33.499209389999997</v>
      </c>
      <c r="AM58" s="448">
        <f t="shared" si="30"/>
        <v>272.75507914999997</v>
      </c>
      <c r="AN58" s="336">
        <f t="shared" si="20"/>
        <v>714.2</v>
      </c>
      <c r="AO58" s="448">
        <f t="shared" si="31"/>
        <v>33.499209389999997</v>
      </c>
      <c r="AP58" s="448">
        <f t="shared" si="31"/>
        <v>272.75507914999997</v>
      </c>
      <c r="AQ58" s="452">
        <f t="shared" si="22"/>
        <v>714.2</v>
      </c>
      <c r="AR58" s="502"/>
      <c r="AS58" s="502"/>
      <c r="AT58" s="506"/>
    </row>
    <row r="59" spans="1:46" s="475" customFormat="1" ht="20.100000000000001" customHeight="1" x14ac:dyDescent="0.3">
      <c r="A59" s="469" t="s">
        <v>240</v>
      </c>
      <c r="B59" s="453">
        <v>101.396</v>
      </c>
      <c r="C59" s="451">
        <v>147.31700000000001</v>
      </c>
      <c r="D59" s="336">
        <f>IF(B59=0, "    ---- ", IF(ABS(ROUND(100/B59*C59-100,1))&lt;999,ROUND(100/B59*C59-100,1),IF(ROUND(100/B59*C59-100,1)&gt;999,999,-999)))</f>
        <v>45.3</v>
      </c>
      <c r="E59" s="453"/>
      <c r="F59" s="451"/>
      <c r="G59" s="336"/>
      <c r="H59" s="453">
        <v>1177.4469999999999</v>
      </c>
      <c r="I59" s="451">
        <v>1286.5999999999999</v>
      </c>
      <c r="J59" s="336">
        <f>IF(H59=0, "    ---- ", IF(ABS(ROUND(100/H59*I59-100,1))&lt;999,ROUND(100/H59*I59-100,1),IF(ROUND(100/H59*I59-100,1)&gt;999,999,-999)))</f>
        <v>9.3000000000000007</v>
      </c>
      <c r="K59" s="453">
        <v>63</v>
      </c>
      <c r="L59" s="451">
        <v>130.83699999999999</v>
      </c>
      <c r="M59" s="336">
        <f>IF(K59=0, "    ---- ", IF(ABS(ROUND(100/K59*L59-100,1))&lt;999,ROUND(100/K59*L59-100,1),IF(ROUND(100/K59*L59-100,1)&gt;999,999,-999)))</f>
        <v>107.7</v>
      </c>
      <c r="N59" s="453"/>
      <c r="O59" s="451"/>
      <c r="P59" s="336"/>
      <c r="Q59" s="453">
        <v>-1E-8</v>
      </c>
      <c r="R59" s="451">
        <v>-1E-8</v>
      </c>
      <c r="S59" s="336">
        <f t="shared" si="32"/>
        <v>0</v>
      </c>
      <c r="T59" s="453">
        <v>3.4</v>
      </c>
      <c r="U59" s="451"/>
      <c r="V59" s="336"/>
      <c r="W59" s="453">
        <v>970.3</v>
      </c>
      <c r="X59" s="451">
        <v>528.32000000000005</v>
      </c>
      <c r="Y59" s="336">
        <f t="shared" si="17"/>
        <v>-45.6</v>
      </c>
      <c r="Z59" s="453"/>
      <c r="AA59" s="451"/>
      <c r="AB59" s="336"/>
      <c r="AC59" s="453"/>
      <c r="AD59" s="451"/>
      <c r="AE59" s="336"/>
      <c r="AF59" s="453">
        <v>158.547</v>
      </c>
      <c r="AG59" s="451">
        <v>248.59399999999999</v>
      </c>
      <c r="AH59" s="336">
        <f t="shared" si="18"/>
        <v>56.8</v>
      </c>
      <c r="AI59" s="453"/>
      <c r="AJ59" s="451"/>
      <c r="AK59" s="336"/>
      <c r="AL59" s="448">
        <f t="shared" si="30"/>
        <v>2474.0899999899998</v>
      </c>
      <c r="AM59" s="448">
        <f t="shared" si="30"/>
        <v>2341.6679999900002</v>
      </c>
      <c r="AN59" s="336">
        <f t="shared" si="20"/>
        <v>-5.4</v>
      </c>
      <c r="AO59" s="448">
        <f t="shared" si="31"/>
        <v>2474.0899999899998</v>
      </c>
      <c r="AP59" s="448">
        <f t="shared" si="31"/>
        <v>2341.6679999900002</v>
      </c>
      <c r="AQ59" s="452">
        <f t="shared" si="22"/>
        <v>-5.4</v>
      </c>
      <c r="AR59" s="502"/>
      <c r="AS59" s="502"/>
      <c r="AT59" s="506"/>
    </row>
    <row r="60" spans="1:46" s="475" customFormat="1" ht="20.100000000000001" customHeight="1" x14ac:dyDescent="0.3">
      <c r="A60" s="470" t="s">
        <v>241</v>
      </c>
      <c r="B60" s="453">
        <f>SUM(B48+B49+B50+B54)</f>
        <v>16948.728999999999</v>
      </c>
      <c r="C60" s="451">
        <f>SUM(C48+C49+C50+C54)</f>
        <v>16857.045999999998</v>
      </c>
      <c r="D60" s="336">
        <f>IF(B60=0, "    ---- ", IF(ABS(ROUND(100/B60*C60-100,1))&lt;999,ROUND(100/B60*C60-100,1),IF(ROUND(100/B60*C60-100,1)&gt;999,999,-999)))</f>
        <v>-0.5</v>
      </c>
      <c r="E60" s="453">
        <f>SUM(E48+E49+E50+E54)</f>
        <v>75206.080000000002</v>
      </c>
      <c r="F60" s="451">
        <f>SUM(F48+F49+F50+F54)</f>
        <v>77241.342000000004</v>
      </c>
      <c r="G60" s="336">
        <f t="shared" si="16"/>
        <v>2.7</v>
      </c>
      <c r="H60" s="453">
        <f>SUM(H48+H49+H50+H54)</f>
        <v>3251.4210000000003</v>
      </c>
      <c r="I60" s="451">
        <f>SUM(I48+I49+I50+I54)</f>
        <v>3327.2</v>
      </c>
      <c r="J60" s="336">
        <f>IF(H60=0, "    ---- ", IF(ABS(ROUND(100/H60*I60-100,1))&lt;999,ROUND(100/H60*I60-100,1),IF(ROUND(100/H60*I60-100,1)&gt;999,999,-999)))</f>
        <v>2.2999999999999998</v>
      </c>
      <c r="K60" s="453">
        <f>SUM(K48+K49+K50+K54)</f>
        <v>22680</v>
      </c>
      <c r="L60" s="451">
        <f>SUM(L48+L49+L50+L54)</f>
        <v>24101.779999999995</v>
      </c>
      <c r="M60" s="336">
        <f>IF(K60=0, "    ---- ", IF(ABS(ROUND(100/K60*L60-100,1))&lt;999,ROUND(100/K60*L60-100,1),IF(ROUND(100/K60*L60-100,1)&gt;999,999,-999)))</f>
        <v>6.3</v>
      </c>
      <c r="N60" s="453"/>
      <c r="O60" s="451"/>
      <c r="P60" s="336"/>
      <c r="Q60" s="453">
        <f>SUM(Q48+Q49+Q50+Q54)</f>
        <v>2374.6346559100002</v>
      </c>
      <c r="R60" s="451">
        <f>SUM(R48+R49+R50+R54)</f>
        <v>2422.5563571700004</v>
      </c>
      <c r="S60" s="336">
        <f t="shared" si="32"/>
        <v>2</v>
      </c>
      <c r="T60" s="453">
        <f>SUM(T48+T49+T50+T54)</f>
        <v>2683.9</v>
      </c>
      <c r="U60" s="451">
        <f>SUM(U48+U49+U50+U54)</f>
        <v>3396.4</v>
      </c>
      <c r="V60" s="336">
        <f>IF(T60=0, "    ---- ", IF(ABS(ROUND(100/T60*U60-100,1))&lt;999,ROUND(100/T60*U60-100,1),IF(ROUND(100/T60*U60-100,1)&gt;999,999,-999)))</f>
        <v>26.5</v>
      </c>
      <c r="W60" s="453">
        <f>SUM(W48+W49+W50+W54)</f>
        <v>58646.3</v>
      </c>
      <c r="X60" s="451">
        <f>SUM(X48+X49+X50+X54)</f>
        <v>59037.75</v>
      </c>
      <c r="Y60" s="336">
        <f t="shared" si="17"/>
        <v>0.7</v>
      </c>
      <c r="Z60" s="453"/>
      <c r="AA60" s="451"/>
      <c r="AB60" s="336"/>
      <c r="AC60" s="453">
        <f>SUM(AC48+AC49+AC50+AC54)</f>
        <v>2082</v>
      </c>
      <c r="AD60" s="451">
        <f>SUM(AD48+AD49+AD50+AD54)</f>
        <v>2081.5378382600002</v>
      </c>
      <c r="AE60" s="336">
        <f>IF(AC60=0, "    ---- ", IF(ABS(ROUND(100/AC60*AD60-100,1))&lt;999,ROUND(100/AC60*AD60-100,1),IF(ROUND(100/AC60*AD60-100,1)&gt;999,999,-999)))</f>
        <v>0</v>
      </c>
      <c r="AF60" s="453">
        <f>SUM(AF48+AF49+AF50+AF54)</f>
        <v>25000.379000000001</v>
      </c>
      <c r="AG60" s="451">
        <f>SUM(AG48+AG49+AG50+AG54)</f>
        <v>28265.856000000003</v>
      </c>
      <c r="AH60" s="336">
        <f t="shared" si="18"/>
        <v>13.1</v>
      </c>
      <c r="AI60" s="453">
        <f>SUM(AI48+AI49+AI50+AI54)</f>
        <v>80731</v>
      </c>
      <c r="AJ60" s="451">
        <f>SUM(AJ48+AJ49+AJ50+AJ54)</f>
        <v>94932.799999999988</v>
      </c>
      <c r="AK60" s="336">
        <f t="shared" si="25"/>
        <v>17.600000000000001</v>
      </c>
      <c r="AL60" s="448">
        <f t="shared" si="30"/>
        <v>287522.44365591003</v>
      </c>
      <c r="AM60" s="448">
        <f t="shared" si="30"/>
        <v>309582.73035716999</v>
      </c>
      <c r="AN60" s="336">
        <f t="shared" si="20"/>
        <v>7.7</v>
      </c>
      <c r="AO60" s="448">
        <f t="shared" si="31"/>
        <v>289604.44365591003</v>
      </c>
      <c r="AP60" s="448">
        <f t="shared" si="31"/>
        <v>311664.26819542999</v>
      </c>
      <c r="AQ60" s="452">
        <f t="shared" si="22"/>
        <v>7.6</v>
      </c>
      <c r="AR60" s="502"/>
      <c r="AS60" s="502"/>
      <c r="AT60" s="506"/>
    </row>
    <row r="61" spans="1:46" s="475" customFormat="1" ht="20.100000000000001" customHeight="1" x14ac:dyDescent="0.3">
      <c r="A61" s="467" t="s">
        <v>346</v>
      </c>
      <c r="B61" s="453"/>
      <c r="C61" s="451"/>
      <c r="D61" s="336"/>
      <c r="E61" s="453"/>
      <c r="F61" s="451"/>
      <c r="G61" s="336"/>
      <c r="H61" s="453"/>
      <c r="I61" s="451"/>
      <c r="J61" s="336"/>
      <c r="K61" s="453"/>
      <c r="L61" s="451"/>
      <c r="M61" s="336"/>
      <c r="N61" s="453"/>
      <c r="O61" s="451"/>
      <c r="P61" s="336"/>
      <c r="Q61" s="453"/>
      <c r="R61" s="451"/>
      <c r="S61" s="336"/>
      <c r="T61" s="453"/>
      <c r="U61" s="451"/>
      <c r="V61" s="336"/>
      <c r="W61" s="453"/>
      <c r="X61" s="451"/>
      <c r="Y61" s="336"/>
      <c r="Z61" s="453"/>
      <c r="AA61" s="451"/>
      <c r="AB61" s="336"/>
      <c r="AC61" s="453"/>
      <c r="AD61" s="451"/>
      <c r="AE61" s="336"/>
      <c r="AF61" s="453"/>
      <c r="AG61" s="451"/>
      <c r="AH61" s="336"/>
      <c r="AI61" s="453"/>
      <c r="AJ61" s="451"/>
      <c r="AK61" s="336"/>
      <c r="AL61" s="448">
        <f t="shared" si="30"/>
        <v>0</v>
      </c>
      <c r="AM61" s="448">
        <f t="shared" si="30"/>
        <v>0</v>
      </c>
      <c r="AN61" s="336" t="str">
        <f t="shared" si="20"/>
        <v xml:space="preserve">    ---- </v>
      </c>
      <c r="AO61" s="448">
        <f t="shared" si="31"/>
        <v>0</v>
      </c>
      <c r="AP61" s="448">
        <f t="shared" si="31"/>
        <v>0</v>
      </c>
      <c r="AQ61" s="452" t="str">
        <f t="shared" si="22"/>
        <v xml:space="preserve">    ---- </v>
      </c>
      <c r="AR61" s="502"/>
      <c r="AS61" s="502"/>
      <c r="AT61" s="506"/>
    </row>
    <row r="62" spans="1:46" s="475" customFormat="1" ht="20.100000000000001" customHeight="1" x14ac:dyDescent="0.3">
      <c r="A62" s="469" t="s">
        <v>242</v>
      </c>
      <c r="B62" s="453">
        <f>SUM(B45+B46+B60+B61)</f>
        <v>18097.069</v>
      </c>
      <c r="C62" s="451">
        <f>SUM(C45+C46+C60+C61)</f>
        <v>18148.047999999999</v>
      </c>
      <c r="D62" s="336">
        <f>IF(B62=0, "    ---- ", IF(ABS(ROUND(100/B62*C62-100,1))&lt;999,ROUND(100/B62*C62-100,1),IF(ROUND(100/B62*C62-100,1)&gt;999,999,-999)))</f>
        <v>0.3</v>
      </c>
      <c r="E62" s="453">
        <f>SUM(E45+E46+E60+E61)</f>
        <v>284842.29000000004</v>
      </c>
      <c r="F62" s="451">
        <f>SUM(F45+F46+F60+F61)</f>
        <v>282777.55799999996</v>
      </c>
      <c r="G62" s="336">
        <f t="shared" si="16"/>
        <v>-0.7</v>
      </c>
      <c r="H62" s="453">
        <f>SUM(H45+H46+H60+H61)</f>
        <v>4252.9080000000004</v>
      </c>
      <c r="I62" s="451">
        <f>SUM(I45+I46+I60+I61)</f>
        <v>4469.7</v>
      </c>
      <c r="J62" s="336">
        <f>IF(H62=0, "    ---- ", IF(ABS(ROUND(100/H62*I62-100,1))&lt;999,ROUND(100/H62*I62-100,1),IF(ROUND(100/H62*I62-100,1)&gt;999,999,-999)))</f>
        <v>5.0999999999999996</v>
      </c>
      <c r="K62" s="453">
        <f>SUM(K45+K46+K60+K61)</f>
        <v>28703</v>
      </c>
      <c r="L62" s="451">
        <f>SUM(L45+L46+L60+L61)</f>
        <v>31047.488999999994</v>
      </c>
      <c r="M62" s="336">
        <f>IF(K62=0, "    ---- ", IF(ABS(ROUND(100/K62*L62-100,1))&lt;999,ROUND(100/K62*L62-100,1),IF(ROUND(100/K62*L62-100,1)&gt;999,999,-999)))</f>
        <v>8.1999999999999993</v>
      </c>
      <c r="N62" s="453"/>
      <c r="O62" s="451"/>
      <c r="P62" s="336"/>
      <c r="Q62" s="453">
        <f>SUM(Q45+Q46+Q60+Q61)</f>
        <v>497981.89653202001</v>
      </c>
      <c r="R62" s="451">
        <f>SUM(R45+R46+R60+R61)</f>
        <v>518327.4136988899</v>
      </c>
      <c r="S62" s="336">
        <f>IF(Q62=0, "    ---- ", IF(ABS(ROUND(100/Q62*R62-100,1))&lt;999,ROUND(100/Q62*R62-100,1),IF(ROUND(100/Q62*R62-100,1)&gt;999,999,-999)))</f>
        <v>4.0999999999999996</v>
      </c>
      <c r="T62" s="453">
        <f>SUM(T45+T46+T60+T61)</f>
        <v>4303.3</v>
      </c>
      <c r="U62" s="451">
        <f>SUM(U45+U46+U60+U61)</f>
        <v>5077.8999999999996</v>
      </c>
      <c r="V62" s="336">
        <f>IF(T62=0, "    ---- ", IF(ABS(ROUND(100/T62*U62-100,1))&lt;999,ROUND(100/T62*U62-100,1),IF(ROUND(100/T62*U62-100,1)&gt;999,999,-999)))</f>
        <v>18</v>
      </c>
      <c r="W62" s="453">
        <f>SUM(W45+W46+W60+W61)</f>
        <v>109068.53932408002</v>
      </c>
      <c r="X62" s="451">
        <f>SUM(X45+X46+X60+X61)</f>
        <v>109691.02608903991</v>
      </c>
      <c r="Y62" s="336">
        <f t="shared" si="17"/>
        <v>0.6</v>
      </c>
      <c r="Z62" s="453">
        <f>SUM(Z45+Z46+Z60+Z61)</f>
        <v>82799</v>
      </c>
      <c r="AA62" s="451">
        <f>SUM(AA45+AA46+AA60+AA61)</f>
        <v>86069</v>
      </c>
      <c r="AB62" s="336">
        <f>IF(Z62=0, "    ---- ", IF(ABS(ROUND(100/Z62*AA62-100,1))&lt;999,ROUND(100/Z62*AA62-100,1),IF(ROUND(100/Z62*AA62-100,1)&gt;999,999,-999)))</f>
        <v>3.9</v>
      </c>
      <c r="AC62" s="453">
        <f>SUM(AC45+AC46+AC60+AC61)</f>
        <v>2082</v>
      </c>
      <c r="AD62" s="451">
        <f>SUM(AD45+AD46+AD60+AD61)</f>
        <v>2081.5378382600002</v>
      </c>
      <c r="AE62" s="336">
        <f>IF(AC62=0, "    ---- ", IF(ABS(ROUND(100/AC62*AD62-100,1))&lt;999,ROUND(100/AC62*AD62-100,1),IF(ROUND(100/AC62*AD62-100,1)&gt;999,999,-999)))</f>
        <v>0</v>
      </c>
      <c r="AF62" s="453">
        <f>SUM(AF45+AF46+AF60+AF61)</f>
        <v>47883.071000000004</v>
      </c>
      <c r="AG62" s="451">
        <f>SUM(AG45+AG46+AG60+AG61)</f>
        <v>51816.553000000007</v>
      </c>
      <c r="AH62" s="336">
        <f t="shared" si="18"/>
        <v>8.1999999999999993</v>
      </c>
      <c r="AI62" s="453">
        <f>SUM(AI45+AI46+AI60+AI61)</f>
        <v>268206</v>
      </c>
      <c r="AJ62" s="451">
        <f>SUM(AJ45+AJ46+AJ60+AJ61)</f>
        <v>281939.59999999998</v>
      </c>
      <c r="AK62" s="336">
        <f t="shared" si="25"/>
        <v>5.0999999999999996</v>
      </c>
      <c r="AL62" s="448">
        <f t="shared" si="30"/>
        <v>1346137.0738561002</v>
      </c>
      <c r="AM62" s="448">
        <f t="shared" si="30"/>
        <v>1389364.2877879296</v>
      </c>
      <c r="AN62" s="336">
        <f t="shared" si="20"/>
        <v>3.2</v>
      </c>
      <c r="AO62" s="448">
        <f t="shared" si="31"/>
        <v>1348219.0738561002</v>
      </c>
      <c r="AP62" s="448">
        <f t="shared" si="31"/>
        <v>1391445.8256261898</v>
      </c>
      <c r="AQ62" s="452">
        <f t="shared" si="22"/>
        <v>3.2</v>
      </c>
      <c r="AR62" s="502"/>
      <c r="AS62" s="507"/>
      <c r="AT62" s="506"/>
    </row>
    <row r="63" spans="1:46" s="510" customFormat="1" ht="20.100000000000001" customHeight="1" x14ac:dyDescent="0.3">
      <c r="A63" s="467"/>
      <c r="B63" s="439"/>
      <c r="C63" s="440"/>
      <c r="D63" s="438"/>
      <c r="E63" s="439"/>
      <c r="F63" s="440"/>
      <c r="G63" s="438"/>
      <c r="H63" s="439"/>
      <c r="I63" s="440"/>
      <c r="J63" s="438"/>
      <c r="K63" s="439"/>
      <c r="L63" s="440"/>
      <c r="M63" s="454"/>
      <c r="N63" s="439"/>
      <c r="O63" s="440"/>
      <c r="P63" s="438"/>
      <c r="Q63" s="439"/>
      <c r="R63" s="440"/>
      <c r="S63" s="438"/>
      <c r="T63" s="439"/>
      <c r="U63" s="440"/>
      <c r="V63" s="438"/>
      <c r="W63" s="439"/>
      <c r="X63" s="440"/>
      <c r="Y63" s="438"/>
      <c r="Z63" s="439"/>
      <c r="AA63" s="440"/>
      <c r="AB63" s="438"/>
      <c r="AC63" s="439"/>
      <c r="AD63" s="440"/>
      <c r="AE63" s="438"/>
      <c r="AF63" s="439"/>
      <c r="AG63" s="440"/>
      <c r="AH63" s="438"/>
      <c r="AI63" s="439"/>
      <c r="AJ63" s="440"/>
      <c r="AK63" s="438"/>
      <c r="AL63" s="455"/>
      <c r="AM63" s="455"/>
      <c r="AN63" s="438"/>
      <c r="AO63" s="455"/>
      <c r="AP63" s="455"/>
      <c r="AQ63" s="456"/>
      <c r="AR63" s="508"/>
      <c r="AS63" s="508"/>
      <c r="AT63" s="509"/>
    </row>
    <row r="64" spans="1:46" s="510" customFormat="1" ht="20.100000000000001" customHeight="1" x14ac:dyDescent="0.3">
      <c r="A64" s="467" t="s">
        <v>243</v>
      </c>
      <c r="B64" s="439">
        <v>18585.099999999999</v>
      </c>
      <c r="C64" s="440">
        <f>SUM(C29+C62)</f>
        <v>18635.528999999999</v>
      </c>
      <c r="D64" s="438">
        <f>IF(B64=0, "    ---- ", IF(ABS(ROUND(100/B64*C64-100,1))&lt;999,ROUND(100/B64*C64-100,1),IF(ROUND(100/B64*C64-100,1)&gt;999,999,-999)))</f>
        <v>0.3</v>
      </c>
      <c r="E64" s="439">
        <v>316531.90000000002</v>
      </c>
      <c r="F64" s="440">
        <f>SUM(F29+F62)</f>
        <v>315114.49299999996</v>
      </c>
      <c r="G64" s="438">
        <f t="shared" si="16"/>
        <v>-0.4</v>
      </c>
      <c r="H64" s="439">
        <v>4583.5</v>
      </c>
      <c r="I64" s="440">
        <f>SUM(I29+I62)</f>
        <v>4770.8999999999996</v>
      </c>
      <c r="J64" s="438">
        <f>IF(H64=0, "    ---- ", IF(ABS(ROUND(100/H64*I64-100,1))&lt;999,ROUND(100/H64*I64-100,1),IF(ROUND(100/H64*I64-100,1)&gt;999,999,-999)))</f>
        <v>4.0999999999999996</v>
      </c>
      <c r="K64" s="439">
        <v>29891</v>
      </c>
      <c r="L64" s="440">
        <f>SUM(L29+L62)</f>
        <v>32370.343999999994</v>
      </c>
      <c r="M64" s="454">
        <f>IF(K64=0, "    ---- ", IF(ABS(ROUND(100/K64*L64-100,1))&lt;999,ROUND(100/K64*L64-100,1),IF(ROUND(100/K64*L64-100,1)&gt;999,999,-999)))</f>
        <v>8.3000000000000007</v>
      </c>
      <c r="N64" s="439">
        <v>141</v>
      </c>
      <c r="O64" s="440">
        <f>SUM(O29+O62)</f>
        <v>145</v>
      </c>
      <c r="P64" s="438">
        <f>IF(N64=0, "    ---- ", IF(ABS(ROUND(100/N64*O64-100,1))&lt;999,ROUND(100/N64*O64-100,1),IF(ROUND(100/N64*O64-100,1)&gt;999,999,-999)))</f>
        <v>2.8</v>
      </c>
      <c r="Q64" s="439">
        <v>534784.30000000005</v>
      </c>
      <c r="R64" s="440">
        <f>SUM(R29+R62)</f>
        <v>558719.23128207994</v>
      </c>
      <c r="S64" s="438">
        <f>IF(Q64=0, "    ---- ", IF(ABS(ROUND(100/Q64*R64-100,1))&lt;999,ROUND(100/Q64*R64-100,1),IF(ROUND(100/Q64*R64-100,1)&gt;999,999,-999)))</f>
        <v>4.5</v>
      </c>
      <c r="T64" s="439">
        <v>4869.3</v>
      </c>
      <c r="U64" s="440">
        <f>SUM(U29+U62)</f>
        <v>5600.7999999999993</v>
      </c>
      <c r="V64" s="438">
        <f>IF(T64=0, "    ---- ", IF(ABS(ROUND(100/T64*U64-100,1))&lt;999,ROUND(100/T64*U64-100,1),IF(ROUND(100/T64*U64-100,1)&gt;999,999,-999)))</f>
        <v>15</v>
      </c>
      <c r="W64" s="439">
        <v>118890.49</v>
      </c>
      <c r="X64" s="440">
        <f>SUM(X29+X62)</f>
        <v>120536.5960890399</v>
      </c>
      <c r="Y64" s="438">
        <f t="shared" si="17"/>
        <v>1.4</v>
      </c>
      <c r="Z64" s="439">
        <v>92126</v>
      </c>
      <c r="AA64" s="440">
        <f>SUM(AA29+AA62)</f>
        <v>96025</v>
      </c>
      <c r="AB64" s="438">
        <f>IF(Z64=0, "    ---- ", IF(ABS(ROUND(100/Z64*AA64-100,1))&lt;999,ROUND(100/Z64*AA64-100,1),IF(ROUND(100/Z64*AA64-100,1)&gt;999,999,-999)))</f>
        <v>4.2</v>
      </c>
      <c r="AC64" s="439">
        <v>2136</v>
      </c>
      <c r="AD64" s="440">
        <f>SUM(AD29+AD62)</f>
        <v>2143.8816067500002</v>
      </c>
      <c r="AE64" s="438">
        <f>IF(AC64=0, "    ---- ", IF(ABS(ROUND(100/AC64*AD64-100,1))&lt;999,ROUND(100/AC64*AD64-100,1),IF(ROUND(100/AC64*AD64-100,1)&gt;999,999,-999)))</f>
        <v>0.4</v>
      </c>
      <c r="AF64" s="439">
        <v>54680.9</v>
      </c>
      <c r="AG64" s="440">
        <f>SUM(AG29+AG62)</f>
        <v>58561.275000000009</v>
      </c>
      <c r="AH64" s="438">
        <f t="shared" si="18"/>
        <v>7.1</v>
      </c>
      <c r="AI64" s="439">
        <v>304473</v>
      </c>
      <c r="AJ64" s="440">
        <f>SUM(AJ29+AJ62)</f>
        <v>320950.59999999998</v>
      </c>
      <c r="AK64" s="438">
        <f t="shared" si="25"/>
        <v>5.4</v>
      </c>
      <c r="AL64" s="457">
        <f>B64+E64+H64+K64+Q64+T64+W64+Z64+AF64+AI64</f>
        <v>1479415.49</v>
      </c>
      <c r="AM64" s="457">
        <f>C64+F64+I64+L64+R64+U64+X64+AA64+AG64+AJ64</f>
        <v>1531284.7683711196</v>
      </c>
      <c r="AN64" s="438">
        <f t="shared" si="20"/>
        <v>3.5</v>
      </c>
      <c r="AO64" s="457">
        <f>B64+E64+H64+K64+N64+Q64+T64+W64+Z64+AC64+AF64+AI64</f>
        <v>1481692.49</v>
      </c>
      <c r="AP64" s="457">
        <f>C64+F64+I64+L64+O64+R64+U64+X64+AA64+AD64+AG64+AJ64</f>
        <v>1533573.6499778698</v>
      </c>
      <c r="AQ64" s="456">
        <f t="shared" si="22"/>
        <v>3.5</v>
      </c>
      <c r="AR64" s="508"/>
      <c r="AS64" s="508"/>
      <c r="AT64" s="506"/>
    </row>
    <row r="65" spans="1:46" s="475" customFormat="1" ht="20.100000000000001" customHeight="1" x14ac:dyDescent="0.3">
      <c r="A65" s="471"/>
      <c r="B65" s="453"/>
      <c r="C65" s="451"/>
      <c r="D65" s="336"/>
      <c r="E65" s="453"/>
      <c r="F65" s="451"/>
      <c r="G65" s="336"/>
      <c r="H65" s="453"/>
      <c r="I65" s="451"/>
      <c r="J65" s="336"/>
      <c r="K65" s="453"/>
      <c r="L65" s="451"/>
      <c r="M65" s="433"/>
      <c r="N65" s="453"/>
      <c r="O65" s="451"/>
      <c r="P65" s="336"/>
      <c r="Q65" s="453"/>
      <c r="R65" s="451"/>
      <c r="S65" s="336"/>
      <c r="T65" s="453"/>
      <c r="U65" s="451"/>
      <c r="V65" s="336"/>
      <c r="W65" s="453"/>
      <c r="X65" s="451"/>
      <c r="Y65" s="336"/>
      <c r="Z65" s="453"/>
      <c r="AA65" s="451"/>
      <c r="AB65" s="336"/>
      <c r="AC65" s="453"/>
      <c r="AD65" s="451"/>
      <c r="AE65" s="336"/>
      <c r="AF65" s="453"/>
      <c r="AG65" s="451"/>
      <c r="AH65" s="336"/>
      <c r="AI65" s="453"/>
      <c r="AJ65" s="451"/>
      <c r="AK65" s="336"/>
      <c r="AL65" s="436"/>
      <c r="AM65" s="436"/>
      <c r="AN65" s="336"/>
      <c r="AO65" s="436"/>
      <c r="AP65" s="436"/>
      <c r="AQ65" s="452"/>
      <c r="AR65" s="502"/>
      <c r="AS65" s="502"/>
      <c r="AT65" s="506"/>
    </row>
    <row r="66" spans="1:46" s="475" customFormat="1" ht="20.100000000000001" customHeight="1" x14ac:dyDescent="0.3">
      <c r="A66" s="467" t="s">
        <v>244</v>
      </c>
      <c r="B66" s="453"/>
      <c r="C66" s="451"/>
      <c r="D66" s="336"/>
      <c r="E66" s="453"/>
      <c r="F66" s="451"/>
      <c r="G66" s="336"/>
      <c r="H66" s="453"/>
      <c r="I66" s="451"/>
      <c r="J66" s="336"/>
      <c r="K66" s="453"/>
      <c r="L66" s="451"/>
      <c r="M66" s="433"/>
      <c r="N66" s="453"/>
      <c r="O66" s="451"/>
      <c r="P66" s="336"/>
      <c r="Q66" s="453"/>
      <c r="R66" s="451"/>
      <c r="S66" s="336"/>
      <c r="T66" s="453"/>
      <c r="U66" s="451"/>
      <c r="V66" s="336"/>
      <c r="W66" s="453"/>
      <c r="X66" s="451"/>
      <c r="Y66" s="336"/>
      <c r="Z66" s="453"/>
      <c r="AA66" s="451"/>
      <c r="AB66" s="336"/>
      <c r="AC66" s="453"/>
      <c r="AD66" s="451"/>
      <c r="AE66" s="336"/>
      <c r="AF66" s="453"/>
      <c r="AG66" s="451"/>
      <c r="AH66" s="336"/>
      <c r="AI66" s="453"/>
      <c r="AJ66" s="451"/>
      <c r="AK66" s="336"/>
      <c r="AL66" s="436"/>
      <c r="AM66" s="436"/>
      <c r="AN66" s="336"/>
      <c r="AO66" s="436"/>
      <c r="AP66" s="436"/>
      <c r="AQ66" s="452"/>
      <c r="AR66" s="502"/>
      <c r="AS66" s="502"/>
      <c r="AT66" s="506"/>
    </row>
    <row r="67" spans="1:46" s="475" customFormat="1" ht="20.100000000000001" customHeight="1" x14ac:dyDescent="0.3">
      <c r="A67" s="467"/>
      <c r="B67" s="453"/>
      <c r="C67" s="451"/>
      <c r="D67" s="336"/>
      <c r="E67" s="453"/>
      <c r="F67" s="451"/>
      <c r="G67" s="336"/>
      <c r="H67" s="453"/>
      <c r="I67" s="451"/>
      <c r="J67" s="336"/>
      <c r="K67" s="453"/>
      <c r="L67" s="451"/>
      <c r="M67" s="433"/>
      <c r="N67" s="453"/>
      <c r="O67" s="451"/>
      <c r="P67" s="336"/>
      <c r="Q67" s="453"/>
      <c r="R67" s="451"/>
      <c r="S67" s="336"/>
      <c r="T67" s="453"/>
      <c r="U67" s="451"/>
      <c r="V67" s="336"/>
      <c r="W67" s="453"/>
      <c r="X67" s="451"/>
      <c r="Y67" s="336"/>
      <c r="Z67" s="453"/>
      <c r="AA67" s="451"/>
      <c r="AB67" s="336"/>
      <c r="AC67" s="453"/>
      <c r="AD67" s="451"/>
      <c r="AE67" s="336"/>
      <c r="AF67" s="453"/>
      <c r="AG67" s="451"/>
      <c r="AH67" s="336"/>
      <c r="AI67" s="453"/>
      <c r="AJ67" s="451"/>
      <c r="AK67" s="336"/>
      <c r="AL67" s="436"/>
      <c r="AM67" s="436"/>
      <c r="AN67" s="336"/>
      <c r="AO67" s="436"/>
      <c r="AP67" s="436"/>
      <c r="AQ67" s="452"/>
      <c r="AR67" s="502"/>
      <c r="AS67" s="502"/>
      <c r="AT67" s="506"/>
    </row>
    <row r="68" spans="1:46" s="475" customFormat="1" ht="20.100000000000001" customHeight="1" x14ac:dyDescent="0.3">
      <c r="A68" s="469" t="s">
        <v>245</v>
      </c>
      <c r="B68" s="453">
        <v>141.16</v>
      </c>
      <c r="C68" s="451">
        <v>141.16</v>
      </c>
      <c r="D68" s="336">
        <f>IF(B68=0, "    ---- ", IF(ABS(ROUND(100/B68*C68-100,1))&lt;999,ROUND(100/B68*C68-100,1),IF(ROUND(100/B68*C68-100,1)&gt;999,999,-999)))</f>
        <v>0</v>
      </c>
      <c r="E68" s="453">
        <v>7765.924</v>
      </c>
      <c r="F68" s="451">
        <v>7765.924</v>
      </c>
      <c r="G68" s="336">
        <f t="shared" si="16"/>
        <v>0</v>
      </c>
      <c r="H68" s="453">
        <v>175</v>
      </c>
      <c r="I68" s="451">
        <v>175</v>
      </c>
      <c r="J68" s="336">
        <f>IF(H68=0, "    ---- ", IF(ABS(ROUND(100/H68*I68-100,1))&lt;999,ROUND(100/H68*I68-100,1),IF(ROUND(100/H68*I68-100,1)&gt;999,999,-999)))</f>
        <v>0</v>
      </c>
      <c r="K68" s="453">
        <v>120</v>
      </c>
      <c r="L68" s="451">
        <v>120.77500000000001</v>
      </c>
      <c r="M68" s="433">
        <f>IF(K68=0, "    ---- ", IF(ABS(ROUND(100/K68*L68-100,1))&lt;999,ROUND(100/K68*L68-100,1),IF(ROUND(100/K68*L68-100,1)&gt;999,999,-999)))</f>
        <v>0.6</v>
      </c>
      <c r="N68" s="453">
        <v>5</v>
      </c>
      <c r="O68" s="451">
        <v>5</v>
      </c>
      <c r="P68" s="336">
        <f>IF(N68=0, "    ---- ", IF(ABS(ROUND(100/N68*O68-100,1))&lt;999,ROUND(100/N68*O68-100,1),IF(ROUND(100/N68*O68-100,1)&gt;999,999,-999)))</f>
        <v>0</v>
      </c>
      <c r="Q68" s="453">
        <v>13125.019538</v>
      </c>
      <c r="R68" s="451">
        <v>14553.649068000001</v>
      </c>
      <c r="S68" s="336">
        <f t="shared" ref="S68:S79" si="34">IF(Q68=0, "    ---- ", IF(ABS(ROUND(100/Q68*R68-100,1))&lt;999,ROUND(100/Q68*R68-100,1),IF(ROUND(100/Q68*R68-100,1)&gt;999,999,-999)))</f>
        <v>10.9</v>
      </c>
      <c r="T68" s="453">
        <v>741.3</v>
      </c>
      <c r="U68" s="451">
        <v>741.3</v>
      </c>
      <c r="V68" s="336">
        <f>IF(T68=0, "    ---- ", IF(ABS(ROUND(100/T68*U68-100,1))&lt;999,ROUND(100/T68*U68-100,1),IF(ROUND(100/T68*U68-100,1)&gt;999,999,-999)))</f>
        <v>0</v>
      </c>
      <c r="W68" s="453">
        <v>1126.76</v>
      </c>
      <c r="X68" s="451">
        <v>1126.76</v>
      </c>
      <c r="Y68" s="336">
        <f t="shared" si="17"/>
        <v>0</v>
      </c>
      <c r="Z68" s="453">
        <v>1430</v>
      </c>
      <c r="AA68" s="451">
        <v>1430</v>
      </c>
      <c r="AB68" s="336">
        <f>IF(Z68=0, "    ---- ", IF(ABS(ROUND(100/Z68*AA68-100,1))&lt;999,ROUND(100/Z68*AA68-100,1),IF(ROUND(100/Z68*AA68-100,1)&gt;999,999,-999)))</f>
        <v>0</v>
      </c>
      <c r="AC68" s="453">
        <v>49</v>
      </c>
      <c r="AD68" s="451">
        <v>49</v>
      </c>
      <c r="AE68" s="336">
        <f>IF(AC68=0, "    ---- ", IF(ABS(ROUND(100/AC68*AD68-100,1))&lt;999,ROUND(100/AC68*AD68-100,1),IF(ROUND(100/AC68*AD68-100,1)&gt;999,999,-999)))</f>
        <v>0</v>
      </c>
      <c r="AF68" s="453">
        <v>2696.0329999999999</v>
      </c>
      <c r="AG68" s="451">
        <v>2702.741</v>
      </c>
      <c r="AH68" s="336">
        <f t="shared" si="18"/>
        <v>0.2</v>
      </c>
      <c r="AI68" s="453">
        <v>13251</v>
      </c>
      <c r="AJ68" s="451">
        <v>13335</v>
      </c>
      <c r="AK68" s="336">
        <f t="shared" si="25"/>
        <v>0.6</v>
      </c>
      <c r="AL68" s="448">
        <f t="shared" ref="AL68:AM91" si="35">B68+E68+H68+K68+Q68+T68+W68+Z68+AF68+AI68</f>
        <v>40572.196537999997</v>
      </c>
      <c r="AM68" s="448">
        <f t="shared" si="35"/>
        <v>42092.309068000002</v>
      </c>
      <c r="AN68" s="336">
        <f t="shared" si="20"/>
        <v>3.7</v>
      </c>
      <c r="AO68" s="448">
        <f t="shared" ref="AO68:AP71" si="36">B68+E68+H68+K68+N68+Q68+T68+W68+Z68+AC68+AF68+AI68</f>
        <v>40626.196537999997</v>
      </c>
      <c r="AP68" s="448">
        <f t="shared" si="36"/>
        <v>42146.309068000002</v>
      </c>
      <c r="AQ68" s="452">
        <f t="shared" si="22"/>
        <v>3.7</v>
      </c>
      <c r="AR68" s="502"/>
      <c r="AS68" s="502"/>
      <c r="AT68" s="506"/>
    </row>
    <row r="69" spans="1:46" s="475" customFormat="1" ht="20.100000000000001" customHeight="1" x14ac:dyDescent="0.3">
      <c r="A69" s="469" t="s">
        <v>246</v>
      </c>
      <c r="B69" s="453">
        <v>310.15899999999999</v>
      </c>
      <c r="C69" s="451">
        <v>359.65899999999999</v>
      </c>
      <c r="D69" s="336">
        <f>IF(B69=0, "    ---- ", IF(ABS(ROUND(100/B69*C69-100,1))&lt;999,ROUND(100/B69*C69-100,1),IF(ROUND(100/B69*C69-100,1)&gt;999,999,-999)))</f>
        <v>16</v>
      </c>
      <c r="E69" s="453">
        <v>16812.458999999999</v>
      </c>
      <c r="F69" s="451">
        <v>15375.630999999999</v>
      </c>
      <c r="G69" s="336">
        <f t="shared" si="16"/>
        <v>-8.5</v>
      </c>
      <c r="H69" s="453">
        <v>127.369</v>
      </c>
      <c r="I69" s="451">
        <v>185.3</v>
      </c>
      <c r="J69" s="336">
        <f>IF(H69=0, "    ---- ", IF(ABS(ROUND(100/H69*I69-100,1))&lt;999,ROUND(100/H69*I69-100,1),IF(ROUND(100/H69*I69-100,1)&gt;999,999,-999)))</f>
        <v>45.5</v>
      </c>
      <c r="K69" s="453">
        <v>609</v>
      </c>
      <c r="L69" s="451">
        <v>633.22799999999995</v>
      </c>
      <c r="M69" s="433">
        <f>IF(K69=0, "    ---- ", IF(ABS(ROUND(100/K69*L69-100,1))&lt;999,ROUND(100/K69*L69-100,1),IF(ROUND(100/K69*L69-100,1)&gt;999,999,-999)))</f>
        <v>4</v>
      </c>
      <c r="N69" s="453">
        <v>69</v>
      </c>
      <c r="O69" s="451">
        <v>84</v>
      </c>
      <c r="P69" s="336">
        <f>IF(N69=0, "    ---- ", IF(ABS(ROUND(100/N69*O69-100,1))&lt;999,ROUND(100/N69*O69-100,1),IF(ROUND(100/N69*O69-100,1)&gt;999,999,-999)))</f>
        <v>21.7</v>
      </c>
      <c r="Q69" s="453">
        <v>17501.424049860001</v>
      </c>
      <c r="R69" s="451">
        <v>19281.17512308</v>
      </c>
      <c r="S69" s="336">
        <f t="shared" si="34"/>
        <v>10.199999999999999</v>
      </c>
      <c r="T69" s="453">
        <v>-218.7</v>
      </c>
      <c r="U69" s="451">
        <v>-239.1</v>
      </c>
      <c r="V69" s="336">
        <f>IF(T69=0, "    ---- ", IF(ABS(ROUND(100/T69*U69-100,1))&lt;999,ROUND(100/T69*U69-100,1),IF(ROUND(100/T69*U69-100,1)&gt;999,999,-999)))</f>
        <v>9.3000000000000007</v>
      </c>
      <c r="W69" s="453">
        <v>5982.68</v>
      </c>
      <c r="X69" s="451">
        <v>6421.95</v>
      </c>
      <c r="Y69" s="336">
        <f t="shared" si="17"/>
        <v>7.3</v>
      </c>
      <c r="Z69" s="453">
        <v>6584</v>
      </c>
      <c r="AA69" s="451">
        <v>7239</v>
      </c>
      <c r="AB69" s="336">
        <f>IF(Z69=0, "    ---- ", IF(ABS(ROUND(100/Z69*AA69-100,1))&lt;999,ROUND(100/Z69*AA69-100,1),IF(ROUND(100/Z69*AA69-100,1)&gt;999,999,-999)))</f>
        <v>9.9</v>
      </c>
      <c r="AC69" s="453">
        <v>-7</v>
      </c>
      <c r="AD69" s="451">
        <v>4.8595581799999996</v>
      </c>
      <c r="AE69" s="336">
        <f>IF(AC69=0, "    ---- ", IF(ABS(ROUND(100/AC69*AD69-100,1))&lt;999,ROUND(100/AC69*AD69-100,1),IF(ROUND(100/AC69*AD69-100,1)&gt;999,999,-999)))</f>
        <v>-169.4</v>
      </c>
      <c r="AF69" s="453">
        <v>878.57299999999998</v>
      </c>
      <c r="AG69" s="451">
        <v>1560.7940000000001</v>
      </c>
      <c r="AH69" s="336">
        <f t="shared" si="18"/>
        <v>77.7</v>
      </c>
      <c r="AI69" s="453">
        <v>11564</v>
      </c>
      <c r="AJ69" s="451">
        <v>12045</v>
      </c>
      <c r="AK69" s="336">
        <f t="shared" si="25"/>
        <v>4.2</v>
      </c>
      <c r="AL69" s="448">
        <f t="shared" si="35"/>
        <v>60150.964049859998</v>
      </c>
      <c r="AM69" s="448">
        <f t="shared" si="35"/>
        <v>62862.63712308</v>
      </c>
      <c r="AN69" s="336">
        <f t="shared" si="20"/>
        <v>4.5</v>
      </c>
      <c r="AO69" s="448">
        <f t="shared" si="36"/>
        <v>60212.964049859998</v>
      </c>
      <c r="AP69" s="448">
        <f t="shared" si="36"/>
        <v>62951.496681259996</v>
      </c>
      <c r="AQ69" s="452">
        <f t="shared" si="22"/>
        <v>4.5</v>
      </c>
      <c r="AR69" s="502"/>
      <c r="AS69" s="502"/>
      <c r="AT69" s="506"/>
    </row>
    <row r="70" spans="1:46" s="475" customFormat="1" ht="20.100000000000001" customHeight="1" x14ac:dyDescent="0.3">
      <c r="A70" s="469" t="s">
        <v>247</v>
      </c>
      <c r="B70" s="453"/>
      <c r="C70" s="451"/>
      <c r="D70" s="336"/>
      <c r="E70" s="453">
        <v>526.08000000000004</v>
      </c>
      <c r="F70" s="451">
        <v>600.71199999999999</v>
      </c>
      <c r="G70" s="336">
        <f>IF(E70=0, "    ---- ", IF(ABS(ROUND(100/E70*F70-100,1))&lt;999,ROUND(100/E70*F70-100,1),IF(ROUND(100/E70*F70-100,1)&gt;999,999,-999)))</f>
        <v>14.2</v>
      </c>
      <c r="H70" s="453"/>
      <c r="I70" s="451"/>
      <c r="J70" s="336"/>
      <c r="K70" s="453"/>
      <c r="L70" s="451">
        <v>15.253</v>
      </c>
      <c r="M70" s="336" t="str">
        <f>IF(K70=0, "    ---- ", IF(ABS(ROUND(100/K70*L70-100,1))&lt;999,ROUND(100/K70*L70-100,1),IF(ROUND(100/K70*L70-100,1)&gt;999,999,-999)))</f>
        <v xml:space="preserve">    ---- </v>
      </c>
      <c r="N70" s="453"/>
      <c r="O70" s="451"/>
      <c r="P70" s="336"/>
      <c r="Q70" s="453">
        <v>4154.3046469999999</v>
      </c>
      <c r="R70" s="451">
        <v>4793.4912539999996</v>
      </c>
      <c r="S70" s="336">
        <f t="shared" si="34"/>
        <v>15.4</v>
      </c>
      <c r="T70" s="453">
        <v>1.7</v>
      </c>
      <c r="U70" s="451">
        <v>3.4</v>
      </c>
      <c r="V70" s="336">
        <f>IF(T70=0, "    ---- ", IF(ABS(ROUND(100/T70*U70-100,1))&lt;999,ROUND(100/T70*U70-100,1),IF(ROUND(100/T70*U70-100,1)&gt;999,999,-999)))</f>
        <v>100</v>
      </c>
      <c r="W70" s="453">
        <v>103.37</v>
      </c>
      <c r="X70" s="451">
        <v>66.28</v>
      </c>
      <c r="Y70" s="336">
        <f t="shared" si="17"/>
        <v>-35.9</v>
      </c>
      <c r="Z70" s="453">
        <v>1356</v>
      </c>
      <c r="AA70" s="451">
        <v>1622</v>
      </c>
      <c r="AB70" s="336">
        <f>IF(Z70=0, "    ---- ", IF(ABS(ROUND(100/Z70*AA70-100,1))&lt;999,ROUND(100/Z70*AA70-100,1),IF(ROUND(100/Z70*AA70-100,1)&gt;999,999,-999)))</f>
        <v>19.600000000000001</v>
      </c>
      <c r="AC70" s="453"/>
      <c r="AD70" s="451"/>
      <c r="AE70" s="336"/>
      <c r="AF70" s="453">
        <v>41.637</v>
      </c>
      <c r="AG70" s="451">
        <v>79.010999999999996</v>
      </c>
      <c r="AH70" s="336">
        <f>IF(AF70=0, "    ---- ", IF(ABS(ROUND(100/AF70*AG70-100,1))&lt;999,ROUND(100/AF70*AG70-100,1),IF(ROUND(100/AF70*AG70-100,1)&gt;999,999,-999)))</f>
        <v>89.8</v>
      </c>
      <c r="AI70" s="453">
        <v>143</v>
      </c>
      <c r="AJ70" s="451">
        <v>234</v>
      </c>
      <c r="AK70" s="336">
        <f t="shared" si="25"/>
        <v>63.6</v>
      </c>
      <c r="AL70" s="448">
        <f t="shared" si="35"/>
        <v>6326.0916469999993</v>
      </c>
      <c r="AM70" s="448">
        <f t="shared" si="35"/>
        <v>7414.1472539999995</v>
      </c>
      <c r="AN70" s="336">
        <f t="shared" si="20"/>
        <v>17.2</v>
      </c>
      <c r="AO70" s="448">
        <f t="shared" si="36"/>
        <v>6326.0916469999993</v>
      </c>
      <c r="AP70" s="448">
        <f t="shared" si="36"/>
        <v>7414.1472539999995</v>
      </c>
      <c r="AQ70" s="452">
        <f t="shared" si="22"/>
        <v>17.2</v>
      </c>
      <c r="AR70" s="502"/>
      <c r="AS70" s="502"/>
      <c r="AT70" s="506"/>
    </row>
    <row r="71" spans="1:46" s="475" customFormat="1" ht="20.100000000000001" customHeight="1" x14ac:dyDescent="0.3">
      <c r="A71" s="469" t="s">
        <v>248</v>
      </c>
      <c r="B71" s="453"/>
      <c r="C71" s="451"/>
      <c r="D71" s="336"/>
      <c r="E71" s="453">
        <v>5500</v>
      </c>
      <c r="F71" s="451">
        <v>7000</v>
      </c>
      <c r="G71" s="336">
        <f t="shared" si="16"/>
        <v>27.3</v>
      </c>
      <c r="H71" s="453"/>
      <c r="I71" s="451"/>
      <c r="J71" s="336"/>
      <c r="K71" s="453">
        <v>300</v>
      </c>
      <c r="L71" s="451">
        <v>299.68799999999999</v>
      </c>
      <c r="M71" s="336">
        <f>IF(K71=0, "    ---- ", IF(ABS(ROUND(100/K71*L71-100,1))&lt;999,ROUND(100/K71*L71-100,1),IF(ROUND(100/K71*L71-100,1)&gt;999,999,-999)))</f>
        <v>-0.1</v>
      </c>
      <c r="N71" s="453"/>
      <c r="O71" s="451"/>
      <c r="P71" s="336"/>
      <c r="Q71" s="453">
        <v>7511.0172832799999</v>
      </c>
      <c r="R71" s="451">
        <v>7690.78263126</v>
      </c>
      <c r="S71" s="336">
        <f t="shared" si="34"/>
        <v>2.4</v>
      </c>
      <c r="T71" s="453"/>
      <c r="U71" s="451"/>
      <c r="V71" s="336"/>
      <c r="W71" s="453">
        <v>2830</v>
      </c>
      <c r="X71" s="451">
        <v>2830</v>
      </c>
      <c r="Y71" s="336">
        <f t="shared" si="17"/>
        <v>0</v>
      </c>
      <c r="Z71" s="453">
        <v>1240</v>
      </c>
      <c r="AA71" s="451">
        <v>1240</v>
      </c>
      <c r="AB71" s="336">
        <f>IF(Z71=0, "    ---- ", IF(ABS(ROUND(100/Z71*AA71-100,1))&lt;999,ROUND(100/Z71*AA71-100,1),IF(ROUND(100/Z71*AA71-100,1)&gt;999,999,-999)))</f>
        <v>0</v>
      </c>
      <c r="AC71" s="453"/>
      <c r="AD71" s="451"/>
      <c r="AE71" s="336"/>
      <c r="AF71" s="453">
        <v>1000</v>
      </c>
      <c r="AG71" s="451">
        <v>1000</v>
      </c>
      <c r="AH71" s="336">
        <f t="shared" si="18"/>
        <v>0</v>
      </c>
      <c r="AI71" s="453">
        <v>8591</v>
      </c>
      <c r="AJ71" s="451">
        <v>7948</v>
      </c>
      <c r="AK71" s="336">
        <f t="shared" si="25"/>
        <v>-7.5</v>
      </c>
      <c r="AL71" s="448">
        <f t="shared" si="35"/>
        <v>26972.017283280002</v>
      </c>
      <c r="AM71" s="448">
        <f t="shared" si="35"/>
        <v>28008.470631259999</v>
      </c>
      <c r="AN71" s="336">
        <f t="shared" si="20"/>
        <v>3.8</v>
      </c>
      <c r="AO71" s="448">
        <f t="shared" si="36"/>
        <v>26972.017283280002</v>
      </c>
      <c r="AP71" s="448">
        <f t="shared" si="36"/>
        <v>28008.470631259999</v>
      </c>
      <c r="AQ71" s="452">
        <f t="shared" si="22"/>
        <v>3.8</v>
      </c>
      <c r="AR71" s="502"/>
      <c r="AT71" s="506"/>
    </row>
    <row r="72" spans="1:46" s="475" customFormat="1" ht="20.100000000000001" customHeight="1" x14ac:dyDescent="0.3">
      <c r="A72" s="469" t="s">
        <v>249</v>
      </c>
      <c r="B72" s="453"/>
      <c r="C72" s="451"/>
      <c r="D72" s="336"/>
      <c r="E72" s="453"/>
      <c r="F72" s="451"/>
      <c r="G72" s="336"/>
      <c r="H72" s="453"/>
      <c r="I72" s="451"/>
      <c r="J72" s="336"/>
      <c r="K72" s="453"/>
      <c r="L72" s="451"/>
      <c r="M72" s="433"/>
      <c r="N72" s="453"/>
      <c r="O72" s="451"/>
      <c r="P72" s="336"/>
      <c r="Q72" s="453"/>
      <c r="R72" s="451"/>
      <c r="S72" s="336"/>
      <c r="T72" s="453"/>
      <c r="U72" s="451"/>
      <c r="V72" s="336"/>
      <c r="W72" s="453"/>
      <c r="X72" s="451"/>
      <c r="Y72" s="336"/>
      <c r="Z72" s="453"/>
      <c r="AA72" s="451"/>
      <c r="AB72" s="336"/>
      <c r="AC72" s="453"/>
      <c r="AD72" s="451"/>
      <c r="AE72" s="336"/>
      <c r="AF72" s="453"/>
      <c r="AG72" s="451"/>
      <c r="AH72" s="336"/>
      <c r="AI72" s="453"/>
      <c r="AJ72" s="451"/>
      <c r="AK72" s="336"/>
      <c r="AL72" s="448"/>
      <c r="AM72" s="448"/>
      <c r="AN72" s="336"/>
      <c r="AO72" s="436"/>
      <c r="AP72" s="436"/>
      <c r="AQ72" s="452"/>
      <c r="AR72" s="502"/>
      <c r="AS72" s="502"/>
      <c r="AT72" s="506"/>
    </row>
    <row r="73" spans="1:46" s="475" customFormat="1" ht="20.100000000000001" customHeight="1" x14ac:dyDescent="0.3">
      <c r="A73" s="469" t="s">
        <v>492</v>
      </c>
      <c r="B73" s="453">
        <v>900.399</v>
      </c>
      <c r="C73" s="451">
        <v>1040.4770000000001</v>
      </c>
      <c r="D73" s="336">
        <f>IF(B73=0, "    ---- ", IF(ABS(ROUND(100/B73*C73-100,1))&lt;999,ROUND(100/B73*C73-100,1),IF(ROUND(100/B73*C73-100,1)&gt;999,999,-999)))</f>
        <v>15.6</v>
      </c>
      <c r="E73" s="453">
        <v>196564.073</v>
      </c>
      <c r="F73" s="451">
        <v>194741.092</v>
      </c>
      <c r="G73" s="336">
        <f t="shared" si="16"/>
        <v>-0.9</v>
      </c>
      <c r="H73" s="453">
        <v>811.947</v>
      </c>
      <c r="I73" s="451">
        <v>928.9</v>
      </c>
      <c r="J73" s="336">
        <f>IF(H73=0, "    ---- ", IF(ABS(ROUND(100/H73*I73-100,1))&lt;999,ROUND(100/H73*I73-100,1),IF(ROUND(100/H73*I73-100,1)&gt;999,999,-999)))</f>
        <v>14.4</v>
      </c>
      <c r="K73" s="453">
        <v>5785</v>
      </c>
      <c r="L73" s="451">
        <v>6336.2389999999996</v>
      </c>
      <c r="M73" s="433">
        <f>IF(K73=0, "    ---- ", IF(ABS(ROUND(100/K73*L73-100,1))&lt;999,ROUND(100/K73*L73-100,1),IF(ROUND(100/K73*L73-100,1)&gt;999,999,-999)))</f>
        <v>9.5</v>
      </c>
      <c r="N73" s="453">
        <v>58</v>
      </c>
      <c r="O73" s="451">
        <v>48</v>
      </c>
      <c r="P73" s="336">
        <f>IF(N73=0, "    ---- ", IF(ABS(ROUND(100/N73*O73-100,1))&lt;999,ROUND(100/N73*O73-100,1),IF(ROUND(100/N73*O73-100,1)&gt;999,999,-999)))</f>
        <v>-17.2</v>
      </c>
      <c r="Q73" s="453">
        <v>403901.95344452001</v>
      </c>
      <c r="R73" s="451">
        <v>431153.27171721001</v>
      </c>
      <c r="S73" s="336">
        <f t="shared" si="34"/>
        <v>6.7</v>
      </c>
      <c r="T73" s="453">
        <v>1476.6</v>
      </c>
      <c r="U73" s="451">
        <v>1529.6</v>
      </c>
      <c r="V73" s="336">
        <f>IF(T73=0, "    ---- ", IF(ABS(ROUND(100/T73*U73-100,1))&lt;999,ROUND(100/T73*U73-100,1),IF(ROUND(100/T73*U73-100,1)&gt;999,999,-999)))</f>
        <v>3.6</v>
      </c>
      <c r="W73" s="453">
        <v>45894.821552869398</v>
      </c>
      <c r="X73" s="451">
        <v>46306.426088999993</v>
      </c>
      <c r="Y73" s="336">
        <f t="shared" si="17"/>
        <v>0.9</v>
      </c>
      <c r="Z73" s="453">
        <v>60336</v>
      </c>
      <c r="AA73" s="451">
        <v>63589</v>
      </c>
      <c r="AB73" s="336">
        <f>IF(Z73=0, "    ---- ", IF(ABS(ROUND(100/Z73*AA73-100,1))&lt;999,ROUND(100/Z73*AA73-100,1),IF(ROUND(100/Z73*AA73-100,1)&gt;999,999,-999)))</f>
        <v>5.4</v>
      </c>
      <c r="AC73" s="453"/>
      <c r="AD73" s="451"/>
      <c r="AE73" s="336"/>
      <c r="AF73" s="453">
        <v>19345.955999999998</v>
      </c>
      <c r="AG73" s="451">
        <v>20470.989000000001</v>
      </c>
      <c r="AH73" s="336">
        <f t="shared" si="18"/>
        <v>5.8</v>
      </c>
      <c r="AI73" s="453">
        <v>169843</v>
      </c>
      <c r="AJ73" s="451">
        <v>171927.4</v>
      </c>
      <c r="AK73" s="336">
        <f t="shared" si="25"/>
        <v>1.2</v>
      </c>
      <c r="AL73" s="448">
        <f t="shared" si="35"/>
        <v>904859.74999738939</v>
      </c>
      <c r="AM73" s="448">
        <f t="shared" si="35"/>
        <v>938023.39480621007</v>
      </c>
      <c r="AN73" s="336">
        <f t="shared" si="20"/>
        <v>3.7</v>
      </c>
      <c r="AO73" s="448">
        <f t="shared" ref="AO73:AP79" si="37">B73+E73+H73+K73+N73+Q73+T73+W73+Z73+AC73+AF73+AI73</f>
        <v>904917.74999738939</v>
      </c>
      <c r="AP73" s="448">
        <f t="shared" si="37"/>
        <v>938071.39480621007</v>
      </c>
      <c r="AQ73" s="452">
        <f t="shared" si="22"/>
        <v>3.7</v>
      </c>
      <c r="AR73" s="502"/>
      <c r="AS73" s="502"/>
      <c r="AT73" s="506"/>
    </row>
    <row r="74" spans="1:46" s="475" customFormat="1" ht="20.100000000000001" customHeight="1" x14ac:dyDescent="0.3">
      <c r="A74" s="469" t="s">
        <v>250</v>
      </c>
      <c r="B74" s="453">
        <v>14.826000000000001</v>
      </c>
      <c r="C74" s="451">
        <v>15.728999999999999</v>
      </c>
      <c r="D74" s="336">
        <f>IF(B74=0, "    ---- ", IF(ABS(ROUND(100/B74*C74-100,1))&lt;999,ROUND(100/B74*C74-100,1),IF(ROUND(100/B74*C74-100,1)&gt;999,999,-999)))</f>
        <v>6.1</v>
      </c>
      <c r="E74" s="453">
        <v>7719.8959999999997</v>
      </c>
      <c r="F74" s="451">
        <v>7208.9260000000004</v>
      </c>
      <c r="G74" s="336">
        <f t="shared" si="16"/>
        <v>-6.6</v>
      </c>
      <c r="H74" s="453">
        <v>3.4990000000000001</v>
      </c>
      <c r="I74" s="451">
        <v>1.1000000000000001</v>
      </c>
      <c r="J74" s="336">
        <f>IF(H74=0, "    ---- ", IF(ABS(ROUND(100/H74*I74-100,1))&lt;999,ROUND(100/H74*I74-100,1),IF(ROUND(100/H74*I74-100,1)&gt;999,999,-999)))</f>
        <v>-68.599999999999994</v>
      </c>
      <c r="K74" s="453">
        <v>176</v>
      </c>
      <c r="L74" s="451">
        <v>241.46600000000001</v>
      </c>
      <c r="M74" s="433">
        <f>IF(K74=0, "    ---- ", IF(ABS(ROUND(100/K74*L74-100,1))&lt;999,ROUND(100/K74*L74-100,1),IF(ROUND(100/K74*L74-100,1)&gt;999,999,-999)))</f>
        <v>37.200000000000003</v>
      </c>
      <c r="N74" s="453"/>
      <c r="O74" s="451"/>
      <c r="P74" s="336"/>
      <c r="Q74" s="453">
        <v>25399.371749000002</v>
      </c>
      <c r="R74" s="451">
        <v>28206.462697999999</v>
      </c>
      <c r="S74" s="336">
        <f t="shared" si="34"/>
        <v>11.1</v>
      </c>
      <c r="T74" s="453">
        <v>106.3</v>
      </c>
      <c r="U74" s="451">
        <v>111.4</v>
      </c>
      <c r="V74" s="336">
        <f>IF(T74=0, "    ---- ", IF(ABS(ROUND(100/T74*U74-100,1))&lt;999,ROUND(100/T74*U74-100,1),IF(ROUND(100/T74*U74-100,1)&gt;999,999,-999)))</f>
        <v>4.8</v>
      </c>
      <c r="W74" s="453">
        <v>1640.18</v>
      </c>
      <c r="X74" s="451">
        <v>2096.8000000000002</v>
      </c>
      <c r="Y74" s="336">
        <f t="shared" si="17"/>
        <v>27.8</v>
      </c>
      <c r="Z74" s="453">
        <v>7101</v>
      </c>
      <c r="AA74" s="451">
        <v>7492</v>
      </c>
      <c r="AB74" s="336">
        <f>IF(Z74=0, "    ---- ", IF(ABS(ROUND(100/Z74*AA74-100,1))&lt;999,ROUND(100/Z74*AA74-100,1),IF(ROUND(100/Z74*AA74-100,1)&gt;999,999,-999)))</f>
        <v>5.5</v>
      </c>
      <c r="AC74" s="453"/>
      <c r="AD74" s="451"/>
      <c r="AE74" s="336"/>
      <c r="AF74" s="453">
        <v>842.38800000000003</v>
      </c>
      <c r="AG74" s="451">
        <v>983.89599999999996</v>
      </c>
      <c r="AH74" s="336">
        <f t="shared" si="18"/>
        <v>16.8</v>
      </c>
      <c r="AI74" s="453">
        <v>8254</v>
      </c>
      <c r="AJ74" s="451">
        <v>8494.4</v>
      </c>
      <c r="AK74" s="336">
        <f t="shared" si="25"/>
        <v>2.9</v>
      </c>
      <c r="AL74" s="448">
        <f t="shared" si="35"/>
        <v>51257.460749000005</v>
      </c>
      <c r="AM74" s="448">
        <f t="shared" si="35"/>
        <v>54852.179698000007</v>
      </c>
      <c r="AN74" s="336">
        <f t="shared" si="20"/>
        <v>7</v>
      </c>
      <c r="AO74" s="448">
        <f t="shared" si="37"/>
        <v>51257.460749000005</v>
      </c>
      <c r="AP74" s="448">
        <f t="shared" si="37"/>
        <v>54852.179698000007</v>
      </c>
      <c r="AQ74" s="452">
        <f t="shared" si="22"/>
        <v>7</v>
      </c>
      <c r="AR74" s="502"/>
      <c r="AS74" s="502"/>
      <c r="AT74" s="506"/>
    </row>
    <row r="75" spans="1:46" s="475" customFormat="1" ht="20.100000000000001" customHeight="1" x14ac:dyDescent="0.3">
      <c r="A75" s="469" t="s">
        <v>251</v>
      </c>
      <c r="B75" s="453">
        <v>39.386000000000003</v>
      </c>
      <c r="C75" s="451">
        <v>24.704999999999998</v>
      </c>
      <c r="D75" s="336">
        <f>IF(B75=0, "    ---- ", IF(ABS(ROUND(100/B75*C75-100,1))&lt;999,ROUND(100/B75*C75-100,1),IF(ROUND(100/B75*C75-100,1)&gt;999,999,-999)))</f>
        <v>-37.299999999999997</v>
      </c>
      <c r="E75" s="453">
        <v>3261.951</v>
      </c>
      <c r="F75" s="451">
        <v>1456.796</v>
      </c>
      <c r="G75" s="336">
        <f t="shared" si="16"/>
        <v>-55.3</v>
      </c>
      <c r="H75" s="453"/>
      <c r="I75" s="451"/>
      <c r="J75" s="336"/>
      <c r="K75" s="453">
        <v>55</v>
      </c>
      <c r="L75" s="451">
        <v>5.7329999999999997</v>
      </c>
      <c r="M75" s="433">
        <f>IF(K75=0, "    ---- ", IF(ABS(ROUND(100/K75*L75-100,1))&lt;999,ROUND(100/K75*L75-100,1),IF(ROUND(100/K75*L75-100,1)&gt;999,999,-999)))</f>
        <v>-89.6</v>
      </c>
      <c r="N75" s="453"/>
      <c r="O75" s="451"/>
      <c r="P75" s="336"/>
      <c r="Q75" s="453">
        <v>42277.481306000001</v>
      </c>
      <c r="R75" s="451">
        <v>33439.041881999998</v>
      </c>
      <c r="S75" s="336">
        <f t="shared" si="34"/>
        <v>-20.9</v>
      </c>
      <c r="T75" s="453">
        <v>31</v>
      </c>
      <c r="U75" s="451">
        <v>7.9</v>
      </c>
      <c r="V75" s="336">
        <f>IF(T75=0, "    ---- ", IF(ABS(ROUND(100/T75*U75-100,1))&lt;999,ROUND(100/T75*U75-100,1),IF(ROUND(100/T75*U75-100,1)&gt;999,999,-999)))</f>
        <v>-74.5</v>
      </c>
      <c r="W75" s="453">
        <v>1378.66</v>
      </c>
      <c r="X75" s="451">
        <v>987.07</v>
      </c>
      <c r="Y75" s="336">
        <f t="shared" si="17"/>
        <v>-28.4</v>
      </c>
      <c r="Z75" s="453">
        <v>10933</v>
      </c>
      <c r="AA75" s="451">
        <v>9304</v>
      </c>
      <c r="AB75" s="336">
        <f>IF(Z75=0, "    ---- ", IF(ABS(ROUND(100/Z75*AA75-100,1))&lt;999,ROUND(100/Z75*AA75-100,1),IF(ROUND(100/Z75*AA75-100,1)&gt;999,999,-999)))</f>
        <v>-14.9</v>
      </c>
      <c r="AC75" s="453"/>
      <c r="AD75" s="451"/>
      <c r="AE75" s="336"/>
      <c r="AF75" s="453">
        <v>2286.9650000000001</v>
      </c>
      <c r="AG75" s="451">
        <v>1544.798</v>
      </c>
      <c r="AH75" s="336">
        <f t="shared" si="18"/>
        <v>-32.5</v>
      </c>
      <c r="AI75" s="453">
        <v>3707</v>
      </c>
      <c r="AJ75" s="451">
        <v>2245</v>
      </c>
      <c r="AK75" s="336">
        <f t="shared" si="25"/>
        <v>-39.4</v>
      </c>
      <c r="AL75" s="448">
        <f t="shared" si="35"/>
        <v>63970.443306000001</v>
      </c>
      <c r="AM75" s="448">
        <f t="shared" si="35"/>
        <v>49015.043881999998</v>
      </c>
      <c r="AN75" s="336">
        <f t="shared" si="20"/>
        <v>-23.4</v>
      </c>
      <c r="AO75" s="448">
        <f t="shared" si="37"/>
        <v>63970.443306000001</v>
      </c>
      <c r="AP75" s="448">
        <f t="shared" si="37"/>
        <v>49015.043881999998</v>
      </c>
      <c r="AQ75" s="452">
        <f t="shared" si="22"/>
        <v>-23.4</v>
      </c>
      <c r="AR75" s="502"/>
      <c r="AS75" s="502"/>
      <c r="AT75" s="506"/>
    </row>
    <row r="76" spans="1:46" s="475" customFormat="1" ht="20.100000000000001" customHeight="1" x14ac:dyDescent="0.3">
      <c r="A76" s="469" t="s">
        <v>493</v>
      </c>
      <c r="B76" s="453">
        <v>15.43</v>
      </c>
      <c r="C76" s="451">
        <v>15.872999999999999</v>
      </c>
      <c r="D76" s="336">
        <f>IF(B76=0, "    ---- ", IF(ABS(ROUND(100/B76*C76-100,1))&lt;999,ROUND(100/B76*C76-100,1),IF(ROUND(100/B76*C76-100,1)&gt;999,999,-999)))</f>
        <v>2.9</v>
      </c>
      <c r="E76" s="453">
        <v>925.06700000000001</v>
      </c>
      <c r="F76" s="451">
        <v>827.86099999999999</v>
      </c>
      <c r="G76" s="336">
        <f t="shared" si="16"/>
        <v>-10.5</v>
      </c>
      <c r="H76" s="453"/>
      <c r="I76" s="451"/>
      <c r="J76" s="336"/>
      <c r="K76" s="453">
        <v>2</v>
      </c>
      <c r="L76" s="451">
        <v>2.94</v>
      </c>
      <c r="M76" s="336">
        <f>IF(K76=0, "    ---- ", IF(ABS(ROUND(100/K76*L76-100,1))&lt;999,ROUND(100/K76*L76-100,1),IF(ROUND(100/K76*L76-100,1)&gt;999,999,-999)))</f>
        <v>47</v>
      </c>
      <c r="N76" s="453"/>
      <c r="O76" s="451"/>
      <c r="P76" s="336"/>
      <c r="Q76" s="453">
        <v>15205.937484</v>
      </c>
      <c r="R76" s="451">
        <v>12382.765036000001</v>
      </c>
      <c r="S76" s="336">
        <f t="shared" si="34"/>
        <v>-18.600000000000001</v>
      </c>
      <c r="T76" s="453">
        <v>30.3</v>
      </c>
      <c r="U76" s="451">
        <v>34.9</v>
      </c>
      <c r="V76" s="336">
        <f>IF(T76=0, "    ---- ", IF(ABS(ROUND(100/T76*U76-100,1))&lt;999,ROUND(100/T76*U76-100,1),IF(ROUND(100/T76*U76-100,1)&gt;999,999,-999)))</f>
        <v>15.2</v>
      </c>
      <c r="W76" s="453">
        <v>649.46</v>
      </c>
      <c r="X76" s="451">
        <v>659.95</v>
      </c>
      <c r="Y76" s="336">
        <f t="shared" si="17"/>
        <v>1.6</v>
      </c>
      <c r="Z76" s="453"/>
      <c r="AA76" s="451"/>
      <c r="AB76" s="336"/>
      <c r="AC76" s="453"/>
      <c r="AD76" s="451"/>
      <c r="AE76" s="336"/>
      <c r="AF76" s="453">
        <v>388.57799999999997</v>
      </c>
      <c r="AG76" s="451">
        <v>205.60499999999999</v>
      </c>
      <c r="AH76" s="336">
        <f t="shared" si="18"/>
        <v>-47.1</v>
      </c>
      <c r="AI76" s="453">
        <v>2564</v>
      </c>
      <c r="AJ76" s="451">
        <v>2157</v>
      </c>
      <c r="AK76" s="336">
        <f t="shared" si="25"/>
        <v>-15.9</v>
      </c>
      <c r="AL76" s="448">
        <f t="shared" si="35"/>
        <v>19780.772484000001</v>
      </c>
      <c r="AM76" s="448">
        <f t="shared" si="35"/>
        <v>16286.894036000002</v>
      </c>
      <c r="AN76" s="336">
        <f t="shared" si="20"/>
        <v>-17.7</v>
      </c>
      <c r="AO76" s="448">
        <f t="shared" si="37"/>
        <v>19780.772484000001</v>
      </c>
      <c r="AP76" s="448">
        <f t="shared" si="37"/>
        <v>16286.894036000002</v>
      </c>
      <c r="AQ76" s="452">
        <f t="shared" si="22"/>
        <v>-17.7</v>
      </c>
      <c r="AR76" s="502"/>
      <c r="AS76" s="502"/>
      <c r="AT76" s="506"/>
    </row>
    <row r="77" spans="1:46" s="475" customFormat="1" ht="20.100000000000001" customHeight="1" x14ac:dyDescent="0.3">
      <c r="A77" s="469" t="s">
        <v>372</v>
      </c>
      <c r="B77" s="453">
        <v>53.293999999999997</v>
      </c>
      <c r="C77" s="451">
        <v>48.01</v>
      </c>
      <c r="D77" s="336">
        <f>IF(B77=0, "    ---- ", IF(ABS(ROUND(100/B77*C77-100,1))&lt;999,ROUND(100/B77*C77-100,1),IF(ROUND(100/B77*C77-100,1)&gt;999,999,-999)))</f>
        <v>-9.9</v>
      </c>
      <c r="E77" s="453">
        <v>29.43</v>
      </c>
      <c r="F77" s="451">
        <v>51.488999999999997</v>
      </c>
      <c r="G77" s="336">
        <f t="shared" si="16"/>
        <v>75</v>
      </c>
      <c r="H77" s="453">
        <v>23.420999999999999</v>
      </c>
      <c r="I77" s="451">
        <v>26.8</v>
      </c>
      <c r="J77" s="336">
        <f>IF(H77=0, "    ---- ", IF(ABS(ROUND(100/H77*I77-100,1))&lt;999,ROUND(100/H77*I77-100,1),IF(ROUND(100/H77*I77-100,1)&gt;999,999,-999)))</f>
        <v>14.4</v>
      </c>
      <c r="K77" s="453"/>
      <c r="L77" s="451"/>
      <c r="M77" s="433"/>
      <c r="N77" s="453"/>
      <c r="O77" s="451"/>
      <c r="P77" s="336"/>
      <c r="Q77" s="453">
        <v>0</v>
      </c>
      <c r="R77" s="451">
        <v>0</v>
      </c>
      <c r="S77" s="336" t="str">
        <f t="shared" si="34"/>
        <v xml:space="preserve">    ---- </v>
      </c>
      <c r="T77" s="453"/>
      <c r="U77" s="451"/>
      <c r="V77" s="336"/>
      <c r="W77" s="453">
        <v>0</v>
      </c>
      <c r="X77" s="451">
        <v>0</v>
      </c>
      <c r="Y77" s="336" t="str">
        <f t="shared" si="17"/>
        <v xml:space="preserve">    ---- </v>
      </c>
      <c r="Z77" s="453">
        <v>2303</v>
      </c>
      <c r="AA77" s="451">
        <v>3249</v>
      </c>
      <c r="AB77" s="336">
        <f t="shared" ref="AB77:AB78" si="38">IF(Z77=0, "    ---- ", IF(ABS(ROUND(100/Z77*AA77-100,1))&lt;999,ROUND(100/Z77*AA77-100,1),IF(ROUND(100/Z77*AA77-100,1)&gt;999,999,-999)))</f>
        <v>41.1</v>
      </c>
      <c r="AC77" s="453"/>
      <c r="AD77" s="451"/>
      <c r="AE77" s="336"/>
      <c r="AF77" s="453"/>
      <c r="AG77" s="451"/>
      <c r="AH77" s="336"/>
      <c r="AI77" s="453">
        <v>631</v>
      </c>
      <c r="AJ77" s="451">
        <v>622</v>
      </c>
      <c r="AK77" s="336">
        <f t="shared" si="25"/>
        <v>-1.4</v>
      </c>
      <c r="AL77" s="448">
        <f t="shared" si="35"/>
        <v>3040.145</v>
      </c>
      <c r="AM77" s="448">
        <f t="shared" si="35"/>
        <v>3997.299</v>
      </c>
      <c r="AN77" s="336">
        <f t="shared" si="20"/>
        <v>31.5</v>
      </c>
      <c r="AO77" s="448">
        <f t="shared" si="37"/>
        <v>3040.145</v>
      </c>
      <c r="AP77" s="448">
        <f t="shared" si="37"/>
        <v>3997.299</v>
      </c>
      <c r="AQ77" s="452">
        <f t="shared" si="22"/>
        <v>31.5</v>
      </c>
      <c r="AR77" s="502"/>
      <c r="AS77" s="502"/>
      <c r="AT77" s="506"/>
    </row>
    <row r="78" spans="1:46" s="475" customFormat="1" ht="20.100000000000001" customHeight="1" x14ac:dyDescent="0.3">
      <c r="A78" s="469" t="s">
        <v>252</v>
      </c>
      <c r="B78" s="453"/>
      <c r="C78" s="451"/>
      <c r="D78" s="336"/>
      <c r="E78" s="453"/>
      <c r="F78" s="451"/>
      <c r="G78" s="336"/>
      <c r="H78" s="453"/>
      <c r="I78" s="451"/>
      <c r="J78" s="336"/>
      <c r="K78" s="453"/>
      <c r="L78" s="451"/>
      <c r="M78" s="433"/>
      <c r="N78" s="453"/>
      <c r="O78" s="451"/>
      <c r="P78" s="336"/>
      <c r="Q78" s="453">
        <v>0</v>
      </c>
      <c r="R78" s="451">
        <v>0</v>
      </c>
      <c r="S78" s="336" t="str">
        <f t="shared" si="34"/>
        <v xml:space="preserve">    ---- </v>
      </c>
      <c r="T78" s="453"/>
      <c r="U78" s="451"/>
      <c r="V78" s="336"/>
      <c r="W78" s="453"/>
      <c r="X78" s="451"/>
      <c r="Y78" s="336"/>
      <c r="Z78" s="453">
        <v>385</v>
      </c>
      <c r="AA78" s="451">
        <v>364</v>
      </c>
      <c r="AB78" s="336">
        <f t="shared" si="38"/>
        <v>-5.5</v>
      </c>
      <c r="AC78" s="453"/>
      <c r="AD78" s="451"/>
      <c r="AE78" s="336"/>
      <c r="AF78" s="453"/>
      <c r="AG78" s="451"/>
      <c r="AH78" s="336"/>
      <c r="AI78" s="453"/>
      <c r="AJ78" s="451"/>
      <c r="AK78" s="336"/>
      <c r="AL78" s="448">
        <f t="shared" si="35"/>
        <v>385</v>
      </c>
      <c r="AM78" s="448">
        <f t="shared" si="35"/>
        <v>364</v>
      </c>
      <c r="AN78" s="336">
        <f t="shared" si="20"/>
        <v>-5.5</v>
      </c>
      <c r="AO78" s="448">
        <f t="shared" si="37"/>
        <v>385</v>
      </c>
      <c r="AP78" s="448">
        <f t="shared" si="37"/>
        <v>364</v>
      </c>
      <c r="AQ78" s="452">
        <f t="shared" si="22"/>
        <v>-5.5</v>
      </c>
      <c r="AR78" s="502"/>
      <c r="AS78" s="502"/>
      <c r="AT78" s="506"/>
    </row>
    <row r="79" spans="1:46" s="475" customFormat="1" ht="20.100000000000001" customHeight="1" x14ac:dyDescent="0.3">
      <c r="A79" s="470" t="s">
        <v>253</v>
      </c>
      <c r="B79" s="453">
        <f>SUM(B73:B78)</f>
        <v>1023.3349999999999</v>
      </c>
      <c r="C79" s="451">
        <f>SUM(C73:C78)</f>
        <v>1144.7940000000001</v>
      </c>
      <c r="D79" s="336">
        <f>IF(B79=0, "    ---- ", IF(ABS(ROUND(100/B79*C79-100,1))&lt;999,ROUND(100/B79*C79-100,1),IF(ROUND(100/B79*C79-100,1)&gt;999,999,-999)))</f>
        <v>11.9</v>
      </c>
      <c r="E79" s="453">
        <f>SUM(E73:E78)</f>
        <v>208500.41700000002</v>
      </c>
      <c r="F79" s="451">
        <f>SUM(F73:F78)</f>
        <v>204286.16400000002</v>
      </c>
      <c r="G79" s="336">
        <f t="shared" si="16"/>
        <v>-2</v>
      </c>
      <c r="H79" s="453">
        <f>SUM(H73:H78)</f>
        <v>838.86700000000008</v>
      </c>
      <c r="I79" s="451">
        <f>SUM(I73:I78)</f>
        <v>956.8</v>
      </c>
      <c r="J79" s="336">
        <f>IF(H79=0, "    ---- ", IF(ABS(ROUND(100/H79*I79-100,1))&lt;999,ROUND(100/H79*I79-100,1),IF(ROUND(100/H79*I79-100,1)&gt;999,999,-999)))</f>
        <v>14.1</v>
      </c>
      <c r="K79" s="453">
        <f>SUM(K73:K78)</f>
        <v>6018</v>
      </c>
      <c r="L79" s="451">
        <f>SUM(L73:L78)</f>
        <v>6586.3779999999997</v>
      </c>
      <c r="M79" s="433">
        <f>IF(K79=0, "    ---- ", IF(ABS(ROUND(100/K79*L79-100,1))&lt;999,ROUND(100/K79*L79-100,1),IF(ROUND(100/K79*L79-100,1)&gt;999,999,-999)))</f>
        <v>9.4</v>
      </c>
      <c r="N79" s="453">
        <f>SUM(N73:N78)</f>
        <v>58</v>
      </c>
      <c r="O79" s="451">
        <f>SUM(O73:O78)</f>
        <v>48</v>
      </c>
      <c r="P79" s="336">
        <f>IF(N79=0, "    ---- ", IF(ABS(ROUND(100/N79*O79-100,1))&lt;999,ROUND(100/N79*O79-100,1),IF(ROUND(100/N79*O79-100,1)&gt;999,999,-999)))</f>
        <v>-17.2</v>
      </c>
      <c r="Q79" s="453">
        <f>SUM(Q73:Q78)</f>
        <v>486784.74398351996</v>
      </c>
      <c r="R79" s="451">
        <f>SUM(R73:R78)</f>
        <v>505181.54133321001</v>
      </c>
      <c r="S79" s="336">
        <f t="shared" si="34"/>
        <v>3.8</v>
      </c>
      <c r="T79" s="453">
        <f>SUM(T73:T78)</f>
        <v>1644.1999999999998</v>
      </c>
      <c r="U79" s="451">
        <f>SUM(U73:U78)</f>
        <v>1683.8000000000002</v>
      </c>
      <c r="V79" s="336">
        <f>IF(T79=0, "    ---- ", IF(ABS(ROUND(100/T79*U79-100,1))&lt;999,ROUND(100/T79*U79-100,1),IF(ROUND(100/T79*U79-100,1)&gt;999,999,-999)))</f>
        <v>2.4</v>
      </c>
      <c r="W79" s="453">
        <f>SUM(W73:W78)</f>
        <v>49563.121552869401</v>
      </c>
      <c r="X79" s="451">
        <f>SUM(X73:X78)</f>
        <v>50050.246088999993</v>
      </c>
      <c r="Y79" s="336">
        <f t="shared" si="17"/>
        <v>1</v>
      </c>
      <c r="Z79" s="453">
        <f>SUM(Z73:Z78)</f>
        <v>81058</v>
      </c>
      <c r="AA79" s="451">
        <f>SUM(AA73:AA78)</f>
        <v>83998</v>
      </c>
      <c r="AB79" s="336">
        <f>IF(Z79=0, "    ---- ", IF(ABS(ROUND(100/Z79*AA79-100,1))&lt;999,ROUND(100/Z79*AA79-100,1),IF(ROUND(100/Z79*AA79-100,1)&gt;999,999,-999)))</f>
        <v>3.6</v>
      </c>
      <c r="AC79" s="453"/>
      <c r="AD79" s="451"/>
      <c r="AE79" s="336"/>
      <c r="AF79" s="453">
        <f>SUM(AF73:AF78)</f>
        <v>22863.886999999999</v>
      </c>
      <c r="AG79" s="451">
        <f>SUM(AG73:AG78)</f>
        <v>23205.288</v>
      </c>
      <c r="AH79" s="336">
        <f t="shared" si="18"/>
        <v>1.5</v>
      </c>
      <c r="AI79" s="453">
        <f>SUM(AI73:AI78)</f>
        <v>184999</v>
      </c>
      <c r="AJ79" s="451">
        <f>SUM(AJ73:AJ78)</f>
        <v>185445.8</v>
      </c>
      <c r="AK79" s="336">
        <f t="shared" si="25"/>
        <v>0.2</v>
      </c>
      <c r="AL79" s="448">
        <f t="shared" si="35"/>
        <v>1043293.5715363893</v>
      </c>
      <c r="AM79" s="448">
        <f t="shared" si="35"/>
        <v>1062538.8114222102</v>
      </c>
      <c r="AN79" s="336">
        <f t="shared" si="20"/>
        <v>1.8</v>
      </c>
      <c r="AO79" s="448">
        <f t="shared" si="37"/>
        <v>1043351.5715363893</v>
      </c>
      <c r="AP79" s="448">
        <f t="shared" si="37"/>
        <v>1062586.8114222102</v>
      </c>
      <c r="AQ79" s="452">
        <f t="shared" si="22"/>
        <v>1.8</v>
      </c>
      <c r="AR79" s="502"/>
      <c r="AS79" s="502"/>
      <c r="AT79" s="506"/>
    </row>
    <row r="80" spans="1:46" s="475" customFormat="1" ht="20.100000000000001" customHeight="1" x14ac:dyDescent="0.3">
      <c r="A80" s="469" t="s">
        <v>254</v>
      </c>
      <c r="B80" s="453"/>
      <c r="C80" s="451"/>
      <c r="D80" s="336"/>
      <c r="E80" s="453"/>
      <c r="F80" s="451"/>
      <c r="G80" s="336"/>
      <c r="H80" s="453"/>
      <c r="I80" s="451"/>
      <c r="J80" s="336"/>
      <c r="K80" s="453"/>
      <c r="L80" s="451"/>
      <c r="M80" s="433"/>
      <c r="N80" s="453"/>
      <c r="O80" s="451"/>
      <c r="P80" s="336"/>
      <c r="Q80" s="453"/>
      <c r="R80" s="451"/>
      <c r="S80" s="336"/>
      <c r="T80" s="453"/>
      <c r="U80" s="451"/>
      <c r="V80" s="336"/>
      <c r="W80" s="453"/>
      <c r="X80" s="451"/>
      <c r="Y80" s="336"/>
      <c r="Z80" s="453"/>
      <c r="AA80" s="451"/>
      <c r="AB80" s="336"/>
      <c r="AC80" s="453"/>
      <c r="AD80" s="451"/>
      <c r="AE80" s="336"/>
      <c r="AF80" s="453"/>
      <c r="AG80" s="451"/>
      <c r="AH80" s="336"/>
      <c r="AI80" s="453"/>
      <c r="AJ80" s="451"/>
      <c r="AK80" s="336"/>
      <c r="AL80" s="448"/>
      <c r="AM80" s="448"/>
      <c r="AN80" s="336"/>
      <c r="AO80" s="436"/>
      <c r="AP80" s="436"/>
      <c r="AQ80" s="452"/>
      <c r="AR80" s="502"/>
      <c r="AS80" s="502"/>
      <c r="AT80" s="506"/>
    </row>
    <row r="81" spans="1:46" s="475" customFormat="1" ht="20.100000000000001" customHeight="1" x14ac:dyDescent="0.3">
      <c r="A81" s="469" t="s">
        <v>494</v>
      </c>
      <c r="B81" s="453">
        <v>16874.418000000001</v>
      </c>
      <c r="C81" s="451">
        <v>16794.102999999999</v>
      </c>
      <c r="D81" s="336">
        <f>IF(B81=0, "    ---- ", IF(ABS(ROUND(100/B81*C81-100,1))&lt;999,ROUND(100/B81*C81-100,1),IF(ROUND(100/B81*C81-100,1)&gt;999,999,-999)))</f>
        <v>-0.5</v>
      </c>
      <c r="E81" s="453">
        <v>74543.308999999994</v>
      </c>
      <c r="F81" s="451">
        <v>76559.721000000005</v>
      </c>
      <c r="G81" s="336">
        <f t="shared" si="16"/>
        <v>2.7</v>
      </c>
      <c r="H81" s="453">
        <v>3251.4209999999998</v>
      </c>
      <c r="I81" s="451">
        <v>3327.2</v>
      </c>
      <c r="J81" s="336">
        <f>IF(H81=0, "    ---- ", IF(ABS(ROUND(100/H81*I81-100,1))&lt;999,ROUND(100/H81*I81-100,1),IF(ROUND(100/H81*I81-100,1)&gt;999,999,-999)))</f>
        <v>2.2999999999999998</v>
      </c>
      <c r="K81" s="453">
        <v>22362</v>
      </c>
      <c r="L81" s="451">
        <v>23796.228999999999</v>
      </c>
      <c r="M81" s="433">
        <f>IF(K81=0, "    ---- ", IF(ABS(ROUND(100/K81*L81-100,1))&lt;999,ROUND(100/K81*L81-100,1),IF(ROUND(100/K81*L81-100,1)&gt;999,999,-999)))</f>
        <v>6.4</v>
      </c>
      <c r="N81" s="453"/>
      <c r="O81" s="451"/>
      <c r="P81" s="336"/>
      <c r="Q81" s="453">
        <v>1848.8795671500002</v>
      </c>
      <c r="R81" s="451">
        <v>1940.9515251500002</v>
      </c>
      <c r="S81" s="336">
        <f t="shared" ref="S81:S91" si="39">IF(Q81=0, "    ---- ", IF(ABS(ROUND(100/Q81*R81-100,1))&lt;999,ROUND(100/Q81*R81-100,1),IF(ROUND(100/Q81*R81-100,1)&gt;999,999,-999)))</f>
        <v>5</v>
      </c>
      <c r="T81" s="453">
        <v>2675</v>
      </c>
      <c r="U81" s="451">
        <v>3376.8</v>
      </c>
      <c r="V81" s="336">
        <f>IF(T81=0, "    ---- ", IF(ABS(ROUND(100/T81*U81-100,1))&lt;999,ROUND(100/T81*U81-100,1),IF(ROUND(100/T81*U81-100,1)&gt;999,999,-999)))</f>
        <v>26.2</v>
      </c>
      <c r="W81" s="453">
        <v>58646.14</v>
      </c>
      <c r="X81" s="451">
        <v>59037.75</v>
      </c>
      <c r="Y81" s="336">
        <f t="shared" si="17"/>
        <v>0.7</v>
      </c>
      <c r="Z81" s="453"/>
      <c r="AA81" s="451"/>
      <c r="AB81" s="336"/>
      <c r="AC81" s="453">
        <v>2082</v>
      </c>
      <c r="AD81" s="451">
        <v>2076.5099131799998</v>
      </c>
      <c r="AE81" s="336">
        <f>IF(AC81=0, "    ---- ", IF(ABS(ROUND(100/AC81*AD81-100,1))&lt;999,ROUND(100/AC81*AD81-100,1),IF(ROUND(100/AC81*AD81-100,1)&gt;999,999,-999)))</f>
        <v>-0.3</v>
      </c>
      <c r="AF81" s="453">
        <v>24477.421999999999</v>
      </c>
      <c r="AG81" s="451">
        <v>27153.928</v>
      </c>
      <c r="AH81" s="336">
        <f t="shared" si="18"/>
        <v>10.9</v>
      </c>
      <c r="AI81" s="453">
        <v>80372</v>
      </c>
      <c r="AJ81" s="451">
        <v>93441</v>
      </c>
      <c r="AK81" s="336">
        <f t="shared" si="25"/>
        <v>16.3</v>
      </c>
      <c r="AL81" s="448">
        <f t="shared" si="35"/>
        <v>285050.58956714999</v>
      </c>
      <c r="AM81" s="448">
        <f t="shared" si="35"/>
        <v>305427.68252515001</v>
      </c>
      <c r="AN81" s="336">
        <f t="shared" si="20"/>
        <v>7.1</v>
      </c>
      <c r="AO81" s="448">
        <f t="shared" ref="AO81:AP89" si="40">B81+E81+H81+K81+N81+Q81+T81+W81+Z81+AC81+AF81+AI81</f>
        <v>287132.58956714999</v>
      </c>
      <c r="AP81" s="448">
        <f t="shared" si="40"/>
        <v>307504.19243832998</v>
      </c>
      <c r="AQ81" s="452">
        <f t="shared" si="22"/>
        <v>7.1</v>
      </c>
      <c r="AR81" s="502"/>
      <c r="AS81" s="502"/>
      <c r="AT81" s="506"/>
    </row>
    <row r="82" spans="1:46" s="475" customFormat="1" ht="20.100000000000001" customHeight="1" x14ac:dyDescent="0.3">
      <c r="A82" s="469" t="s">
        <v>495</v>
      </c>
      <c r="B82" s="453"/>
      <c r="C82" s="451"/>
      <c r="D82" s="336"/>
      <c r="E82" s="453"/>
      <c r="F82" s="451"/>
      <c r="G82" s="336"/>
      <c r="H82" s="453"/>
      <c r="I82" s="451"/>
      <c r="J82" s="336"/>
      <c r="K82" s="453"/>
      <c r="L82" s="451"/>
      <c r="M82" s="336"/>
      <c r="N82" s="453"/>
      <c r="O82" s="451"/>
      <c r="P82" s="336"/>
      <c r="Q82" s="453">
        <v>140.04001199999999</v>
      </c>
      <c r="R82" s="451">
        <v>99.874432999999996</v>
      </c>
      <c r="S82" s="336">
        <f t="shared" si="39"/>
        <v>-28.7</v>
      </c>
      <c r="T82" s="453"/>
      <c r="U82" s="451"/>
      <c r="V82" s="336"/>
      <c r="W82" s="453"/>
      <c r="X82" s="451">
        <v>0</v>
      </c>
      <c r="Y82" s="336" t="str">
        <f t="shared" si="17"/>
        <v xml:space="preserve">    ---- </v>
      </c>
      <c r="Z82" s="453"/>
      <c r="AA82" s="451"/>
      <c r="AB82" s="336"/>
      <c r="AC82" s="453"/>
      <c r="AD82" s="451"/>
      <c r="AE82" s="336"/>
      <c r="AF82" s="453"/>
      <c r="AG82" s="451"/>
      <c r="AH82" s="336"/>
      <c r="AI82" s="453"/>
      <c r="AJ82" s="451"/>
      <c r="AK82" s="336"/>
      <c r="AL82" s="448">
        <f t="shared" si="35"/>
        <v>140.04001199999999</v>
      </c>
      <c r="AM82" s="448">
        <f t="shared" si="35"/>
        <v>99.874432999999996</v>
      </c>
      <c r="AN82" s="336">
        <f t="shared" si="20"/>
        <v>-28.7</v>
      </c>
      <c r="AO82" s="448">
        <f t="shared" si="40"/>
        <v>140.04001199999999</v>
      </c>
      <c r="AP82" s="448">
        <f t="shared" si="40"/>
        <v>99.874432999999996</v>
      </c>
      <c r="AQ82" s="452">
        <f t="shared" si="22"/>
        <v>-28.7</v>
      </c>
      <c r="AR82" s="502"/>
      <c r="AS82" s="502"/>
      <c r="AT82" s="506"/>
    </row>
    <row r="83" spans="1:46" s="475" customFormat="1" ht="20.100000000000001" customHeight="1" x14ac:dyDescent="0.3">
      <c r="A83" s="469" t="s">
        <v>496</v>
      </c>
      <c r="B83" s="458">
        <v>74.31</v>
      </c>
      <c r="C83" s="336">
        <v>62.942999999999998</v>
      </c>
      <c r="D83" s="336">
        <f>IF(B83=0, "    ---- ", IF(ABS(ROUND(100/B83*C83-100,1))&lt;999,ROUND(100/B83*C83-100,1),IF(ROUND(100/B83*C83-100,1)&gt;999,999,-999)))</f>
        <v>-15.3</v>
      </c>
      <c r="E83" s="458">
        <v>662.77099999999996</v>
      </c>
      <c r="F83" s="336">
        <v>681.62099999999998</v>
      </c>
      <c r="G83" s="336">
        <f t="shared" si="16"/>
        <v>2.8</v>
      </c>
      <c r="H83" s="458"/>
      <c r="I83" s="336"/>
      <c r="J83" s="336"/>
      <c r="K83" s="458">
        <v>319</v>
      </c>
      <c r="L83" s="336">
        <v>305.55099999999999</v>
      </c>
      <c r="M83" s="336">
        <f>IF(K83=0, "    ---- ", IF(ABS(ROUND(100/K83*L83-100,1))&lt;999,ROUND(100/K83*L83-100,1),IF(ROUND(100/K83*L83-100,1)&gt;999,999,-999)))</f>
        <v>-4.2</v>
      </c>
      <c r="N83" s="458"/>
      <c r="O83" s="336"/>
      <c r="P83" s="336"/>
      <c r="Q83" s="458">
        <v>385.03601700000002</v>
      </c>
      <c r="R83" s="336">
        <v>377.869282</v>
      </c>
      <c r="S83" s="336">
        <f t="shared" si="39"/>
        <v>-1.9</v>
      </c>
      <c r="T83" s="458">
        <v>8.8000000000000007</v>
      </c>
      <c r="U83" s="336">
        <v>19.600000000000001</v>
      </c>
      <c r="V83" s="336">
        <f>IF(T83=0, "    ---- ", IF(ABS(ROUND(100/T83*U83-100,1))&lt;999,ROUND(100/T83*U83-100,1),IF(ROUND(100/T83*U83-100,1)&gt;999,999,-999)))</f>
        <v>122.7</v>
      </c>
      <c r="W83" s="458"/>
      <c r="X83" s="336">
        <v>0</v>
      </c>
      <c r="Y83" s="336" t="str">
        <f t="shared" si="17"/>
        <v xml:space="preserve">    ---- </v>
      </c>
      <c r="Z83" s="458"/>
      <c r="AA83" s="336"/>
      <c r="AB83" s="336"/>
      <c r="AC83" s="458"/>
      <c r="AD83" s="336"/>
      <c r="AE83" s="336"/>
      <c r="AF83" s="458">
        <v>417.03500000000003</v>
      </c>
      <c r="AG83" s="336">
        <v>516.46900000000005</v>
      </c>
      <c r="AH83" s="336">
        <f t="shared" si="18"/>
        <v>23.8</v>
      </c>
      <c r="AI83" s="458"/>
      <c r="AJ83" s="336"/>
      <c r="AK83" s="336"/>
      <c r="AL83" s="448">
        <f t="shared" si="35"/>
        <v>1866.9520170000001</v>
      </c>
      <c r="AM83" s="448">
        <f t="shared" si="35"/>
        <v>1964.0532819999999</v>
      </c>
      <c r="AN83" s="336">
        <f t="shared" si="20"/>
        <v>5.2</v>
      </c>
      <c r="AO83" s="448">
        <f t="shared" si="40"/>
        <v>1866.9520170000001</v>
      </c>
      <c r="AP83" s="448">
        <f t="shared" si="40"/>
        <v>1964.0532819999999</v>
      </c>
      <c r="AQ83" s="452">
        <f t="shared" si="22"/>
        <v>5.2</v>
      </c>
      <c r="AR83" s="502"/>
      <c r="AS83" s="502"/>
      <c r="AT83" s="506"/>
    </row>
    <row r="84" spans="1:46" s="475" customFormat="1" ht="20.100000000000001" customHeight="1" x14ac:dyDescent="0.3">
      <c r="A84" s="469" t="s">
        <v>252</v>
      </c>
      <c r="B84" s="453"/>
      <c r="C84" s="451"/>
      <c r="D84" s="451"/>
      <c r="E84" s="453"/>
      <c r="F84" s="451"/>
      <c r="G84" s="451"/>
      <c r="H84" s="453"/>
      <c r="I84" s="451"/>
      <c r="J84" s="451"/>
      <c r="K84" s="453"/>
      <c r="L84" s="451"/>
      <c r="M84" s="433"/>
      <c r="N84" s="453"/>
      <c r="O84" s="451"/>
      <c r="P84" s="336"/>
      <c r="Q84" s="453"/>
      <c r="R84" s="451"/>
      <c r="S84" s="336"/>
      <c r="T84" s="453"/>
      <c r="U84" s="451"/>
      <c r="V84" s="336"/>
      <c r="W84" s="453"/>
      <c r="X84" s="451"/>
      <c r="Y84" s="336"/>
      <c r="Z84" s="453"/>
      <c r="AA84" s="451"/>
      <c r="AB84" s="336"/>
      <c r="AC84" s="453"/>
      <c r="AD84" s="451"/>
      <c r="AE84" s="451"/>
      <c r="AF84" s="453"/>
      <c r="AG84" s="451"/>
      <c r="AH84" s="336"/>
      <c r="AI84" s="453"/>
      <c r="AJ84" s="451"/>
      <c r="AK84" s="336"/>
      <c r="AL84" s="448">
        <f t="shared" si="35"/>
        <v>0</v>
      </c>
      <c r="AM84" s="448">
        <f t="shared" si="35"/>
        <v>0</v>
      </c>
      <c r="AN84" s="336" t="str">
        <f t="shared" si="20"/>
        <v xml:space="preserve">    ---- </v>
      </c>
      <c r="AO84" s="448">
        <f t="shared" si="40"/>
        <v>0</v>
      </c>
      <c r="AP84" s="448">
        <f t="shared" si="40"/>
        <v>0</v>
      </c>
      <c r="AQ84" s="452" t="str">
        <f t="shared" si="22"/>
        <v xml:space="preserve">    ---- </v>
      </c>
      <c r="AR84" s="502"/>
      <c r="AS84" s="502"/>
      <c r="AT84" s="506"/>
    </row>
    <row r="85" spans="1:46" s="475" customFormat="1" ht="20.100000000000001" customHeight="1" x14ac:dyDescent="0.3">
      <c r="A85" s="470" t="s">
        <v>255</v>
      </c>
      <c r="B85" s="453">
        <f>SUM(B81:B84)</f>
        <v>16948.728000000003</v>
      </c>
      <c r="C85" s="451">
        <f>SUM(C81:C84)</f>
        <v>16857.045999999998</v>
      </c>
      <c r="D85" s="451">
        <f>IF(B85=0, "    ---- ", IF(ABS(ROUND(100/B85*C85-100,1))&lt;999,ROUND(100/B85*C85-100,1),IF(ROUND(100/B85*C85-100,1)&gt;999,999,-999)))</f>
        <v>-0.5</v>
      </c>
      <c r="E85" s="453">
        <f>SUM(E81:E84)</f>
        <v>75206.079999999987</v>
      </c>
      <c r="F85" s="451">
        <f>SUM(F81:F84)</f>
        <v>77241.342000000004</v>
      </c>
      <c r="G85" s="451">
        <f t="shared" si="16"/>
        <v>2.7</v>
      </c>
      <c r="H85" s="453">
        <f>SUM(H81:H84)</f>
        <v>3251.4209999999998</v>
      </c>
      <c r="I85" s="451">
        <f>SUM(I81:I84)</f>
        <v>3327.2</v>
      </c>
      <c r="J85" s="451">
        <f>IF(H85=0, "    ---- ", IF(ABS(ROUND(100/H85*I85-100,1))&lt;999,ROUND(100/H85*I85-100,1),IF(ROUND(100/H85*I85-100,1)&gt;999,999,-999)))</f>
        <v>2.2999999999999998</v>
      </c>
      <c r="K85" s="453">
        <f>SUM(K81:K84)</f>
        <v>22681</v>
      </c>
      <c r="L85" s="451">
        <f>SUM(L81:L84)</f>
        <v>24101.78</v>
      </c>
      <c r="M85" s="433">
        <f>IF(K85=0, "    ---- ", IF(ABS(ROUND(100/K85*L85-100,1))&lt;999,ROUND(100/K85*L85-100,1),IF(ROUND(100/K85*L85-100,1)&gt;999,999,-999)))</f>
        <v>6.3</v>
      </c>
      <c r="N85" s="453">
        <f>SUM(N81:N84)</f>
        <v>0</v>
      </c>
      <c r="O85" s="451">
        <f>SUM(O81:O84)</f>
        <v>0</v>
      </c>
      <c r="P85" s="336"/>
      <c r="Q85" s="453">
        <f>SUM(Q81:Q84)</f>
        <v>2373.95559615</v>
      </c>
      <c r="R85" s="451">
        <f>SUM(R81:R84)</f>
        <v>2418.6952401500002</v>
      </c>
      <c r="S85" s="336">
        <f t="shared" si="39"/>
        <v>1.9</v>
      </c>
      <c r="T85" s="453">
        <f>SUM(T81:T84)</f>
        <v>2683.8</v>
      </c>
      <c r="U85" s="451">
        <f>SUM(U81:U84)</f>
        <v>3396.4</v>
      </c>
      <c r="V85" s="336">
        <f>IF(T85=0, "    ---- ", IF(ABS(ROUND(100/T85*U85-100,1))&lt;999,ROUND(100/T85*U85-100,1),IF(ROUND(100/T85*U85-100,1)&gt;999,999,-999)))</f>
        <v>26.6</v>
      </c>
      <c r="W85" s="453">
        <f>SUM(W81:W84)</f>
        <v>58646.14</v>
      </c>
      <c r="X85" s="451">
        <f>SUM(X81:X84)</f>
        <v>59037.75</v>
      </c>
      <c r="Y85" s="336">
        <f t="shared" si="17"/>
        <v>0.7</v>
      </c>
      <c r="Z85" s="453"/>
      <c r="AA85" s="451"/>
      <c r="AB85" s="336"/>
      <c r="AC85" s="453">
        <f>SUM(AC81:AC84)</f>
        <v>2082</v>
      </c>
      <c r="AD85" s="451">
        <f>SUM(AD81:AD84)</f>
        <v>2076.5099131799998</v>
      </c>
      <c r="AE85" s="451">
        <f>IF(AC85=0, "    ---- ", IF(ABS(ROUND(100/AC85*AD85-100,1))&lt;999,ROUND(100/AC85*AD85-100,1),IF(ROUND(100/AC85*AD85-100,1)&gt;999,999,-999)))</f>
        <v>-0.3</v>
      </c>
      <c r="AF85" s="453">
        <f>SUM(AF81:AF84)</f>
        <v>24894.456999999999</v>
      </c>
      <c r="AG85" s="451">
        <f>SUM(AG81:AG84)</f>
        <v>27670.397000000001</v>
      </c>
      <c r="AH85" s="336">
        <f t="shared" si="18"/>
        <v>11.2</v>
      </c>
      <c r="AI85" s="453">
        <f>SUM(AI81:AI84)</f>
        <v>80372</v>
      </c>
      <c r="AJ85" s="451">
        <f>SUM(AJ81:AJ84)</f>
        <v>93441</v>
      </c>
      <c r="AK85" s="336">
        <f t="shared" si="25"/>
        <v>16.3</v>
      </c>
      <c r="AL85" s="448">
        <f t="shared" si="35"/>
        <v>287057.58159615</v>
      </c>
      <c r="AM85" s="448">
        <f t="shared" si="35"/>
        <v>307491.61024015001</v>
      </c>
      <c r="AN85" s="336">
        <f t="shared" si="20"/>
        <v>7.1</v>
      </c>
      <c r="AO85" s="448">
        <f t="shared" si="40"/>
        <v>289139.58159615</v>
      </c>
      <c r="AP85" s="448">
        <f t="shared" si="40"/>
        <v>309568.12015333003</v>
      </c>
      <c r="AQ85" s="452">
        <f t="shared" si="22"/>
        <v>7.1</v>
      </c>
      <c r="AR85" s="502"/>
      <c r="AS85" s="502"/>
      <c r="AT85" s="506"/>
    </row>
    <row r="86" spans="1:46" s="475" customFormat="1" ht="20.100000000000001" customHeight="1" x14ac:dyDescent="0.3">
      <c r="A86" s="469" t="s">
        <v>256</v>
      </c>
      <c r="B86" s="453">
        <v>42.183</v>
      </c>
      <c r="C86" s="451">
        <v>29.866</v>
      </c>
      <c r="D86" s="336">
        <f>IF(B86=0, "    ---- ", IF(ABS(ROUND(100/B86*C86-100,1))&lt;999,ROUND(100/B86*C86-100,1),IF(ROUND(100/B86*C86-100,1)&gt;999,999,-999)))</f>
        <v>-29.2</v>
      </c>
      <c r="E86" s="453">
        <v>812.73199999999997</v>
      </c>
      <c r="F86" s="451">
        <v>1028.759</v>
      </c>
      <c r="G86" s="336">
        <f t="shared" si="16"/>
        <v>26.6</v>
      </c>
      <c r="H86" s="453">
        <v>31.879000000000001</v>
      </c>
      <c r="I86" s="451">
        <v>31.5</v>
      </c>
      <c r="J86" s="336">
        <f>IF(H86=0, "    ---- ", IF(ABS(ROUND(100/H86*I86-100,1))&lt;999,ROUND(100/H86*I86-100,1),IF(ROUND(100/H86*I86-100,1)&gt;999,999,-999)))</f>
        <v>-1.2</v>
      </c>
      <c r="K86" s="453">
        <v>38</v>
      </c>
      <c r="L86" s="451">
        <v>63.832999999999998</v>
      </c>
      <c r="M86" s="336">
        <f>IF(K86=0, "    ---- ", IF(ABS(ROUND(100/K86*L86-100,1))&lt;999,ROUND(100/K86*L86-100,1),IF(ROUND(100/K86*L86-100,1)&gt;999,999,-999)))</f>
        <v>68</v>
      </c>
      <c r="N86" s="453">
        <v>0.252</v>
      </c>
      <c r="O86" s="451"/>
      <c r="P86" s="336">
        <f>IF(N86=0, "    ---- ", IF(ABS(ROUND(100/N86*O86-100,1))&lt;999,ROUND(100/N86*O86-100,1),IF(ROUND(100/N86*O86-100,1)&gt;999,999,-999)))</f>
        <v>-100</v>
      </c>
      <c r="Q86" s="453">
        <v>748.11662135000006</v>
      </c>
      <c r="R86" s="451">
        <v>1472.86873285</v>
      </c>
      <c r="S86" s="336">
        <f t="shared" si="39"/>
        <v>96.9</v>
      </c>
      <c r="T86" s="453">
        <v>7.7</v>
      </c>
      <c r="U86" s="451">
        <v>8.6999999999999993</v>
      </c>
      <c r="V86" s="336">
        <f>IF(T86=0, "    ---- ", IF(ABS(ROUND(100/T86*U86-100,1))&lt;999,ROUND(100/T86*U86-100,1),IF(ROUND(100/T86*U86-100,1)&gt;999,999,-999)))</f>
        <v>13</v>
      </c>
      <c r="W86" s="453">
        <v>488.62844713060707</v>
      </c>
      <c r="X86" s="451">
        <v>629.86</v>
      </c>
      <c r="Y86" s="336">
        <f t="shared" si="17"/>
        <v>28.9</v>
      </c>
      <c r="Z86" s="453">
        <v>926</v>
      </c>
      <c r="AA86" s="451">
        <v>1123</v>
      </c>
      <c r="AB86" s="336">
        <f>IF(Z86=0, "    ---- ", IF(ABS(ROUND(100/Z86*AA86-100,1))&lt;999,ROUND(100/Z86*AA86-100,1),IF(ROUND(100/Z86*AA86-100,1)&gt;999,999,-999)))</f>
        <v>21.3</v>
      </c>
      <c r="AC86" s="453"/>
      <c r="AD86" s="451"/>
      <c r="AE86" s="336"/>
      <c r="AF86" s="453">
        <v>850.34</v>
      </c>
      <c r="AG86" s="451">
        <v>796.07399999999996</v>
      </c>
      <c r="AH86" s="336">
        <f t="shared" si="18"/>
        <v>-6.4</v>
      </c>
      <c r="AI86" s="453">
        <v>42</v>
      </c>
      <c r="AJ86" s="451">
        <v>12</v>
      </c>
      <c r="AK86" s="336">
        <f t="shared" si="25"/>
        <v>-71.400000000000006</v>
      </c>
      <c r="AL86" s="448">
        <f t="shared" si="35"/>
        <v>3987.579068480607</v>
      </c>
      <c r="AM86" s="448">
        <f t="shared" si="35"/>
        <v>5196.4607328499997</v>
      </c>
      <c r="AN86" s="336">
        <f t="shared" si="20"/>
        <v>30.3</v>
      </c>
      <c r="AO86" s="448">
        <f t="shared" si="40"/>
        <v>3987.831068480607</v>
      </c>
      <c r="AP86" s="448">
        <f t="shared" si="40"/>
        <v>5196.4607328499997</v>
      </c>
      <c r="AQ86" s="452">
        <f t="shared" si="22"/>
        <v>30.3</v>
      </c>
      <c r="AR86" s="502"/>
      <c r="AS86" s="502"/>
      <c r="AT86" s="506"/>
    </row>
    <row r="87" spans="1:46" s="475" customFormat="1" ht="20.100000000000001" customHeight="1" x14ac:dyDescent="0.3">
      <c r="A87" s="469" t="s">
        <v>257</v>
      </c>
      <c r="B87" s="453"/>
      <c r="C87" s="451"/>
      <c r="D87" s="336"/>
      <c r="E87" s="453"/>
      <c r="F87" s="451"/>
      <c r="G87" s="336"/>
      <c r="H87" s="453"/>
      <c r="I87" s="451"/>
      <c r="J87" s="336"/>
      <c r="K87" s="453"/>
      <c r="L87" s="451"/>
      <c r="M87" s="336"/>
      <c r="N87" s="453"/>
      <c r="O87" s="451"/>
      <c r="P87" s="336"/>
      <c r="Q87" s="453"/>
      <c r="R87" s="451"/>
      <c r="S87" s="336"/>
      <c r="T87" s="453"/>
      <c r="U87" s="451"/>
      <c r="V87" s="336"/>
      <c r="W87" s="453"/>
      <c r="X87" s="451">
        <v>0</v>
      </c>
      <c r="Y87" s="336" t="str">
        <f t="shared" si="17"/>
        <v xml:space="preserve">    ---- </v>
      </c>
      <c r="Z87" s="453"/>
      <c r="AA87" s="451"/>
      <c r="AB87" s="336"/>
      <c r="AC87" s="453"/>
      <c r="AD87" s="451"/>
      <c r="AE87" s="336"/>
      <c r="AF87" s="453">
        <v>260.77</v>
      </c>
      <c r="AG87" s="451">
        <v>286.411</v>
      </c>
      <c r="AH87" s="336">
        <f t="shared" si="18"/>
        <v>9.8000000000000007</v>
      </c>
      <c r="AI87" s="453"/>
      <c r="AJ87" s="451"/>
      <c r="AK87" s="336"/>
      <c r="AL87" s="448">
        <f t="shared" si="35"/>
        <v>260.77</v>
      </c>
      <c r="AM87" s="448">
        <f t="shared" si="35"/>
        <v>286.411</v>
      </c>
      <c r="AN87" s="336">
        <f t="shared" si="20"/>
        <v>9.8000000000000007</v>
      </c>
      <c r="AO87" s="448">
        <f t="shared" si="40"/>
        <v>260.77</v>
      </c>
      <c r="AP87" s="448">
        <f t="shared" si="40"/>
        <v>286.411</v>
      </c>
      <c r="AQ87" s="452">
        <f t="shared" si="22"/>
        <v>9.8000000000000007</v>
      </c>
      <c r="AR87" s="502"/>
      <c r="AS87" s="502"/>
      <c r="AT87" s="506"/>
    </row>
    <row r="88" spans="1:46" s="475" customFormat="1" ht="20.100000000000001" customHeight="1" x14ac:dyDescent="0.3">
      <c r="A88" s="469" t="s">
        <v>258</v>
      </c>
      <c r="B88" s="453">
        <v>95.346999999999994</v>
      </c>
      <c r="C88" s="451">
        <v>63.442</v>
      </c>
      <c r="D88" s="451">
        <f>IF(B88=0, "    ---- ", IF(ABS(ROUND(100/B88*C88-100,1))&lt;999,ROUND(100/B88*C88-100,1),IF(ROUND(100/B88*C88-100,1)&gt;999,999,-999)))</f>
        <v>-33.5</v>
      </c>
      <c r="E88" s="453">
        <v>1800.0700000000002</v>
      </c>
      <c r="F88" s="451">
        <v>2215.8629999999998</v>
      </c>
      <c r="G88" s="451">
        <f t="shared" si="16"/>
        <v>23.1</v>
      </c>
      <c r="H88" s="453">
        <v>143.40299999999999</v>
      </c>
      <c r="I88" s="451">
        <v>70.099999999999994</v>
      </c>
      <c r="J88" s="451">
        <f>IF(H88=0, "    ---- ", IF(ABS(ROUND(100/H88*I88-100,1))&lt;999,ROUND(100/H88*I88-100,1),IF(ROUND(100/H88*I88-100,1)&gt;999,999,-999)))</f>
        <v>-51.1</v>
      </c>
      <c r="K88" s="453">
        <v>111</v>
      </c>
      <c r="L88" s="451">
        <v>551.57000000000005</v>
      </c>
      <c r="M88" s="433">
        <f>IF(K88=0, "    ---- ", IF(ABS(ROUND(100/K88*L88-100,1))&lt;999,ROUND(100/K88*L88-100,1),IF(ROUND(100/K88*L88-100,1)&gt;999,999,-999)))</f>
        <v>396.9</v>
      </c>
      <c r="N88" s="453">
        <v>6.6449999999999996</v>
      </c>
      <c r="O88" s="451">
        <v>6.6934581499999997</v>
      </c>
      <c r="P88" s="336">
        <f>IF(N88=0, "    ---- ", IF(ABS(ROUND(100/N88*O88-100,1))&lt;999,ROUND(100/N88*O88-100,1),IF(ROUND(100/N88*O88-100,1)&gt;999,999,-999)))</f>
        <v>0.7</v>
      </c>
      <c r="Q88" s="453">
        <v>6441.5467522500003</v>
      </c>
      <c r="R88" s="451">
        <v>7895.3134976000001</v>
      </c>
      <c r="S88" s="336">
        <f t="shared" si="39"/>
        <v>22.6</v>
      </c>
      <c r="T88" s="453">
        <v>7.3</v>
      </c>
      <c r="U88" s="451">
        <v>7.2</v>
      </c>
      <c r="V88" s="336">
        <f>IF(T88=0, "    ---- ", IF(ABS(ROUND(100/T88*U88-100,1))&lt;999,ROUND(100/T88*U88-100,1),IF(ROUND(100/T88*U88-100,1)&gt;999,999,-999)))</f>
        <v>-1.4</v>
      </c>
      <c r="W88" s="453">
        <v>219.76</v>
      </c>
      <c r="X88" s="451">
        <v>408.49</v>
      </c>
      <c r="Y88" s="336">
        <f t="shared" si="17"/>
        <v>85.9</v>
      </c>
      <c r="Z88" s="453">
        <v>851</v>
      </c>
      <c r="AA88" s="451">
        <v>952</v>
      </c>
      <c r="AB88" s="336">
        <f>IF(Z88=0, "    ---- ", IF(ABS(ROUND(100/Z88*AA88-100,1))&lt;999,ROUND(100/Z88*AA88-100,1),IF(ROUND(100/Z88*AA88-100,1)&gt;999,999,-999)))</f>
        <v>11.9</v>
      </c>
      <c r="AC88" s="453">
        <v>12</v>
      </c>
      <c r="AD88" s="451">
        <v>13.530858970000001</v>
      </c>
      <c r="AE88" s="336">
        <f>IF(AC88=0, "    ---- ", IF(ABS(ROUND(100/AC88*AD88-100,1))&lt;999,ROUND(100/AC88*AD88-100,1),IF(ROUND(100/AC88*AD88-100,1)&gt;999,999,-999)))</f>
        <v>12.8</v>
      </c>
      <c r="AF88" s="453">
        <v>1097.192</v>
      </c>
      <c r="AG88" s="451">
        <v>1154.6389999999999</v>
      </c>
      <c r="AH88" s="336">
        <f t="shared" si="18"/>
        <v>5.2</v>
      </c>
      <c r="AI88" s="453">
        <v>5521</v>
      </c>
      <c r="AJ88" s="451">
        <v>8585</v>
      </c>
      <c r="AK88" s="336">
        <f t="shared" si="25"/>
        <v>55.5</v>
      </c>
      <c r="AL88" s="448">
        <f t="shared" si="35"/>
        <v>16287.61875225</v>
      </c>
      <c r="AM88" s="448">
        <f t="shared" si="35"/>
        <v>21903.6174976</v>
      </c>
      <c r="AN88" s="336">
        <f t="shared" si="20"/>
        <v>34.5</v>
      </c>
      <c r="AO88" s="448">
        <f t="shared" si="40"/>
        <v>16306.263752250001</v>
      </c>
      <c r="AP88" s="448">
        <f t="shared" si="40"/>
        <v>21923.841814719999</v>
      </c>
      <c r="AQ88" s="452">
        <f t="shared" si="22"/>
        <v>34.5</v>
      </c>
      <c r="AR88" s="502"/>
      <c r="AS88" s="502"/>
      <c r="AT88" s="506"/>
    </row>
    <row r="89" spans="1:46" s="475" customFormat="1" ht="20.100000000000001" customHeight="1" x14ac:dyDescent="0.3">
      <c r="A89" s="469" t="s">
        <v>259</v>
      </c>
      <c r="B89" s="453">
        <v>24.256</v>
      </c>
      <c r="C89" s="451">
        <v>39.56</v>
      </c>
      <c r="D89" s="451">
        <f>IF(B89=0, "    ---- ", IF(ABS(ROUND(100/B89*C89-100,1))&lt;999,ROUND(100/B89*C89-100,1),IF(ROUND(100/B89*C89-100,1)&gt;999,999,-999)))</f>
        <v>63.1</v>
      </c>
      <c r="E89" s="453">
        <v>134.495</v>
      </c>
      <c r="F89" s="451">
        <v>200.81100000000001</v>
      </c>
      <c r="G89" s="451">
        <f t="shared" si="16"/>
        <v>49.3</v>
      </c>
      <c r="H89" s="453">
        <v>15.638</v>
      </c>
      <c r="I89" s="451">
        <v>25.1</v>
      </c>
      <c r="J89" s="451">
        <f>IF(H89=0, "    ---- ", IF(ABS(ROUND(100/H89*I89-100,1))&lt;999,ROUND(100/H89*I89-100,1),IF(ROUND(100/H89*I89-100,1)&gt;999,999,-999)))</f>
        <v>60.5</v>
      </c>
      <c r="K89" s="453">
        <v>14</v>
      </c>
      <c r="L89" s="451">
        <v>13.09</v>
      </c>
      <c r="M89" s="336">
        <f>IF(K89=0, "    ---- ", IF(ABS(ROUND(100/K89*L89-100,1))&lt;999,ROUND(100/K89*L89-100,1),IF(ROUND(100/K89*L89-100,1)&gt;999,999,-999)))</f>
        <v>-6.5</v>
      </c>
      <c r="N89" s="453">
        <v>2.1110000000000002</v>
      </c>
      <c r="O89" s="451">
        <v>1.4770941399999999</v>
      </c>
      <c r="P89" s="336">
        <f>IF(N89=0, "    ---- ", IF(ABS(ROUND(100/N89*O89-100,1))&lt;999,ROUND(100/N89*O89-100,1),IF(ROUND(100/N89*O89-100,1)&gt;999,999,-999)))</f>
        <v>-30</v>
      </c>
      <c r="Q89" s="453">
        <v>298.55911277999996</v>
      </c>
      <c r="R89" s="451">
        <v>225.20565593000001</v>
      </c>
      <c r="S89" s="336">
        <f t="shared" si="39"/>
        <v>-24.6</v>
      </c>
      <c r="T89" s="453">
        <v>2.9</v>
      </c>
      <c r="U89" s="451">
        <v>2.8</v>
      </c>
      <c r="V89" s="336">
        <f>IF(T89=0, "    ---- ", IF(ABS(ROUND(100/T89*U89-100,1))&lt;999,ROUND(100/T89*U89-100,1),IF(ROUND(100/T89*U89-100,1)&gt;999,999,-999)))</f>
        <v>-3.4</v>
      </c>
      <c r="W89" s="453">
        <v>33.4</v>
      </c>
      <c r="X89" s="451">
        <v>31.54</v>
      </c>
      <c r="Y89" s="336">
        <f t="shared" si="17"/>
        <v>-5.6</v>
      </c>
      <c r="Z89" s="453">
        <v>37</v>
      </c>
      <c r="AA89" s="451">
        <v>43</v>
      </c>
      <c r="AB89" s="336">
        <f>IF(Z89=0, "    ---- ", IF(ABS(ROUND(100/Z89*AA89-100,1))&lt;999,ROUND(100/Z89*AA89-100,1),IF(ROUND(100/Z89*AA89-100,1)&gt;999,999,-999)))</f>
        <v>16.2</v>
      </c>
      <c r="AC89" s="453"/>
      <c r="AD89" s="451"/>
      <c r="AE89" s="336"/>
      <c r="AF89" s="453">
        <v>139.70099999999999</v>
      </c>
      <c r="AG89" s="451">
        <v>184.93100000000001</v>
      </c>
      <c r="AH89" s="336">
        <f t="shared" si="18"/>
        <v>32.4</v>
      </c>
      <c r="AI89" s="453">
        <v>133</v>
      </c>
      <c r="AJ89" s="451">
        <v>139</v>
      </c>
      <c r="AK89" s="336">
        <f t="shared" si="25"/>
        <v>4.5</v>
      </c>
      <c r="AL89" s="448">
        <f t="shared" si="35"/>
        <v>832.94911277999995</v>
      </c>
      <c r="AM89" s="448">
        <f t="shared" si="35"/>
        <v>905.03765593000003</v>
      </c>
      <c r="AN89" s="336">
        <f t="shared" si="20"/>
        <v>8.6999999999999993</v>
      </c>
      <c r="AO89" s="448">
        <f t="shared" si="40"/>
        <v>835.06011277999994</v>
      </c>
      <c r="AP89" s="448">
        <f t="shared" si="40"/>
        <v>906.5147500700001</v>
      </c>
      <c r="AQ89" s="452">
        <f t="shared" si="22"/>
        <v>8.6</v>
      </c>
      <c r="AR89" s="502"/>
      <c r="AS89" s="502"/>
      <c r="AT89" s="506"/>
    </row>
    <row r="90" spans="1:46" s="475" customFormat="1" ht="20.100000000000001" customHeight="1" x14ac:dyDescent="0.3">
      <c r="A90" s="469"/>
      <c r="B90" s="453"/>
      <c r="C90" s="451"/>
      <c r="D90" s="336"/>
      <c r="E90" s="453"/>
      <c r="F90" s="451"/>
      <c r="G90" s="336"/>
      <c r="H90" s="453"/>
      <c r="I90" s="451"/>
      <c r="J90" s="336"/>
      <c r="K90" s="453"/>
      <c r="L90" s="451"/>
      <c r="M90" s="336"/>
      <c r="N90" s="453"/>
      <c r="O90" s="451"/>
      <c r="P90" s="336"/>
      <c r="Q90" s="453"/>
      <c r="R90" s="451"/>
      <c r="S90" s="336"/>
      <c r="T90" s="453"/>
      <c r="U90" s="451"/>
      <c r="V90" s="336"/>
      <c r="W90" s="453"/>
      <c r="X90" s="451"/>
      <c r="Y90" s="336"/>
      <c r="Z90" s="453"/>
      <c r="AA90" s="451"/>
      <c r="AB90" s="336"/>
      <c r="AC90" s="453"/>
      <c r="AD90" s="451"/>
      <c r="AE90" s="336"/>
      <c r="AF90" s="453"/>
      <c r="AG90" s="451"/>
      <c r="AH90" s="336"/>
      <c r="AI90" s="453"/>
      <c r="AJ90" s="451"/>
      <c r="AK90" s="336"/>
      <c r="AL90" s="448"/>
      <c r="AM90" s="448"/>
      <c r="AN90" s="336"/>
      <c r="AO90" s="436"/>
      <c r="AP90" s="436"/>
      <c r="AQ90" s="452"/>
      <c r="AR90" s="502"/>
      <c r="AS90" s="502"/>
      <c r="AT90" s="506"/>
    </row>
    <row r="91" spans="1:46" s="510" customFormat="1" ht="20.100000000000001" customHeight="1" x14ac:dyDescent="0.3">
      <c r="A91" s="472" t="s">
        <v>260</v>
      </c>
      <c r="B91" s="461">
        <v>18585.168000000005</v>
      </c>
      <c r="C91" s="459">
        <f>SUM(C68+C69+C71+C79+C85+C86+C87+C88+C89)</f>
        <v>18635.527000000002</v>
      </c>
      <c r="D91" s="460">
        <f>IF(B91=0, "    ---- ", IF(ABS(ROUND(100/B91*C91-100,1))&lt;999,ROUND(100/B91*C91-100,1),IF(ROUND(100/B91*C91-100,1)&gt;999,999,-999)))</f>
        <v>0.3</v>
      </c>
      <c r="E91" s="461">
        <v>316532.17700000003</v>
      </c>
      <c r="F91" s="459">
        <f>SUM(F68+F69+F71+F79+F85+F86+F87+F88+F89)</f>
        <v>315114.49400000001</v>
      </c>
      <c r="G91" s="460">
        <f t="shared" si="16"/>
        <v>-0.4</v>
      </c>
      <c r="H91" s="461">
        <v>4583.5770000000002</v>
      </c>
      <c r="I91" s="459">
        <f>SUM(I68+I69+I71+I79+I85+I86+I87+I88+I89)</f>
        <v>4771</v>
      </c>
      <c r="J91" s="460">
        <f>IF(H91=0, "    ---- ", IF(ABS(ROUND(100/H91*I91-100,1))&lt;999,ROUND(100/H91*I91-100,1),IF(ROUND(100/H91*I91-100,1)&gt;999,999,-999)))</f>
        <v>4.0999999999999996</v>
      </c>
      <c r="K91" s="461">
        <v>29891</v>
      </c>
      <c r="L91" s="459">
        <f>SUM(L68+L69+L71+L79+L85+L86+L87+L88+L89)</f>
        <v>32370.341999999997</v>
      </c>
      <c r="M91" s="460">
        <f>IF(K91=0, "    ---- ", IF(ABS(ROUND(100/K91*L91-100,1))&lt;999,ROUND(100/K91*L91-100,1),IF(ROUND(100/K91*L91-100,1)&gt;999,999,-999)))</f>
        <v>8.3000000000000007</v>
      </c>
      <c r="N91" s="461">
        <v>141.00800000000001</v>
      </c>
      <c r="O91" s="459">
        <f>SUM(O68+O69+O71+O79+O85+O86+O87+O88+O89)</f>
        <v>145.17055228999999</v>
      </c>
      <c r="P91" s="460">
        <f>IF(N91=0, "    ---- ", IF(ABS(ROUND(100/N91*O91-100,1))&lt;999,ROUND(100/N91*O91-100,1),IF(ROUND(100/N91*O91-100,1)&gt;999,999,-999)))</f>
        <v>3</v>
      </c>
      <c r="Q91" s="461">
        <v>534784.38293719012</v>
      </c>
      <c r="R91" s="459">
        <f>SUM(R68+R69+R71+R79+R85+R86+R87+R88+R89)</f>
        <v>558719.23128207994</v>
      </c>
      <c r="S91" s="460">
        <f t="shared" si="39"/>
        <v>4.5</v>
      </c>
      <c r="T91" s="461">
        <v>4868.5</v>
      </c>
      <c r="U91" s="459">
        <f>SUM(U68+U69+U71+U79+U85+U86+U87+U88+U89)</f>
        <v>5601.0999999999995</v>
      </c>
      <c r="V91" s="460">
        <f>IF(T91=0, "    ---- ", IF(ABS(ROUND(100/T91*U91-100,1))&lt;999,ROUND(100/T91*U91-100,1),IF(ROUND(100/T91*U91-100,1)&gt;999,999,-999)))</f>
        <v>15</v>
      </c>
      <c r="W91" s="461">
        <v>118890.49</v>
      </c>
      <c r="X91" s="459">
        <f>SUM(X68+X69+X71+X79+X85+X86+X87+X88+X89)</f>
        <v>120536.59608899998</v>
      </c>
      <c r="Y91" s="460">
        <f t="shared" si="17"/>
        <v>1.4</v>
      </c>
      <c r="Z91" s="461">
        <v>92126</v>
      </c>
      <c r="AA91" s="459">
        <f>SUM(AA68+AA69+AA71+AA79+AA85+AA86+AA87+AA88+AA89)</f>
        <v>96025</v>
      </c>
      <c r="AB91" s="460">
        <f>IF(Z91=0, "    ---- ", IF(ABS(ROUND(100/Z91*AA91-100,1))&lt;999,ROUND(100/Z91*AA91-100,1),IF(ROUND(100/Z91*AA91-100,1)&gt;999,999,-999)))</f>
        <v>4.2</v>
      </c>
      <c r="AC91" s="461">
        <v>2136</v>
      </c>
      <c r="AD91" s="459">
        <f>SUM(AD68+AD69+AD71+AD79+AD85+AD86+AD87+AD88+AD89)</f>
        <v>2143.9003303299996</v>
      </c>
      <c r="AE91" s="460">
        <f>IF(AC91=0, "    ---- ", IF(ABS(ROUND(100/AC91*AD91-100,1))&lt;999,ROUND(100/AC91*AD91-100,1),IF(ROUND(100/AC91*AD91-100,1)&gt;999,999,-999)))</f>
        <v>0.4</v>
      </c>
      <c r="AF91" s="461">
        <v>54680.952999999994</v>
      </c>
      <c r="AG91" s="459">
        <f>SUM(AG68+AG69+AG71+AG79+AG85+AG86+AG87+AG88+AG89)</f>
        <v>58561.275000000001</v>
      </c>
      <c r="AH91" s="460">
        <f t="shared" si="18"/>
        <v>7.1</v>
      </c>
      <c r="AI91" s="461">
        <v>304473</v>
      </c>
      <c r="AJ91" s="459">
        <f>SUM(AJ68+AJ69+AJ71+AJ79+AJ85+AJ86+AJ87+AJ88+AJ89)</f>
        <v>320950.8</v>
      </c>
      <c r="AK91" s="460">
        <f t="shared" si="25"/>
        <v>5.4</v>
      </c>
      <c r="AL91" s="941">
        <f t="shared" si="35"/>
        <v>1479415.2479371901</v>
      </c>
      <c r="AM91" s="941">
        <f t="shared" si="35"/>
        <v>1531285.3653710799</v>
      </c>
      <c r="AN91" s="460">
        <f t="shared" si="20"/>
        <v>3.5</v>
      </c>
      <c r="AO91" s="462">
        <f t="shared" ref="AO91:AP91" si="41">B91+E91+H91+K91+N91+Q91+T91+W91+Z91+AC91+AF91+AI91</f>
        <v>1481692.25593719</v>
      </c>
      <c r="AP91" s="462">
        <f t="shared" si="41"/>
        <v>1533574.4362536999</v>
      </c>
      <c r="AQ91" s="463">
        <f t="shared" si="22"/>
        <v>3.5</v>
      </c>
      <c r="AR91" s="508"/>
      <c r="AS91" s="502"/>
      <c r="AT91" s="506"/>
    </row>
    <row r="92" spans="1:46" ht="18.75" customHeight="1" x14ac:dyDescent="0.3">
      <c r="A92" s="473" t="s">
        <v>261</v>
      </c>
      <c r="B92" s="473"/>
      <c r="Q92" s="473"/>
      <c r="R92" s="475"/>
      <c r="X92" s="476"/>
      <c r="Y92" s="476"/>
      <c r="Z92" s="476"/>
      <c r="AA92" s="476"/>
      <c r="AB92" s="476"/>
      <c r="AC92" s="476"/>
      <c r="AD92" s="476"/>
      <c r="AE92" s="476"/>
      <c r="AF92" s="473"/>
      <c r="AI92" s="473"/>
    </row>
    <row r="93" spans="1:46" ht="18.75" customHeight="1" x14ac:dyDescent="0.3">
      <c r="A93" s="473" t="s">
        <v>262</v>
      </c>
      <c r="Q93" s="473"/>
      <c r="R93" s="475"/>
      <c r="X93" s="476"/>
      <c r="Y93" s="476"/>
      <c r="Z93" s="476"/>
      <c r="AA93" s="476"/>
      <c r="AB93" s="476"/>
      <c r="AC93" s="476"/>
      <c r="AD93" s="476"/>
      <c r="AE93" s="476"/>
      <c r="AF93" s="473"/>
      <c r="AI93" s="473"/>
    </row>
    <row r="94" spans="1:46" s="477" customFormat="1" ht="18.75" customHeight="1" x14ac:dyDescent="0.3">
      <c r="A94" s="473" t="s">
        <v>263</v>
      </c>
      <c r="Q94" s="473"/>
      <c r="R94" s="473"/>
      <c r="Y94" s="478"/>
      <c r="Z94" s="478"/>
      <c r="AA94" s="478"/>
      <c r="AB94" s="478"/>
      <c r="AC94" s="478"/>
      <c r="AD94" s="478"/>
      <c r="AE94" s="478"/>
      <c r="AR94" s="511"/>
      <c r="AS94" s="511"/>
    </row>
    <row r="95" spans="1:46" s="477" customFormat="1" ht="18.75" x14ac:dyDescent="0.3">
      <c r="Q95" s="473"/>
      <c r="R95" s="473"/>
      <c r="AR95" s="511"/>
      <c r="AS95" s="511"/>
    </row>
    <row r="96" spans="1:46" s="477" customFormat="1" ht="18.75" x14ac:dyDescent="0.3">
      <c r="Q96" s="473"/>
      <c r="R96" s="473"/>
    </row>
    <row r="97" spans="17:18" s="477" customFormat="1" ht="18.75" x14ac:dyDescent="0.3">
      <c r="Q97" s="473"/>
      <c r="R97" s="473"/>
    </row>
    <row r="98" spans="17:18" s="477" customFormat="1" ht="18.75" x14ac:dyDescent="0.3">
      <c r="Q98" s="473"/>
      <c r="R98" s="473"/>
    </row>
    <row r="99" spans="17:18" s="477" customFormat="1" ht="18.75" x14ac:dyDescent="0.3">
      <c r="Q99" s="473"/>
      <c r="R99" s="473"/>
    </row>
    <row r="100" spans="17:18" s="477" customFormat="1" ht="18.75" x14ac:dyDescent="0.3">
      <c r="Q100" s="473"/>
      <c r="R100" s="473"/>
    </row>
    <row r="101" spans="17:18" s="477" customFormat="1" ht="18.75" x14ac:dyDescent="0.3">
      <c r="Q101" s="473"/>
      <c r="R101" s="473"/>
    </row>
    <row r="102" spans="17:18" s="477" customFormat="1" ht="18.75" x14ac:dyDescent="0.3">
      <c r="Q102" s="473"/>
      <c r="R102" s="473"/>
    </row>
    <row r="103" spans="17:18" s="477" customFormat="1" ht="18.75" x14ac:dyDescent="0.3">
      <c r="Q103" s="473"/>
      <c r="R103" s="473"/>
    </row>
    <row r="104" spans="17:18" s="477" customFormat="1" ht="18.75" x14ac:dyDescent="0.3">
      <c r="Q104" s="473"/>
      <c r="R104" s="473"/>
    </row>
    <row r="105" spans="17:18" s="477" customFormat="1" ht="18.75" x14ac:dyDescent="0.3">
      <c r="Q105" s="473"/>
      <c r="R105" s="473"/>
    </row>
    <row r="106" spans="17:18" s="477" customFormat="1" ht="18.75" x14ac:dyDescent="0.3">
      <c r="Q106" s="473"/>
      <c r="R106" s="473"/>
    </row>
    <row r="107" spans="17:18" s="477" customFormat="1" ht="18.75" x14ac:dyDescent="0.3">
      <c r="Q107" s="473"/>
      <c r="R107" s="473"/>
    </row>
    <row r="108" spans="17:18" s="477" customFormat="1" ht="18.75" x14ac:dyDescent="0.3">
      <c r="Q108" s="473"/>
      <c r="R108" s="473"/>
    </row>
    <row r="109" spans="17:18" s="477" customFormat="1" ht="18.75" x14ac:dyDescent="0.3">
      <c r="Q109" s="473"/>
      <c r="R109" s="473"/>
    </row>
    <row r="110" spans="17:18" s="477" customFormat="1" ht="18.75" x14ac:dyDescent="0.3">
      <c r="Q110" s="473"/>
      <c r="R110" s="473"/>
    </row>
    <row r="111" spans="17:18" s="477" customFormat="1" ht="18.75" x14ac:dyDescent="0.3">
      <c r="Q111" s="473"/>
      <c r="R111" s="473"/>
    </row>
    <row r="112" spans="17:18" s="513" customFormat="1" ht="15.75" x14ac:dyDescent="0.25">
      <c r="Q112" s="512"/>
      <c r="R112" s="512"/>
    </row>
    <row r="113" spans="17:18" s="513" customFormat="1" ht="15.75" x14ac:dyDescent="0.25">
      <c r="Q113" s="512"/>
      <c r="R113" s="512"/>
    </row>
    <row r="114" spans="17:18" x14ac:dyDescent="0.2">
      <c r="Q114" s="475"/>
      <c r="R114" s="475"/>
    </row>
    <row r="115" spans="17:18" x14ac:dyDescent="0.2">
      <c r="Q115" s="475"/>
      <c r="R115" s="475"/>
    </row>
    <row r="116" spans="17:18" x14ac:dyDescent="0.2">
      <c r="Q116" s="475"/>
      <c r="R116" s="475"/>
    </row>
    <row r="117" spans="17:18" x14ac:dyDescent="0.2">
      <c r="Q117" s="475"/>
      <c r="R117" s="475"/>
    </row>
    <row r="118" spans="17:18" x14ac:dyDescent="0.2">
      <c r="Q118" s="475"/>
      <c r="R118" s="475"/>
    </row>
    <row r="119" spans="17:18" x14ac:dyDescent="0.2">
      <c r="Q119" s="475"/>
      <c r="R119" s="475"/>
    </row>
    <row r="120" spans="17:18" x14ac:dyDescent="0.2">
      <c r="Q120" s="475"/>
      <c r="R120" s="475"/>
    </row>
    <row r="121" spans="17:18" x14ac:dyDescent="0.2">
      <c r="Q121" s="475"/>
      <c r="R121" s="475"/>
    </row>
    <row r="122" spans="17:18" x14ac:dyDescent="0.2">
      <c r="Q122" s="475"/>
      <c r="R122" s="475"/>
    </row>
    <row r="123" spans="17:18" x14ac:dyDescent="0.2">
      <c r="Q123" s="475"/>
      <c r="R123" s="475"/>
    </row>
    <row r="124" spans="17:18" x14ac:dyDescent="0.2">
      <c r="Q124" s="475"/>
      <c r="R124" s="475"/>
    </row>
    <row r="125" spans="17:18" x14ac:dyDescent="0.2">
      <c r="Q125" s="475"/>
      <c r="R125" s="475"/>
    </row>
    <row r="126" spans="17:18" x14ac:dyDescent="0.2">
      <c r="Q126" s="475"/>
      <c r="R126" s="475"/>
    </row>
    <row r="127" spans="17:18" x14ac:dyDescent="0.2">
      <c r="Q127" s="475"/>
      <c r="R127" s="475"/>
    </row>
    <row r="128" spans="17:18" x14ac:dyDescent="0.2">
      <c r="Q128" s="475"/>
      <c r="R128" s="475"/>
    </row>
    <row r="129" spans="17:18" x14ac:dyDescent="0.2">
      <c r="Q129" s="475"/>
      <c r="R129" s="475"/>
    </row>
    <row r="130" spans="17:18" x14ac:dyDescent="0.2">
      <c r="Q130" s="475"/>
      <c r="R130" s="475"/>
    </row>
    <row r="131" spans="17:18" x14ac:dyDescent="0.2">
      <c r="Q131" s="475"/>
      <c r="R131" s="475"/>
    </row>
  </sheetData>
  <mergeCells count="35">
    <mergeCell ref="T5:V5"/>
    <mergeCell ref="BF5:BH5"/>
    <mergeCell ref="Z5:AB5"/>
    <mergeCell ref="AF5:AH5"/>
    <mergeCell ref="AI5:AK5"/>
    <mergeCell ref="AL5:AN5"/>
    <mergeCell ref="AO5:AQ5"/>
    <mergeCell ref="K6:M6"/>
    <mergeCell ref="N6:P6"/>
    <mergeCell ref="H5:J5"/>
    <mergeCell ref="K5:M5"/>
    <mergeCell ref="N5:P5"/>
    <mergeCell ref="B5:D5"/>
    <mergeCell ref="E5:G5"/>
    <mergeCell ref="AZ5:BB5"/>
    <mergeCell ref="BC5:BE5"/>
    <mergeCell ref="Q6:S6"/>
    <mergeCell ref="T6:V6"/>
    <mergeCell ref="W6:Y6"/>
    <mergeCell ref="Z6:AB6"/>
    <mergeCell ref="AC6:AE6"/>
    <mergeCell ref="AZ6:BB6"/>
    <mergeCell ref="BC6:BE6"/>
    <mergeCell ref="AT5:AV5"/>
    <mergeCell ref="AW5:AY5"/>
    <mergeCell ref="B6:D6"/>
    <mergeCell ref="E6:G6"/>
    <mergeCell ref="H6:J6"/>
    <mergeCell ref="BF6:BH6"/>
    <mergeCell ref="AF6:AH6"/>
    <mergeCell ref="AI6:AK6"/>
    <mergeCell ref="AL6:AN6"/>
    <mergeCell ref="AO6:AQ6"/>
    <mergeCell ref="AT6:AV6"/>
    <mergeCell ref="AW6:AY6"/>
  </mergeCells>
  <conditionalFormatting sqref="K35">
    <cfRule type="expression" dxfId="294" priority="291">
      <formula>#REF! ="35≠36+38"</formula>
    </cfRule>
  </conditionalFormatting>
  <conditionalFormatting sqref="K39">
    <cfRule type="expression" dxfId="293" priority="292">
      <formula>#REF! ="39≠40+41+42+43+44"</formula>
    </cfRule>
  </conditionalFormatting>
  <conditionalFormatting sqref="K45">
    <cfRule type="expression" dxfId="292" priority="293">
      <formula>#REF! ="45≠33+34+35+39"</formula>
    </cfRule>
  </conditionalFormatting>
  <conditionalFormatting sqref="K50">
    <cfRule type="expression" dxfId="291" priority="294">
      <formula>#REF! ="50≠51+53"</formula>
    </cfRule>
  </conditionalFormatting>
  <conditionalFormatting sqref="K54">
    <cfRule type="expression" dxfId="290" priority="295">
      <formula>#REF! ="54≠55+56+57+58+59"</formula>
    </cfRule>
  </conditionalFormatting>
  <conditionalFormatting sqref="K60">
    <cfRule type="expression" dxfId="289" priority="296">
      <formula>#REF! ="60≠48+49+50+54"</formula>
    </cfRule>
  </conditionalFormatting>
  <conditionalFormatting sqref="K62">
    <cfRule type="expression" dxfId="288" priority="297">
      <formula>#REF! ="62≠45+46+60+61"</formula>
    </cfRule>
  </conditionalFormatting>
  <conditionalFormatting sqref="K64">
    <cfRule type="expression" dxfId="287" priority="298">
      <formula>#REF! ="64≠29+62"</formula>
    </cfRule>
  </conditionalFormatting>
  <conditionalFormatting sqref="K79">
    <cfRule type="expression" dxfId="286" priority="299">
      <formula>#REF! ="80≠73+74+75+76+77+78+79"</formula>
    </cfRule>
  </conditionalFormatting>
  <conditionalFormatting sqref="K85">
    <cfRule type="expression" dxfId="285" priority="300">
      <formula>#REF! ="88≠82+83+84+85+86+87"</formula>
    </cfRule>
  </conditionalFormatting>
  <conditionalFormatting sqref="K91">
    <cfRule type="expression" dxfId="284" priority="301">
      <formula>#REF! = "64≠94"</formula>
    </cfRule>
  </conditionalFormatting>
  <conditionalFormatting sqref="K91">
    <cfRule type="expression" dxfId="283" priority="302">
      <formula>#REF! = "94≠68+69+71+80+88+89+90+91+92"</formula>
    </cfRule>
  </conditionalFormatting>
  <conditionalFormatting sqref="W35">
    <cfRule type="expression" dxfId="282" priority="267">
      <formula>#REF! ="35≠36+38"</formula>
    </cfRule>
  </conditionalFormatting>
  <conditionalFormatting sqref="W39">
    <cfRule type="expression" dxfId="281" priority="268">
      <formula>#REF! ="39≠40+41+42+43+44"</formula>
    </cfRule>
  </conditionalFormatting>
  <conditionalFormatting sqref="W45">
    <cfRule type="expression" dxfId="280" priority="269">
      <formula>#REF! ="45≠33+34+35+39"</formula>
    </cfRule>
  </conditionalFormatting>
  <conditionalFormatting sqref="W50">
    <cfRule type="expression" dxfId="279" priority="270">
      <formula>#REF! ="50≠51+53"</formula>
    </cfRule>
  </conditionalFormatting>
  <conditionalFormatting sqref="W54">
    <cfRule type="expression" dxfId="278" priority="271">
      <formula>#REF! ="54≠55+56+57+58+59"</formula>
    </cfRule>
  </conditionalFormatting>
  <conditionalFormatting sqref="W60">
    <cfRule type="expression" dxfId="277" priority="272">
      <formula>#REF! ="60≠48+49+50+54"</formula>
    </cfRule>
  </conditionalFormatting>
  <conditionalFormatting sqref="W62">
    <cfRule type="expression" dxfId="276" priority="273">
      <formula>#REF! ="62≠45+46+60+61"</formula>
    </cfRule>
  </conditionalFormatting>
  <conditionalFormatting sqref="W64">
    <cfRule type="expression" dxfId="275" priority="274">
      <formula>#REF! ="64≠29+62"</formula>
    </cfRule>
  </conditionalFormatting>
  <conditionalFormatting sqref="W79">
    <cfRule type="expression" dxfId="274" priority="275">
      <formula>#REF! ="80≠73+74+75+76+77+78+79"</formula>
    </cfRule>
  </conditionalFormatting>
  <conditionalFormatting sqref="W85">
    <cfRule type="expression" dxfId="273" priority="276">
      <formula>#REF! ="88≠82+83+84+85+86+87"</formula>
    </cfRule>
  </conditionalFormatting>
  <conditionalFormatting sqref="W91">
    <cfRule type="expression" dxfId="272" priority="277">
      <formula>#REF! = "64≠94"</formula>
    </cfRule>
  </conditionalFormatting>
  <conditionalFormatting sqref="W91">
    <cfRule type="expression" dxfId="271" priority="278">
      <formula>#REF! = "94≠68+69+71+80+88+89+90+91+92"</formula>
    </cfRule>
  </conditionalFormatting>
  <conditionalFormatting sqref="AI35">
    <cfRule type="expression" dxfId="270" priority="243">
      <formula>#REF! ="35≠36+38"</formula>
    </cfRule>
  </conditionalFormatting>
  <conditionalFormatting sqref="AI39">
    <cfRule type="expression" dxfId="269" priority="244">
      <formula>#REF! ="39≠40+41+42+43+44"</formula>
    </cfRule>
  </conditionalFormatting>
  <conditionalFormatting sqref="AI45">
    <cfRule type="expression" dxfId="268" priority="245">
      <formula>#REF! ="45≠33+34+35+39"</formula>
    </cfRule>
  </conditionalFormatting>
  <conditionalFormatting sqref="AI50">
    <cfRule type="expression" dxfId="267" priority="246">
      <formula>#REF! ="50≠51+53"</formula>
    </cfRule>
  </conditionalFormatting>
  <conditionalFormatting sqref="AI54">
    <cfRule type="expression" dxfId="266" priority="247">
      <formula>#REF! ="54≠55+56+57+58+59"</formula>
    </cfRule>
  </conditionalFormatting>
  <conditionalFormatting sqref="AI60">
    <cfRule type="expression" dxfId="265" priority="248">
      <formula>#REF! ="60≠48+49+50+54"</formula>
    </cfRule>
  </conditionalFormatting>
  <conditionalFormatting sqref="AI62">
    <cfRule type="expression" dxfId="264" priority="249">
      <formula>#REF! ="62≠45+46+60+61"</formula>
    </cfRule>
  </conditionalFormatting>
  <conditionalFormatting sqref="AI64">
    <cfRule type="expression" dxfId="263" priority="250">
      <formula>#REF! ="64≠29+62"</formula>
    </cfRule>
  </conditionalFormatting>
  <conditionalFormatting sqref="AI79">
    <cfRule type="expression" dxfId="262" priority="251">
      <formula>#REF! ="80≠73+74+75+76+77+78+79"</formula>
    </cfRule>
  </conditionalFormatting>
  <conditionalFormatting sqref="AI85">
    <cfRule type="expression" dxfId="261" priority="252">
      <formula>#REF! ="88≠82+83+84+85+86+87"</formula>
    </cfRule>
  </conditionalFormatting>
  <conditionalFormatting sqref="AI91">
    <cfRule type="expression" dxfId="260" priority="253">
      <formula>#REF! = "64≠94"</formula>
    </cfRule>
  </conditionalFormatting>
  <conditionalFormatting sqref="AI91">
    <cfRule type="expression" dxfId="259" priority="254">
      <formula>#REF! = "94≠68+69+71+80+88+89+90+91+92"</formula>
    </cfRule>
  </conditionalFormatting>
  <conditionalFormatting sqref="B35">
    <cfRule type="expression" dxfId="258" priority="219">
      <formula>#REF! ="35≠36+38"</formula>
    </cfRule>
  </conditionalFormatting>
  <conditionalFormatting sqref="B39">
    <cfRule type="expression" dxfId="257" priority="220">
      <formula>#REF! ="39≠40+41+42+43+44"</formula>
    </cfRule>
  </conditionalFormatting>
  <conditionalFormatting sqref="B45">
    <cfRule type="expression" dxfId="256" priority="221">
      <formula>#REF! ="45≠33+34+35+39"</formula>
    </cfRule>
  </conditionalFormatting>
  <conditionalFormatting sqref="B50">
    <cfRule type="expression" dxfId="255" priority="222">
      <formula>#REF! ="50≠51+53"</formula>
    </cfRule>
  </conditionalFormatting>
  <conditionalFormatting sqref="B54">
    <cfRule type="expression" dxfId="254" priority="223">
      <formula>#REF! ="54≠55+56+57+58+59"</formula>
    </cfRule>
  </conditionalFormatting>
  <conditionalFormatting sqref="B60">
    <cfRule type="expression" dxfId="253" priority="224">
      <formula>#REF! ="60≠48+49+50+54"</formula>
    </cfRule>
  </conditionalFormatting>
  <conditionalFormatting sqref="B62">
    <cfRule type="expression" dxfId="252" priority="225">
      <formula>#REF! ="62≠45+46+60+61"</formula>
    </cfRule>
  </conditionalFormatting>
  <conditionalFormatting sqref="B64">
    <cfRule type="expression" dxfId="251" priority="226">
      <formula>#REF! ="64≠29+62"</formula>
    </cfRule>
  </conditionalFormatting>
  <conditionalFormatting sqref="B79">
    <cfRule type="expression" dxfId="250" priority="227">
      <formula>#REF! ="80≠73+74+75+76+77+78+79"</formula>
    </cfRule>
  </conditionalFormatting>
  <conditionalFormatting sqref="B85">
    <cfRule type="expression" dxfId="249" priority="228">
      <formula>#REF! ="88≠82+83+84+85+86+87"</formula>
    </cfRule>
  </conditionalFormatting>
  <conditionalFormatting sqref="B91">
    <cfRule type="expression" dxfId="248" priority="229">
      <formula>#REF! = "64≠94"</formula>
    </cfRule>
  </conditionalFormatting>
  <conditionalFormatting sqref="B91">
    <cfRule type="expression" dxfId="247" priority="230">
      <formula>#REF! = "94≠68+69+71+80+88+89+90+91+92"</formula>
    </cfRule>
  </conditionalFormatting>
  <conditionalFormatting sqref="Z35">
    <cfRule type="expression" dxfId="246" priority="195">
      <formula>#REF! ="35≠36+38"</formula>
    </cfRule>
  </conditionalFormatting>
  <conditionalFormatting sqref="Z39">
    <cfRule type="expression" dxfId="245" priority="196">
      <formula>#REF! ="39≠40+41+42+43+44"</formula>
    </cfRule>
  </conditionalFormatting>
  <conditionalFormatting sqref="Z45">
    <cfRule type="expression" dxfId="244" priority="197">
      <formula>#REF! ="45≠33+34+35+39"</formula>
    </cfRule>
  </conditionalFormatting>
  <conditionalFormatting sqref="Z50">
    <cfRule type="expression" dxfId="243" priority="198">
      <formula>#REF! ="50≠51+53"</formula>
    </cfRule>
  </conditionalFormatting>
  <conditionalFormatting sqref="Z54">
    <cfRule type="expression" dxfId="242" priority="199">
      <formula>#REF! ="54≠55+56+57+58+59"</formula>
    </cfRule>
  </conditionalFormatting>
  <conditionalFormatting sqref="Z60">
    <cfRule type="expression" dxfId="241" priority="200">
      <formula>#REF! ="60≠48+49+50+54"</formula>
    </cfRule>
  </conditionalFormatting>
  <conditionalFormatting sqref="Z62">
    <cfRule type="expression" dxfId="240" priority="201">
      <formula>#REF! ="62≠45+46+60+61"</formula>
    </cfRule>
  </conditionalFormatting>
  <conditionalFormatting sqref="Z64">
    <cfRule type="expression" dxfId="239" priority="202">
      <formula>#REF! ="64≠29+62"</formula>
    </cfRule>
  </conditionalFormatting>
  <conditionalFormatting sqref="Z79">
    <cfRule type="expression" dxfId="238" priority="203">
      <formula>#REF! ="80≠73+74+75+76+77+78+79"</formula>
    </cfRule>
  </conditionalFormatting>
  <conditionalFormatting sqref="Z85">
    <cfRule type="expression" dxfId="237" priority="204">
      <formula>#REF! ="88≠82+83+84+85+86+87"</formula>
    </cfRule>
  </conditionalFormatting>
  <conditionalFormatting sqref="Z91">
    <cfRule type="expression" dxfId="236" priority="205">
      <formula>#REF! = "64≠94"</formula>
    </cfRule>
  </conditionalFormatting>
  <conditionalFormatting sqref="Z91">
    <cfRule type="expression" dxfId="235" priority="206">
      <formula>#REF! = "94≠68+69+71+80+88+89+90+91+92"</formula>
    </cfRule>
  </conditionalFormatting>
  <conditionalFormatting sqref="T35">
    <cfRule type="expression" dxfId="234" priority="171">
      <formula>#REF! ="35≠36+38"</formula>
    </cfRule>
  </conditionalFormatting>
  <conditionalFormatting sqref="T39">
    <cfRule type="expression" dxfId="233" priority="172">
      <formula>#REF! ="39≠40+41+42+43+44"</formula>
    </cfRule>
  </conditionalFormatting>
  <conditionalFormatting sqref="T45">
    <cfRule type="expression" dxfId="232" priority="173">
      <formula>#REF! ="45≠33+34+35+39"</formula>
    </cfRule>
  </conditionalFormatting>
  <conditionalFormatting sqref="T50">
    <cfRule type="expression" dxfId="231" priority="174">
      <formula>#REF! ="50≠51+53"</formula>
    </cfRule>
  </conditionalFormatting>
  <conditionalFormatting sqref="T54">
    <cfRule type="expression" dxfId="230" priority="175">
      <formula>#REF! ="54≠55+56+57+58+59"</formula>
    </cfRule>
  </conditionalFormatting>
  <conditionalFormatting sqref="T60">
    <cfRule type="expression" dxfId="229" priority="176">
      <formula>#REF! ="60≠48+49+50+54"</formula>
    </cfRule>
  </conditionalFormatting>
  <conditionalFormatting sqref="T62">
    <cfRule type="expression" dxfId="228" priority="177">
      <formula>#REF! ="62≠45+46+60+61"</formula>
    </cfRule>
  </conditionalFormatting>
  <conditionalFormatting sqref="T64">
    <cfRule type="expression" dxfId="227" priority="178">
      <formula>#REF! ="64≠29+62"</formula>
    </cfRule>
  </conditionalFormatting>
  <conditionalFormatting sqref="T79">
    <cfRule type="expression" dxfId="226" priority="179">
      <formula>#REF! ="80≠73+74+75+76+77+78+79"</formula>
    </cfRule>
  </conditionalFormatting>
  <conditionalFormatting sqref="T85">
    <cfRule type="expression" dxfId="225" priority="180">
      <formula>#REF! ="88≠82+83+84+85+86+87"</formula>
    </cfRule>
  </conditionalFormatting>
  <conditionalFormatting sqref="T91">
    <cfRule type="expression" dxfId="224" priority="181">
      <formula>#REF! = "64≠94"</formula>
    </cfRule>
  </conditionalFormatting>
  <conditionalFormatting sqref="T91">
    <cfRule type="expression" dxfId="223" priority="182">
      <formula>#REF! = "94≠68+69+71+80+88+89+90+91+92"</formula>
    </cfRule>
  </conditionalFormatting>
  <conditionalFormatting sqref="Q35">
    <cfRule type="expression" dxfId="222" priority="147">
      <formula>#REF! ="35≠36+38"</formula>
    </cfRule>
  </conditionalFormatting>
  <conditionalFormatting sqref="Q39">
    <cfRule type="expression" dxfId="221" priority="148">
      <formula>#REF! ="39≠40+41+42+43+44"</formula>
    </cfRule>
  </conditionalFormatting>
  <conditionalFormatting sqref="Q45">
    <cfRule type="expression" dxfId="220" priority="149">
      <formula>#REF! ="45≠33+34+35+39"</formula>
    </cfRule>
  </conditionalFormatting>
  <conditionalFormatting sqref="Q50">
    <cfRule type="expression" dxfId="219" priority="150">
      <formula>#REF! ="50≠51+53"</formula>
    </cfRule>
  </conditionalFormatting>
  <conditionalFormatting sqref="Q54">
    <cfRule type="expression" dxfId="218" priority="151">
      <formula>#REF! ="54≠55+56+57+58+59"</formula>
    </cfRule>
  </conditionalFormatting>
  <conditionalFormatting sqref="Q60">
    <cfRule type="expression" dxfId="217" priority="152">
      <formula>#REF! ="60≠48+49+50+54"</formula>
    </cfRule>
  </conditionalFormatting>
  <conditionalFormatting sqref="Q62">
    <cfRule type="expression" dxfId="216" priority="153">
      <formula>#REF! ="62≠45+46+60+61"</formula>
    </cfRule>
  </conditionalFormatting>
  <conditionalFormatting sqref="Q64">
    <cfRule type="expression" dxfId="215" priority="154">
      <formula>#REF! ="64≠29+62"</formula>
    </cfRule>
  </conditionalFormatting>
  <conditionalFormatting sqref="Q79">
    <cfRule type="expression" dxfId="214" priority="155">
      <formula>#REF! ="80≠73+74+75+76+77+78+79"</formula>
    </cfRule>
  </conditionalFormatting>
  <conditionalFormatting sqref="Q85">
    <cfRule type="expression" dxfId="213" priority="156">
      <formula>#REF! ="88≠82+83+84+85+86+87"</formula>
    </cfRule>
  </conditionalFormatting>
  <conditionalFormatting sqref="Q91">
    <cfRule type="expression" dxfId="212" priority="157">
      <formula>#REF! = "64≠94"</formula>
    </cfRule>
  </conditionalFormatting>
  <conditionalFormatting sqref="Q91">
    <cfRule type="expression" dxfId="211" priority="158">
      <formula>#REF! = "94≠68+69+71+80+88+89+90+91+92"</formula>
    </cfRule>
  </conditionalFormatting>
  <conditionalFormatting sqref="N35">
    <cfRule type="expression" dxfId="210" priority="123">
      <formula>#REF! ="35≠36+38"</formula>
    </cfRule>
  </conditionalFormatting>
  <conditionalFormatting sqref="N39">
    <cfRule type="expression" dxfId="209" priority="124">
      <formula>#REF! ="39≠40+41+42+43+44"</formula>
    </cfRule>
  </conditionalFormatting>
  <conditionalFormatting sqref="N45">
    <cfRule type="expression" dxfId="208" priority="125">
      <formula>#REF! ="45≠33+34+35+39"</formula>
    </cfRule>
  </conditionalFormatting>
  <conditionalFormatting sqref="N50">
    <cfRule type="expression" dxfId="207" priority="126">
      <formula>#REF! ="50≠51+53"</formula>
    </cfRule>
  </conditionalFormatting>
  <conditionalFormatting sqref="N54">
    <cfRule type="expression" dxfId="206" priority="127">
      <formula>#REF! ="54≠55+56+57+58+59"</formula>
    </cfRule>
  </conditionalFormatting>
  <conditionalFormatting sqref="N60">
    <cfRule type="expression" dxfId="205" priority="128">
      <formula>#REF! ="60≠48+49+50+54"</formula>
    </cfRule>
  </conditionalFormatting>
  <conditionalFormatting sqref="N62">
    <cfRule type="expression" dxfId="204" priority="129">
      <formula>#REF! ="62≠45+46+60+61"</formula>
    </cfRule>
  </conditionalFormatting>
  <conditionalFormatting sqref="N64">
    <cfRule type="expression" dxfId="203" priority="130">
      <formula>#REF! ="64≠29+62"</formula>
    </cfRule>
  </conditionalFormatting>
  <conditionalFormatting sqref="N79">
    <cfRule type="expression" dxfId="202" priority="131">
      <formula>#REF! ="80≠73+74+75+76+77+78+79"</formula>
    </cfRule>
  </conditionalFormatting>
  <conditionalFormatting sqref="N85">
    <cfRule type="expression" dxfId="201" priority="132">
      <formula>#REF! ="88≠82+83+84+85+86+87"</formula>
    </cfRule>
  </conditionalFormatting>
  <conditionalFormatting sqref="N91">
    <cfRule type="expression" dxfId="200" priority="133">
      <formula>#REF! = "64≠94"</formula>
    </cfRule>
  </conditionalFormatting>
  <conditionalFormatting sqref="N91">
    <cfRule type="expression" dxfId="199" priority="134">
      <formula>#REF! = "94≠68+69+71+80+88+89+90+91+92"</formula>
    </cfRule>
  </conditionalFormatting>
  <conditionalFormatting sqref="AC35">
    <cfRule type="expression" dxfId="198" priority="99">
      <formula>#REF! ="35≠36+38"</formula>
    </cfRule>
  </conditionalFormatting>
  <conditionalFormatting sqref="AC39">
    <cfRule type="expression" dxfId="197" priority="100">
      <formula>#REF! ="39≠40+41+42+43+44"</formula>
    </cfRule>
  </conditionalFormatting>
  <conditionalFormatting sqref="AC45">
    <cfRule type="expression" dxfId="196" priority="101">
      <formula>#REF! ="45≠33+34+35+39"</formula>
    </cfRule>
  </conditionalFormatting>
  <conditionalFormatting sqref="AC50">
    <cfRule type="expression" dxfId="195" priority="102">
      <formula>#REF! ="50≠51+53"</formula>
    </cfRule>
  </conditionalFormatting>
  <conditionalFormatting sqref="AC54">
    <cfRule type="expression" dxfId="194" priority="103">
      <formula>#REF! ="54≠55+56+57+58+59"</formula>
    </cfRule>
  </conditionalFormatting>
  <conditionalFormatting sqref="AC60">
    <cfRule type="expression" dxfId="193" priority="104">
      <formula>#REF! ="60≠48+49+50+54"</formula>
    </cfRule>
  </conditionalFormatting>
  <conditionalFormatting sqref="AC62">
    <cfRule type="expression" dxfId="192" priority="105">
      <formula>#REF! ="62≠45+46+60+61"</formula>
    </cfRule>
  </conditionalFormatting>
  <conditionalFormatting sqref="AC64">
    <cfRule type="expression" dxfId="191" priority="106">
      <formula>#REF! ="64≠29+62"</formula>
    </cfRule>
  </conditionalFormatting>
  <conditionalFormatting sqref="AC79">
    <cfRule type="expression" dxfId="190" priority="107">
      <formula>#REF! ="80≠73+74+75+76+77+78+79"</formula>
    </cfRule>
  </conditionalFormatting>
  <conditionalFormatting sqref="AC85">
    <cfRule type="expression" dxfId="189" priority="108">
      <formula>#REF! ="88≠82+83+84+85+86+87"</formula>
    </cfRule>
  </conditionalFormatting>
  <conditionalFormatting sqref="AC91">
    <cfRule type="expression" dxfId="188" priority="109">
      <formula>#REF! = "64≠94"</formula>
    </cfRule>
  </conditionalFormatting>
  <conditionalFormatting sqref="AC91">
    <cfRule type="expression" dxfId="187" priority="110">
      <formula>#REF! = "94≠68+69+71+80+88+89+90+91+92"</formula>
    </cfRule>
  </conditionalFormatting>
  <conditionalFormatting sqref="AF35">
    <cfRule type="expression" dxfId="186" priority="51">
      <formula>#REF! ="35≠36+38"</formula>
    </cfRule>
  </conditionalFormatting>
  <conditionalFormatting sqref="AF39">
    <cfRule type="expression" dxfId="185" priority="52">
      <formula>#REF! ="39≠40+41+42+43+44"</formula>
    </cfRule>
  </conditionalFormatting>
  <conditionalFormatting sqref="AF45">
    <cfRule type="expression" dxfId="184" priority="53">
      <formula>#REF! ="45≠33+34+35+39"</formula>
    </cfRule>
  </conditionalFormatting>
  <conditionalFormatting sqref="AF50">
    <cfRule type="expression" dxfId="183" priority="54">
      <formula>#REF! ="50≠51+53"</formula>
    </cfRule>
  </conditionalFormatting>
  <conditionalFormatting sqref="AF54">
    <cfRule type="expression" dxfId="182" priority="55">
      <formula>#REF! ="54≠55+56+57+58+59"</formula>
    </cfRule>
  </conditionalFormatting>
  <conditionalFormatting sqref="AF60">
    <cfRule type="expression" dxfId="181" priority="56">
      <formula>#REF! ="60≠48+49+50+54"</formula>
    </cfRule>
  </conditionalFormatting>
  <conditionalFormatting sqref="AF62">
    <cfRule type="expression" dxfId="180" priority="57">
      <formula>#REF! ="62≠45+46+60+61"</formula>
    </cfRule>
  </conditionalFormatting>
  <conditionalFormatting sqref="AF64">
    <cfRule type="expression" dxfId="179" priority="58">
      <formula>#REF! ="64≠29+62"</formula>
    </cfRule>
  </conditionalFormatting>
  <conditionalFormatting sqref="AF79">
    <cfRule type="expression" dxfId="178" priority="59">
      <formula>#REF! ="80≠73+74+75+76+77+78+79"</formula>
    </cfRule>
  </conditionalFormatting>
  <conditionalFormatting sqref="AF85">
    <cfRule type="expression" dxfId="177" priority="60">
      <formula>#REF! ="88≠82+83+84+85+86+87"</formula>
    </cfRule>
  </conditionalFormatting>
  <conditionalFormatting sqref="AF91">
    <cfRule type="expression" dxfId="176" priority="61">
      <formula>#REF! = "64≠94"</formula>
    </cfRule>
  </conditionalFormatting>
  <conditionalFormatting sqref="AF91">
    <cfRule type="expression" dxfId="175" priority="62">
      <formula>#REF! = "94≠68+69+71+80+88+89+90+91+92"</formula>
    </cfRule>
  </conditionalFormatting>
  <conditionalFormatting sqref="H35">
    <cfRule type="expression" dxfId="174" priority="27">
      <formula>#REF! ="35≠36+38"</formula>
    </cfRule>
  </conditionalFormatting>
  <conditionalFormatting sqref="H39">
    <cfRule type="expression" dxfId="173" priority="28">
      <formula>#REF! ="39≠40+41+42+43+44"</formula>
    </cfRule>
  </conditionalFormatting>
  <conditionalFormatting sqref="H45">
    <cfRule type="expression" dxfId="172" priority="29">
      <formula>#REF! ="45≠33+34+35+39"</formula>
    </cfRule>
  </conditionalFormatting>
  <conditionalFormatting sqref="H50">
    <cfRule type="expression" dxfId="171" priority="30">
      <formula>#REF! ="50≠51+53"</formula>
    </cfRule>
  </conditionalFormatting>
  <conditionalFormatting sqref="H54">
    <cfRule type="expression" dxfId="170" priority="31">
      <formula>#REF! ="54≠55+56+57+58+59"</formula>
    </cfRule>
  </conditionalFormatting>
  <conditionalFormatting sqref="H60">
    <cfRule type="expression" dxfId="169" priority="32">
      <formula>#REF! ="60≠48+49+50+54"</formula>
    </cfRule>
  </conditionalFormatting>
  <conditionalFormatting sqref="H62">
    <cfRule type="expression" dxfId="168" priority="33">
      <formula>#REF! ="62≠45+46+60+61"</formula>
    </cfRule>
  </conditionalFormatting>
  <conditionalFormatting sqref="H64">
    <cfRule type="expression" dxfId="167" priority="34">
      <formula>#REF! ="64≠29+62"</formula>
    </cfRule>
  </conditionalFormatting>
  <conditionalFormatting sqref="H79">
    <cfRule type="expression" dxfId="166" priority="35">
      <formula>#REF! ="80≠73+74+75+76+77+78+79"</formula>
    </cfRule>
  </conditionalFormatting>
  <conditionalFormatting sqref="H85">
    <cfRule type="expression" dxfId="165" priority="36">
      <formula>#REF! ="88≠82+83+84+85+86+87"</formula>
    </cfRule>
  </conditionalFormatting>
  <conditionalFormatting sqref="H91">
    <cfRule type="expression" dxfId="164" priority="37">
      <formula>#REF! = "64≠94"</formula>
    </cfRule>
  </conditionalFormatting>
  <conditionalFormatting sqref="H91">
    <cfRule type="expression" dxfId="163" priority="38">
      <formula>#REF! = "94≠68+69+71+80+88+89+90+91+92"</formula>
    </cfRule>
  </conditionalFormatting>
  <conditionalFormatting sqref="E35">
    <cfRule type="expression" dxfId="162" priority="14">
      <formula>#REF! ="35≠36+38"</formula>
    </cfRule>
  </conditionalFormatting>
  <conditionalFormatting sqref="E39">
    <cfRule type="expression" dxfId="161" priority="13">
      <formula>#REF! ="39≠40+41+42+43+44"</formula>
    </cfRule>
  </conditionalFormatting>
  <conditionalFormatting sqref="E45">
    <cfRule type="expression" dxfId="160" priority="12">
      <formula>#REF! ="45≠33+34+35+39"</formula>
    </cfRule>
  </conditionalFormatting>
  <conditionalFormatting sqref="E50">
    <cfRule type="expression" dxfId="159" priority="11">
      <formula>#REF! ="50≠51+53"</formula>
    </cfRule>
  </conditionalFormatting>
  <conditionalFormatting sqref="E54">
    <cfRule type="expression" dxfId="158" priority="10">
      <formula>#REF! ="54≠55+56+57+58+59"</formula>
    </cfRule>
  </conditionalFormatting>
  <conditionalFormatting sqref="E60">
    <cfRule type="expression" dxfId="157" priority="9">
      <formula>#REF! ="60≠48+49+50+54"</formula>
    </cfRule>
  </conditionalFormatting>
  <conditionalFormatting sqref="E62">
    <cfRule type="expression" dxfId="156" priority="615">
      <formula>#REF! ="62≠45+46+60+61"</formula>
    </cfRule>
  </conditionalFormatting>
  <conditionalFormatting sqref="E64">
    <cfRule type="expression" dxfId="155" priority="616">
      <formula>#REF! ="64≠29+62"</formula>
    </cfRule>
  </conditionalFormatting>
  <conditionalFormatting sqref="E79">
    <cfRule type="expression" dxfId="154" priority="617">
      <formula>#REF! ="80≠73+74+75+76+77+78+79"</formula>
    </cfRule>
  </conditionalFormatting>
  <conditionalFormatting sqref="E85">
    <cfRule type="expression" dxfId="153" priority="618">
      <formula>#REF! ="88≠82+83+84+85+86+87"</formula>
    </cfRule>
  </conditionalFormatting>
  <conditionalFormatting sqref="E91">
    <cfRule type="expression" dxfId="152" priority="619">
      <formula>#REF! = "64≠94"</formula>
    </cfRule>
  </conditionalFormatting>
  <conditionalFormatting sqref="E91">
    <cfRule type="expression" dxfId="151" priority="620">
      <formula>#REF! = "94≠68+69+71+80+88+89+90+91+92"</formula>
    </cfRule>
  </conditionalFormatting>
  <conditionalFormatting sqref="L91 X91 AJ91 C91 AA91 U91 R91 O91 AD91 AG91 I91 F91 AO91:AP91">
    <cfRule type="expression" dxfId="150" priority="796">
      <formula>#REF! = "64≠94"</formula>
    </cfRule>
  </conditionalFormatting>
  <conditionalFormatting sqref="L91 X91 AJ91 C91 AA91 U91 R91 O91 AD91 AG91 I91 F91 AO91:AP91">
    <cfRule type="expression" dxfId="149" priority="797">
      <formula>#REF! = "94≠68+69+71+80+88+89+90+91+92"</formula>
    </cfRule>
  </conditionalFormatting>
  <conditionalFormatting sqref="L35 X35 AJ35 C35 AA35 U35 R35 O35 AD35 AG35 I35 F35">
    <cfRule type="expression" dxfId="148" priority="798">
      <formula>#REF! ="35≠36+38"</formula>
    </cfRule>
  </conditionalFormatting>
  <conditionalFormatting sqref="L39 X39 AJ39 C39 AA39 U39 R39 O39 AD39 AG39 I39 F39">
    <cfRule type="expression" dxfId="147" priority="799">
      <formula>#REF! ="39≠40+41+42+43+44"</formula>
    </cfRule>
  </conditionalFormatting>
  <conditionalFormatting sqref="L45 X45 AJ45 C45 AA45 U45 R45 O45 AD45 AG45 I45 F45">
    <cfRule type="expression" dxfId="146" priority="800">
      <formula>#REF! ="45≠33+34+35+39"</formula>
    </cfRule>
  </conditionalFormatting>
  <conditionalFormatting sqref="L50 X50 AJ50 C50 AA50 U50 R50 O50 AD50 AG50 I50 F50">
    <cfRule type="expression" dxfId="145" priority="801">
      <formula>#REF! ="50≠51+53"</formula>
    </cfRule>
  </conditionalFormatting>
  <conditionalFormatting sqref="L54 X54 AJ54 C54 AA54 U54 R54 O54 AD54 AG54 I54 F54">
    <cfRule type="expression" dxfId="144" priority="802">
      <formula>#REF! ="54≠55+56+57+58+59"</formula>
    </cfRule>
  </conditionalFormatting>
  <conditionalFormatting sqref="L60 X60 AJ60 C60 AA60 U60 R60 O60 AD60 AG60 I60 F60">
    <cfRule type="expression" dxfId="143" priority="803">
      <formula>#REF! ="60≠48+49+50+54"</formula>
    </cfRule>
  </conditionalFormatting>
  <conditionalFormatting sqref="L62 X62 AJ62 C62 AA62 U62 R62 O62 AD62 AG62 I62 F62">
    <cfRule type="expression" dxfId="142" priority="804">
      <formula>#REF! ="62≠45+46+60+61"</formula>
    </cfRule>
  </conditionalFormatting>
  <conditionalFormatting sqref="L64 X64 AJ64 C64 AA64 U64 R64 O64 AD64 AG64 I64 F64">
    <cfRule type="expression" dxfId="141" priority="805">
      <formula>#REF! ="64≠29+62"</formula>
    </cfRule>
  </conditionalFormatting>
  <conditionalFormatting sqref="L79 X79 AJ79 C79 AA79 U79 R79 O79 AD79 AG79 I79 F79">
    <cfRule type="expression" dxfId="140" priority="806">
      <formula>#REF! ="80≠73+74+75+76+77+78+79"</formula>
    </cfRule>
  </conditionalFormatting>
  <conditionalFormatting sqref="L85 X85 AJ85 C85 AA85 U85 R85 O85 AD85 AG85 I85 F85">
    <cfRule type="expression" dxfId="139" priority="807">
      <formula>#REF! ="88≠82+83+84+85+86+87"</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B88"/>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sheetView>
  </sheetViews>
  <sheetFormatPr baseColWidth="10" defaultColWidth="11.42578125" defaultRowHeight="12.75" x14ac:dyDescent="0.2"/>
  <cols>
    <col min="1" max="1" width="84.5703125" style="721" customWidth="1"/>
    <col min="2" max="34" width="11.7109375" style="721" customWidth="1"/>
    <col min="35" max="36" width="13" style="721" bestFit="1" customWidth="1"/>
    <col min="37" max="37" width="11.7109375" style="721" customWidth="1"/>
    <col min="38" max="38" width="12.140625" style="721" bestFit="1" customWidth="1"/>
    <col min="39" max="16384" width="11.42578125" style="721"/>
  </cols>
  <sheetData>
    <row r="1" spans="1:54" ht="20.25" customHeight="1" x14ac:dyDescent="0.3">
      <c r="A1" s="720" t="s">
        <v>180</v>
      </c>
      <c r="B1" s="480" t="s">
        <v>52</v>
      </c>
      <c r="AL1" s="722"/>
    </row>
    <row r="2" spans="1:54" ht="20.100000000000001" customHeight="1" x14ac:dyDescent="0.3">
      <c r="A2" s="720" t="s">
        <v>413</v>
      </c>
      <c r="AL2" s="722"/>
    </row>
    <row r="3" spans="1:54" ht="20.100000000000001" customHeight="1" x14ac:dyDescent="0.3">
      <c r="A3" s="723" t="s">
        <v>414</v>
      </c>
      <c r="AL3" s="724"/>
    </row>
    <row r="4" spans="1:54" ht="18.75" customHeight="1" x14ac:dyDescent="0.25">
      <c r="A4" s="725" t="s">
        <v>371</v>
      </c>
      <c r="B4" s="726"/>
      <c r="C4" s="727"/>
      <c r="D4" s="728"/>
      <c r="E4" s="727"/>
      <c r="F4" s="727"/>
      <c r="G4" s="727"/>
      <c r="H4" s="727"/>
      <c r="I4" s="727"/>
      <c r="J4" s="728"/>
      <c r="K4" s="726"/>
      <c r="L4" s="727"/>
      <c r="M4" s="728"/>
      <c r="N4" s="726"/>
      <c r="O4" s="727"/>
      <c r="P4" s="728"/>
      <c r="Q4" s="726"/>
      <c r="R4" s="727"/>
      <c r="S4" s="728"/>
      <c r="T4" s="726"/>
      <c r="U4" s="727"/>
      <c r="V4" s="728"/>
      <c r="W4" s="726"/>
      <c r="X4" s="727"/>
      <c r="Y4" s="728"/>
      <c r="Z4" s="726"/>
      <c r="AA4" s="727"/>
      <c r="AB4" s="728"/>
      <c r="AC4" s="726"/>
      <c r="AD4" s="727"/>
      <c r="AE4" s="728"/>
      <c r="AF4" s="726"/>
      <c r="AG4" s="727"/>
      <c r="AH4" s="728"/>
      <c r="AI4" s="726"/>
      <c r="AJ4" s="727"/>
      <c r="AK4" s="728"/>
      <c r="AL4" s="729"/>
      <c r="AM4" s="730"/>
      <c r="AN4" s="730"/>
      <c r="AO4" s="730"/>
      <c r="AP4" s="730"/>
      <c r="AQ4" s="730"/>
      <c r="AR4" s="730"/>
      <c r="AS4" s="730"/>
      <c r="AT4" s="730"/>
      <c r="AU4" s="730"/>
      <c r="AV4" s="730"/>
      <c r="AW4" s="730"/>
      <c r="AX4" s="730"/>
      <c r="AY4" s="730"/>
      <c r="AZ4" s="730"/>
      <c r="BA4" s="730"/>
      <c r="BB4" s="730"/>
    </row>
    <row r="5" spans="1:54" ht="18.75" customHeight="1" x14ac:dyDescent="0.3">
      <c r="A5" s="531" t="s">
        <v>415</v>
      </c>
      <c r="B5" s="982" t="s">
        <v>183</v>
      </c>
      <c r="C5" s="983"/>
      <c r="D5" s="984"/>
      <c r="E5" s="982" t="s">
        <v>184</v>
      </c>
      <c r="F5" s="983"/>
      <c r="G5" s="984"/>
      <c r="H5" s="982" t="s">
        <v>185</v>
      </c>
      <c r="I5" s="983"/>
      <c r="J5" s="984"/>
      <c r="K5" s="982" t="s">
        <v>186</v>
      </c>
      <c r="L5" s="983"/>
      <c r="M5" s="984"/>
      <c r="N5" s="982" t="s">
        <v>187</v>
      </c>
      <c r="O5" s="983"/>
      <c r="P5" s="984"/>
      <c r="Q5" s="900" t="s">
        <v>187</v>
      </c>
      <c r="R5" s="901"/>
      <c r="S5" s="902"/>
      <c r="T5" s="982" t="s">
        <v>64</v>
      </c>
      <c r="U5" s="983"/>
      <c r="V5" s="984"/>
      <c r="W5" s="846"/>
      <c r="X5" s="847"/>
      <c r="Y5" s="848"/>
      <c r="Z5" s="982" t="s">
        <v>188</v>
      </c>
      <c r="AA5" s="983"/>
      <c r="AB5" s="984"/>
      <c r="AC5" s="982"/>
      <c r="AD5" s="983"/>
      <c r="AE5" s="984"/>
      <c r="AF5" s="982" t="s">
        <v>75</v>
      </c>
      <c r="AG5" s="983"/>
      <c r="AH5" s="984"/>
      <c r="AI5" s="982" t="s">
        <v>416</v>
      </c>
      <c r="AJ5" s="983"/>
      <c r="AK5" s="984"/>
      <c r="AL5" s="731"/>
      <c r="AM5" s="732"/>
      <c r="AN5" s="1016"/>
      <c r="AO5" s="1016"/>
      <c r="AP5" s="1016"/>
      <c r="AQ5" s="1016"/>
      <c r="AR5" s="1016"/>
      <c r="AS5" s="1016"/>
      <c r="AT5" s="1016"/>
      <c r="AU5" s="1016"/>
      <c r="AV5" s="1016"/>
      <c r="AW5" s="1016"/>
      <c r="AX5" s="1016"/>
      <c r="AY5" s="1016"/>
      <c r="AZ5" s="1016"/>
      <c r="BA5" s="1016"/>
      <c r="BB5" s="1016"/>
    </row>
    <row r="6" spans="1:54" ht="18.75" customHeight="1" x14ac:dyDescent="0.3">
      <c r="A6" s="532" t="s">
        <v>417</v>
      </c>
      <c r="B6" s="985" t="s">
        <v>189</v>
      </c>
      <c r="C6" s="986"/>
      <c r="D6" s="987"/>
      <c r="E6" s="985" t="s">
        <v>190</v>
      </c>
      <c r="F6" s="986"/>
      <c r="G6" s="987"/>
      <c r="H6" s="985" t="s">
        <v>190</v>
      </c>
      <c r="I6" s="986"/>
      <c r="J6" s="987"/>
      <c r="K6" s="985" t="s">
        <v>191</v>
      </c>
      <c r="L6" s="986"/>
      <c r="M6" s="987"/>
      <c r="N6" s="985" t="s">
        <v>94</v>
      </c>
      <c r="O6" s="986"/>
      <c r="P6" s="987"/>
      <c r="Q6" s="985" t="s">
        <v>64</v>
      </c>
      <c r="R6" s="986"/>
      <c r="S6" s="987"/>
      <c r="T6" s="985" t="s">
        <v>192</v>
      </c>
      <c r="U6" s="986"/>
      <c r="V6" s="987"/>
      <c r="W6" s="985" t="s">
        <v>68</v>
      </c>
      <c r="X6" s="986"/>
      <c r="Y6" s="987"/>
      <c r="Z6" s="985" t="s">
        <v>189</v>
      </c>
      <c r="AA6" s="986"/>
      <c r="AB6" s="987"/>
      <c r="AC6" s="985" t="s">
        <v>70</v>
      </c>
      <c r="AD6" s="986"/>
      <c r="AE6" s="987"/>
      <c r="AF6" s="985" t="s">
        <v>190</v>
      </c>
      <c r="AG6" s="986"/>
      <c r="AH6" s="987"/>
      <c r="AI6" s="985" t="s">
        <v>418</v>
      </c>
      <c r="AJ6" s="986"/>
      <c r="AK6" s="987"/>
      <c r="AL6" s="731"/>
      <c r="AM6" s="732"/>
      <c r="AN6" s="1016"/>
      <c r="AO6" s="1016"/>
      <c r="AP6" s="1016"/>
      <c r="AQ6" s="1016"/>
      <c r="AR6" s="1016"/>
      <c r="AS6" s="1016"/>
      <c r="AT6" s="1016"/>
      <c r="AU6" s="1016"/>
      <c r="AV6" s="1016"/>
      <c r="AW6" s="1016"/>
      <c r="AX6" s="1016"/>
      <c r="AY6" s="1016"/>
      <c r="AZ6" s="1016"/>
      <c r="BA6" s="1016"/>
      <c r="BB6" s="1016"/>
    </row>
    <row r="7" spans="1:54" ht="18.75" customHeight="1" x14ac:dyDescent="0.3">
      <c r="A7" s="532"/>
      <c r="B7" s="733"/>
      <c r="C7" s="733"/>
      <c r="D7" s="533" t="s">
        <v>83</v>
      </c>
      <c r="E7" s="733"/>
      <c r="F7" s="733"/>
      <c r="G7" s="533" t="s">
        <v>83</v>
      </c>
      <c r="H7" s="733"/>
      <c r="I7" s="733"/>
      <c r="J7" s="533" t="s">
        <v>83</v>
      </c>
      <c r="K7" s="733"/>
      <c r="L7" s="733"/>
      <c r="M7" s="533" t="s">
        <v>83</v>
      </c>
      <c r="N7" s="733"/>
      <c r="O7" s="733"/>
      <c r="P7" s="533" t="s">
        <v>83</v>
      </c>
      <c r="Q7" s="733"/>
      <c r="R7" s="733"/>
      <c r="S7" s="533" t="s">
        <v>83</v>
      </c>
      <c r="T7" s="733"/>
      <c r="U7" s="733"/>
      <c r="V7" s="533" t="s">
        <v>83</v>
      </c>
      <c r="W7" s="733"/>
      <c r="X7" s="733"/>
      <c r="Y7" s="533" t="s">
        <v>83</v>
      </c>
      <c r="Z7" s="733"/>
      <c r="AA7" s="733"/>
      <c r="AB7" s="533" t="s">
        <v>83</v>
      </c>
      <c r="AC7" s="733"/>
      <c r="AD7" s="733"/>
      <c r="AE7" s="533" t="s">
        <v>83</v>
      </c>
      <c r="AF7" s="733"/>
      <c r="AG7" s="733"/>
      <c r="AH7" s="533" t="s">
        <v>83</v>
      </c>
      <c r="AI7" s="733"/>
      <c r="AJ7" s="733"/>
      <c r="AK7" s="533" t="s">
        <v>83</v>
      </c>
      <c r="AL7" s="731"/>
      <c r="AM7" s="732"/>
      <c r="AN7" s="732"/>
      <c r="AO7" s="732"/>
      <c r="AP7" s="732"/>
      <c r="AQ7" s="732"/>
      <c r="AR7" s="732"/>
      <c r="AS7" s="732"/>
      <c r="AT7" s="732"/>
      <c r="AU7" s="732"/>
      <c r="AV7" s="732"/>
      <c r="AW7" s="732"/>
      <c r="AX7" s="732"/>
      <c r="AY7" s="732"/>
      <c r="AZ7" s="732"/>
      <c r="BA7" s="732"/>
      <c r="BB7" s="732"/>
    </row>
    <row r="8" spans="1:54" ht="18.75" customHeight="1" x14ac:dyDescent="0.25">
      <c r="A8" s="734" t="s">
        <v>297</v>
      </c>
      <c r="B8" s="735">
        <v>2017</v>
      </c>
      <c r="C8" s="735">
        <v>2018</v>
      </c>
      <c r="D8" s="535" t="s">
        <v>85</v>
      </c>
      <c r="E8" s="735">
        <v>2017</v>
      </c>
      <c r="F8" s="735">
        <v>2018</v>
      </c>
      <c r="G8" s="535" t="s">
        <v>85</v>
      </c>
      <c r="H8" s="735">
        <v>2017</v>
      </c>
      <c r="I8" s="735">
        <v>2018</v>
      </c>
      <c r="J8" s="535" t="s">
        <v>85</v>
      </c>
      <c r="K8" s="735">
        <v>2017</v>
      </c>
      <c r="L8" s="735">
        <v>2018</v>
      </c>
      <c r="M8" s="535" t="s">
        <v>85</v>
      </c>
      <c r="N8" s="735">
        <v>2017</v>
      </c>
      <c r="O8" s="735">
        <v>2018</v>
      </c>
      <c r="P8" s="535" t="s">
        <v>85</v>
      </c>
      <c r="Q8" s="735">
        <v>2017</v>
      </c>
      <c r="R8" s="735">
        <v>2018</v>
      </c>
      <c r="S8" s="535" t="s">
        <v>85</v>
      </c>
      <c r="T8" s="735">
        <v>2017</v>
      </c>
      <c r="U8" s="735">
        <v>2018</v>
      </c>
      <c r="V8" s="535" t="s">
        <v>85</v>
      </c>
      <c r="W8" s="735">
        <v>2017</v>
      </c>
      <c r="X8" s="735">
        <v>2018</v>
      </c>
      <c r="Y8" s="535" t="s">
        <v>85</v>
      </c>
      <c r="Z8" s="735">
        <v>2017</v>
      </c>
      <c r="AA8" s="735">
        <v>2018</v>
      </c>
      <c r="AB8" s="535" t="s">
        <v>85</v>
      </c>
      <c r="AC8" s="735">
        <v>2017</v>
      </c>
      <c r="AD8" s="735">
        <v>2018</v>
      </c>
      <c r="AE8" s="535" t="s">
        <v>85</v>
      </c>
      <c r="AF8" s="735">
        <v>2017</v>
      </c>
      <c r="AG8" s="735">
        <v>2018</v>
      </c>
      <c r="AH8" s="535" t="s">
        <v>85</v>
      </c>
      <c r="AI8" s="735">
        <v>2017</v>
      </c>
      <c r="AJ8" s="735">
        <v>2018</v>
      </c>
      <c r="AK8" s="535" t="s">
        <v>85</v>
      </c>
      <c r="AL8" s="731"/>
      <c r="AM8" s="736"/>
      <c r="AN8" s="737"/>
      <c r="AO8" s="737"/>
      <c r="AP8" s="736"/>
      <c r="AQ8" s="737"/>
      <c r="AR8" s="737"/>
      <c r="AS8" s="736"/>
      <c r="AT8" s="737"/>
      <c r="AU8" s="737"/>
      <c r="AV8" s="736"/>
      <c r="AW8" s="737"/>
      <c r="AX8" s="737"/>
      <c r="AY8" s="736"/>
      <c r="AZ8" s="737"/>
      <c r="BA8" s="737"/>
      <c r="BB8" s="736"/>
    </row>
    <row r="9" spans="1:54" s="561" customFormat="1" ht="18.75" customHeight="1" x14ac:dyDescent="0.3">
      <c r="A9" s="565"/>
      <c r="B9" s="443"/>
      <c r="C9" s="637"/>
      <c r="D9" s="548"/>
      <c r="E9" s="859"/>
      <c r="F9" s="638"/>
      <c r="G9" s="548"/>
      <c r="H9" s="859"/>
      <c r="I9" s="638"/>
      <c r="J9" s="548"/>
      <c r="K9" s="865"/>
      <c r="L9" s="638"/>
      <c r="M9" s="739"/>
      <c r="N9" s="445"/>
      <c r="O9" s="638"/>
      <c r="P9" s="548"/>
      <c r="Q9" s="443"/>
      <c r="R9" s="638"/>
      <c r="S9" s="548"/>
      <c r="T9" s="859"/>
      <c r="U9" s="638"/>
      <c r="V9" s="548"/>
      <c r="W9" s="859"/>
      <c r="X9" s="638"/>
      <c r="Y9" s="548"/>
      <c r="Z9" s="859"/>
      <c r="AA9" s="638"/>
      <c r="AB9" s="548"/>
      <c r="AC9" s="443"/>
      <c r="AD9" s="638"/>
      <c r="AE9" s="548"/>
      <c r="AF9" s="443"/>
      <c r="AG9" s="638"/>
      <c r="AH9" s="548"/>
      <c r="AI9" s="738"/>
      <c r="AJ9" s="738"/>
      <c r="AK9" s="548"/>
      <c r="AL9" s="740"/>
      <c r="AM9" s="740"/>
    </row>
    <row r="10" spans="1:54" s="561" customFormat="1" ht="18.75" customHeight="1" x14ac:dyDescent="0.3">
      <c r="A10" s="565" t="s">
        <v>419</v>
      </c>
      <c r="B10" s="859"/>
      <c r="C10" s="638"/>
      <c r="D10" s="548"/>
      <c r="E10" s="859"/>
      <c r="F10" s="638"/>
      <c r="G10" s="548"/>
      <c r="H10" s="859"/>
      <c r="I10" s="638"/>
      <c r="J10" s="548"/>
      <c r="K10" s="866"/>
      <c r="L10" s="638"/>
      <c r="M10" s="741"/>
      <c r="N10" s="742"/>
      <c r="O10" s="638"/>
      <c r="P10" s="548"/>
      <c r="Q10" s="859"/>
      <c r="R10" s="638"/>
      <c r="S10" s="548"/>
      <c r="T10" s="859"/>
      <c r="U10" s="638"/>
      <c r="V10" s="548"/>
      <c r="W10" s="859"/>
      <c r="X10" s="638"/>
      <c r="Y10" s="548"/>
      <c r="Z10" s="859"/>
      <c r="AA10" s="638"/>
      <c r="AB10" s="548"/>
      <c r="AC10" s="859"/>
      <c r="AD10" s="638"/>
      <c r="AE10" s="548"/>
      <c r="AF10" s="859"/>
      <c r="AG10" s="638"/>
      <c r="AH10" s="548"/>
      <c r="AI10" s="738"/>
      <c r="AJ10" s="738"/>
      <c r="AK10" s="548"/>
      <c r="AL10" s="740"/>
      <c r="AM10" s="740"/>
    </row>
    <row r="11" spans="1:54" s="749" customFormat="1" ht="18.75" customHeight="1" x14ac:dyDescent="0.3">
      <c r="A11" s="743" t="s">
        <v>420</v>
      </c>
      <c r="B11" s="867">
        <f>SUM(B12+B15+B18+B19+B21+B22)</f>
        <v>953.18999999999994</v>
      </c>
      <c r="C11" s="640">
        <v>1088.4880000000001</v>
      </c>
      <c r="D11" s="744">
        <f>IF(B11=0, "    ---- ", IF(ABS(ROUND(100/B11*C11-100,1))&lt;999,ROUND(100/B11*C11-100,1),IF(ROUND(100/B11*C11-100,1)&gt;999,999,-999)))</f>
        <v>14.2</v>
      </c>
      <c r="E11" s="867">
        <f>SUM(E12+E15+E18+E19+E21+E22)</f>
        <v>210789.83199999999</v>
      </c>
      <c r="F11" s="640">
        <f>SUM(F12+F15+F18+F19+F21+F22)</f>
        <v>194741.092</v>
      </c>
      <c r="G11" s="744">
        <f t="shared" ref="G11:G54" si="0">IF(E11=0, "    ---- ", IF(ABS(ROUND(100/E11*F11-100,1))&lt;999,ROUND(100/E11*F11-100,1),IF(ROUND(100/E11*F11-100,1)&gt;999,999,-999)))</f>
        <v>-7.6</v>
      </c>
      <c r="H11" s="867">
        <f>SUM(H12+H15+H18+H19+H21+H22)</f>
        <v>810.82600000000014</v>
      </c>
      <c r="I11" s="640">
        <f>SUM(I12+I15+I18+I19+I21+I22)</f>
        <v>928.9</v>
      </c>
      <c r="J11" s="744">
        <f>IF(H11=0, "    ---- ", IF(ABS(ROUND(100/H11*I11-100,1))&lt;999,ROUND(100/H11*I11-100,1),IF(ROUND(100/H11*I11-100,1)&gt;999,999,-999)))</f>
        <v>14.6</v>
      </c>
      <c r="K11" s="867">
        <f>SUM(K12+K15+K18+K19+K21+K22)</f>
        <v>5784.8559999999998</v>
      </c>
      <c r="L11" s="640">
        <f>SUM(L12+L15+L18+L19+L21+L22)</f>
        <v>6336.2389999999996</v>
      </c>
      <c r="M11" s="745">
        <f>IF(K11=0, "    ---- ", IF(ABS(ROUND(100/K11*L11-100,1))&lt;999,ROUND(100/K11*L11-100,1),IF(ROUND(100/K11*L11-100,1)&gt;999,999,-999)))</f>
        <v>9.5</v>
      </c>
      <c r="N11" s="867">
        <f>SUM(N12+N15+N18+N19+N21+N22)</f>
        <v>58.307000000000002</v>
      </c>
      <c r="O11" s="640">
        <f>SUM(O12+O15+O18+O19+O21+O22)</f>
        <v>47.753438629999998</v>
      </c>
      <c r="P11" s="744">
        <f>IF(N11=0, "    ---- ", IF(ABS(ROUND(100/N11*O11-100,1))&lt;999,ROUND(100/N11*O11-100,1),IF(ROUND(100/N11*O11-100,1)&gt;999,999,-999)))</f>
        <v>-18.100000000000001</v>
      </c>
      <c r="Q11" s="867">
        <f>SUM(Q12+Q15+Q18+Q19+Q21+Q22)</f>
        <v>403902</v>
      </c>
      <c r="R11" s="640">
        <f>SUM(R12+R15+R18+R19+R21+R22)</f>
        <v>431169.30602305999</v>
      </c>
      <c r="S11" s="744">
        <f>IF(Q11=0, "    ---- ", IF(ABS(ROUND(100/Q11*R11-100,1))&lt;999,ROUND(100/Q11*R11-100,1),IF(ROUND(100/Q11*R11-100,1)&gt;999,999,-999)))</f>
        <v>6.8</v>
      </c>
      <c r="T11" s="867">
        <f>SUM(T12+T15+T18+T19+T21+T22)</f>
        <v>1476.6</v>
      </c>
      <c r="U11" s="640">
        <f>SUM(U12+U15+U18+U19+U21+U22)</f>
        <v>1529.6</v>
      </c>
      <c r="V11" s="744">
        <f>IF(T11=0, "    ---- ", IF(ABS(ROUND(100/T11*U11-100,1))&lt;999,ROUND(100/T11*U11-100,1),IF(ROUND(100/T11*U11-100,1)&gt;999,999,-999)))</f>
        <v>3.6</v>
      </c>
      <c r="W11" s="867">
        <f>SUM(W12+W15+W18+W19+W21+W22)</f>
        <v>45894.991552869396</v>
      </c>
      <c r="X11" s="640">
        <f>SUM(X12+X15+X18+X19+X21+X22)</f>
        <v>46312.841056845115</v>
      </c>
      <c r="Y11" s="744">
        <f t="shared" ref="Y11:Y54" si="1">IF(W11=0, "    ---- ", IF(ABS(ROUND(100/W11*X11-100,1))&lt;999,ROUND(100/W11*X11-100,1),IF(ROUND(100/W11*X11-100,1)&gt;999,999,-999)))</f>
        <v>0.9</v>
      </c>
      <c r="Z11" s="867">
        <f>SUM(Z12+Z15+Z18+Z19+Z21+Z22)</f>
        <v>60973</v>
      </c>
      <c r="AA11" s="640">
        <f>SUM(AA12+AA15+AA18+AA19+AA21+AA22)</f>
        <v>63588</v>
      </c>
      <c r="AB11" s="744">
        <f>IF(Z11=0, "    ---- ", IF(ABS(ROUND(100/Z11*AA11-100,1))&lt;999,ROUND(100/Z11*AA11-100,1),IF(ROUND(100/Z11*AA11-100,1)&gt;999,999,-999)))</f>
        <v>4.3</v>
      </c>
      <c r="AC11" s="867">
        <f>SUM(AC12+AC15+AC18+AC19+AC21+AC22)</f>
        <v>17632.095999999998</v>
      </c>
      <c r="AD11" s="640">
        <f>SUM(AD12+AD15+AD18+AD19+AD21+AD22)</f>
        <v>19716.665000000001</v>
      </c>
      <c r="AE11" s="744">
        <f t="shared" ref="AE11:AE54" si="2">IF(AC11=0, "    ---- ", IF(ABS(ROUND(100/AC11*AD11-100,1))&lt;999,ROUND(100/AC11*AD11-100,1),IF(ROUND(100/AC11*AD11-100,1)&gt;999,999,-999)))</f>
        <v>11.8</v>
      </c>
      <c r="AF11" s="867">
        <f>SUM(AF12+AF15+AF18+AF19+AF21+AF22)</f>
        <v>169841</v>
      </c>
      <c r="AG11" s="640">
        <f>SUM(AG12+AG15+AG18+AG19+AG21+AG22)</f>
        <v>171927.1</v>
      </c>
      <c r="AH11" s="744">
        <f t="shared" ref="AH11:AH45" si="3">IF(AF11=0, "    ---- ", IF(ABS(ROUND(100/AF11*AG11-100,1))&lt;999,ROUND(100/AF11*AG11-100,1),IF(ROUND(100/AF11*AG11-100,1)&gt;999,999,-999)))</f>
        <v>1.2</v>
      </c>
      <c r="AI11" s="653">
        <f>+B11+E11+H11+K11+N11+Q11+T11+W11+Z11+AC11+AF11</f>
        <v>918116.69855286938</v>
      </c>
      <c r="AJ11" s="653">
        <f>+C11+F11+I11+L11+O11+R11+U11+X11+AA11+AD11+AG11</f>
        <v>937385.9845185352</v>
      </c>
      <c r="AK11" s="744">
        <f>IF(AI11=0, "    ---- ", IF(ABS(ROUND(100/AI11*AJ11-100,1))&lt;999,ROUND(100/AI11*AJ11-100,1),IF(ROUND(100/AI11*AJ11-100,1)&gt;999,999,-999)))</f>
        <v>2.1</v>
      </c>
      <c r="AL11" s="747"/>
      <c r="AM11" s="748"/>
    </row>
    <row r="12" spans="1:54" s="561" customFormat="1" ht="18.75" customHeight="1" x14ac:dyDescent="0.3">
      <c r="A12" s="541" t="s">
        <v>421</v>
      </c>
      <c r="B12" s="859">
        <v>265.73399999999998</v>
      </c>
      <c r="C12" s="638">
        <v>277.10599999999999</v>
      </c>
      <c r="D12" s="548">
        <f>IF(B12=0, "    ---- ", IF(ABS(ROUND(100/B12*C12-100,1))&lt;999,ROUND(100/B12*C12-100,1),IF(ROUND(100/B12*C12-100,1)&gt;999,999,-999)))</f>
        <v>4.3</v>
      </c>
      <c r="E12" s="859">
        <v>15015.046</v>
      </c>
      <c r="F12" s="638">
        <v>13570.986000000001</v>
      </c>
      <c r="G12" s="548">
        <f t="shared" si="0"/>
        <v>-9.6</v>
      </c>
      <c r="H12" s="859">
        <v>67.936000000000007</v>
      </c>
      <c r="I12" s="638">
        <v>75.099999999999994</v>
      </c>
      <c r="J12" s="548">
        <f>IF(H12=0, "    ---- ", IF(ABS(ROUND(100/H12*I12-100,1))&lt;999,ROUND(100/H12*I12-100,1),IF(ROUND(100/H12*I12-100,1)&gt;999,999,-999)))</f>
        <v>10.5</v>
      </c>
      <c r="K12" s="859"/>
      <c r="L12" s="638"/>
      <c r="M12" s="741"/>
      <c r="N12" s="859">
        <v>24.041999999999998</v>
      </c>
      <c r="O12" s="638">
        <v>20.964048999999999</v>
      </c>
      <c r="P12" s="548">
        <f>IF(N12=0, "    ---- ", IF(ABS(ROUND(100/N12*O12-100,1))&lt;999,ROUND(100/N12*O12-100,1),IF(ROUND(100/N12*O12-100,1)&gt;999,999,-999)))</f>
        <v>-12.8</v>
      </c>
      <c r="Q12" s="859"/>
      <c r="R12" s="638"/>
      <c r="S12" s="548"/>
      <c r="T12" s="859"/>
      <c r="U12" s="638"/>
      <c r="V12" s="548"/>
      <c r="W12" s="859">
        <v>718.07973048077417</v>
      </c>
      <c r="X12" s="638">
        <v>802.18136731816094</v>
      </c>
      <c r="Y12" s="548">
        <f t="shared" si="1"/>
        <v>11.7</v>
      </c>
      <c r="Z12" s="859"/>
      <c r="AA12" s="638"/>
      <c r="AB12" s="548"/>
      <c r="AC12" s="859">
        <v>890.74099999999999</v>
      </c>
      <c r="AD12" s="638">
        <v>833.62599999999998</v>
      </c>
      <c r="AE12" s="548">
        <f t="shared" si="2"/>
        <v>-6.4</v>
      </c>
      <c r="AF12" s="859">
        <v>3911</v>
      </c>
      <c r="AG12" s="638">
        <v>3870.1000000000004</v>
      </c>
      <c r="AH12" s="548">
        <f t="shared" si="3"/>
        <v>-1</v>
      </c>
      <c r="AI12" s="738">
        <f t="shared" ref="AI12:AJ54" si="4">+B12+E12+H12+K12+N12+Q12+T12+W12+Z12+AC12+AF12</f>
        <v>20892.578730480775</v>
      </c>
      <c r="AJ12" s="738">
        <f t="shared" si="4"/>
        <v>19450.06341631816</v>
      </c>
      <c r="AK12" s="548">
        <f t="shared" ref="AK12:AK54" si="5">IF(AI12=0, "    ---- ", IF(ABS(ROUND(100/AI12*AJ12-100,1))&lt;999,ROUND(100/AI12*AJ12-100,1),IF(ROUND(100/AI12*AJ12-100,1)&gt;999,999,-999)))</f>
        <v>-6.9</v>
      </c>
      <c r="AL12" s="740"/>
      <c r="AM12" s="740"/>
    </row>
    <row r="13" spans="1:54" s="561" customFormat="1" ht="18.75" customHeight="1" x14ac:dyDescent="0.3">
      <c r="A13" s="541" t="s">
        <v>422</v>
      </c>
      <c r="B13" s="443"/>
      <c r="C13" s="637"/>
      <c r="D13" s="548"/>
      <c r="E13" s="443">
        <v>3957.1930000000002</v>
      </c>
      <c r="F13" s="637">
        <v>3741.8760000000002</v>
      </c>
      <c r="G13" s="630">
        <f t="shared" si="0"/>
        <v>-5.4</v>
      </c>
      <c r="H13" s="443"/>
      <c r="I13" s="637"/>
      <c r="J13" s="548"/>
      <c r="K13" s="859"/>
      <c r="L13" s="638"/>
      <c r="M13" s="741"/>
      <c r="N13" s="443"/>
      <c r="O13" s="637"/>
      <c r="P13" s="548"/>
      <c r="Q13" s="443"/>
      <c r="R13" s="637"/>
      <c r="S13" s="548"/>
      <c r="T13" s="443"/>
      <c r="U13" s="637"/>
      <c r="V13" s="548"/>
      <c r="W13" s="443">
        <v>527.18433442077412</v>
      </c>
      <c r="X13" s="637">
        <v>482.78547983935812</v>
      </c>
      <c r="Y13" s="548">
        <f t="shared" si="1"/>
        <v>-8.4</v>
      </c>
      <c r="Z13" s="443"/>
      <c r="AA13" s="637"/>
      <c r="AB13" s="548"/>
      <c r="AC13" s="443">
        <v>378.02699999999999</v>
      </c>
      <c r="AD13" s="637">
        <v>341.74</v>
      </c>
      <c r="AE13" s="548">
        <f t="shared" si="2"/>
        <v>-9.6</v>
      </c>
      <c r="AF13" s="443">
        <v>2357</v>
      </c>
      <c r="AG13" s="637">
        <v>2234</v>
      </c>
      <c r="AH13" s="548">
        <f t="shared" si="3"/>
        <v>-5.2</v>
      </c>
      <c r="AI13" s="738">
        <f t="shared" si="4"/>
        <v>7219.4043344207748</v>
      </c>
      <c r="AJ13" s="738">
        <f t="shared" si="4"/>
        <v>6800.4014798393582</v>
      </c>
      <c r="AK13" s="548">
        <f t="shared" si="5"/>
        <v>-5.8</v>
      </c>
      <c r="AL13" s="740"/>
      <c r="AM13" s="740"/>
    </row>
    <row r="14" spans="1:54" s="561" customFormat="1" ht="18.75" customHeight="1" x14ac:dyDescent="0.3">
      <c r="A14" s="541" t="s">
        <v>423</v>
      </c>
      <c r="B14" s="443">
        <v>265.73399999999998</v>
      </c>
      <c r="C14" s="637">
        <v>277.10599999999999</v>
      </c>
      <c r="D14" s="548">
        <f t="shared" ref="D14:D15" si="6">IF(B14=0, "    ---- ", IF(ABS(ROUND(100/B14*C14-100,1))&lt;999,ROUND(100/B14*C14-100,1),IF(ROUND(100/B14*C14-100,1)&gt;999,999,-999)))</f>
        <v>4.3</v>
      </c>
      <c r="E14" s="443">
        <v>10896.147999999999</v>
      </c>
      <c r="F14" s="637">
        <v>9829.11</v>
      </c>
      <c r="G14" s="630">
        <f t="shared" si="0"/>
        <v>-9.8000000000000007</v>
      </c>
      <c r="H14" s="443"/>
      <c r="I14" s="637"/>
      <c r="J14" s="548"/>
      <c r="K14" s="443"/>
      <c r="L14" s="637"/>
      <c r="M14" s="548"/>
      <c r="N14" s="443"/>
      <c r="O14" s="637"/>
      <c r="P14" s="548"/>
      <c r="Q14" s="443"/>
      <c r="R14" s="637"/>
      <c r="S14" s="548"/>
      <c r="T14" s="443"/>
      <c r="U14" s="637"/>
      <c r="V14" s="548"/>
      <c r="W14" s="443">
        <v>80.447146870000012</v>
      </c>
      <c r="X14" s="637">
        <v>81.718682760000007</v>
      </c>
      <c r="Y14" s="548">
        <f t="shared" si="1"/>
        <v>1.6</v>
      </c>
      <c r="Z14" s="443"/>
      <c r="AA14" s="637"/>
      <c r="AB14" s="548"/>
      <c r="AC14" s="443">
        <v>180.45099999999999</v>
      </c>
      <c r="AD14" s="637">
        <v>153.749</v>
      </c>
      <c r="AE14" s="548">
        <f t="shared" si="2"/>
        <v>-14.8</v>
      </c>
      <c r="AF14" s="443"/>
      <c r="AG14" s="637"/>
      <c r="AH14" s="548"/>
      <c r="AI14" s="560">
        <f t="shared" si="4"/>
        <v>11422.780146869998</v>
      </c>
      <c r="AJ14" s="560">
        <f t="shared" si="4"/>
        <v>10341.68368276</v>
      </c>
      <c r="AK14" s="548">
        <f t="shared" si="5"/>
        <v>-9.5</v>
      </c>
      <c r="AL14" s="740"/>
      <c r="AM14" s="740"/>
    </row>
    <row r="15" spans="1:54" s="561" customFormat="1" ht="18.75" customHeight="1" x14ac:dyDescent="0.3">
      <c r="A15" s="541" t="s">
        <v>424</v>
      </c>
      <c r="B15" s="859">
        <v>86.804000000000002</v>
      </c>
      <c r="C15" s="638">
        <v>128.09100000000001</v>
      </c>
      <c r="D15" s="548">
        <f t="shared" si="6"/>
        <v>47.6</v>
      </c>
      <c r="E15" s="859">
        <v>26294.228000000003</v>
      </c>
      <c r="F15" s="638">
        <v>25192.583999999999</v>
      </c>
      <c r="G15" s="741">
        <f t="shared" si="0"/>
        <v>-4.2</v>
      </c>
      <c r="H15" s="859">
        <v>432.10900000000004</v>
      </c>
      <c r="I15" s="638">
        <v>514.4</v>
      </c>
      <c r="J15" s="548">
        <f>IF(H15=0, "    ---- ", IF(ABS(ROUND(100/H15*I15-100,1))&lt;999,ROUND(100/H15*I15-100,1),IF(ROUND(100/H15*I15-100,1)&gt;999,999,-999)))</f>
        <v>19</v>
      </c>
      <c r="K15" s="859">
        <v>1287.348</v>
      </c>
      <c r="L15" s="638">
        <v>1583.442</v>
      </c>
      <c r="M15" s="548">
        <f>IF(K15=0, "    ---- ", IF(ABS(ROUND(100/K15*L15-100,1))&lt;999,ROUND(100/K15*L15-100,1),IF(ROUND(100/K15*L15-100,1)&gt;999,999,-999)))</f>
        <v>23</v>
      </c>
      <c r="N15" s="859">
        <v>2.3319999999999999</v>
      </c>
      <c r="O15" s="638">
        <v>2.4609589999999999</v>
      </c>
      <c r="P15" s="548">
        <f>IF(N15=0, "    ---- ", IF(ABS(ROUND(100/N15*O15-100,1))&lt;999,ROUND(100/N15*O15-100,1),IF(ROUND(100/N15*O15-100,1)&gt;999,999,-999)))</f>
        <v>5.5</v>
      </c>
      <c r="Q15" s="859"/>
      <c r="R15" s="638"/>
      <c r="S15" s="548"/>
      <c r="T15" s="859"/>
      <c r="U15" s="638"/>
      <c r="V15" s="548"/>
      <c r="W15" s="859">
        <v>3813.5198410773232</v>
      </c>
      <c r="X15" s="638">
        <v>3691.3588488539567</v>
      </c>
      <c r="Y15" s="548">
        <f t="shared" si="1"/>
        <v>-3.2</v>
      </c>
      <c r="Z15" s="859"/>
      <c r="AA15" s="638"/>
      <c r="AB15" s="741"/>
      <c r="AC15" s="859">
        <v>4926.6589999999997</v>
      </c>
      <c r="AD15" s="638">
        <v>5126.3540000000003</v>
      </c>
      <c r="AE15" s="548">
        <f t="shared" si="2"/>
        <v>4.0999999999999996</v>
      </c>
      <c r="AF15" s="859">
        <v>10279</v>
      </c>
      <c r="AG15" s="638">
        <v>9583</v>
      </c>
      <c r="AH15" s="548">
        <f t="shared" si="3"/>
        <v>-6.8</v>
      </c>
      <c r="AI15" s="560">
        <f t="shared" si="4"/>
        <v>47121.999841077326</v>
      </c>
      <c r="AJ15" s="560">
        <f t="shared" si="4"/>
        <v>45821.690807853956</v>
      </c>
      <c r="AK15" s="548">
        <f t="shared" si="5"/>
        <v>-2.8</v>
      </c>
      <c r="AL15" s="740"/>
      <c r="AM15" s="740"/>
    </row>
    <row r="16" spans="1:54" s="561" customFormat="1" ht="18.75" customHeight="1" x14ac:dyDescent="0.3">
      <c r="A16" s="541" t="s">
        <v>422</v>
      </c>
      <c r="B16" s="859"/>
      <c r="C16" s="638"/>
      <c r="D16" s="548"/>
      <c r="E16" s="859">
        <v>23383.989000000001</v>
      </c>
      <c r="F16" s="638">
        <v>22386.673999999999</v>
      </c>
      <c r="G16" s="741">
        <f t="shared" si="0"/>
        <v>-4.3</v>
      </c>
      <c r="H16" s="859"/>
      <c r="I16" s="638"/>
      <c r="J16" s="548"/>
      <c r="K16" s="859"/>
      <c r="L16" s="638"/>
      <c r="M16" s="548"/>
      <c r="N16" s="859"/>
      <c r="O16" s="638"/>
      <c r="P16" s="548"/>
      <c r="Q16" s="859"/>
      <c r="R16" s="638"/>
      <c r="S16" s="548"/>
      <c r="T16" s="859"/>
      <c r="U16" s="638"/>
      <c r="V16" s="548"/>
      <c r="W16" s="859">
        <v>2879.3202182745781</v>
      </c>
      <c r="X16" s="638">
        <v>2696.028278183499</v>
      </c>
      <c r="Y16" s="548">
        <f t="shared" si="1"/>
        <v>-6.4</v>
      </c>
      <c r="Z16" s="859"/>
      <c r="AA16" s="638"/>
      <c r="AB16" s="741"/>
      <c r="AC16" s="859">
        <v>2832.2179999999998</v>
      </c>
      <c r="AD16" s="638">
        <v>2659.74</v>
      </c>
      <c r="AE16" s="548">
        <f t="shared" si="2"/>
        <v>-6.1</v>
      </c>
      <c r="AF16" s="859">
        <v>10279</v>
      </c>
      <c r="AG16" s="638">
        <v>9583</v>
      </c>
      <c r="AH16" s="548">
        <f t="shared" si="3"/>
        <v>-6.8</v>
      </c>
      <c r="AI16" s="560">
        <f t="shared" si="4"/>
        <v>39374.527218274583</v>
      </c>
      <c r="AJ16" s="560">
        <f t="shared" si="4"/>
        <v>37325.442278183495</v>
      </c>
      <c r="AK16" s="548">
        <f t="shared" si="5"/>
        <v>-5.2</v>
      </c>
      <c r="AL16" s="740"/>
      <c r="AM16" s="740"/>
    </row>
    <row r="17" spans="1:39" s="561" customFormat="1" ht="18.75" customHeight="1" x14ac:dyDescent="0.3">
      <c r="A17" s="541" t="s">
        <v>423</v>
      </c>
      <c r="B17" s="859">
        <v>86.804000000000002</v>
      </c>
      <c r="C17" s="638">
        <v>128.09100000000001</v>
      </c>
      <c r="D17" s="548">
        <f t="shared" ref="D17:D20" si="7">IF(B17=0, "    ---- ", IF(ABS(ROUND(100/B17*C17-100,1))&lt;999,ROUND(100/B17*C17-100,1),IF(ROUND(100/B17*C17-100,1)&gt;999,999,-999)))</f>
        <v>47.6</v>
      </c>
      <c r="E17" s="859">
        <v>2798.2040000000002</v>
      </c>
      <c r="F17" s="638">
        <v>2805.91</v>
      </c>
      <c r="G17" s="741">
        <f t="shared" si="0"/>
        <v>0.3</v>
      </c>
      <c r="H17" s="859">
        <v>246.10900000000001</v>
      </c>
      <c r="I17" s="638"/>
      <c r="J17" s="548">
        <f>IF(H17=0, "    ---- ", IF(ABS(ROUND(100/H17*I17-100,1))&lt;999,ROUND(100/H17*I17-100,1),IF(ROUND(100/H17*I17-100,1)&gt;999,999,-999)))</f>
        <v>-100</v>
      </c>
      <c r="K17" s="859">
        <v>1287.348</v>
      </c>
      <c r="L17" s="638">
        <v>1583.442</v>
      </c>
      <c r="M17" s="548">
        <f>IF(K17=0, "    ---- ", IF(ABS(ROUND(100/K17*L17-100,1))&lt;999,ROUND(100/K17*L17-100,1),IF(ROUND(100/K17*L17-100,1)&gt;999,999,-999)))</f>
        <v>23</v>
      </c>
      <c r="N17" s="859"/>
      <c r="O17" s="638"/>
      <c r="P17" s="548"/>
      <c r="Q17" s="859"/>
      <c r="R17" s="638"/>
      <c r="S17" s="548"/>
      <c r="T17" s="859"/>
      <c r="U17" s="638"/>
      <c r="V17" s="548"/>
      <c r="W17" s="859">
        <v>484.28825561896645</v>
      </c>
      <c r="X17" s="638">
        <v>485.95625757602227</v>
      </c>
      <c r="Y17" s="548">
        <f t="shared" si="1"/>
        <v>0.3</v>
      </c>
      <c r="Z17" s="859"/>
      <c r="AA17" s="638"/>
      <c r="AB17" s="741"/>
      <c r="AC17" s="859">
        <v>84.852000000000004</v>
      </c>
      <c r="AD17" s="638">
        <v>85.55</v>
      </c>
      <c r="AE17" s="548">
        <f t="shared" si="2"/>
        <v>0.8</v>
      </c>
      <c r="AF17" s="859"/>
      <c r="AG17" s="638"/>
      <c r="AH17" s="548"/>
      <c r="AI17" s="560">
        <f t="shared" si="4"/>
        <v>4987.6052556189661</v>
      </c>
      <c r="AJ17" s="560">
        <f t="shared" si="4"/>
        <v>5088.9492575760214</v>
      </c>
      <c r="AK17" s="548">
        <f t="shared" si="5"/>
        <v>2</v>
      </c>
      <c r="AL17" s="740"/>
      <c r="AM17" s="740"/>
    </row>
    <row r="18" spans="1:39" s="561" customFormat="1" ht="18.75" customHeight="1" x14ac:dyDescent="0.3">
      <c r="A18" s="541" t="s">
        <v>425</v>
      </c>
      <c r="B18" s="859"/>
      <c r="C18" s="638">
        <v>1.9530000000000001</v>
      </c>
      <c r="D18" s="548" t="str">
        <f t="shared" si="7"/>
        <v xml:space="preserve">    ---- </v>
      </c>
      <c r="E18" s="859">
        <v>1084.528</v>
      </c>
      <c r="F18" s="638">
        <v>739.02800000000002</v>
      </c>
      <c r="G18" s="741">
        <f t="shared" si="0"/>
        <v>-31.9</v>
      </c>
      <c r="H18" s="859">
        <v>46.238999999999997</v>
      </c>
      <c r="I18" s="638">
        <v>49</v>
      </c>
      <c r="J18" s="548">
        <f>IF(H18=0, "    ---- ", IF(ABS(ROUND(100/H18*I18-100,1))&lt;999,ROUND(100/H18*I18-100,1),IF(ROUND(100/H18*I18-100,1)&gt;999,999,-999)))</f>
        <v>6</v>
      </c>
      <c r="K18" s="859"/>
      <c r="L18" s="638"/>
      <c r="M18" s="548"/>
      <c r="N18" s="859">
        <v>31.933000000000003</v>
      </c>
      <c r="O18" s="638">
        <f>21.62843063+2.7</f>
        <v>24.32843063</v>
      </c>
      <c r="P18" s="548">
        <f>IF(N18=0, "    ---- ", IF(ABS(ROUND(100/N18*O18-100,1))&lt;999,ROUND(100/N18*O18-100,1),IF(ROUND(100/N18*O18-100,1)&gt;999,999,-999)))</f>
        <v>-23.8</v>
      </c>
      <c r="Q18" s="859">
        <v>14</v>
      </c>
      <c r="R18" s="638">
        <v>16.033253999999999</v>
      </c>
      <c r="S18" s="548">
        <f>IF(Q18=0, "    ---- ", IF(ABS(ROUND(100/Q18*R18-100,1))&lt;999,ROUND(100/Q18*R18-100,1),IF(ROUND(100/Q18*R18-100,1)&gt;999,999,-999)))</f>
        <v>14.5</v>
      </c>
      <c r="T18" s="859"/>
      <c r="U18" s="638"/>
      <c r="V18" s="548"/>
      <c r="W18" s="859"/>
      <c r="X18" s="638"/>
      <c r="Y18" s="548"/>
      <c r="Z18" s="859"/>
      <c r="AA18" s="638"/>
      <c r="AB18" s="741"/>
      <c r="AC18" s="859">
        <v>120.91500000000001</v>
      </c>
      <c r="AD18" s="638">
        <v>1428.1130000000001</v>
      </c>
      <c r="AE18" s="548">
        <f t="shared" si="2"/>
        <v>999</v>
      </c>
      <c r="AF18" s="859">
        <v>1425</v>
      </c>
      <c r="AG18" s="638">
        <v>1376</v>
      </c>
      <c r="AH18" s="548">
        <f t="shared" si="3"/>
        <v>-3.4</v>
      </c>
      <c r="AI18" s="560">
        <f t="shared" si="4"/>
        <v>2722.6149999999998</v>
      </c>
      <c r="AJ18" s="560">
        <f t="shared" si="4"/>
        <v>3634.4556846300002</v>
      </c>
      <c r="AK18" s="548">
        <f t="shared" si="5"/>
        <v>33.5</v>
      </c>
      <c r="AL18" s="740"/>
      <c r="AM18" s="740"/>
    </row>
    <row r="19" spans="1:39" s="561" customFormat="1" ht="18.75" customHeight="1" x14ac:dyDescent="0.3">
      <c r="A19" s="541" t="s">
        <v>426</v>
      </c>
      <c r="B19" s="859">
        <v>547.35799999999995</v>
      </c>
      <c r="C19" s="638">
        <v>633.32799999999997</v>
      </c>
      <c r="D19" s="548">
        <f t="shared" si="7"/>
        <v>15.7</v>
      </c>
      <c r="E19" s="859">
        <v>149704.014</v>
      </c>
      <c r="F19" s="638">
        <v>150372.16</v>
      </c>
      <c r="G19" s="741">
        <f t="shared" si="0"/>
        <v>0.4</v>
      </c>
      <c r="H19" s="859">
        <v>144.86000000000001</v>
      </c>
      <c r="I19" s="638">
        <v>147.9</v>
      </c>
      <c r="J19" s="548">
        <f>IF(H19=0, "    ---- ", IF(ABS(ROUND(100/H19*I19-100,1))&lt;999,ROUND(100/H19*I19-100,1),IF(ROUND(100/H19*I19-100,1)&gt;999,999,-999)))</f>
        <v>2.1</v>
      </c>
      <c r="K19" s="859">
        <v>4497.5079999999998</v>
      </c>
      <c r="L19" s="638">
        <v>4752.7969999999996</v>
      </c>
      <c r="M19" s="548">
        <f>IF(K19=0, "    ---- ", IF(ABS(ROUND(100/K19*L19-100,1))&lt;999,ROUND(100/K19*L19-100,1),IF(ROUND(100/K19*L19-100,1)&gt;999,999,-999)))</f>
        <v>5.7</v>
      </c>
      <c r="N19" s="859"/>
      <c r="O19" s="638"/>
      <c r="P19" s="548"/>
      <c r="Q19" s="859"/>
      <c r="R19" s="638"/>
      <c r="S19" s="548"/>
      <c r="T19" s="859">
        <v>1476.6</v>
      </c>
      <c r="U19" s="638">
        <v>1529.6</v>
      </c>
      <c r="V19" s="548">
        <f>IF(T19=0, "    ---- ", IF(ABS(ROUND(100/T19*U19-100,1))&lt;999,ROUND(100/T19*U19-100,1),IF(ROUND(100/T19*U19-100,1)&gt;999,999,-999)))</f>
        <v>3.6</v>
      </c>
      <c r="W19" s="859">
        <v>41096.553120526056</v>
      </c>
      <c r="X19" s="638">
        <v>41775.061413580414</v>
      </c>
      <c r="Y19" s="548">
        <f t="shared" si="1"/>
        <v>1.7</v>
      </c>
      <c r="Z19" s="859"/>
      <c r="AA19" s="638"/>
      <c r="AB19" s="741"/>
      <c r="AC19" s="859">
        <v>11226.925999999999</v>
      </c>
      <c r="AD19" s="638">
        <v>11867.14</v>
      </c>
      <c r="AE19" s="548">
        <f t="shared" si="2"/>
        <v>5.7</v>
      </c>
      <c r="AF19" s="859">
        <v>151822</v>
      </c>
      <c r="AG19" s="638">
        <v>154585</v>
      </c>
      <c r="AH19" s="548">
        <f t="shared" si="3"/>
        <v>1.8</v>
      </c>
      <c r="AI19" s="560">
        <f t="shared" si="4"/>
        <v>360515.81912052608</v>
      </c>
      <c r="AJ19" s="560">
        <f t="shared" si="4"/>
        <v>365662.98641358042</v>
      </c>
      <c r="AK19" s="548">
        <f t="shared" si="5"/>
        <v>1.4</v>
      </c>
      <c r="AL19" s="740"/>
      <c r="AM19" s="740"/>
    </row>
    <row r="20" spans="1:39" s="561" customFormat="1" ht="18.75" customHeight="1" x14ac:dyDescent="0.3">
      <c r="A20" s="541" t="s">
        <v>427</v>
      </c>
      <c r="B20" s="859">
        <v>28.045000000000002</v>
      </c>
      <c r="C20" s="638">
        <v>270.10500000000002</v>
      </c>
      <c r="D20" s="548">
        <f t="shared" si="7"/>
        <v>863.1</v>
      </c>
      <c r="E20" s="859">
        <v>124259.807</v>
      </c>
      <c r="F20" s="638">
        <v>127155.83</v>
      </c>
      <c r="G20" s="741">
        <f t="shared" si="0"/>
        <v>2.2999999999999998</v>
      </c>
      <c r="H20" s="859"/>
      <c r="I20" s="638"/>
      <c r="J20" s="548"/>
      <c r="K20" s="859">
        <v>3778.0070000000001</v>
      </c>
      <c r="L20" s="638">
        <v>3853.8159999999998</v>
      </c>
      <c r="M20" s="548">
        <f>IF(K20=0, "    ---- ", IF(ABS(ROUND(100/K20*L20-100,1))&lt;999,ROUND(100/K20*L20-100,1),IF(ROUND(100/K20*L20-100,1)&gt;999,999,-999)))</f>
        <v>2</v>
      </c>
      <c r="N20" s="859"/>
      <c r="O20" s="638"/>
      <c r="P20" s="548"/>
      <c r="Q20" s="859"/>
      <c r="R20" s="638"/>
      <c r="S20" s="548"/>
      <c r="T20" s="859">
        <v>910.5</v>
      </c>
      <c r="U20" s="638">
        <v>932.2</v>
      </c>
      <c r="V20" s="548">
        <f>IF(T20=0, "    ---- ", IF(ABS(ROUND(100/T20*U20-100,1))&lt;999,ROUND(100/T20*U20-100,1),IF(ROUND(100/T20*U20-100,1)&gt;999,999,-999)))</f>
        <v>2.4</v>
      </c>
      <c r="W20" s="859">
        <v>32672.111011813438</v>
      </c>
      <c r="X20" s="638">
        <v>33881.987982544124</v>
      </c>
      <c r="Y20" s="548">
        <f t="shared" si="1"/>
        <v>3.7</v>
      </c>
      <c r="Z20" s="859"/>
      <c r="AA20" s="638"/>
      <c r="AB20" s="741"/>
      <c r="AC20" s="859">
        <v>8142.91</v>
      </c>
      <c r="AD20" s="638">
        <v>8356.5010000000002</v>
      </c>
      <c r="AE20" s="548">
        <f t="shared" si="2"/>
        <v>2.6</v>
      </c>
      <c r="AF20" s="859">
        <v>121636</v>
      </c>
      <c r="AG20" s="638">
        <v>126659</v>
      </c>
      <c r="AH20" s="548">
        <f t="shared" si="3"/>
        <v>4.0999999999999996</v>
      </c>
      <c r="AI20" s="560">
        <f t="shared" si="4"/>
        <v>291427.38001181348</v>
      </c>
      <c r="AJ20" s="560">
        <f t="shared" si="4"/>
        <v>301109.43998254411</v>
      </c>
      <c r="AK20" s="548">
        <f t="shared" si="5"/>
        <v>3.3</v>
      </c>
      <c r="AL20" s="740"/>
      <c r="AM20" s="740"/>
    </row>
    <row r="21" spans="1:39" s="561" customFormat="1" ht="18.75" customHeight="1" x14ac:dyDescent="0.3">
      <c r="A21" s="541" t="s">
        <v>428</v>
      </c>
      <c r="B21" s="859"/>
      <c r="C21" s="638"/>
      <c r="D21" s="548"/>
      <c r="E21" s="859">
        <v>0</v>
      </c>
      <c r="F21" s="638"/>
      <c r="G21" s="741" t="str">
        <f t="shared" si="0"/>
        <v xml:space="preserve">    ---- </v>
      </c>
      <c r="H21" s="859"/>
      <c r="I21" s="638"/>
      <c r="J21" s="548"/>
      <c r="K21" s="859"/>
      <c r="L21" s="638"/>
      <c r="M21" s="548"/>
      <c r="N21" s="859"/>
      <c r="O21" s="638"/>
      <c r="P21" s="548"/>
      <c r="Q21" s="859">
        <v>403888</v>
      </c>
      <c r="R21" s="638">
        <v>431153.27276905999</v>
      </c>
      <c r="S21" s="548">
        <f>IF(Q21=0, "    ---- ", IF(ABS(ROUND(100/Q21*R21-100,1))&lt;999,ROUND(100/Q21*R21-100,1),IF(ROUND(100/Q21*R21-100,1)&gt;999,999,-999)))</f>
        <v>6.8</v>
      </c>
      <c r="T21" s="859"/>
      <c r="U21" s="638"/>
      <c r="V21" s="548"/>
      <c r="W21" s="859"/>
      <c r="X21" s="638"/>
      <c r="Y21" s="548"/>
      <c r="Z21" s="859">
        <v>60973</v>
      </c>
      <c r="AA21" s="638">
        <v>63588</v>
      </c>
      <c r="AB21" s="741">
        <f>IF(Z21=0, "    ---- ", IF(ABS(ROUND(100/Z21*AA21-100,1))&lt;999,ROUND(100/Z21*AA21-100,1),IF(ROUND(100/Z21*AA21-100,1)&gt;999,999,-999)))</f>
        <v>4.3</v>
      </c>
      <c r="AC21" s="859"/>
      <c r="AD21" s="638"/>
      <c r="AE21" s="548"/>
      <c r="AF21" s="859">
        <v>2404</v>
      </c>
      <c r="AG21" s="638">
        <v>2513</v>
      </c>
      <c r="AH21" s="548">
        <f t="shared" si="3"/>
        <v>4.5</v>
      </c>
      <c r="AI21" s="560">
        <f t="shared" si="4"/>
        <v>467265</v>
      </c>
      <c r="AJ21" s="560">
        <f t="shared" si="4"/>
        <v>497254.27276905999</v>
      </c>
      <c r="AK21" s="548">
        <f t="shared" si="5"/>
        <v>6.4</v>
      </c>
      <c r="AL21" s="740"/>
      <c r="AM21" s="740"/>
    </row>
    <row r="22" spans="1:39" s="561" customFormat="1" ht="18.75" customHeight="1" x14ac:dyDescent="0.3">
      <c r="A22" s="541" t="s">
        <v>429</v>
      </c>
      <c r="B22" s="859">
        <v>53.293999999999997</v>
      </c>
      <c r="C22" s="638">
        <v>48.01</v>
      </c>
      <c r="D22" s="548">
        <f>IF(B22=0, "    ---- ", IF(ABS(ROUND(100/B22*C22-100,1))&lt;999,ROUND(100/B22*C22-100,1),IF(ROUND(100/B22*C22-100,1)&gt;999,999,-999)))</f>
        <v>-9.9</v>
      </c>
      <c r="E22" s="859">
        <v>18692.016</v>
      </c>
      <c r="F22" s="638">
        <f>241.406+4624.928</f>
        <v>4866.3339999999998</v>
      </c>
      <c r="G22" s="741">
        <f t="shared" si="0"/>
        <v>-74</v>
      </c>
      <c r="H22" s="859">
        <v>119.682</v>
      </c>
      <c r="I22" s="638">
        <v>142.5</v>
      </c>
      <c r="J22" s="548">
        <f>IF(H22=0, "    ---- ", IF(ABS(ROUND(100/H22*I22-100,1))&lt;999,ROUND(100/H22*I22-100,1),IF(ROUND(100/H22*I22-100,1)&gt;999,999,-999)))</f>
        <v>19.100000000000001</v>
      </c>
      <c r="K22" s="859"/>
      <c r="L22" s="638"/>
      <c r="M22" s="548"/>
      <c r="N22" s="859"/>
      <c r="O22" s="638"/>
      <c r="P22" s="548"/>
      <c r="Q22" s="859"/>
      <c r="R22" s="638"/>
      <c r="S22" s="548"/>
      <c r="T22" s="859"/>
      <c r="U22" s="638"/>
      <c r="V22" s="548"/>
      <c r="W22" s="859">
        <v>266.83886078523886</v>
      </c>
      <c r="X22" s="638">
        <v>44.239427092579376</v>
      </c>
      <c r="Y22" s="548">
        <f t="shared" si="1"/>
        <v>-83.4</v>
      </c>
      <c r="Z22" s="859"/>
      <c r="AA22" s="638"/>
      <c r="AB22" s="741"/>
      <c r="AC22" s="859">
        <v>466.85500000000002</v>
      </c>
      <c r="AD22" s="638">
        <v>461.43200000000002</v>
      </c>
      <c r="AE22" s="548">
        <f t="shared" si="2"/>
        <v>-1.2</v>
      </c>
      <c r="AF22" s="859"/>
      <c r="AG22" s="638"/>
      <c r="AH22" s="548"/>
      <c r="AI22" s="560">
        <f t="shared" si="4"/>
        <v>19598.685860785241</v>
      </c>
      <c r="AJ22" s="560">
        <f t="shared" si="4"/>
        <v>5562.5154270925796</v>
      </c>
      <c r="AK22" s="548">
        <f t="shared" si="5"/>
        <v>-71.599999999999994</v>
      </c>
      <c r="AL22" s="740"/>
      <c r="AM22" s="740"/>
    </row>
    <row r="23" spans="1:39" s="749" customFormat="1" ht="18.75" customHeight="1" x14ac:dyDescent="0.3">
      <c r="A23" s="743" t="s">
        <v>430</v>
      </c>
      <c r="B23" s="867">
        <f>SUM(B24+B27+B30+B31+B33+B34)</f>
        <v>953.69199999999989</v>
      </c>
      <c r="C23" s="640">
        <v>1088.4880000000001</v>
      </c>
      <c r="D23" s="744">
        <f>IF(B23=0, "    ---- ", IF(ABS(ROUND(100/B23*C23-100,1))&lt;999,ROUND(100/B23*C23-100,1),IF(ROUND(100/B23*C23-100,1)&gt;999,999,-999)))</f>
        <v>14.1</v>
      </c>
      <c r="E23" s="867">
        <f>SUM(E24+E27+E30+E31+E33+E34)</f>
        <v>192378.01700000002</v>
      </c>
      <c r="F23" s="640">
        <f>SUM(F24+F27+F30+F31+F33+F34)</f>
        <v>194741.092</v>
      </c>
      <c r="G23" s="745">
        <f t="shared" si="0"/>
        <v>1.2</v>
      </c>
      <c r="H23" s="867">
        <f>SUM(H24+H27+H30+H31+H33+H34)</f>
        <v>707.4</v>
      </c>
      <c r="I23" s="640">
        <f>SUM(I24+I27+I30+I31+I33+I34)</f>
        <v>809.3</v>
      </c>
      <c r="J23" s="744">
        <f>IF(H23=0, "    ---- ", IF(ABS(ROUND(100/H23*I23-100,1))&lt;999,ROUND(100/H23*I23-100,1),IF(ROUND(100/H23*I23-100,1)&gt;999,999,-999)))</f>
        <v>14.4</v>
      </c>
      <c r="K23" s="867">
        <f>SUM(K24+K27+K30+K31+K33+K34)</f>
        <v>5784.8559999999998</v>
      </c>
      <c r="L23" s="640">
        <f>SUM(L24+L27+L30+L31+L33+L34)</f>
        <v>5945.9079999999994</v>
      </c>
      <c r="M23" s="744">
        <f>IF(K23=0, "    ---- ", IF(ABS(ROUND(100/K23*L23-100,1))&lt;999,ROUND(100/K23*L23-100,1),IF(ROUND(100/K23*L23-100,1)&gt;999,999,-999)))</f>
        <v>2.8</v>
      </c>
      <c r="N23" s="867"/>
      <c r="O23" s="640"/>
      <c r="P23" s="744"/>
      <c r="Q23" s="867">
        <f>SUM(Q24+Q27+Q30+Q31+Q33+Q34)</f>
        <v>403902</v>
      </c>
      <c r="R23" s="640">
        <f>SUM(R24+R27+R30+R31+R33+R34)</f>
        <v>431169.30602305999</v>
      </c>
      <c r="S23" s="744">
        <f>IF(Q23=0, "    ---- ", IF(ABS(ROUND(100/Q23*R23-100,1))&lt;999,ROUND(100/Q23*R23-100,1),IF(ROUND(100/Q23*R23-100,1)&gt;999,999,-999)))</f>
        <v>6.8</v>
      </c>
      <c r="T23" s="867"/>
      <c r="U23" s="640"/>
      <c r="V23" s="744"/>
      <c r="W23" s="867">
        <f>SUM(W24+W27+W30+W31+W33+W34)</f>
        <v>45894.991552869396</v>
      </c>
      <c r="X23" s="640">
        <f>SUM(X24+X27+X30+X31+X33+X34)</f>
        <v>46312.841056845115</v>
      </c>
      <c r="Y23" s="744">
        <f t="shared" si="1"/>
        <v>0.9</v>
      </c>
      <c r="Z23" s="867"/>
      <c r="AA23" s="640"/>
      <c r="AB23" s="745"/>
      <c r="AC23" s="867">
        <f>SUM(AC24+AC27+AC30+AC31+AC33+AC34)</f>
        <v>17632.095999999998</v>
      </c>
      <c r="AD23" s="640">
        <f>SUM(AD24+AD27+AD30+AD31+AD33+AD34)</f>
        <v>19716.665000000001</v>
      </c>
      <c r="AE23" s="744">
        <f t="shared" si="2"/>
        <v>11.8</v>
      </c>
      <c r="AF23" s="867">
        <f>SUM(AF24+AF27+AF30+AF31+AF33+AF34)</f>
        <v>169841</v>
      </c>
      <c r="AG23" s="640">
        <f>SUM(AG24+AG27+AG30+AG31+AG33+AG34)</f>
        <v>171927</v>
      </c>
      <c r="AH23" s="744">
        <f t="shared" si="3"/>
        <v>1.2</v>
      </c>
      <c r="AI23" s="746">
        <f t="shared" si="4"/>
        <v>837094.05255286954</v>
      </c>
      <c r="AJ23" s="746">
        <f t="shared" si="4"/>
        <v>871710.60007990524</v>
      </c>
      <c r="AK23" s="744">
        <f t="shared" si="5"/>
        <v>4.0999999999999996</v>
      </c>
      <c r="AL23" s="747"/>
      <c r="AM23" s="748"/>
    </row>
    <row r="24" spans="1:39" s="561" customFormat="1" ht="18.75" customHeight="1" x14ac:dyDescent="0.3">
      <c r="A24" s="541" t="s">
        <v>421</v>
      </c>
      <c r="B24" s="859">
        <v>265.73399999999998</v>
      </c>
      <c r="C24" s="638">
        <v>277.10599999999999</v>
      </c>
      <c r="D24" s="548">
        <f>IF(B24=0, "    ---- ", IF(ABS(ROUND(100/B24*C24-100,1))&lt;999,ROUND(100/B24*C24-100,1),IF(ROUND(100/B24*C24-100,1)&gt;999,999,-999)))</f>
        <v>4.3</v>
      </c>
      <c r="E24" s="859">
        <v>14853.341</v>
      </c>
      <c r="F24" s="638">
        <v>13570.986000000001</v>
      </c>
      <c r="G24" s="741">
        <f t="shared" si="0"/>
        <v>-8.6</v>
      </c>
      <c r="H24" s="859">
        <v>67.599999999999994</v>
      </c>
      <c r="I24" s="638">
        <v>74.400000000000006</v>
      </c>
      <c r="J24" s="548">
        <f>IF(H24=0, "    ---- ", IF(ABS(ROUND(100/H24*I24-100,1))&lt;999,ROUND(100/H24*I24-100,1),IF(ROUND(100/H24*I24-100,1)&gt;999,999,-999)))</f>
        <v>10.1</v>
      </c>
      <c r="K24" s="859"/>
      <c r="L24" s="638"/>
      <c r="M24" s="548"/>
      <c r="N24" s="859"/>
      <c r="O24" s="638"/>
      <c r="P24" s="548"/>
      <c r="Q24" s="859"/>
      <c r="R24" s="638"/>
      <c r="S24" s="548"/>
      <c r="T24" s="859"/>
      <c r="U24" s="638"/>
      <c r="V24" s="548"/>
      <c r="W24" s="859">
        <v>718.07973048077417</v>
      </c>
      <c r="X24" s="638">
        <v>802.18136731816094</v>
      </c>
      <c r="Y24" s="548">
        <f t="shared" si="1"/>
        <v>11.7</v>
      </c>
      <c r="Z24" s="859"/>
      <c r="AA24" s="638"/>
      <c r="AB24" s="741"/>
      <c r="AC24" s="859">
        <v>890.74099999999999</v>
      </c>
      <c r="AD24" s="638">
        <v>833.62599999999998</v>
      </c>
      <c r="AE24" s="548">
        <f t="shared" si="2"/>
        <v>-6.4</v>
      </c>
      <c r="AF24" s="859">
        <v>3911</v>
      </c>
      <c r="AG24" s="638">
        <v>3870</v>
      </c>
      <c r="AH24" s="548">
        <f t="shared" si="3"/>
        <v>-1</v>
      </c>
      <c r="AI24" s="560">
        <f t="shared" si="4"/>
        <v>20706.495730480776</v>
      </c>
      <c r="AJ24" s="560">
        <f t="shared" si="4"/>
        <v>19428.299367318163</v>
      </c>
      <c r="AK24" s="548">
        <f t="shared" si="5"/>
        <v>-6.2</v>
      </c>
      <c r="AL24" s="740"/>
      <c r="AM24" s="740"/>
    </row>
    <row r="25" spans="1:39" s="561" customFormat="1" ht="18.75" customHeight="1" x14ac:dyDescent="0.3">
      <c r="A25" s="541" t="s">
        <v>422</v>
      </c>
      <c r="B25" s="859"/>
      <c r="C25" s="638"/>
      <c r="D25" s="548"/>
      <c r="E25" s="859">
        <v>3957.1930000000002</v>
      </c>
      <c r="F25" s="637">
        <v>3741.8760000000002</v>
      </c>
      <c r="G25" s="741">
        <f t="shared" si="0"/>
        <v>-5.4</v>
      </c>
      <c r="H25" s="859"/>
      <c r="I25" s="638"/>
      <c r="J25" s="548"/>
      <c r="K25" s="859"/>
      <c r="L25" s="638"/>
      <c r="M25" s="548"/>
      <c r="N25" s="859"/>
      <c r="O25" s="638"/>
      <c r="P25" s="548"/>
      <c r="Q25" s="859"/>
      <c r="R25" s="638"/>
      <c r="S25" s="548"/>
      <c r="T25" s="859"/>
      <c r="U25" s="638"/>
      <c r="V25" s="548"/>
      <c r="W25" s="859">
        <v>527.18433442077412</v>
      </c>
      <c r="X25" s="638">
        <v>482.78547983935812</v>
      </c>
      <c r="Y25" s="548">
        <f t="shared" si="1"/>
        <v>-8.4</v>
      </c>
      <c r="Z25" s="859"/>
      <c r="AA25" s="638"/>
      <c r="AB25" s="741"/>
      <c r="AC25" s="859">
        <v>378.02699999999999</v>
      </c>
      <c r="AD25" s="637">
        <v>341.74</v>
      </c>
      <c r="AE25" s="548">
        <f t="shared" si="2"/>
        <v>-9.6</v>
      </c>
      <c r="AF25" s="859">
        <v>2357</v>
      </c>
      <c r="AG25" s="638">
        <v>2234</v>
      </c>
      <c r="AH25" s="548">
        <f t="shared" si="3"/>
        <v>-5.2</v>
      </c>
      <c r="AI25" s="560">
        <f t="shared" si="4"/>
        <v>7219.4043344207748</v>
      </c>
      <c r="AJ25" s="560">
        <f t="shared" si="4"/>
        <v>6800.4014798393582</v>
      </c>
      <c r="AK25" s="548">
        <f t="shared" si="5"/>
        <v>-5.8</v>
      </c>
      <c r="AL25" s="740"/>
      <c r="AM25" s="740"/>
    </row>
    <row r="26" spans="1:39" s="561" customFormat="1" ht="18.75" customHeight="1" x14ac:dyDescent="0.3">
      <c r="A26" s="541" t="s">
        <v>423</v>
      </c>
      <c r="B26" s="859"/>
      <c r="C26" s="638"/>
      <c r="D26" s="548"/>
      <c r="E26" s="859">
        <v>10896.147999999999</v>
      </c>
      <c r="F26" s="637">
        <v>9829.11</v>
      </c>
      <c r="G26" s="741">
        <f t="shared" si="0"/>
        <v>-9.8000000000000007</v>
      </c>
      <c r="H26" s="859"/>
      <c r="I26" s="638"/>
      <c r="J26" s="548"/>
      <c r="K26" s="859"/>
      <c r="L26" s="638"/>
      <c r="M26" s="548"/>
      <c r="N26" s="859"/>
      <c r="O26" s="638"/>
      <c r="P26" s="548"/>
      <c r="Q26" s="859"/>
      <c r="R26" s="638"/>
      <c r="S26" s="548"/>
      <c r="T26" s="859"/>
      <c r="U26" s="638"/>
      <c r="V26" s="548"/>
      <c r="W26" s="859">
        <v>80.447146870000012</v>
      </c>
      <c r="X26" s="638">
        <v>81.718682760000007</v>
      </c>
      <c r="Y26" s="548">
        <f t="shared" si="1"/>
        <v>1.6</v>
      </c>
      <c r="Z26" s="859"/>
      <c r="AA26" s="638"/>
      <c r="AB26" s="741"/>
      <c r="AC26" s="859">
        <v>180.45099999999999</v>
      </c>
      <c r="AD26" s="637">
        <v>153.749</v>
      </c>
      <c r="AE26" s="548">
        <f t="shared" si="2"/>
        <v>-14.8</v>
      </c>
      <c r="AF26" s="859"/>
      <c r="AG26" s="638"/>
      <c r="AH26" s="548"/>
      <c r="AI26" s="560">
        <f t="shared" si="4"/>
        <v>11157.046146869998</v>
      </c>
      <c r="AJ26" s="560">
        <f t="shared" si="4"/>
        <v>10064.57768276</v>
      </c>
      <c r="AK26" s="548">
        <f t="shared" si="5"/>
        <v>-9.8000000000000007</v>
      </c>
      <c r="AL26" s="740"/>
      <c r="AM26" s="740"/>
    </row>
    <row r="27" spans="1:39" s="561" customFormat="1" ht="18.75" customHeight="1" x14ac:dyDescent="0.3">
      <c r="A27" s="541" t="s">
        <v>424</v>
      </c>
      <c r="B27" s="859">
        <v>86.804000000000002</v>
      </c>
      <c r="C27" s="638">
        <v>128.09100000000001</v>
      </c>
      <c r="D27" s="548">
        <f>IF(B27=0, "    ---- ", IF(ABS(ROUND(100/B27*C27-100,1))&lt;999,ROUND(100/B27*C27-100,1),IF(ROUND(100/B27*C27-100,1)&gt;999,999,-999)))</f>
        <v>47.6</v>
      </c>
      <c r="E27" s="859">
        <v>26182.193000000003</v>
      </c>
      <c r="F27" s="638">
        <v>25192.583999999999</v>
      </c>
      <c r="G27" s="741">
        <f t="shared" si="0"/>
        <v>-3.8</v>
      </c>
      <c r="H27" s="859">
        <v>418.1</v>
      </c>
      <c r="I27" s="638">
        <v>498.7</v>
      </c>
      <c r="J27" s="548">
        <f>IF(H27=0, "    ---- ", IF(ABS(ROUND(100/H27*I27-100,1))&lt;999,ROUND(100/H27*I27-100,1),IF(ROUND(100/H27*I27-100,1)&gt;999,999,-999)))</f>
        <v>19.3</v>
      </c>
      <c r="K27" s="859">
        <v>1287.348</v>
      </c>
      <c r="L27" s="638">
        <f>1583.442-357.089</f>
        <v>1226.3530000000001</v>
      </c>
      <c r="M27" s="548">
        <f>IF(K27=0, "    ---- ", IF(ABS(ROUND(100/K27*L27-100,1))&lt;999,ROUND(100/K27*L27-100,1),IF(ROUND(100/K27*L27-100,1)&gt;999,999,-999)))</f>
        <v>-4.7</v>
      </c>
      <c r="N27" s="859"/>
      <c r="O27" s="638"/>
      <c r="P27" s="548"/>
      <c r="Q27" s="859"/>
      <c r="R27" s="638"/>
      <c r="S27" s="548"/>
      <c r="T27" s="859"/>
      <c r="U27" s="638"/>
      <c r="V27" s="548"/>
      <c r="W27" s="859">
        <v>3813.5198410773232</v>
      </c>
      <c r="X27" s="638">
        <v>3691.3588488539567</v>
      </c>
      <c r="Y27" s="548">
        <f t="shared" si="1"/>
        <v>-3.2</v>
      </c>
      <c r="Z27" s="859"/>
      <c r="AA27" s="638"/>
      <c r="AB27" s="741"/>
      <c r="AC27" s="859">
        <v>4926.6589999999997</v>
      </c>
      <c r="AD27" s="638">
        <v>5126.3540000000003</v>
      </c>
      <c r="AE27" s="548">
        <f t="shared" si="2"/>
        <v>4.0999999999999996</v>
      </c>
      <c r="AF27" s="859">
        <v>10279</v>
      </c>
      <c r="AG27" s="638">
        <v>9583</v>
      </c>
      <c r="AH27" s="548">
        <f t="shared" si="3"/>
        <v>-6.8</v>
      </c>
      <c r="AI27" s="560">
        <f t="shared" si="4"/>
        <v>46993.623841077322</v>
      </c>
      <c r="AJ27" s="560">
        <f t="shared" si="4"/>
        <v>45446.440848853956</v>
      </c>
      <c r="AK27" s="548">
        <f t="shared" si="5"/>
        <v>-3.3</v>
      </c>
      <c r="AL27" s="740"/>
      <c r="AM27" s="740"/>
    </row>
    <row r="28" spans="1:39" s="561" customFormat="1" ht="18.75" customHeight="1" x14ac:dyDescent="0.3">
      <c r="A28" s="541" t="s">
        <v>422</v>
      </c>
      <c r="B28" s="859"/>
      <c r="C28" s="638"/>
      <c r="D28" s="548"/>
      <c r="E28" s="859">
        <v>23383.989000000001</v>
      </c>
      <c r="F28" s="638">
        <v>22386.673999999999</v>
      </c>
      <c r="G28" s="741">
        <f t="shared" si="0"/>
        <v>-4.3</v>
      </c>
      <c r="H28" s="859"/>
      <c r="I28" s="638"/>
      <c r="J28" s="548"/>
      <c r="K28" s="859"/>
      <c r="L28" s="638"/>
      <c r="M28" s="548"/>
      <c r="N28" s="859"/>
      <c r="O28" s="638"/>
      <c r="P28" s="548"/>
      <c r="Q28" s="859"/>
      <c r="R28" s="638"/>
      <c r="S28" s="548"/>
      <c r="T28" s="859"/>
      <c r="U28" s="638"/>
      <c r="V28" s="548"/>
      <c r="W28" s="859">
        <v>2858.672070022335</v>
      </c>
      <c r="X28" s="638">
        <v>2674.9869322466725</v>
      </c>
      <c r="Y28" s="548">
        <f t="shared" si="1"/>
        <v>-6.4</v>
      </c>
      <c r="Z28" s="859"/>
      <c r="AA28" s="638"/>
      <c r="AB28" s="741"/>
      <c r="AC28" s="859">
        <v>2832.2179999999998</v>
      </c>
      <c r="AD28" s="638">
        <v>2659.74</v>
      </c>
      <c r="AE28" s="548">
        <f t="shared" si="2"/>
        <v>-6.1</v>
      </c>
      <c r="AF28" s="859">
        <v>10279</v>
      </c>
      <c r="AG28" s="638">
        <v>9583</v>
      </c>
      <c r="AH28" s="548">
        <f t="shared" si="3"/>
        <v>-6.8</v>
      </c>
      <c r="AI28" s="560">
        <f t="shared" si="4"/>
        <v>39353.879070022333</v>
      </c>
      <c r="AJ28" s="560">
        <f t="shared" si="4"/>
        <v>37304.400932246674</v>
      </c>
      <c r="AK28" s="548">
        <f t="shared" si="5"/>
        <v>-5.2</v>
      </c>
      <c r="AL28" s="740"/>
      <c r="AM28" s="740"/>
    </row>
    <row r="29" spans="1:39" s="561" customFormat="1" ht="18.75" customHeight="1" x14ac:dyDescent="0.3">
      <c r="A29" s="541" t="s">
        <v>423</v>
      </c>
      <c r="B29" s="859"/>
      <c r="C29" s="638"/>
      <c r="D29" s="548"/>
      <c r="E29" s="859">
        <v>2798.2040000000002</v>
      </c>
      <c r="F29" s="638">
        <v>2805.91</v>
      </c>
      <c r="G29" s="741">
        <f t="shared" si="0"/>
        <v>0.3</v>
      </c>
      <c r="H29" s="859">
        <v>243.303</v>
      </c>
      <c r="I29" s="638"/>
      <c r="J29" s="548">
        <f>IF(H29=0, "    ---- ", IF(ABS(ROUND(100/H29*I29-100,1))&lt;999,ROUND(100/H29*I29-100,1),IF(ROUND(100/H29*I29-100,1)&gt;999,999,-999)))</f>
        <v>-100</v>
      </c>
      <c r="K29" s="859">
        <v>1287.348</v>
      </c>
      <c r="L29" s="638">
        <f>1583.442-357.089</f>
        <v>1226.3530000000001</v>
      </c>
      <c r="M29" s="548">
        <f>IF(K29=0, "    ---- ", IF(ABS(ROUND(100/K29*L29-100,1))&lt;999,ROUND(100/K29*L29-100,1),IF(ROUND(100/K29*L29-100,1)&gt;999,999,-999)))</f>
        <v>-4.7</v>
      </c>
      <c r="N29" s="859"/>
      <c r="O29" s="638"/>
      <c r="P29" s="548"/>
      <c r="Q29" s="859"/>
      <c r="R29" s="638"/>
      <c r="S29" s="548"/>
      <c r="T29" s="859"/>
      <c r="U29" s="638"/>
      <c r="V29" s="548"/>
      <c r="W29" s="859">
        <v>484.28825561896645</v>
      </c>
      <c r="X29" s="638">
        <v>485.95625757602227</v>
      </c>
      <c r="Y29" s="548">
        <f t="shared" si="1"/>
        <v>0.3</v>
      </c>
      <c r="Z29" s="859"/>
      <c r="AA29" s="638"/>
      <c r="AB29" s="741"/>
      <c r="AC29" s="859">
        <v>84.852000000000004</v>
      </c>
      <c r="AD29" s="638">
        <v>85.55</v>
      </c>
      <c r="AE29" s="548">
        <f t="shared" si="2"/>
        <v>0.8</v>
      </c>
      <c r="AF29" s="859"/>
      <c r="AG29" s="638"/>
      <c r="AH29" s="548"/>
      <c r="AI29" s="560">
        <f t="shared" si="4"/>
        <v>4897.9952556189655</v>
      </c>
      <c r="AJ29" s="560">
        <f t="shared" si="4"/>
        <v>4603.769257576022</v>
      </c>
      <c r="AK29" s="548">
        <f t="shared" si="5"/>
        <v>-6</v>
      </c>
      <c r="AL29" s="740"/>
      <c r="AM29" s="740"/>
    </row>
    <row r="30" spans="1:39" s="561" customFormat="1" ht="18.75" customHeight="1" x14ac:dyDescent="0.3">
      <c r="A30" s="541" t="s">
        <v>425</v>
      </c>
      <c r="B30" s="859">
        <v>0.502</v>
      </c>
      <c r="C30" s="638">
        <v>1.9530000000000001</v>
      </c>
      <c r="D30" s="548">
        <f t="shared" ref="D30:D32" si="8">IF(B30=0, "    ---- ", IF(ABS(ROUND(100/B30*C30-100,1))&lt;999,ROUND(100/B30*C30-100,1),IF(ROUND(100/B30*C30-100,1)&gt;999,999,-999)))</f>
        <v>289</v>
      </c>
      <c r="E30" s="859">
        <v>200.99200000000002</v>
      </c>
      <c r="F30" s="638">
        <v>739.02800000000002</v>
      </c>
      <c r="G30" s="741">
        <f t="shared" si="0"/>
        <v>267.7</v>
      </c>
      <c r="H30" s="859">
        <v>26.8</v>
      </c>
      <c r="I30" s="638">
        <v>30</v>
      </c>
      <c r="J30" s="548">
        <f>IF(H30=0, "    ---- ", IF(ABS(ROUND(100/H30*I30-100,1))&lt;999,ROUND(100/H30*I30-100,1),IF(ROUND(100/H30*I30-100,1)&gt;999,999,-999)))</f>
        <v>11.9</v>
      </c>
      <c r="K30" s="859"/>
      <c r="L30" s="638"/>
      <c r="M30" s="548"/>
      <c r="N30" s="859"/>
      <c r="O30" s="638"/>
      <c r="P30" s="548"/>
      <c r="Q30" s="859">
        <v>14</v>
      </c>
      <c r="R30" s="638">
        <v>16.033253999999999</v>
      </c>
      <c r="S30" s="548">
        <f>IF(Q30=0, "    ---- ", IF(ABS(ROUND(100/Q30*R30-100,1))&lt;999,ROUND(100/Q30*R30-100,1),IF(ROUND(100/Q30*R30-100,1)&gt;999,999,-999)))</f>
        <v>14.5</v>
      </c>
      <c r="T30" s="859"/>
      <c r="U30" s="638"/>
      <c r="V30" s="548"/>
      <c r="W30" s="859"/>
      <c r="X30" s="638">
        <v>0</v>
      </c>
      <c r="Y30" s="548" t="str">
        <f t="shared" si="1"/>
        <v xml:space="preserve">    ---- </v>
      </c>
      <c r="Z30" s="859"/>
      <c r="AA30" s="638"/>
      <c r="AB30" s="741"/>
      <c r="AC30" s="859">
        <v>120.91500000000001</v>
      </c>
      <c r="AD30" s="638">
        <v>1428.1130000000001</v>
      </c>
      <c r="AE30" s="548">
        <f t="shared" si="2"/>
        <v>999</v>
      </c>
      <c r="AF30" s="859">
        <v>1425</v>
      </c>
      <c r="AG30" s="638">
        <v>1376</v>
      </c>
      <c r="AH30" s="548">
        <f t="shared" si="3"/>
        <v>-3.4</v>
      </c>
      <c r="AI30" s="560">
        <f t="shared" si="4"/>
        <v>1788.2090000000001</v>
      </c>
      <c r="AJ30" s="560">
        <f t="shared" si="4"/>
        <v>3591.127254</v>
      </c>
      <c r="AK30" s="548">
        <f t="shared" si="5"/>
        <v>100.8</v>
      </c>
      <c r="AL30" s="740"/>
      <c r="AM30" s="740"/>
    </row>
    <row r="31" spans="1:39" s="561" customFormat="1" ht="18.75" customHeight="1" x14ac:dyDescent="0.3">
      <c r="A31" s="541" t="s">
        <v>426</v>
      </c>
      <c r="B31" s="859">
        <v>547.35799999999995</v>
      </c>
      <c r="C31" s="638">
        <v>633.32799999999997</v>
      </c>
      <c r="D31" s="548">
        <f t="shared" si="8"/>
        <v>15.7</v>
      </c>
      <c r="E31" s="859">
        <v>147810.565</v>
      </c>
      <c r="F31" s="638">
        <v>150372.16</v>
      </c>
      <c r="G31" s="741">
        <f t="shared" si="0"/>
        <v>1.7</v>
      </c>
      <c r="H31" s="859">
        <v>122.1</v>
      </c>
      <c r="I31" s="638">
        <v>119.9</v>
      </c>
      <c r="J31" s="548">
        <f>IF(H31=0, "    ---- ", IF(ABS(ROUND(100/H31*I31-100,1))&lt;999,ROUND(100/H31*I31-100,1),IF(ROUND(100/H31*I31-100,1)&gt;999,999,-999)))</f>
        <v>-1.8</v>
      </c>
      <c r="K31" s="859">
        <v>4497.5079999999998</v>
      </c>
      <c r="L31" s="638">
        <f>4752.797-33.242</f>
        <v>4719.5549999999994</v>
      </c>
      <c r="M31" s="548">
        <f>IF(K31=0, "    ---- ", IF(ABS(ROUND(100/K31*L31-100,1))&lt;999,ROUND(100/K31*L31-100,1),IF(ROUND(100/K31*L31-100,1)&gt;999,999,-999)))</f>
        <v>4.9000000000000004</v>
      </c>
      <c r="N31" s="859"/>
      <c r="O31" s="638"/>
      <c r="P31" s="548"/>
      <c r="Q31" s="859"/>
      <c r="R31" s="638"/>
      <c r="S31" s="548"/>
      <c r="T31" s="859"/>
      <c r="U31" s="638"/>
      <c r="V31" s="548"/>
      <c r="W31" s="859">
        <v>41096.553120526056</v>
      </c>
      <c r="X31" s="638">
        <v>41775.061413580414</v>
      </c>
      <c r="Y31" s="548">
        <f t="shared" si="1"/>
        <v>1.7</v>
      </c>
      <c r="Z31" s="859"/>
      <c r="AA31" s="638"/>
      <c r="AB31" s="741"/>
      <c r="AC31" s="859">
        <v>11226.925999999999</v>
      </c>
      <c r="AD31" s="638">
        <v>11867.14</v>
      </c>
      <c r="AE31" s="548">
        <f t="shared" si="2"/>
        <v>5.7</v>
      </c>
      <c r="AF31" s="859">
        <v>151822</v>
      </c>
      <c r="AG31" s="638">
        <v>154585</v>
      </c>
      <c r="AH31" s="548">
        <f t="shared" si="3"/>
        <v>1.8</v>
      </c>
      <c r="AI31" s="560">
        <f t="shared" si="4"/>
        <v>357123.01012052607</v>
      </c>
      <c r="AJ31" s="560">
        <f t="shared" si="4"/>
        <v>364072.14441358042</v>
      </c>
      <c r="AK31" s="548">
        <f t="shared" si="5"/>
        <v>1.9</v>
      </c>
      <c r="AL31" s="740"/>
      <c r="AM31" s="740"/>
    </row>
    <row r="32" spans="1:39" s="561" customFormat="1" ht="18.75" customHeight="1" x14ac:dyDescent="0.3">
      <c r="A32" s="541" t="s">
        <v>427</v>
      </c>
      <c r="B32" s="859">
        <v>28.045000000000002</v>
      </c>
      <c r="C32" s="638">
        <v>270.10500000000002</v>
      </c>
      <c r="D32" s="548">
        <f t="shared" si="8"/>
        <v>863.1</v>
      </c>
      <c r="E32" s="859">
        <v>124259.807</v>
      </c>
      <c r="F32" s="638">
        <v>127155.83</v>
      </c>
      <c r="G32" s="741">
        <f t="shared" si="0"/>
        <v>2.2999999999999998</v>
      </c>
      <c r="H32" s="859"/>
      <c r="I32" s="638"/>
      <c r="J32" s="548"/>
      <c r="K32" s="859">
        <v>3778.0070000000001</v>
      </c>
      <c r="L32" s="638">
        <v>3853.8159999999998</v>
      </c>
      <c r="M32" s="548">
        <f>IF(K32=0, "    ---- ", IF(ABS(ROUND(100/K32*L32-100,1))&lt;999,ROUND(100/K32*L32-100,1),IF(ROUND(100/K32*L32-100,1)&gt;999,999,-999)))</f>
        <v>2</v>
      </c>
      <c r="N32" s="859"/>
      <c r="O32" s="638"/>
      <c r="P32" s="548"/>
      <c r="Q32" s="859"/>
      <c r="R32" s="638"/>
      <c r="S32" s="548"/>
      <c r="T32" s="859"/>
      <c r="U32" s="638"/>
      <c r="V32" s="548"/>
      <c r="W32" s="859">
        <v>32672.111011813438</v>
      </c>
      <c r="X32" s="638">
        <v>33881.987982544124</v>
      </c>
      <c r="Y32" s="548">
        <f t="shared" si="1"/>
        <v>3.7</v>
      </c>
      <c r="Z32" s="859"/>
      <c r="AA32" s="638"/>
      <c r="AB32" s="741"/>
      <c r="AC32" s="859">
        <v>8142.91</v>
      </c>
      <c r="AD32" s="638">
        <v>8356.5010000000002</v>
      </c>
      <c r="AE32" s="548">
        <f t="shared" si="2"/>
        <v>2.6</v>
      </c>
      <c r="AF32" s="859">
        <v>121636</v>
      </c>
      <c r="AG32" s="638">
        <v>126659</v>
      </c>
      <c r="AH32" s="548">
        <f t="shared" si="3"/>
        <v>4.0999999999999996</v>
      </c>
      <c r="AI32" s="560">
        <f t="shared" si="4"/>
        <v>290516.88001181348</v>
      </c>
      <c r="AJ32" s="560">
        <f t="shared" si="4"/>
        <v>300177.2399825441</v>
      </c>
      <c r="AK32" s="548">
        <f t="shared" si="5"/>
        <v>3.3</v>
      </c>
      <c r="AL32" s="740"/>
      <c r="AM32" s="740"/>
    </row>
    <row r="33" spans="1:39" s="561" customFormat="1" ht="18.75" customHeight="1" x14ac:dyDescent="0.3">
      <c r="A33" s="541" t="s">
        <v>428</v>
      </c>
      <c r="B33" s="859"/>
      <c r="C33" s="638"/>
      <c r="D33" s="548"/>
      <c r="E33" s="859">
        <v>0</v>
      </c>
      <c r="F33" s="638"/>
      <c r="G33" s="741" t="str">
        <f t="shared" si="0"/>
        <v xml:space="preserve">    ---- </v>
      </c>
      <c r="H33" s="859"/>
      <c r="I33" s="638"/>
      <c r="J33" s="548"/>
      <c r="K33" s="859"/>
      <c r="L33" s="638"/>
      <c r="M33" s="548"/>
      <c r="N33" s="859"/>
      <c r="O33" s="638"/>
      <c r="P33" s="548"/>
      <c r="Q33" s="859">
        <v>403888</v>
      </c>
      <c r="R33" s="638">
        <v>431153.27276905999</v>
      </c>
      <c r="S33" s="548">
        <f>IF(Q33=0, "    ---- ", IF(ABS(ROUND(100/Q33*R33-100,1))&lt;999,ROUND(100/Q33*R33-100,1),IF(ROUND(100/Q33*R33-100,1)&gt;999,999,-999)))</f>
        <v>6.8</v>
      </c>
      <c r="T33" s="859"/>
      <c r="U33" s="638"/>
      <c r="V33" s="548"/>
      <c r="W33" s="859">
        <v>0</v>
      </c>
      <c r="X33" s="638">
        <v>0</v>
      </c>
      <c r="Y33" s="548" t="str">
        <f t="shared" si="1"/>
        <v xml:space="preserve">    ---- </v>
      </c>
      <c r="Z33" s="859"/>
      <c r="AA33" s="638"/>
      <c r="AB33" s="741"/>
      <c r="AC33" s="859"/>
      <c r="AD33" s="638"/>
      <c r="AE33" s="548"/>
      <c r="AF33" s="859">
        <v>2404</v>
      </c>
      <c r="AG33" s="638">
        <v>2513</v>
      </c>
      <c r="AH33" s="548">
        <f t="shared" si="3"/>
        <v>4.5</v>
      </c>
      <c r="AI33" s="560">
        <f t="shared" si="4"/>
        <v>406292</v>
      </c>
      <c r="AJ33" s="560">
        <f t="shared" si="4"/>
        <v>433666.27276905999</v>
      </c>
      <c r="AK33" s="548">
        <f t="shared" si="5"/>
        <v>6.7</v>
      </c>
      <c r="AL33" s="740"/>
      <c r="AM33" s="740"/>
    </row>
    <row r="34" spans="1:39" s="561" customFormat="1" ht="18.75" customHeight="1" x14ac:dyDescent="0.3">
      <c r="A34" s="541" t="s">
        <v>429</v>
      </c>
      <c r="B34" s="859">
        <v>53.293999999999997</v>
      </c>
      <c r="C34" s="638">
        <v>48.01</v>
      </c>
      <c r="D34" s="548">
        <f>IF(B34=0, "    ---- ", IF(ABS(ROUND(100/B34*C34-100,1))&lt;999,ROUND(100/B34*C34-100,1),IF(ROUND(100/B34*C34-100,1)&gt;999,999,-999)))</f>
        <v>-9.9</v>
      </c>
      <c r="E34" s="859">
        <v>3330.9259999999995</v>
      </c>
      <c r="F34" s="638">
        <f>241.406+4624.928</f>
        <v>4866.3339999999998</v>
      </c>
      <c r="G34" s="741">
        <f t="shared" si="0"/>
        <v>46.1</v>
      </c>
      <c r="H34" s="859">
        <v>72.8</v>
      </c>
      <c r="I34" s="638">
        <v>86.3</v>
      </c>
      <c r="J34" s="548">
        <f>IF(H34=0, "    ---- ", IF(ABS(ROUND(100/H34*I34-100,1))&lt;999,ROUND(100/H34*I34-100,1),IF(ROUND(100/H34*I34-100,1)&gt;999,999,-999)))</f>
        <v>18.5</v>
      </c>
      <c r="K34" s="859"/>
      <c r="L34" s="638"/>
      <c r="M34" s="548"/>
      <c r="N34" s="859"/>
      <c r="O34" s="638"/>
      <c r="P34" s="548"/>
      <c r="Q34" s="859"/>
      <c r="R34" s="638"/>
      <c r="S34" s="548"/>
      <c r="T34" s="859"/>
      <c r="U34" s="638"/>
      <c r="V34" s="548"/>
      <c r="W34" s="859">
        <v>266.83886078523886</v>
      </c>
      <c r="X34" s="638">
        <v>44.239427092579376</v>
      </c>
      <c r="Y34" s="548">
        <f t="shared" si="1"/>
        <v>-83.4</v>
      </c>
      <c r="Z34" s="859"/>
      <c r="AA34" s="638"/>
      <c r="AB34" s="741"/>
      <c r="AC34" s="859">
        <v>466.85500000000002</v>
      </c>
      <c r="AD34" s="638">
        <v>461.43200000000002</v>
      </c>
      <c r="AE34" s="548">
        <f t="shared" si="2"/>
        <v>-1.2</v>
      </c>
      <c r="AF34" s="859"/>
      <c r="AG34" s="638"/>
      <c r="AH34" s="548"/>
      <c r="AI34" s="560">
        <f t="shared" si="4"/>
        <v>4190.7138607852385</v>
      </c>
      <c r="AJ34" s="560">
        <f t="shared" si="4"/>
        <v>5506.3154270925797</v>
      </c>
      <c r="AK34" s="548">
        <f t="shared" si="5"/>
        <v>31.4</v>
      </c>
      <c r="AL34" s="740"/>
      <c r="AM34" s="740"/>
    </row>
    <row r="35" spans="1:39" s="749" customFormat="1" ht="18.75" customHeight="1" x14ac:dyDescent="0.3">
      <c r="A35" s="743" t="s">
        <v>431</v>
      </c>
      <c r="B35" s="867">
        <f>SUM(B36:B39)</f>
        <v>14.824999999999999</v>
      </c>
      <c r="C35" s="640">
        <v>15.728</v>
      </c>
      <c r="D35" s="744">
        <f>IF(B35=0, "    ---- ", IF(ABS(ROUND(100/B35*C35-100,1))&lt;999,ROUND(100/B35*C35-100,1),IF(ROUND(100/B35*C35-100,1)&gt;999,999,-999)))</f>
        <v>6.1</v>
      </c>
      <c r="E35" s="867">
        <f>SUM(E36:E39)</f>
        <v>7664.2340000000004</v>
      </c>
      <c r="F35" s="640">
        <f>SUM(F36:F39)</f>
        <v>7208.9259999999995</v>
      </c>
      <c r="G35" s="745">
        <f t="shared" si="0"/>
        <v>-5.9</v>
      </c>
      <c r="H35" s="867">
        <f>SUM(H36:H39)</f>
        <v>3.5</v>
      </c>
      <c r="I35" s="640">
        <f>SUM(I36:I39)</f>
        <v>1.1000000000000001</v>
      </c>
      <c r="J35" s="744">
        <f>IF(H35=0, "    ---- ", IF(ABS(ROUND(100/H35*I35-100,1))&lt;999,ROUND(100/H35*I35-100,1),IF(ROUND(100/H35*I35-100,1)&gt;999,999,-999)))</f>
        <v>-68.599999999999994</v>
      </c>
      <c r="K35" s="867">
        <f>SUM(K36:K39)</f>
        <v>176.61699999999999</v>
      </c>
      <c r="L35" s="640">
        <f>SUM(L36:L39)</f>
        <v>241.46600000000001</v>
      </c>
      <c r="M35" s="744">
        <f>IF(K35=0, "    ---- ", IF(ABS(ROUND(100/K35*L35-100,1))&lt;999,ROUND(100/K35*L35-100,1),IF(ROUND(100/K35*L35-100,1)&gt;999,999,-999)))</f>
        <v>36.700000000000003</v>
      </c>
      <c r="N35" s="867"/>
      <c r="O35" s="640"/>
      <c r="P35" s="744"/>
      <c r="Q35" s="867">
        <f>SUM(Q36:Q39)</f>
        <v>25399.371749000002</v>
      </c>
      <c r="R35" s="640">
        <f>SUM(R36:R39)</f>
        <v>28206.462697999999</v>
      </c>
      <c r="S35" s="744">
        <f>IF(Q35=0, "    ---- ", IF(ABS(ROUND(100/Q35*R35-100,1))&lt;999,ROUND(100/Q35*R35-100,1),IF(ROUND(100/Q35*R35-100,1)&gt;999,999,-999)))</f>
        <v>11.1</v>
      </c>
      <c r="T35" s="867">
        <f>SUM(T36:T39)</f>
        <v>106.3</v>
      </c>
      <c r="U35" s="640">
        <f>SUM(U36:U39)</f>
        <v>111.4</v>
      </c>
      <c r="V35" s="744">
        <f>IF(T35=0, "    ---- ", IF(ABS(ROUND(100/T35*U35-100,1))&lt;999,ROUND(100/T35*U35-100,1),IF(ROUND(100/T35*U35-100,1)&gt;999,999,-999)))</f>
        <v>4.8</v>
      </c>
      <c r="W35" s="867">
        <f>SUM(W36:W39)</f>
        <v>1640</v>
      </c>
      <c r="X35" s="640">
        <f>SUM(X36:X39)</f>
        <v>2090.4264250801143</v>
      </c>
      <c r="Y35" s="744">
        <f t="shared" si="1"/>
        <v>27.5</v>
      </c>
      <c r="Z35" s="867">
        <f>SUM(Z36:Z39)</f>
        <v>7101</v>
      </c>
      <c r="AA35" s="640">
        <f>SUM(AA36:AA39)</f>
        <v>7492</v>
      </c>
      <c r="AB35" s="745">
        <f>IF(Z35=0, "    ---- ", IF(ABS(ROUND(100/Z35*AA35-100,1))&lt;999,ROUND(100/Z35*AA35-100,1),IF(ROUND(100/Z35*AA35-100,1)&gt;999,999,-999)))</f>
        <v>5.5</v>
      </c>
      <c r="AC35" s="867">
        <f>SUM(AC36:AC39)</f>
        <v>842.38800000000003</v>
      </c>
      <c r="AD35" s="640">
        <f>SUM(AD36:AD39)</f>
        <v>983.89600000000007</v>
      </c>
      <c r="AE35" s="744">
        <f t="shared" si="2"/>
        <v>16.8</v>
      </c>
      <c r="AF35" s="867">
        <f>SUM(AF36:AF39)</f>
        <v>8255</v>
      </c>
      <c r="AG35" s="640">
        <f>SUM(AG36:AG39)</f>
        <v>8494</v>
      </c>
      <c r="AH35" s="744">
        <f t="shared" si="3"/>
        <v>2.9</v>
      </c>
      <c r="AI35" s="746">
        <f t="shared" si="4"/>
        <v>51203.235749000007</v>
      </c>
      <c r="AJ35" s="746">
        <f t="shared" si="4"/>
        <v>54845.405123080112</v>
      </c>
      <c r="AK35" s="744">
        <f t="shared" si="5"/>
        <v>7.1</v>
      </c>
      <c r="AL35" s="747"/>
      <c r="AM35" s="748"/>
    </row>
    <row r="36" spans="1:39" s="561" customFormat="1" ht="18.75" customHeight="1" x14ac:dyDescent="0.3">
      <c r="A36" s="541" t="s">
        <v>421</v>
      </c>
      <c r="B36" s="859"/>
      <c r="C36" s="638"/>
      <c r="D36" s="548"/>
      <c r="E36" s="859">
        <v>657.47</v>
      </c>
      <c r="F36" s="638">
        <v>573.86900000000003</v>
      </c>
      <c r="G36" s="741">
        <f t="shared" si="0"/>
        <v>-12.7</v>
      </c>
      <c r="H36" s="859"/>
      <c r="I36" s="638"/>
      <c r="J36" s="548"/>
      <c r="K36" s="859"/>
      <c r="L36" s="638"/>
      <c r="M36" s="548"/>
      <c r="N36" s="859"/>
      <c r="O36" s="638"/>
      <c r="P36" s="548"/>
      <c r="Q36" s="859"/>
      <c r="R36" s="638"/>
      <c r="S36" s="548"/>
      <c r="T36" s="859"/>
      <c r="U36" s="638"/>
      <c r="V36" s="548"/>
      <c r="W36" s="859">
        <v>33.467334879840401</v>
      </c>
      <c r="X36" s="638">
        <v>39.248241896618254</v>
      </c>
      <c r="Y36" s="548">
        <f t="shared" si="1"/>
        <v>17.3</v>
      </c>
      <c r="Z36" s="859"/>
      <c r="AA36" s="638"/>
      <c r="AB36" s="741"/>
      <c r="AC36" s="859">
        <v>7.7649999999999997</v>
      </c>
      <c r="AD36" s="638">
        <v>6.4829999999999997</v>
      </c>
      <c r="AE36" s="548">
        <f t="shared" si="2"/>
        <v>-16.5</v>
      </c>
      <c r="AF36" s="859">
        <v>227</v>
      </c>
      <c r="AG36" s="638">
        <v>219</v>
      </c>
      <c r="AH36" s="548">
        <f t="shared" si="3"/>
        <v>-3.5</v>
      </c>
      <c r="AI36" s="560">
        <f t="shared" si="4"/>
        <v>925.70233487984046</v>
      </c>
      <c r="AJ36" s="560">
        <f t="shared" si="4"/>
        <v>838.60024189661817</v>
      </c>
      <c r="AK36" s="548">
        <f t="shared" si="5"/>
        <v>-9.4</v>
      </c>
      <c r="AL36" s="740"/>
      <c r="AM36" s="740"/>
    </row>
    <row r="37" spans="1:39" s="561" customFormat="1" ht="18.75" customHeight="1" x14ac:dyDescent="0.3">
      <c r="A37" s="541" t="s">
        <v>424</v>
      </c>
      <c r="B37" s="859">
        <v>0.314</v>
      </c>
      <c r="C37" s="638">
        <v>0.26100000000000001</v>
      </c>
      <c r="D37" s="548">
        <f>IF(B37=0, "    ---- ", IF(ABS(ROUND(100/B37*C37-100,1))&lt;999,ROUND(100/B37*C37-100,1),IF(ROUND(100/B37*C37-100,1)&gt;999,999,-999)))</f>
        <v>-16.899999999999999</v>
      </c>
      <c r="E37" s="859">
        <v>1043.376</v>
      </c>
      <c r="F37" s="638">
        <v>850.27800000000002</v>
      </c>
      <c r="G37" s="548">
        <f t="shared" si="0"/>
        <v>-18.5</v>
      </c>
      <c r="H37" s="859">
        <v>1.603</v>
      </c>
      <c r="I37" s="638">
        <v>0.1</v>
      </c>
      <c r="J37" s="548">
        <f>IF(H37=0, "    ---- ", IF(ABS(ROUND(100/H37*I37-100,1))&lt;999,ROUND(100/H37*I37-100,1),IF(ROUND(100/H37*I37-100,1)&gt;999,999,-999)))</f>
        <v>-93.8</v>
      </c>
      <c r="K37" s="859">
        <v>3.6779999999999999</v>
      </c>
      <c r="L37" s="638">
        <v>4.7149999999999999</v>
      </c>
      <c r="M37" s="548">
        <f>IF(K37=0, "    ---- ", IF(ABS(ROUND(100/K37*L37-100,1))&lt;999,ROUND(100/K37*L37-100,1),IF(ROUND(100/K37*L37-100,1)&gt;999,999,-999)))</f>
        <v>28.2</v>
      </c>
      <c r="N37" s="859"/>
      <c r="O37" s="638"/>
      <c r="P37" s="548"/>
      <c r="Q37" s="859"/>
      <c r="R37" s="638"/>
      <c r="S37" s="548"/>
      <c r="T37" s="859"/>
      <c r="U37" s="638"/>
      <c r="V37" s="548"/>
      <c r="W37" s="859">
        <v>173.04074714116163</v>
      </c>
      <c r="X37" s="638">
        <v>204.61090618349616</v>
      </c>
      <c r="Y37" s="548">
        <f t="shared" si="1"/>
        <v>18.2</v>
      </c>
      <c r="Z37" s="859"/>
      <c r="AA37" s="638"/>
      <c r="AB37" s="548"/>
      <c r="AC37" s="859">
        <v>172.72</v>
      </c>
      <c r="AD37" s="638">
        <v>155.49700000000001</v>
      </c>
      <c r="AE37" s="548">
        <f t="shared" si="2"/>
        <v>-10</v>
      </c>
      <c r="AF37" s="859">
        <v>896</v>
      </c>
      <c r="AG37" s="638">
        <v>811</v>
      </c>
      <c r="AH37" s="548">
        <f t="shared" si="3"/>
        <v>-9.5</v>
      </c>
      <c r="AI37" s="560">
        <f t="shared" si="4"/>
        <v>2290.7317471411616</v>
      </c>
      <c r="AJ37" s="560">
        <f t="shared" si="4"/>
        <v>2026.4619061834962</v>
      </c>
      <c r="AK37" s="548">
        <f t="shared" si="5"/>
        <v>-11.5</v>
      </c>
      <c r="AL37" s="740"/>
      <c r="AM37" s="740"/>
    </row>
    <row r="38" spans="1:39" s="561" customFormat="1" ht="18.75" customHeight="1" x14ac:dyDescent="0.3">
      <c r="A38" s="541" t="s">
        <v>426</v>
      </c>
      <c r="B38" s="859">
        <v>14.510999999999999</v>
      </c>
      <c r="C38" s="638">
        <v>15.467000000000001</v>
      </c>
      <c r="D38" s="548">
        <f>IF(B38=0, "    ---- ", IF(ABS(ROUND(100/B38*C38-100,1))&lt;999,ROUND(100/B38*C38-100,1),IF(ROUND(100/B38*C38-100,1)&gt;999,999,-999)))</f>
        <v>6.6</v>
      </c>
      <c r="E38" s="859">
        <v>5963.3879999999999</v>
      </c>
      <c r="F38" s="638">
        <f>5652.441+132.338</f>
        <v>5784.7789999999995</v>
      </c>
      <c r="G38" s="741">
        <f t="shared" si="0"/>
        <v>-3</v>
      </c>
      <c r="H38" s="859">
        <v>1.897</v>
      </c>
      <c r="I38" s="638">
        <v>1</v>
      </c>
      <c r="J38" s="548">
        <f>IF(H38=0, "    ---- ", IF(ABS(ROUND(100/H38*I38-100,1))&lt;999,ROUND(100/H38*I38-100,1),IF(ROUND(100/H38*I38-100,1)&gt;999,999,-999)))</f>
        <v>-47.3</v>
      </c>
      <c r="K38" s="859">
        <v>172.93899999999999</v>
      </c>
      <c r="L38" s="638">
        <v>236.751</v>
      </c>
      <c r="M38" s="548">
        <f>IF(K38=0, "    ---- ", IF(ABS(ROUND(100/K38*L38-100,1))&lt;999,ROUND(100/K38*L38-100,1),IF(ROUND(100/K38*L38-100,1)&gt;999,999,-999)))</f>
        <v>36.9</v>
      </c>
      <c r="N38" s="859"/>
      <c r="O38" s="638"/>
      <c r="P38" s="548"/>
      <c r="Q38" s="859"/>
      <c r="R38" s="638"/>
      <c r="S38" s="548"/>
      <c r="T38" s="859">
        <v>106.3</v>
      </c>
      <c r="U38" s="638">
        <v>111.4</v>
      </c>
      <c r="V38" s="548">
        <f>IF(T38=0, "    ---- ", IF(ABS(ROUND(100/T38*U38-100,1))&lt;999,ROUND(100/T38*U38-100,1),IF(ROUND(100/T38*U38-100,1)&gt;999,999,-999)))</f>
        <v>4.8</v>
      </c>
      <c r="W38" s="859">
        <v>1433.4919179789979</v>
      </c>
      <c r="X38" s="638">
        <v>1846.5672770000001</v>
      </c>
      <c r="Y38" s="548">
        <f t="shared" si="1"/>
        <v>28.8</v>
      </c>
      <c r="Z38" s="859"/>
      <c r="AA38" s="638"/>
      <c r="AB38" s="741"/>
      <c r="AC38" s="859">
        <v>661.90300000000002</v>
      </c>
      <c r="AD38" s="638">
        <v>821.91600000000005</v>
      </c>
      <c r="AE38" s="548">
        <f t="shared" si="2"/>
        <v>24.2</v>
      </c>
      <c r="AF38" s="859">
        <v>6933</v>
      </c>
      <c r="AG38" s="638">
        <v>7254</v>
      </c>
      <c r="AH38" s="548">
        <f t="shared" si="3"/>
        <v>4.5999999999999996</v>
      </c>
      <c r="AI38" s="560">
        <f t="shared" si="4"/>
        <v>15287.429917978998</v>
      </c>
      <c r="AJ38" s="560">
        <f t="shared" si="4"/>
        <v>16071.880276999998</v>
      </c>
      <c r="AK38" s="548">
        <f t="shared" si="5"/>
        <v>5.0999999999999996</v>
      </c>
      <c r="AL38" s="740"/>
      <c r="AM38" s="740"/>
    </row>
    <row r="39" spans="1:39" s="561" customFormat="1" ht="18.75" customHeight="1" x14ac:dyDescent="0.3">
      <c r="A39" s="541" t="s">
        <v>428</v>
      </c>
      <c r="B39" s="859"/>
      <c r="C39" s="638"/>
      <c r="D39" s="548"/>
      <c r="E39" s="859"/>
      <c r="F39" s="638"/>
      <c r="G39" s="741"/>
      <c r="H39" s="859"/>
      <c r="I39" s="638"/>
      <c r="J39" s="548"/>
      <c r="K39" s="859"/>
      <c r="L39" s="638"/>
      <c r="M39" s="548"/>
      <c r="N39" s="859"/>
      <c r="O39" s="638"/>
      <c r="P39" s="548"/>
      <c r="Q39" s="859">
        <v>25399.371749000002</v>
      </c>
      <c r="R39" s="638">
        <v>28206.462697999999</v>
      </c>
      <c r="S39" s="548">
        <f>IF(Q39=0, "    ---- ", IF(ABS(ROUND(100/Q39*R39-100,1))&lt;999,ROUND(100/Q39*R39-100,1),IF(ROUND(100/Q39*R39-100,1)&gt;999,999,-999)))</f>
        <v>11.1</v>
      </c>
      <c r="T39" s="859"/>
      <c r="U39" s="638"/>
      <c r="V39" s="548"/>
      <c r="W39" s="859"/>
      <c r="X39" s="638"/>
      <c r="Y39" s="548"/>
      <c r="Z39" s="859">
        <v>7101</v>
      </c>
      <c r="AA39" s="638">
        <v>7492</v>
      </c>
      <c r="AB39" s="741">
        <f>IF(Z39=0, "    ---- ", IF(ABS(ROUND(100/Z39*AA39-100,1))&lt;999,ROUND(100/Z39*AA39-100,1),IF(ROUND(100/Z39*AA39-100,1)&gt;999,999,-999)))</f>
        <v>5.5</v>
      </c>
      <c r="AC39" s="859"/>
      <c r="AD39" s="638"/>
      <c r="AE39" s="548"/>
      <c r="AF39" s="859">
        <v>199</v>
      </c>
      <c r="AG39" s="638">
        <v>210</v>
      </c>
      <c r="AH39" s="548">
        <f t="shared" si="3"/>
        <v>5.5</v>
      </c>
      <c r="AI39" s="560">
        <f t="shared" si="4"/>
        <v>32699.371749000002</v>
      </c>
      <c r="AJ39" s="560">
        <f t="shared" si="4"/>
        <v>35908.462698000003</v>
      </c>
      <c r="AK39" s="548">
        <f t="shared" si="5"/>
        <v>9.8000000000000007</v>
      </c>
      <c r="AL39" s="740"/>
      <c r="AM39" s="740"/>
    </row>
    <row r="40" spans="1:39" s="749" customFormat="1" ht="18.75" customHeight="1" x14ac:dyDescent="0.3">
      <c r="A40" s="743" t="s">
        <v>432</v>
      </c>
      <c r="B40" s="867">
        <v>39.386000000000003</v>
      </c>
      <c r="C40" s="640">
        <v>24.704999999999998</v>
      </c>
      <c r="D40" s="744">
        <f>IF(B40=0, "    ---- ", IF(ABS(ROUND(100/B40*C40-100,1))&lt;999,ROUND(100/B40*C40-100,1),IF(ROUND(100/B40*C40-100,1)&gt;999,999,-999)))</f>
        <v>-37.299999999999997</v>
      </c>
      <c r="E40" s="867">
        <v>3261.951</v>
      </c>
      <c r="F40" s="640">
        <v>1456.796</v>
      </c>
      <c r="G40" s="745">
        <f t="shared" si="0"/>
        <v>-55.3</v>
      </c>
      <c r="H40" s="867"/>
      <c r="I40" s="640"/>
      <c r="J40" s="744"/>
      <c r="K40" s="867">
        <v>54.7</v>
      </c>
      <c r="L40" s="640">
        <v>5.7329999999999997</v>
      </c>
      <c r="M40" s="744">
        <f>IF(K40=0, "    ---- ", IF(ABS(ROUND(100/K40*L40-100,1))&lt;999,ROUND(100/K40*L40-100,1),IF(ROUND(100/K40*L40-100,1)&gt;999,999,-999)))</f>
        <v>-89.5</v>
      </c>
      <c r="N40" s="867"/>
      <c r="O40" s="640"/>
      <c r="P40" s="744"/>
      <c r="Q40" s="867">
        <v>42277.481306000001</v>
      </c>
      <c r="R40" s="640">
        <v>33439.041881999998</v>
      </c>
      <c r="S40" s="744">
        <f>IF(Q40=0, "    ---- ", IF(ABS(ROUND(100/Q40*R40-100,1))&lt;999,ROUND(100/Q40*R40-100,1),IF(ROUND(100/Q40*R40-100,1)&gt;999,999,-999)))</f>
        <v>-20.9</v>
      </c>
      <c r="T40" s="867">
        <v>31</v>
      </c>
      <c r="U40" s="640">
        <v>7.9</v>
      </c>
      <c r="V40" s="744">
        <f>IF(T40=0, "    ---- ", IF(ABS(ROUND(100/T40*U40-100,1))&lt;999,ROUND(100/T40*U40-100,1),IF(ROUND(100/T40*U40-100,1)&gt;999,999,-999)))</f>
        <v>-74.5</v>
      </c>
      <c r="W40" s="867">
        <v>1379</v>
      </c>
      <c r="X40" s="640">
        <v>987.07</v>
      </c>
      <c r="Y40" s="744">
        <f t="shared" si="1"/>
        <v>-28.4</v>
      </c>
      <c r="Z40" s="867">
        <v>10932</v>
      </c>
      <c r="AA40" s="640">
        <v>9304</v>
      </c>
      <c r="AB40" s="745">
        <f>IF(Z40=0, "    ---- ", IF(ABS(ROUND(100/Z40*AA40-100,1))&lt;999,ROUND(100/Z40*AA40-100,1),IF(ROUND(100/Z40*AA40-100,1)&gt;999,999,-999)))</f>
        <v>-14.9</v>
      </c>
      <c r="AC40" s="867">
        <v>2286.9650000000001</v>
      </c>
      <c r="AD40" s="451">
        <v>1544.798</v>
      </c>
      <c r="AE40" s="744">
        <f t="shared" si="2"/>
        <v>-32.5</v>
      </c>
      <c r="AF40" s="867">
        <v>3707</v>
      </c>
      <c r="AG40" s="640">
        <v>2245</v>
      </c>
      <c r="AH40" s="744">
        <f t="shared" si="3"/>
        <v>-39.4</v>
      </c>
      <c r="AI40" s="746">
        <f t="shared" si="4"/>
        <v>63969.483305999995</v>
      </c>
      <c r="AJ40" s="746">
        <f t="shared" si="4"/>
        <v>49015.043881999998</v>
      </c>
      <c r="AK40" s="744">
        <f t="shared" si="5"/>
        <v>-23.4</v>
      </c>
      <c r="AL40" s="748"/>
      <c r="AM40" s="748"/>
    </row>
    <row r="41" spans="1:39" s="749" customFormat="1" ht="18.75" customHeight="1" x14ac:dyDescent="0.3">
      <c r="A41" s="743" t="s">
        <v>433</v>
      </c>
      <c r="B41" s="867">
        <f>SUM(B42:B44)</f>
        <v>15.43</v>
      </c>
      <c r="C41" s="640">
        <v>15.872999999999999</v>
      </c>
      <c r="D41" s="744">
        <f t="shared" ref="D41:D54" si="9">IF(B41=0, "    ---- ", IF(ABS(ROUND(100/B41*C41-100,1))&lt;999,ROUND(100/B41*C41-100,1),IF(ROUND(100/B41*C41-100,1)&gt;999,999,-999)))</f>
        <v>2.9</v>
      </c>
      <c r="E41" s="867">
        <f>SUM(E42:E44)</f>
        <v>923.37599999999998</v>
      </c>
      <c r="F41" s="640">
        <f>SUM(F42:F44)</f>
        <v>827.86099999999999</v>
      </c>
      <c r="G41" s="745">
        <f t="shared" si="0"/>
        <v>-10.3</v>
      </c>
      <c r="H41" s="867"/>
      <c r="I41" s="640"/>
      <c r="J41" s="744"/>
      <c r="K41" s="867">
        <f>SUM(K42:K44)</f>
        <v>2.16</v>
      </c>
      <c r="L41" s="640">
        <f>SUM(L42:L44)</f>
        <v>2.94</v>
      </c>
      <c r="M41" s="744">
        <f>IF(K41=0, "    ---- ", IF(ABS(ROUND(100/K41*L41-100,1))&lt;999,ROUND(100/K41*L41-100,1),IF(ROUND(100/K41*L41-100,1)&gt;999,999,-999)))</f>
        <v>36.1</v>
      </c>
      <c r="N41" s="867"/>
      <c r="O41" s="640"/>
      <c r="P41" s="744"/>
      <c r="Q41" s="867">
        <f>SUM(Q42:Q44)</f>
        <v>15205.937484</v>
      </c>
      <c r="R41" s="640">
        <f>SUM(R42:R44)</f>
        <v>12382.765036000001</v>
      </c>
      <c r="S41" s="744">
        <f>IF(Q41=0, "    ---- ", IF(ABS(ROUND(100/Q41*R41-100,1))&lt;999,ROUND(100/Q41*R41-100,1),IF(ROUND(100/Q41*R41-100,1)&gt;999,999,-999)))</f>
        <v>-18.600000000000001</v>
      </c>
      <c r="T41" s="867">
        <f>SUM(T42:T44)</f>
        <v>30.3</v>
      </c>
      <c r="U41" s="640">
        <f>SUM(U42:U44)</f>
        <v>34.9</v>
      </c>
      <c r="V41" s="744">
        <f>IF(T41=0, "    ---- ", IF(ABS(ROUND(100/T41*U41-100,1))&lt;999,ROUND(100/T41*U41-100,1),IF(ROUND(100/T41*U41-100,1)&gt;999,999,-999)))</f>
        <v>15.2</v>
      </c>
      <c r="W41" s="867">
        <f>SUM(W42:W44)</f>
        <v>649</v>
      </c>
      <c r="X41" s="640">
        <f>SUM(X42:X44)</f>
        <v>659.94736680000005</v>
      </c>
      <c r="Y41" s="744">
        <f t="shared" si="1"/>
        <v>1.7</v>
      </c>
      <c r="Z41" s="867">
        <f>SUM(Z42:Z44)</f>
        <v>2302</v>
      </c>
      <c r="AA41" s="640">
        <f>SUM(AA42:AA44)</f>
        <v>3249</v>
      </c>
      <c r="AB41" s="745">
        <f>IF(Z41=0, "    ---- ", IF(ABS(ROUND(100/Z41*AA41-100,1))&lt;999,ROUND(100/Z41*AA41-100,1),IF(ROUND(100/Z41*AA41-100,1)&gt;999,999,-999)))</f>
        <v>41.1</v>
      </c>
      <c r="AC41" s="867">
        <f>SUM(AC42:AC44)</f>
        <v>246.154</v>
      </c>
      <c r="AD41" s="640">
        <f>SUM(AD42:AD44)</f>
        <v>202.57599999999999</v>
      </c>
      <c r="AE41" s="744">
        <f t="shared" si="2"/>
        <v>-17.7</v>
      </c>
      <c r="AF41" s="867">
        <f>SUM(AF42:AF44)</f>
        <v>2557</v>
      </c>
      <c r="AG41" s="640">
        <f>SUM(AG42:AG44)</f>
        <v>2157</v>
      </c>
      <c r="AH41" s="744">
        <f t="shared" si="3"/>
        <v>-15.6</v>
      </c>
      <c r="AI41" s="746">
        <f t="shared" si="4"/>
        <v>21931.357483999996</v>
      </c>
      <c r="AJ41" s="746">
        <f t="shared" si="4"/>
        <v>19532.862402800001</v>
      </c>
      <c r="AK41" s="744">
        <f t="shared" si="5"/>
        <v>-10.9</v>
      </c>
      <c r="AL41" s="747"/>
      <c r="AM41" s="748"/>
    </row>
    <row r="42" spans="1:39" s="561" customFormat="1" ht="18.75" customHeight="1" x14ac:dyDescent="0.3">
      <c r="A42" s="541" t="s">
        <v>424</v>
      </c>
      <c r="B42" s="859"/>
      <c r="C42" s="638"/>
      <c r="D42" s="548"/>
      <c r="E42" s="859">
        <v>77.028000000000006</v>
      </c>
      <c r="F42" s="638">
        <v>63.654000000000003</v>
      </c>
      <c r="G42" s="548">
        <f t="shared" si="0"/>
        <v>-17.399999999999999</v>
      </c>
      <c r="H42" s="859"/>
      <c r="I42" s="638"/>
      <c r="J42" s="548"/>
      <c r="K42" s="859">
        <v>0.40799999999999997</v>
      </c>
      <c r="L42" s="638">
        <v>0.40799999999999997</v>
      </c>
      <c r="M42" s="548">
        <f t="shared" ref="M42:M43" si="10">IF(K42=0, "    ---- ", IF(ABS(ROUND(100/K42*L42-100,1))&lt;999,ROUND(100/K42*L42-100,1),IF(ROUND(100/K42*L42-100,1)&gt;999,999,-999)))</f>
        <v>0</v>
      </c>
      <c r="N42" s="859"/>
      <c r="O42" s="638"/>
      <c r="P42" s="548"/>
      <c r="Q42" s="859"/>
      <c r="R42" s="638"/>
      <c r="S42" s="548"/>
      <c r="T42" s="859"/>
      <c r="U42" s="638"/>
      <c r="V42" s="548"/>
      <c r="W42" s="859">
        <v>0.72747600000000001</v>
      </c>
      <c r="X42" s="638">
        <v>0.59511780000000003</v>
      </c>
      <c r="Y42" s="548">
        <f t="shared" si="1"/>
        <v>-18.2</v>
      </c>
      <c r="Z42" s="859"/>
      <c r="AA42" s="638"/>
      <c r="AB42" s="548"/>
      <c r="AC42" s="859"/>
      <c r="AD42" s="638"/>
      <c r="AE42" s="548"/>
      <c r="AF42" s="859"/>
      <c r="AG42" s="638"/>
      <c r="AH42" s="548"/>
      <c r="AI42" s="560">
        <f t="shared" si="4"/>
        <v>78.163476000000003</v>
      </c>
      <c r="AJ42" s="560">
        <f t="shared" si="4"/>
        <v>64.657117799999995</v>
      </c>
      <c r="AK42" s="548">
        <f t="shared" si="5"/>
        <v>-17.3</v>
      </c>
      <c r="AL42" s="740"/>
      <c r="AM42" s="740"/>
    </row>
    <row r="43" spans="1:39" s="561" customFormat="1" ht="18.75" customHeight="1" x14ac:dyDescent="0.3">
      <c r="A43" s="541" t="s">
        <v>426</v>
      </c>
      <c r="B43" s="859">
        <v>15.43</v>
      </c>
      <c r="C43" s="638">
        <v>15.872999999999999</v>
      </c>
      <c r="D43" s="548">
        <f t="shared" si="9"/>
        <v>2.9</v>
      </c>
      <c r="E43" s="859">
        <v>846.34799999999996</v>
      </c>
      <c r="F43" s="638">
        <f>757.95+6.257</f>
        <v>764.20699999999999</v>
      </c>
      <c r="G43" s="741">
        <f t="shared" si="0"/>
        <v>-9.6999999999999993</v>
      </c>
      <c r="H43" s="859"/>
      <c r="I43" s="638"/>
      <c r="J43" s="548"/>
      <c r="K43" s="859">
        <v>1.752</v>
      </c>
      <c r="L43" s="638">
        <v>2.532</v>
      </c>
      <c r="M43" s="548">
        <f t="shared" si="10"/>
        <v>44.5</v>
      </c>
      <c r="N43" s="859"/>
      <c r="O43" s="638"/>
      <c r="P43" s="548"/>
      <c r="Q43" s="859"/>
      <c r="R43" s="638"/>
      <c r="S43" s="548"/>
      <c r="T43" s="859">
        <v>30.3</v>
      </c>
      <c r="U43" s="638">
        <v>34.9</v>
      </c>
      <c r="V43" s="548">
        <f>IF(T43=0, "    ---- ", IF(ABS(ROUND(100/T43*U43-100,1))&lt;999,ROUND(100/T43*U43-100,1),IF(ROUND(100/T43*U43-100,1)&gt;999,999,-999)))</f>
        <v>15.2</v>
      </c>
      <c r="W43" s="859">
        <v>648.27252399999998</v>
      </c>
      <c r="X43" s="638">
        <v>659.35224900000003</v>
      </c>
      <c r="Y43" s="548">
        <f t="shared" si="1"/>
        <v>1.7</v>
      </c>
      <c r="Z43" s="859"/>
      <c r="AA43" s="638"/>
      <c r="AB43" s="741"/>
      <c r="AC43" s="859">
        <v>246.154</v>
      </c>
      <c r="AD43" s="638">
        <f>158.944+33.231+0.007+10.394</f>
        <v>202.57599999999999</v>
      </c>
      <c r="AE43" s="548">
        <f t="shared" si="2"/>
        <v>-17.7</v>
      </c>
      <c r="AF43" s="859">
        <v>2416</v>
      </c>
      <c r="AG43" s="638">
        <f>1495+508+4</f>
        <v>2007</v>
      </c>
      <c r="AH43" s="548">
        <f t="shared" si="3"/>
        <v>-16.899999999999999</v>
      </c>
      <c r="AI43" s="560">
        <f t="shared" si="4"/>
        <v>4204.2565240000004</v>
      </c>
      <c r="AJ43" s="560">
        <f t="shared" si="4"/>
        <v>3686.4402490000002</v>
      </c>
      <c r="AK43" s="548">
        <f t="shared" si="5"/>
        <v>-12.3</v>
      </c>
      <c r="AL43" s="740"/>
      <c r="AM43" s="740"/>
    </row>
    <row r="44" spans="1:39" s="561" customFormat="1" ht="18.75" customHeight="1" x14ac:dyDescent="0.3">
      <c r="A44" s="541" t="s">
        <v>428</v>
      </c>
      <c r="B44" s="859"/>
      <c r="C44" s="638"/>
      <c r="D44" s="548"/>
      <c r="E44" s="859"/>
      <c r="F44" s="638"/>
      <c r="G44" s="741"/>
      <c r="H44" s="859"/>
      <c r="I44" s="638"/>
      <c r="J44" s="548"/>
      <c r="K44" s="859"/>
      <c r="L44" s="638"/>
      <c r="M44" s="548"/>
      <c r="N44" s="859"/>
      <c r="O44" s="638"/>
      <c r="P44" s="548"/>
      <c r="Q44" s="859">
        <v>15205.937484</v>
      </c>
      <c r="R44" s="638">
        <v>12382.765036000001</v>
      </c>
      <c r="S44" s="548">
        <f>IF(Q44=0, "    ---- ", IF(ABS(ROUND(100/Q44*R44-100,1))&lt;999,ROUND(100/Q44*R44-100,1),IF(ROUND(100/Q44*R44-100,1)&gt;999,999,-999)))</f>
        <v>-18.600000000000001</v>
      </c>
      <c r="T44" s="859"/>
      <c r="U44" s="638"/>
      <c r="V44" s="548"/>
      <c r="W44" s="859"/>
      <c r="X44" s="638"/>
      <c r="Y44" s="548"/>
      <c r="Z44" s="859">
        <v>2302</v>
      </c>
      <c r="AA44" s="638">
        <v>3249</v>
      </c>
      <c r="AB44" s="741">
        <f>IF(Z44=0, "    ---- ", IF(ABS(ROUND(100/Z44*AA44-100,1))&lt;999,ROUND(100/Z44*AA44-100,1),IF(ROUND(100/Z44*AA44-100,1)&gt;999,999,-999)))</f>
        <v>41.1</v>
      </c>
      <c r="AC44" s="859"/>
      <c r="AD44" s="638"/>
      <c r="AE44" s="548"/>
      <c r="AF44" s="859">
        <v>141</v>
      </c>
      <c r="AG44" s="638">
        <v>150</v>
      </c>
      <c r="AH44" s="548">
        <f t="shared" si="3"/>
        <v>6.4</v>
      </c>
      <c r="AI44" s="560">
        <f t="shared" si="4"/>
        <v>17648.937484000002</v>
      </c>
      <c r="AJ44" s="560">
        <f t="shared" si="4"/>
        <v>15781.765036000001</v>
      </c>
      <c r="AK44" s="548">
        <f t="shared" si="5"/>
        <v>-10.6</v>
      </c>
      <c r="AL44" s="740"/>
      <c r="AM44" s="740"/>
    </row>
    <row r="45" spans="1:39" s="749" customFormat="1" ht="18.75" customHeight="1" x14ac:dyDescent="0.3">
      <c r="A45" s="743" t="s">
        <v>434</v>
      </c>
      <c r="B45" s="867"/>
      <c r="C45" s="640"/>
      <c r="D45" s="744"/>
      <c r="E45" s="867">
        <v>29.43</v>
      </c>
      <c r="F45" s="640">
        <v>51.488999999999997</v>
      </c>
      <c r="G45" s="745">
        <f t="shared" si="0"/>
        <v>75</v>
      </c>
      <c r="H45" s="867">
        <v>23.420999999999999</v>
      </c>
      <c r="I45" s="640">
        <v>26.8</v>
      </c>
      <c r="J45" s="744">
        <f>IF(H45=0, "    ---- ", IF(ABS(ROUND(100/H45*I45-100,1))&lt;999,ROUND(100/H45*I45-100,1),IF(ROUND(100/H45*I45-100,1)&gt;999,999,-999)))</f>
        <v>14.4</v>
      </c>
      <c r="K45" s="867"/>
      <c r="L45" s="640"/>
      <c r="M45" s="744"/>
      <c r="N45" s="867"/>
      <c r="O45" s="640"/>
      <c r="P45" s="744"/>
      <c r="Q45" s="867"/>
      <c r="R45" s="640"/>
      <c r="S45" s="744"/>
      <c r="T45" s="867"/>
      <c r="U45" s="640"/>
      <c r="V45" s="744"/>
      <c r="W45" s="867"/>
      <c r="X45" s="640"/>
      <c r="Y45" s="744"/>
      <c r="Z45" s="867">
        <v>385</v>
      </c>
      <c r="AA45" s="640">
        <v>365</v>
      </c>
      <c r="AB45" s="745">
        <f>IF(Z45=0, "    ---- ", IF(ABS(ROUND(100/Z45*AA45-100,1))&lt;999,ROUND(100/Z45*AA45-100,1),IF(ROUND(100/Z45*AA45-100,1)&gt;999,999,-999)))</f>
        <v>-5.2</v>
      </c>
      <c r="AC45" s="867"/>
      <c r="AD45" s="640"/>
      <c r="AE45" s="744"/>
      <c r="AF45" s="867">
        <v>631</v>
      </c>
      <c r="AG45" s="640">
        <v>622</v>
      </c>
      <c r="AH45" s="744">
        <f t="shared" si="3"/>
        <v>-1.4</v>
      </c>
      <c r="AI45" s="746">
        <f t="shared" si="4"/>
        <v>1068.8510000000001</v>
      </c>
      <c r="AJ45" s="746">
        <f t="shared" si="4"/>
        <v>1065.289</v>
      </c>
      <c r="AK45" s="744">
        <f t="shared" si="5"/>
        <v>-0.3</v>
      </c>
      <c r="AL45" s="747"/>
      <c r="AM45" s="748"/>
    </row>
    <row r="46" spans="1:39" s="749" customFormat="1" ht="18.75" customHeight="1" x14ac:dyDescent="0.3">
      <c r="A46" s="743"/>
      <c r="B46" s="867"/>
      <c r="C46" s="640"/>
      <c r="D46" s="744"/>
      <c r="E46" s="867"/>
      <c r="F46" s="640"/>
      <c r="G46" s="745"/>
      <c r="H46" s="867"/>
      <c r="I46" s="640"/>
      <c r="J46" s="744"/>
      <c r="K46" s="867"/>
      <c r="L46" s="640"/>
      <c r="M46" s="744"/>
      <c r="N46" s="867"/>
      <c r="O46" s="640"/>
      <c r="P46" s="744"/>
      <c r="Q46" s="867"/>
      <c r="R46" s="640"/>
      <c r="S46" s="744"/>
      <c r="T46" s="867"/>
      <c r="U46" s="640"/>
      <c r="V46" s="744"/>
      <c r="W46" s="867"/>
      <c r="X46" s="640"/>
      <c r="Y46" s="744"/>
      <c r="Z46" s="867"/>
      <c r="AA46" s="640"/>
      <c r="AB46" s="745"/>
      <c r="AC46" s="867"/>
      <c r="AD46" s="640"/>
      <c r="AE46" s="744"/>
      <c r="AF46" s="867"/>
      <c r="AG46" s="640"/>
      <c r="AH46" s="744"/>
      <c r="AI46" s="746"/>
      <c r="AJ46" s="746"/>
      <c r="AK46" s="744"/>
      <c r="AL46" s="748"/>
      <c r="AM46" s="748"/>
    </row>
    <row r="47" spans="1:39" s="749" customFormat="1" ht="18.75" customHeight="1" x14ac:dyDescent="0.3">
      <c r="A47" s="743" t="s">
        <v>435</v>
      </c>
      <c r="B47" s="867">
        <f>SUM(B11+B35+B40+B41+B45)</f>
        <v>1022.8309999999999</v>
      </c>
      <c r="C47" s="640">
        <f>SUM(C11+C35+C40+C41+C45)</f>
        <v>1144.7940000000001</v>
      </c>
      <c r="D47" s="744">
        <f t="shared" si="9"/>
        <v>11.9</v>
      </c>
      <c r="E47" s="867">
        <f>SUM(E11+E35+E40+E41+E45)</f>
        <v>222668.82299999997</v>
      </c>
      <c r="F47" s="640">
        <f>SUM(F11+F35+F40+F41+F45)</f>
        <v>204286.16400000002</v>
      </c>
      <c r="G47" s="745">
        <f t="shared" si="0"/>
        <v>-8.3000000000000007</v>
      </c>
      <c r="H47" s="867">
        <f>SUM(H11+H35+H40+H41+H45)</f>
        <v>837.74700000000018</v>
      </c>
      <c r="I47" s="640">
        <f>SUM(I11+I35+I40+I41+I45)</f>
        <v>956.8</v>
      </c>
      <c r="J47" s="744">
        <f>IF(H47=0, "    ---- ", IF(ABS(ROUND(100/H47*I47-100,1))&lt;999,ROUND(100/H47*I47-100,1),IF(ROUND(100/H47*I47-100,1)&gt;999,999,-999)))</f>
        <v>14.2</v>
      </c>
      <c r="K47" s="867">
        <f>SUM(K11+K35+K40+K41+K45)</f>
        <v>6018.3329999999996</v>
      </c>
      <c r="L47" s="640">
        <f>SUM(L11+L35+L40+L41+L45)</f>
        <v>6586.3779999999997</v>
      </c>
      <c r="M47" s="744">
        <f>IF(K47=0, "    ---- ", IF(ABS(ROUND(100/K47*L47-100,1))&lt;999,ROUND(100/K47*L47-100,1),IF(ROUND(100/K47*L47-100,1)&gt;999,999,-999)))</f>
        <v>9.4</v>
      </c>
      <c r="N47" s="867">
        <f>SUM(N11+N35+N40+N41+N45)</f>
        <v>58.307000000000002</v>
      </c>
      <c r="O47" s="640">
        <f>SUM(O11+O35+O40+O41+O45)</f>
        <v>47.753438629999998</v>
      </c>
      <c r="P47" s="744">
        <f>IF(N47=0, "    ---- ", IF(ABS(ROUND(100/N47*O47-100,1))&lt;999,ROUND(100/N47*O47-100,1),IF(ROUND(100/N47*O47-100,1)&gt;999,999,-999)))</f>
        <v>-18.100000000000001</v>
      </c>
      <c r="Q47" s="867">
        <f>SUM(Q11+Q35+Q40+Q41+Q45)</f>
        <v>486784.79053899995</v>
      </c>
      <c r="R47" s="640">
        <f>SUM(R11+R35+R40+R41+R45)</f>
        <v>505197.57563906</v>
      </c>
      <c r="S47" s="744">
        <f>IF(Q47=0, "    ---- ", IF(ABS(ROUND(100/Q47*R47-100,1))&lt;999,ROUND(100/Q47*R47-100,1),IF(ROUND(100/Q47*R47-100,1)&gt;999,999,-999)))</f>
        <v>3.8</v>
      </c>
      <c r="T47" s="867">
        <f>SUM(T11+T35+T40+T41+T45)</f>
        <v>1644.1999999999998</v>
      </c>
      <c r="U47" s="640">
        <f>SUM(U11+U35+U40+U41+U45)</f>
        <v>1683.8000000000002</v>
      </c>
      <c r="V47" s="744">
        <f>IF(T47=0, "    ---- ", IF(ABS(ROUND(100/T47*U47-100,1))&lt;999,ROUND(100/T47*U47-100,1),IF(ROUND(100/T47*U47-100,1)&gt;999,999,-999)))</f>
        <v>2.4</v>
      </c>
      <c r="W47" s="867">
        <f>SUM(W11+W35+W40+W41+W45)</f>
        <v>49562.991552869396</v>
      </c>
      <c r="X47" s="640">
        <f>SUM(X11+X35+X40+X41+X45)</f>
        <v>50050.284848725227</v>
      </c>
      <c r="Y47" s="744">
        <f t="shared" si="1"/>
        <v>1</v>
      </c>
      <c r="Z47" s="867">
        <f>SUM(Z11+Z35+Z40+Z41+Z45)</f>
        <v>81693</v>
      </c>
      <c r="AA47" s="640">
        <f>SUM(AA11+AA35+AA40+AA41+AA45)</f>
        <v>83998</v>
      </c>
      <c r="AB47" s="745">
        <f>IF(Z47=0, "    ---- ", IF(ABS(ROUND(100/Z47*AA47-100,1))&lt;999,ROUND(100/Z47*AA47-100,1),IF(ROUND(100/Z47*AA47-100,1)&gt;999,999,-999)))</f>
        <v>2.8</v>
      </c>
      <c r="AC47" s="867">
        <f>SUM(AC11+AC35+AC40+AC41+AC45)</f>
        <v>21007.602999999996</v>
      </c>
      <c r="AD47" s="640">
        <f>SUM(AD11+AD35+AD40+AD41+AD45)</f>
        <v>22447.935000000001</v>
      </c>
      <c r="AE47" s="744">
        <f t="shared" si="2"/>
        <v>6.9</v>
      </c>
      <c r="AF47" s="867">
        <f>SUM(AF11+AF35+AF40+AF41+AF45)</f>
        <v>184991</v>
      </c>
      <c r="AG47" s="640">
        <f>SUM(AG11+AG35+AG40+AG41+AG45)</f>
        <v>185445.1</v>
      </c>
      <c r="AH47" s="744">
        <f>SUM(AH11+AH35+AH40+AH41+AH45)</f>
        <v>-52.3</v>
      </c>
      <c r="AI47" s="746">
        <f t="shared" si="4"/>
        <v>1056289.6260918693</v>
      </c>
      <c r="AJ47" s="746">
        <f t="shared" si="4"/>
        <v>1061844.5849264152</v>
      </c>
      <c r="AK47" s="744">
        <f t="shared" si="5"/>
        <v>0.5</v>
      </c>
      <c r="AL47" s="747"/>
      <c r="AM47" s="748"/>
    </row>
    <row r="48" spans="1:39" s="561" customFormat="1" ht="18.75" customHeight="1" x14ac:dyDescent="0.3">
      <c r="A48" s="541" t="s">
        <v>421</v>
      </c>
      <c r="B48" s="859">
        <f>SUM(B12+B36)</f>
        <v>265.73399999999998</v>
      </c>
      <c r="C48" s="638">
        <f>C12+C36</f>
        <v>277.10599999999999</v>
      </c>
      <c r="D48" s="548">
        <f t="shared" si="9"/>
        <v>4.3</v>
      </c>
      <c r="E48" s="859">
        <f>SUM(E12+E36)</f>
        <v>15672.516</v>
      </c>
      <c r="F48" s="638">
        <f>SUM(F12+F36)</f>
        <v>14144.855000000001</v>
      </c>
      <c r="G48" s="741">
        <f t="shared" si="0"/>
        <v>-9.6999999999999993</v>
      </c>
      <c r="H48" s="859">
        <f>SUM(H12+H36)</f>
        <v>67.936000000000007</v>
      </c>
      <c r="I48" s="638">
        <f>SUM(I12+I36)</f>
        <v>75.099999999999994</v>
      </c>
      <c r="J48" s="548">
        <f>IF(H48=0, "    ---- ", IF(ABS(ROUND(100/H48*I48-100,1))&lt;999,ROUND(100/H48*I48-100,1),IF(ROUND(100/H48*I48-100,1)&gt;999,999,-999)))</f>
        <v>10.5</v>
      </c>
      <c r="K48" s="859"/>
      <c r="L48" s="638"/>
      <c r="M48" s="548"/>
      <c r="N48" s="859">
        <f>SUM(N12+N36)</f>
        <v>24.041999999999998</v>
      </c>
      <c r="O48" s="638">
        <f>SUM(O12+O36)</f>
        <v>20.964048999999999</v>
      </c>
      <c r="P48" s="548">
        <f>IF(N48=0, "    ---- ", IF(ABS(ROUND(100/N48*O48-100,1))&lt;999,ROUND(100/N48*O48-100,1),IF(ROUND(100/N48*O48-100,1)&gt;999,999,-999)))</f>
        <v>-12.8</v>
      </c>
      <c r="Q48" s="859"/>
      <c r="R48" s="638"/>
      <c r="S48" s="548"/>
      <c r="T48" s="859"/>
      <c r="U48" s="638"/>
      <c r="V48" s="548"/>
      <c r="W48" s="859">
        <f>SUM(W12+W36)</f>
        <v>751.54706536061462</v>
      </c>
      <c r="X48" s="638">
        <f>SUM(X12+X36)</f>
        <v>841.42960921477925</v>
      </c>
      <c r="Y48" s="548">
        <f t="shared" si="1"/>
        <v>12</v>
      </c>
      <c r="Z48" s="859"/>
      <c r="AA48" s="638"/>
      <c r="AB48" s="741"/>
      <c r="AC48" s="859">
        <f>SUM(AC12+AC36)</f>
        <v>898.50599999999997</v>
      </c>
      <c r="AD48" s="638">
        <f>SUM(AD12+AD36)</f>
        <v>840.10899999999992</v>
      </c>
      <c r="AE48" s="548">
        <f t="shared" si="2"/>
        <v>-6.5</v>
      </c>
      <c r="AF48" s="859">
        <f>SUM(AF12+AF36)</f>
        <v>4138</v>
      </c>
      <c r="AG48" s="638">
        <f>SUM(AG12+AG36)</f>
        <v>4089.1000000000004</v>
      </c>
      <c r="AH48" s="548">
        <f>SUM(AH12+AH36)</f>
        <v>-4.5</v>
      </c>
      <c r="AI48" s="560">
        <f t="shared" si="4"/>
        <v>21818.281065360614</v>
      </c>
      <c r="AJ48" s="560">
        <f t="shared" si="4"/>
        <v>20288.663658214784</v>
      </c>
      <c r="AK48" s="548">
        <f t="shared" si="5"/>
        <v>-7</v>
      </c>
      <c r="AL48" s="740"/>
      <c r="AM48" s="740"/>
    </row>
    <row r="49" spans="1:39" s="561" customFormat="1" ht="18.75" customHeight="1" x14ac:dyDescent="0.3">
      <c r="A49" s="541" t="s">
        <v>424</v>
      </c>
      <c r="B49" s="859">
        <f>SUM(B15+B37+B42)</f>
        <v>87.117999999999995</v>
      </c>
      <c r="C49" s="638">
        <f>SUM(C15+C37+C42)</f>
        <v>128.352</v>
      </c>
      <c r="D49" s="548">
        <f t="shared" si="9"/>
        <v>47.3</v>
      </c>
      <c r="E49" s="859">
        <f>SUM(E15+E37+E42)</f>
        <v>27414.632000000001</v>
      </c>
      <c r="F49" s="638">
        <f>SUM(F15+F37+F42)</f>
        <v>26106.515999999996</v>
      </c>
      <c r="G49" s="741">
        <f t="shared" si="0"/>
        <v>-4.8</v>
      </c>
      <c r="H49" s="859">
        <f>SUM(H15+H37+H42)</f>
        <v>433.71200000000005</v>
      </c>
      <c r="I49" s="638">
        <f>SUM(I15+I37+I42)</f>
        <v>514.5</v>
      </c>
      <c r="J49" s="548">
        <f>IF(H49=0, "    ---- ", IF(ABS(ROUND(100/H49*I49-100,1))&lt;999,ROUND(100/H49*I49-100,1),IF(ROUND(100/H49*I49-100,1)&gt;999,999,-999)))</f>
        <v>18.600000000000001</v>
      </c>
      <c r="K49" s="859">
        <f>SUM(K15+K37+K42)</f>
        <v>1291.434</v>
      </c>
      <c r="L49" s="638">
        <f>SUM(L15+L37+L42)</f>
        <v>1588.5649999999998</v>
      </c>
      <c r="M49" s="548">
        <f>IF(K49=0, "    ---- ", IF(ABS(ROUND(100/K49*L49-100,1))&lt;999,ROUND(100/K49*L49-100,1),IF(ROUND(100/K49*L49-100,1)&gt;999,999,-999)))</f>
        <v>23</v>
      </c>
      <c r="N49" s="859">
        <f>SUM(N15+N37+N42)</f>
        <v>2.3319999999999999</v>
      </c>
      <c r="O49" s="638">
        <f>SUM(O15+O37+O42)</f>
        <v>2.4609589999999999</v>
      </c>
      <c r="P49" s="548">
        <f>IF(N49=0, "    ---- ", IF(ABS(ROUND(100/N49*O49-100,1))&lt;999,ROUND(100/N49*O49-100,1),IF(ROUND(100/N49*O49-100,1)&gt;999,999,-999)))</f>
        <v>5.5</v>
      </c>
      <c r="Q49" s="859"/>
      <c r="R49" s="638"/>
      <c r="S49" s="548"/>
      <c r="T49" s="859"/>
      <c r="U49" s="638"/>
      <c r="V49" s="548"/>
      <c r="W49" s="859">
        <f>SUM(W15+W37+W42)</f>
        <v>3987.288064218485</v>
      </c>
      <c r="X49" s="638">
        <f>SUM(X15+X37+X42)</f>
        <v>3896.5648728374531</v>
      </c>
      <c r="Y49" s="548">
        <f t="shared" si="1"/>
        <v>-2.2999999999999998</v>
      </c>
      <c r="Z49" s="859"/>
      <c r="AA49" s="638"/>
      <c r="AB49" s="741"/>
      <c r="AC49" s="859">
        <f>SUM(AC15+AC37+AC42)</f>
        <v>5099.3789999999999</v>
      </c>
      <c r="AD49" s="638">
        <f>SUM(AD15+AD37+AD42)</f>
        <v>5281.8510000000006</v>
      </c>
      <c r="AE49" s="548">
        <f t="shared" si="2"/>
        <v>3.6</v>
      </c>
      <c r="AF49" s="859">
        <f>SUM(AF15+AF37+AF42)</f>
        <v>11175</v>
      </c>
      <c r="AG49" s="638">
        <f>SUM(AG15+AG37+AG42)</f>
        <v>10394</v>
      </c>
      <c r="AH49" s="548">
        <f>SUM(AH15+AH37+AH42)</f>
        <v>-16.3</v>
      </c>
      <c r="AI49" s="560">
        <f t="shared" si="4"/>
        <v>49490.895064218486</v>
      </c>
      <c r="AJ49" s="560">
        <f t="shared" si="4"/>
        <v>47912.809831837447</v>
      </c>
      <c r="AK49" s="548">
        <f t="shared" si="5"/>
        <v>-3.2</v>
      </c>
      <c r="AL49" s="740"/>
      <c r="AM49" s="740"/>
    </row>
    <row r="50" spans="1:39" s="561" customFormat="1" ht="18.75" customHeight="1" x14ac:dyDescent="0.3">
      <c r="A50" s="541" t="s">
        <v>425</v>
      </c>
      <c r="B50" s="859">
        <f>SUM(B18)</f>
        <v>0</v>
      </c>
      <c r="C50" s="638">
        <f>SUM(C18)</f>
        <v>1.9530000000000001</v>
      </c>
      <c r="D50" s="548" t="str">
        <f t="shared" si="9"/>
        <v xml:space="preserve">    ---- </v>
      </c>
      <c r="E50" s="859">
        <f>SUM(E18)</f>
        <v>1084.528</v>
      </c>
      <c r="F50" s="638">
        <f>SUM(F18)</f>
        <v>739.02800000000002</v>
      </c>
      <c r="G50" s="548">
        <f t="shared" si="0"/>
        <v>-31.9</v>
      </c>
      <c r="H50" s="859">
        <f>SUM(H18)</f>
        <v>46.238999999999997</v>
      </c>
      <c r="I50" s="638">
        <f>SUM(I18)</f>
        <v>49</v>
      </c>
      <c r="J50" s="548">
        <f>IF(H50=0, "    ---- ", IF(ABS(ROUND(100/H50*I50-100,1))&lt;999,ROUND(100/H50*I50-100,1),IF(ROUND(100/H50*I50-100,1)&gt;999,999,-999)))</f>
        <v>6</v>
      </c>
      <c r="K50" s="859"/>
      <c r="L50" s="638"/>
      <c r="M50" s="548"/>
      <c r="N50" s="859">
        <f>SUM(N18)</f>
        <v>31.933000000000003</v>
      </c>
      <c r="O50" s="638">
        <f>SUM(O18)</f>
        <v>24.32843063</v>
      </c>
      <c r="P50" s="548">
        <f>IF(N50=0, "    ---- ", IF(ABS(ROUND(100/N50*O50-100,1))&lt;999,ROUND(100/N50*O50-100,1),IF(ROUND(100/N50*O50-100,1)&gt;999,999,-999)))</f>
        <v>-23.8</v>
      </c>
      <c r="Q50" s="859">
        <f>SUM(Q18)</f>
        <v>14</v>
      </c>
      <c r="R50" s="638">
        <f>SUM(R18)</f>
        <v>16.033253999999999</v>
      </c>
      <c r="S50" s="548">
        <f>IF(Q50=0, "    ---- ", IF(ABS(ROUND(100/Q50*R50-100,1))&lt;999,ROUND(100/Q50*R50-100,1),IF(ROUND(100/Q50*R50-100,1)&gt;999,999,-999)))</f>
        <v>14.5</v>
      </c>
      <c r="T50" s="859"/>
      <c r="U50" s="638"/>
      <c r="V50" s="548"/>
      <c r="W50" s="859"/>
      <c r="X50" s="638"/>
      <c r="Y50" s="548"/>
      <c r="Z50" s="859"/>
      <c r="AA50" s="638"/>
      <c r="AB50" s="548"/>
      <c r="AC50" s="859">
        <f>SUM(AC18)</f>
        <v>120.91500000000001</v>
      </c>
      <c r="AD50" s="638">
        <f>SUM(AD18)</f>
        <v>1428.1130000000001</v>
      </c>
      <c r="AE50" s="548">
        <f t="shared" si="2"/>
        <v>999</v>
      </c>
      <c r="AF50" s="859">
        <f>SUM(AF18)</f>
        <v>1425</v>
      </c>
      <c r="AG50" s="638">
        <f>SUM(AG18)</f>
        <v>1376</v>
      </c>
      <c r="AH50" s="548">
        <f>SUM(AH18)</f>
        <v>-3.4</v>
      </c>
      <c r="AI50" s="560">
        <f t="shared" si="4"/>
        <v>2722.6149999999998</v>
      </c>
      <c r="AJ50" s="560">
        <f t="shared" si="4"/>
        <v>3634.4556846300002</v>
      </c>
      <c r="AK50" s="548">
        <f t="shared" si="5"/>
        <v>33.5</v>
      </c>
      <c r="AL50" s="740"/>
      <c r="AM50" s="740"/>
    </row>
    <row r="51" spans="1:39" s="561" customFormat="1" ht="18.75" customHeight="1" x14ac:dyDescent="0.3">
      <c r="A51" s="541" t="s">
        <v>426</v>
      </c>
      <c r="B51" s="859">
        <f>SUM(B19+B38+B43)</f>
        <v>577.29899999999986</v>
      </c>
      <c r="C51" s="638">
        <f>SUM(C19+C38+C43)</f>
        <v>664.66800000000001</v>
      </c>
      <c r="D51" s="548">
        <f t="shared" si="9"/>
        <v>15.1</v>
      </c>
      <c r="E51" s="859">
        <f>SUM(E19+E38+E43)</f>
        <v>156513.75</v>
      </c>
      <c r="F51" s="638">
        <f>SUM(F19+F38+F43)</f>
        <v>156921.14600000001</v>
      </c>
      <c r="G51" s="741">
        <f t="shared" si="0"/>
        <v>0.3</v>
      </c>
      <c r="H51" s="859">
        <f>SUM(H19+H38+H43)</f>
        <v>146.75700000000001</v>
      </c>
      <c r="I51" s="638">
        <f>SUM(I19+I38+I43)</f>
        <v>148.9</v>
      </c>
      <c r="J51" s="548">
        <f>IF(H51=0, "    ---- ", IF(ABS(ROUND(100/H51*I51-100,1))&lt;999,ROUND(100/H51*I51-100,1),IF(ROUND(100/H51*I51-100,1)&gt;999,999,-999)))</f>
        <v>1.5</v>
      </c>
      <c r="K51" s="859">
        <f>SUM(K19+K38+K43)</f>
        <v>4672.1990000000005</v>
      </c>
      <c r="L51" s="638">
        <f>SUM(L19+L38+L43)</f>
        <v>4992.08</v>
      </c>
      <c r="M51" s="548">
        <f>IF(K51=0, "    ---- ", IF(ABS(ROUND(100/K51*L51-100,1))&lt;999,ROUND(100/K51*L51-100,1),IF(ROUND(100/K51*L51-100,1)&gt;999,999,-999)))</f>
        <v>6.8</v>
      </c>
      <c r="N51" s="859">
        <f>SUM(N19+N38+N43)</f>
        <v>0</v>
      </c>
      <c r="O51" s="638">
        <f>SUM(O19+O38+O43)</f>
        <v>0</v>
      </c>
      <c r="P51" s="548" t="str">
        <f>IF(N51=0, "    ---- ", IF(ABS(ROUND(100/N51*O51-100,1))&lt;999,ROUND(100/N51*O51-100,1),IF(ROUND(100/N51*O51-100,1)&gt;999,999,-999)))</f>
        <v xml:space="preserve">    ---- </v>
      </c>
      <c r="Q51" s="859"/>
      <c r="R51" s="638"/>
      <c r="S51" s="548"/>
      <c r="T51" s="859">
        <f>SUM(T19+T38+T43)</f>
        <v>1613.1999999999998</v>
      </c>
      <c r="U51" s="638">
        <f>SUM(U19+U38+U43)</f>
        <v>1675.9</v>
      </c>
      <c r="V51" s="548">
        <f>IF(T51=0, "    ---- ", IF(ABS(ROUND(100/T51*U51-100,1))&lt;999,ROUND(100/T51*U51-100,1),IF(ROUND(100/T51*U51-100,1)&gt;999,999,-999)))</f>
        <v>3.9</v>
      </c>
      <c r="W51" s="859">
        <f>SUM(W19+W38+W43)</f>
        <v>43178.317562505057</v>
      </c>
      <c r="X51" s="638">
        <f>SUM(X19+X38+X43)</f>
        <v>44280.980939580419</v>
      </c>
      <c r="Y51" s="548">
        <f t="shared" si="1"/>
        <v>2.6</v>
      </c>
      <c r="Z51" s="859"/>
      <c r="AA51" s="638"/>
      <c r="AB51" s="741"/>
      <c r="AC51" s="859">
        <f>SUM(AC19+AC38+AC43)</f>
        <v>12134.983</v>
      </c>
      <c r="AD51" s="638">
        <f>SUM(AD19+AD38+AD43)</f>
        <v>12891.631999999998</v>
      </c>
      <c r="AE51" s="548">
        <f t="shared" si="2"/>
        <v>6.2</v>
      </c>
      <c r="AF51" s="859">
        <f>SUM(AF19+AF38+AF43)</f>
        <v>161171</v>
      </c>
      <c r="AG51" s="638">
        <f>SUM(AG19+AG38+AG43)</f>
        <v>163846</v>
      </c>
      <c r="AH51" s="548">
        <f>SUM(AH19+AH38+AH43)</f>
        <v>-10.5</v>
      </c>
      <c r="AI51" s="560">
        <f t="shared" si="4"/>
        <v>380007.5055625051</v>
      </c>
      <c r="AJ51" s="560">
        <f t="shared" si="4"/>
        <v>385421.30693958042</v>
      </c>
      <c r="AK51" s="548">
        <f t="shared" si="5"/>
        <v>1.4</v>
      </c>
      <c r="AL51" s="740"/>
      <c r="AM51" s="740"/>
    </row>
    <row r="52" spans="1:39" s="561" customFormat="1" ht="18.75" customHeight="1" x14ac:dyDescent="0.3">
      <c r="A52" s="541" t="s">
        <v>428</v>
      </c>
      <c r="B52" s="859"/>
      <c r="C52" s="638"/>
      <c r="D52" s="548"/>
      <c r="E52" s="859">
        <f>SUM(E21+E39+E44)</f>
        <v>0</v>
      </c>
      <c r="F52" s="638">
        <f>SUM(F21+F39+F44)</f>
        <v>0</v>
      </c>
      <c r="G52" s="741" t="str">
        <f t="shared" si="0"/>
        <v xml:space="preserve">    ---- </v>
      </c>
      <c r="H52" s="859"/>
      <c r="I52" s="638"/>
      <c r="J52" s="548"/>
      <c r="K52" s="859"/>
      <c r="L52" s="638"/>
      <c r="M52" s="548"/>
      <c r="N52" s="859"/>
      <c r="O52" s="638"/>
      <c r="P52" s="548"/>
      <c r="Q52" s="859">
        <f>SUM(Q21+Q39+Q44)</f>
        <v>444493.30923299998</v>
      </c>
      <c r="R52" s="638">
        <f>SUM(R21+R39+R44)</f>
        <v>471742.50050306</v>
      </c>
      <c r="S52" s="548">
        <f>IF(Q52=0, "    ---- ", IF(ABS(ROUND(100/Q52*R52-100,1))&lt;999,ROUND(100/Q52*R52-100,1),IF(ROUND(100/Q52*R52-100,1)&gt;999,999,-999)))</f>
        <v>6.1</v>
      </c>
      <c r="T52" s="859"/>
      <c r="U52" s="638"/>
      <c r="V52" s="548"/>
      <c r="W52" s="859"/>
      <c r="X52" s="638"/>
      <c r="Y52" s="548"/>
      <c r="Z52" s="859">
        <f>SUM(Z21+Z39+Z44)</f>
        <v>70376</v>
      </c>
      <c r="AA52" s="638">
        <f>SUM(AA21+AA39+AA44)</f>
        <v>74329</v>
      </c>
      <c r="AB52" s="741">
        <f>IF(Z52=0, "    ---- ", IF(ABS(ROUND(100/Z52*AA52-100,1))&lt;999,ROUND(100/Z52*AA52-100,1),IF(ROUND(100/Z52*AA52-100,1)&gt;999,999,-999)))</f>
        <v>5.6</v>
      </c>
      <c r="AC52" s="859"/>
      <c r="AD52" s="638"/>
      <c r="AE52" s="548"/>
      <c r="AF52" s="859">
        <f>SUM(AF21+AF39+AF44)</f>
        <v>2744</v>
      </c>
      <c r="AG52" s="638">
        <f>SUM(AG21+AG39+AG44)</f>
        <v>2873</v>
      </c>
      <c r="AH52" s="548">
        <f>SUM(AH21+AH39+AH44)</f>
        <v>16.399999999999999</v>
      </c>
      <c r="AI52" s="560">
        <f t="shared" si="4"/>
        <v>517613.30923299998</v>
      </c>
      <c r="AJ52" s="560">
        <f t="shared" si="4"/>
        <v>548944.50050305994</v>
      </c>
      <c r="AK52" s="548">
        <f t="shared" si="5"/>
        <v>6.1</v>
      </c>
      <c r="AL52" s="740"/>
      <c r="AM52" s="740"/>
    </row>
    <row r="53" spans="1:39" s="561" customFormat="1" ht="18.75" customHeight="1" x14ac:dyDescent="0.3">
      <c r="A53" s="541" t="s">
        <v>429</v>
      </c>
      <c r="B53" s="859">
        <f>SUM(B22)</f>
        <v>53.293999999999997</v>
      </c>
      <c r="C53" s="638">
        <f>SUM(C22)</f>
        <v>48.01</v>
      </c>
      <c r="D53" s="548">
        <f t="shared" si="9"/>
        <v>-9.9</v>
      </c>
      <c r="E53" s="859">
        <f>SUM(E22)</f>
        <v>18692.016</v>
      </c>
      <c r="F53" s="638">
        <f>SUM(F22)</f>
        <v>4866.3339999999998</v>
      </c>
      <c r="G53" s="548">
        <f t="shared" si="0"/>
        <v>-74</v>
      </c>
      <c r="H53" s="859">
        <f>SUM(H22)</f>
        <v>119.682</v>
      </c>
      <c r="I53" s="638">
        <f>SUM(I22)</f>
        <v>142.5</v>
      </c>
      <c r="J53" s="548">
        <f>IF(H53=0, "    ---- ", IF(ABS(ROUND(100/H53*I53-100,1))&lt;999,ROUND(100/H53*I53-100,1),IF(ROUND(100/H53*I53-100,1)&gt;999,999,-999)))</f>
        <v>19.100000000000001</v>
      </c>
      <c r="K53" s="859"/>
      <c r="L53" s="638"/>
      <c r="M53" s="548"/>
      <c r="N53" s="859"/>
      <c r="O53" s="638"/>
      <c r="P53" s="548"/>
      <c r="Q53" s="859"/>
      <c r="R53" s="638"/>
      <c r="S53" s="548"/>
      <c r="T53" s="859"/>
      <c r="U53" s="638"/>
      <c r="V53" s="548"/>
      <c r="W53" s="859">
        <f>SUM(W22)</f>
        <v>266.83886078523886</v>
      </c>
      <c r="X53" s="638">
        <f>SUM(X22)</f>
        <v>44.239427092579376</v>
      </c>
      <c r="Y53" s="548">
        <f t="shared" si="1"/>
        <v>-83.4</v>
      </c>
      <c r="Z53" s="859"/>
      <c r="AA53" s="638"/>
      <c r="AB53" s="548"/>
      <c r="AC53" s="859">
        <f>SUM(AC22)</f>
        <v>466.85500000000002</v>
      </c>
      <c r="AD53" s="638">
        <f>SUM(AD22)</f>
        <v>461.43200000000002</v>
      </c>
      <c r="AE53" s="548">
        <f t="shared" si="2"/>
        <v>-1.2</v>
      </c>
      <c r="AF53" s="859"/>
      <c r="AG53" s="638"/>
      <c r="AH53" s="548"/>
      <c r="AI53" s="560">
        <f t="shared" si="4"/>
        <v>19598.685860785241</v>
      </c>
      <c r="AJ53" s="560">
        <f t="shared" si="4"/>
        <v>5562.5154270925796</v>
      </c>
      <c r="AK53" s="548">
        <f t="shared" si="5"/>
        <v>-71.599999999999994</v>
      </c>
      <c r="AL53" s="740"/>
      <c r="AM53" s="740"/>
    </row>
    <row r="54" spans="1:39" s="561" customFormat="1" ht="18.75" customHeight="1" x14ac:dyDescent="0.3">
      <c r="A54" s="750" t="s">
        <v>436</v>
      </c>
      <c r="B54" s="868">
        <f>SUM(B40+B45)</f>
        <v>39.386000000000003</v>
      </c>
      <c r="C54" s="645">
        <f>SUM(C40+C45)</f>
        <v>24.704999999999998</v>
      </c>
      <c r="D54" s="751">
        <f t="shared" si="9"/>
        <v>-37.299999999999997</v>
      </c>
      <c r="E54" s="868">
        <f>SUM(E40+E45)</f>
        <v>3291.3809999999999</v>
      </c>
      <c r="F54" s="645">
        <f>SUM(F40+F45)</f>
        <v>1508.2850000000001</v>
      </c>
      <c r="G54" s="751">
        <f t="shared" si="0"/>
        <v>-54.2</v>
      </c>
      <c r="H54" s="868">
        <f>SUM(H40+H45)</f>
        <v>23.420999999999999</v>
      </c>
      <c r="I54" s="645">
        <f>SUM(I40+I45)</f>
        <v>26.8</v>
      </c>
      <c r="J54" s="751">
        <f>IF(H54=0, "    ---- ", IF(ABS(ROUND(100/H54*I54-100,1))&lt;999,ROUND(100/H54*I54-100,1),IF(ROUND(100/H54*I54-100,1)&gt;999,999,-999)))</f>
        <v>14.4</v>
      </c>
      <c r="K54" s="868">
        <f>SUM(K40+K45)</f>
        <v>54.7</v>
      </c>
      <c r="L54" s="645">
        <f>SUM(L40+L45)</f>
        <v>5.7329999999999997</v>
      </c>
      <c r="M54" s="751">
        <f>IF(K54=0, "    ---- ", IF(ABS(ROUND(100/K54*L54-100,1))&lt;999,ROUND(100/K54*L54-100,1),IF(ROUND(100/K54*L54-100,1)&gt;999,999,-999)))</f>
        <v>-89.5</v>
      </c>
      <c r="N54" s="868"/>
      <c r="O54" s="645"/>
      <c r="P54" s="751"/>
      <c r="Q54" s="868">
        <f>SUM(Q40+Q45)</f>
        <v>42277.481306000001</v>
      </c>
      <c r="R54" s="645">
        <f>SUM(R40+R45)</f>
        <v>33439.041881999998</v>
      </c>
      <c r="S54" s="751">
        <f>IF(Q54=0, "    ---- ", IF(ABS(ROUND(100/Q54*R54-100,1))&lt;999,ROUND(100/Q54*R54-100,1),IF(ROUND(100/Q54*R54-100,1)&gt;999,999,-999)))</f>
        <v>-20.9</v>
      </c>
      <c r="T54" s="868">
        <f>SUM(T40+T45)</f>
        <v>31</v>
      </c>
      <c r="U54" s="645">
        <f>SUM(U40+U45)</f>
        <v>7.9</v>
      </c>
      <c r="V54" s="751">
        <f>IF(T54=0, "    ---- ", IF(ABS(ROUND(100/T54*U54-100,1))&lt;999,ROUND(100/T54*U54-100,1),IF(ROUND(100/T54*U54-100,1)&gt;999,999,-999)))</f>
        <v>-74.5</v>
      </c>
      <c r="W54" s="868">
        <f>SUM(W40+W45)</f>
        <v>1379</v>
      </c>
      <c r="X54" s="645">
        <f>SUM(X40+X45)</f>
        <v>987.07</v>
      </c>
      <c r="Y54" s="751">
        <f t="shared" si="1"/>
        <v>-28.4</v>
      </c>
      <c r="Z54" s="868">
        <f>SUM(Z40+Z45)</f>
        <v>11317</v>
      </c>
      <c r="AA54" s="645">
        <f>SUM(AA40+AA45)</f>
        <v>9669</v>
      </c>
      <c r="AB54" s="751">
        <f>IF(Z54=0, "    ---- ", IF(ABS(ROUND(100/Z54*AA54-100,1))&lt;999,ROUND(100/Z54*AA54-100,1),IF(ROUND(100/Z54*AA54-100,1)&gt;999,999,-999)))</f>
        <v>-14.6</v>
      </c>
      <c r="AC54" s="868">
        <f>SUM(AC40+AC45)</f>
        <v>2286.9650000000001</v>
      </c>
      <c r="AD54" s="645">
        <f>SUM(AD40+AD45)</f>
        <v>1544.798</v>
      </c>
      <c r="AE54" s="751">
        <f t="shared" si="2"/>
        <v>-32.5</v>
      </c>
      <c r="AF54" s="868">
        <f>SUM(AF40+AF45)</f>
        <v>4338</v>
      </c>
      <c r="AG54" s="645">
        <f>SUM(AG40+AG45)</f>
        <v>2867</v>
      </c>
      <c r="AH54" s="751">
        <f>SUM(AH40+AH45)</f>
        <v>-40.799999999999997</v>
      </c>
      <c r="AI54" s="752">
        <f t="shared" si="4"/>
        <v>65038.334306000004</v>
      </c>
      <c r="AJ54" s="752">
        <f t="shared" si="4"/>
        <v>50080.332882000002</v>
      </c>
      <c r="AK54" s="751">
        <f t="shared" si="5"/>
        <v>-23</v>
      </c>
      <c r="AL54" s="740"/>
      <c r="AM54" s="740"/>
    </row>
    <row r="55" spans="1:39" s="561" customFormat="1" ht="18.75" customHeight="1" x14ac:dyDescent="0.3">
      <c r="A55" s="593" t="s">
        <v>261</v>
      </c>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40"/>
      <c r="AM55" s="740"/>
    </row>
    <row r="56" spans="1:39" s="561" customFormat="1" ht="18.75" customHeight="1" x14ac:dyDescent="0.3">
      <c r="A56" s="593" t="s">
        <v>262</v>
      </c>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40"/>
      <c r="AM56" s="740"/>
    </row>
    <row r="57" spans="1:39" s="561" customFormat="1" ht="18.75" customHeight="1" x14ac:dyDescent="0.3">
      <c r="Q57" s="593"/>
      <c r="W57" s="593"/>
      <c r="AF57" s="593"/>
      <c r="AI57" s="593"/>
      <c r="AM57" s="740"/>
    </row>
    <row r="58" spans="1:39" s="702" customFormat="1" ht="18.75" x14ac:dyDescent="0.3">
      <c r="AL58" s="703"/>
      <c r="AM58" s="703"/>
    </row>
    <row r="59" spans="1:39" s="702" customFormat="1" ht="18.75" x14ac:dyDescent="0.3"/>
    <row r="60" spans="1:39" s="702" customFormat="1" ht="18.75" x14ac:dyDescent="0.3"/>
    <row r="61" spans="1:39" s="702" customFormat="1" ht="18.75" x14ac:dyDescent="0.3"/>
    <row r="62" spans="1:39" s="702" customFormat="1" ht="18.75" x14ac:dyDescent="0.3"/>
    <row r="63" spans="1:39" s="702" customFormat="1" ht="18.75" x14ac:dyDescent="0.3"/>
    <row r="64" spans="1:39" s="702" customFormat="1" ht="18.75" x14ac:dyDescent="0.3"/>
    <row r="65" spans="1:37" s="702" customFormat="1" ht="18.75" x14ac:dyDescent="0.3"/>
    <row r="66" spans="1:37" s="702" customFormat="1" ht="18.75" x14ac:dyDescent="0.3"/>
    <row r="67" spans="1:37" s="702" customFormat="1" ht="18.75" x14ac:dyDescent="0.3"/>
    <row r="68" spans="1:37" s="702" customFormat="1" ht="18.75" x14ac:dyDescent="0.3"/>
    <row r="69" spans="1:37" s="702" customFormat="1" ht="18.75" x14ac:dyDescent="0.3"/>
    <row r="70" spans="1:37" s="702" customFormat="1" ht="18.75" x14ac:dyDescent="0.3"/>
    <row r="71" spans="1:37" s="702" customFormat="1" ht="18.75" x14ac:dyDescent="0.3"/>
    <row r="72" spans="1:37" s="702" customFormat="1" ht="18.75" x14ac:dyDescent="0.3"/>
    <row r="73" spans="1:37" s="702" customFormat="1" ht="18.75" x14ac:dyDescent="0.3">
      <c r="A73" s="703"/>
      <c r="B73" s="703"/>
      <c r="C73" s="703"/>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3"/>
      <c r="AI73" s="703"/>
      <c r="AJ73" s="703"/>
      <c r="AK73" s="703"/>
    </row>
    <row r="74" spans="1:37" s="702" customFormat="1" ht="18.75" x14ac:dyDescent="0.3">
      <c r="A74" s="703"/>
      <c r="B74" s="703"/>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row>
    <row r="75" spans="1:37" s="702" customFormat="1" ht="18.75" x14ac:dyDescent="0.3">
      <c r="A75" s="703"/>
      <c r="B75" s="703"/>
      <c r="C75" s="703"/>
      <c r="D75" s="703"/>
      <c r="E75" s="703"/>
      <c r="F75" s="703"/>
      <c r="G75" s="703"/>
      <c r="H75" s="703"/>
      <c r="I75" s="703"/>
      <c r="J75" s="703"/>
      <c r="K75" s="703"/>
      <c r="L75" s="703"/>
      <c r="M75" s="703"/>
      <c r="N75" s="703"/>
      <c r="O75" s="703"/>
      <c r="P75" s="703"/>
      <c r="Q75" s="703"/>
      <c r="R75" s="703"/>
      <c r="S75" s="703"/>
      <c r="T75" s="703"/>
      <c r="U75" s="703"/>
      <c r="V75" s="703"/>
      <c r="W75" s="703"/>
      <c r="X75" s="703"/>
      <c r="Y75" s="703"/>
      <c r="Z75" s="703"/>
      <c r="AA75" s="703"/>
      <c r="AB75" s="703"/>
      <c r="AC75" s="703"/>
      <c r="AD75" s="703"/>
      <c r="AE75" s="703"/>
      <c r="AF75" s="703"/>
      <c r="AG75" s="703"/>
      <c r="AH75" s="703"/>
      <c r="AI75" s="703"/>
      <c r="AJ75" s="703"/>
      <c r="AK75" s="703"/>
    </row>
    <row r="76" spans="1:37" s="702" customFormat="1" ht="18.75" x14ac:dyDescent="0.3">
      <c r="A76" s="703"/>
      <c r="B76" s="703"/>
      <c r="C76" s="703"/>
      <c r="D76" s="703"/>
      <c r="E76" s="703"/>
      <c r="F76" s="703"/>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703"/>
      <c r="AI76" s="703"/>
      <c r="AJ76" s="703"/>
      <c r="AK76" s="703"/>
    </row>
    <row r="77" spans="1:37" s="702" customFormat="1" ht="18.75" x14ac:dyDescent="0.3"/>
    <row r="78" spans="1:37" s="702" customFormat="1" ht="18.75" x14ac:dyDescent="0.3"/>
    <row r="79" spans="1:37" s="702" customFormat="1" ht="18.75" x14ac:dyDescent="0.3"/>
    <row r="80" spans="1:37" s="702" customFormat="1" ht="18.75" x14ac:dyDescent="0.3"/>
    <row r="81" s="702" customFormat="1" ht="18.75" x14ac:dyDescent="0.3"/>
    <row r="82" s="702" customFormat="1" ht="18.75" x14ac:dyDescent="0.3"/>
    <row r="83" s="702" customFormat="1" ht="18.75" x14ac:dyDescent="0.3"/>
    <row r="84" s="702" customFormat="1" ht="18.75" x14ac:dyDescent="0.3"/>
    <row r="85" s="702" customFormat="1" ht="18.75" x14ac:dyDescent="0.3"/>
    <row r="86" s="702" customFormat="1" ht="18.75" x14ac:dyDescent="0.3"/>
    <row r="87" s="702" customFormat="1" ht="18.75" x14ac:dyDescent="0.3"/>
    <row r="88" s="702" customFormat="1" ht="18.75" x14ac:dyDescent="0.3"/>
  </sheetData>
  <mergeCells count="32">
    <mergeCell ref="AZ6:BB6"/>
    <mergeCell ref="T6:V6"/>
    <mergeCell ref="W6:Y6"/>
    <mergeCell ref="Z6:AB6"/>
    <mergeCell ref="AC6:AE6"/>
    <mergeCell ref="AF6:AH6"/>
    <mergeCell ref="AI6:AK6"/>
    <mergeCell ref="AN6:AP6"/>
    <mergeCell ref="AQ6:AS6"/>
    <mergeCell ref="AT6:AV6"/>
    <mergeCell ref="AW6:AY6"/>
    <mergeCell ref="AQ5:AS5"/>
    <mergeCell ref="AT5:AV5"/>
    <mergeCell ref="AW5:AY5"/>
    <mergeCell ref="AZ5:BB5"/>
    <mergeCell ref="B6:D6"/>
    <mergeCell ref="E6:G6"/>
    <mergeCell ref="H6:J6"/>
    <mergeCell ref="K6:M6"/>
    <mergeCell ref="N6:P6"/>
    <mergeCell ref="Q6:S6"/>
    <mergeCell ref="Z5:AB5"/>
    <mergeCell ref="AC5:AE5"/>
    <mergeCell ref="AF5:AH5"/>
    <mergeCell ref="AI5:AK5"/>
    <mergeCell ref="AN5:AP5"/>
    <mergeCell ref="T5:V5"/>
    <mergeCell ref="B5:D5"/>
    <mergeCell ref="E5:G5"/>
    <mergeCell ref="H5:J5"/>
    <mergeCell ref="K5:M5"/>
    <mergeCell ref="N5:P5"/>
  </mergeCells>
  <conditionalFormatting sqref="K11">
    <cfRule type="expression" dxfId="138" priority="126">
      <formula>#REF!="11≠12+15+18+19+21+22"</formula>
    </cfRule>
  </conditionalFormatting>
  <conditionalFormatting sqref="K23">
    <cfRule type="expression" dxfId="137" priority="127">
      <formula>#REF!="23≠24+27+30+31+33+34"</formula>
    </cfRule>
  </conditionalFormatting>
  <conditionalFormatting sqref="K35">
    <cfRule type="expression" dxfId="136" priority="128">
      <formula>#REF!="35≠36+37+38+39"</formula>
    </cfRule>
  </conditionalFormatting>
  <conditionalFormatting sqref="K41">
    <cfRule type="expression" dxfId="135" priority="129">
      <formula>#REF!="48≠49+50+51"</formula>
    </cfRule>
  </conditionalFormatting>
  <conditionalFormatting sqref="K47">
    <cfRule type="expression" dxfId="134" priority="130">
      <formula>#REF!="54≠55+56+57+58+59+60+61"</formula>
    </cfRule>
  </conditionalFormatting>
  <conditionalFormatting sqref="W11">
    <cfRule type="expression" dxfId="133" priority="116">
      <formula>#REF!="11≠12+15+18+19+21+22"</formula>
    </cfRule>
  </conditionalFormatting>
  <conditionalFormatting sqref="W23">
    <cfRule type="expression" dxfId="132" priority="117">
      <formula>#REF!="23≠24+27+30+31+33+34"</formula>
    </cfRule>
  </conditionalFormatting>
  <conditionalFormatting sqref="W35">
    <cfRule type="expression" dxfId="131" priority="118">
      <formula>#REF!="35≠36+37+38+39"</formula>
    </cfRule>
  </conditionalFormatting>
  <conditionalFormatting sqref="W41">
    <cfRule type="expression" dxfId="130" priority="119">
      <formula>#REF!="48≠49+50+51"</formula>
    </cfRule>
  </conditionalFormatting>
  <conditionalFormatting sqref="W47">
    <cfRule type="expression" dxfId="129" priority="120">
      <formula>#REF!="54≠55+56+57+58+59+60+61"</formula>
    </cfRule>
  </conditionalFormatting>
  <conditionalFormatting sqref="AF11">
    <cfRule type="expression" dxfId="128" priority="106">
      <formula>#REF!="11≠12+15+18+19+21+22"</formula>
    </cfRule>
  </conditionalFormatting>
  <conditionalFormatting sqref="AF23">
    <cfRule type="expression" dxfId="127" priority="107">
      <formula>#REF!="23≠24+27+30+31+33+34"</formula>
    </cfRule>
  </conditionalFormatting>
  <conditionalFormatting sqref="AF35">
    <cfRule type="expression" dxfId="126" priority="108">
      <formula>#REF!="35≠36+37+38+39"</formula>
    </cfRule>
  </conditionalFormatting>
  <conditionalFormatting sqref="AF41">
    <cfRule type="expression" dxfId="125" priority="109">
      <formula>#REF!="48≠49+50+51"</formula>
    </cfRule>
  </conditionalFormatting>
  <conditionalFormatting sqref="AF47">
    <cfRule type="expression" dxfId="124" priority="110">
      <formula>#REF!="54≠55+56+57+58+59+60+61"</formula>
    </cfRule>
  </conditionalFormatting>
  <conditionalFormatting sqref="B11">
    <cfRule type="expression" dxfId="123" priority="86">
      <formula>#REF!="11≠12+15+18+19+21+22"</formula>
    </cfRule>
  </conditionalFormatting>
  <conditionalFormatting sqref="B23">
    <cfRule type="expression" dxfId="122" priority="87">
      <formula>#REF!="23≠24+27+30+31+33+34"</formula>
    </cfRule>
  </conditionalFormatting>
  <conditionalFormatting sqref="B35">
    <cfRule type="expression" dxfId="121" priority="88">
      <formula>#REF!="35≠36+37+38+39"</formula>
    </cfRule>
  </conditionalFormatting>
  <conditionalFormatting sqref="B41">
    <cfRule type="expression" dxfId="120" priority="89">
      <formula>#REF!="48≠49+50+51"</formula>
    </cfRule>
  </conditionalFormatting>
  <conditionalFormatting sqref="B47">
    <cfRule type="expression" dxfId="119" priority="90">
      <formula>#REF!="54≠55+56+57+58+59+60+61"</formula>
    </cfRule>
  </conditionalFormatting>
  <conditionalFormatting sqref="Z11">
    <cfRule type="expression" dxfId="118" priority="76">
      <formula>#REF!="11≠12+15+18+19+21+22"</formula>
    </cfRule>
  </conditionalFormatting>
  <conditionalFormatting sqref="Z23">
    <cfRule type="expression" dxfId="117" priority="77">
      <formula>#REF!="23≠24+27+30+31+33+34"</formula>
    </cfRule>
  </conditionalFormatting>
  <conditionalFormatting sqref="Z35">
    <cfRule type="expression" dxfId="116" priority="78">
      <formula>#REF!="35≠36+37+38+39"</formula>
    </cfRule>
  </conditionalFormatting>
  <conditionalFormatting sqref="Z41">
    <cfRule type="expression" dxfId="115" priority="79">
      <formula>#REF!="48≠49+50+51"</formula>
    </cfRule>
  </conditionalFormatting>
  <conditionalFormatting sqref="Z47">
    <cfRule type="expression" dxfId="114" priority="80">
      <formula>#REF!="54≠55+56+57+58+59+60+61"</formula>
    </cfRule>
  </conditionalFormatting>
  <conditionalFormatting sqref="T11">
    <cfRule type="expression" dxfId="113" priority="66">
      <formula>#REF!="11≠12+15+18+19+21+22"</formula>
    </cfRule>
  </conditionalFormatting>
  <conditionalFormatting sqref="T23">
    <cfRule type="expression" dxfId="112" priority="67">
      <formula>#REF!="23≠24+27+30+31+33+34"</formula>
    </cfRule>
  </conditionalFormatting>
  <conditionalFormatting sqref="T35">
    <cfRule type="expression" dxfId="111" priority="68">
      <formula>#REF!="35≠36+37+38+39"</formula>
    </cfRule>
  </conditionalFormatting>
  <conditionalFormatting sqref="T41">
    <cfRule type="expression" dxfId="110" priority="69">
      <formula>#REF!="48≠49+50+51"</formula>
    </cfRule>
  </conditionalFormatting>
  <conditionalFormatting sqref="T47">
    <cfRule type="expression" dxfId="109" priority="70">
      <formula>#REF!="54≠55+56+57+58+59+60+61"</formula>
    </cfRule>
  </conditionalFormatting>
  <conditionalFormatting sqref="Q11">
    <cfRule type="expression" dxfId="108" priority="56">
      <formula>#REF!="11≠12+15+18+19+21+22"</formula>
    </cfRule>
  </conditionalFormatting>
  <conditionalFormatting sqref="Q23">
    <cfRule type="expression" dxfId="107" priority="57">
      <formula>#REF!="23≠24+27+30+31+33+34"</formula>
    </cfRule>
  </conditionalFormatting>
  <conditionalFormatting sqref="Q35">
    <cfRule type="expression" dxfId="106" priority="58">
      <formula>#REF!="35≠36+37+38+39"</formula>
    </cfRule>
  </conditionalFormatting>
  <conditionalFormatting sqref="Q41">
    <cfRule type="expression" dxfId="105" priority="59">
      <formula>#REF!="48≠49+50+51"</formula>
    </cfRule>
  </conditionalFormatting>
  <conditionalFormatting sqref="Q47">
    <cfRule type="expression" dxfId="104" priority="60">
      <formula>#REF!="54≠55+56+57+58+59+60+61"</formula>
    </cfRule>
  </conditionalFormatting>
  <conditionalFormatting sqref="N11">
    <cfRule type="expression" dxfId="103" priority="46">
      <formula>#REF!="11≠12+15+18+19+21+22"</formula>
    </cfRule>
  </conditionalFormatting>
  <conditionalFormatting sqref="N23">
    <cfRule type="expression" dxfId="102" priority="47">
      <formula>#REF!="23≠24+27+30+31+33+34"</formula>
    </cfRule>
  </conditionalFormatting>
  <conditionalFormatting sqref="N35">
    <cfRule type="expression" dxfId="101" priority="48">
      <formula>#REF!="35≠36+37+38+39"</formula>
    </cfRule>
  </conditionalFormatting>
  <conditionalFormatting sqref="N41">
    <cfRule type="expression" dxfId="100" priority="49">
      <formula>#REF!="48≠49+50+51"</formula>
    </cfRule>
  </conditionalFormatting>
  <conditionalFormatting sqref="N47">
    <cfRule type="expression" dxfId="99" priority="50">
      <formula>#REF!="54≠55+56+57+58+59+60+61"</formula>
    </cfRule>
  </conditionalFormatting>
  <conditionalFormatting sqref="AC11">
    <cfRule type="expression" dxfId="98" priority="26">
      <formula>#REF!="11≠12+15+18+19+21+22"</formula>
    </cfRule>
  </conditionalFormatting>
  <conditionalFormatting sqref="AC23">
    <cfRule type="expression" dxfId="97" priority="27">
      <formula>#REF!="23≠24+27+30+31+33+34"</formula>
    </cfRule>
  </conditionalFormatting>
  <conditionalFormatting sqref="AC35">
    <cfRule type="expression" dxfId="96" priority="28">
      <formula>#REF!="35≠36+37+38+39"</formula>
    </cfRule>
  </conditionalFormatting>
  <conditionalFormatting sqref="AC41">
    <cfRule type="expression" dxfId="95" priority="29">
      <formula>#REF!="48≠49+50+51"</formula>
    </cfRule>
  </conditionalFormatting>
  <conditionalFormatting sqref="AC47">
    <cfRule type="expression" dxfId="94" priority="30">
      <formula>#REF!="54≠55+56+57+58+59+60+61"</formula>
    </cfRule>
  </conditionalFormatting>
  <conditionalFormatting sqref="H11">
    <cfRule type="expression" dxfId="93" priority="16">
      <formula>#REF!="11≠12+15+18+19+21+22"</formula>
    </cfRule>
  </conditionalFormatting>
  <conditionalFormatting sqref="H23">
    <cfRule type="expression" dxfId="92" priority="17">
      <formula>#REF!="23≠24+27+30+31+33+34"</formula>
    </cfRule>
  </conditionalFormatting>
  <conditionalFormatting sqref="H35">
    <cfRule type="expression" dxfId="91" priority="18">
      <formula>#REF!="35≠36+37+38+39"</formula>
    </cfRule>
  </conditionalFormatting>
  <conditionalFormatting sqref="H41">
    <cfRule type="expression" dxfId="90" priority="19">
      <formula>#REF!="48≠49+50+51"</formula>
    </cfRule>
  </conditionalFormatting>
  <conditionalFormatting sqref="H47">
    <cfRule type="expression" dxfId="89" priority="20">
      <formula>#REF!="54≠55+56+57+58+59+60+61"</formula>
    </cfRule>
  </conditionalFormatting>
  <conditionalFormatting sqref="E11">
    <cfRule type="expression" dxfId="88" priority="6">
      <formula>#REF!="11≠12+15+18+19+21+22"</formula>
    </cfRule>
  </conditionalFormatting>
  <conditionalFormatting sqref="E23">
    <cfRule type="expression" dxfId="87" priority="7">
      <formula>#REF!="23≠24+27+30+31+33+34"</formula>
    </cfRule>
  </conditionalFormatting>
  <conditionalFormatting sqref="E35">
    <cfRule type="expression" dxfId="86" priority="8">
      <formula>#REF!="35≠36+37+38+39"</formula>
    </cfRule>
  </conditionalFormatting>
  <conditionalFormatting sqref="E41">
    <cfRule type="expression" dxfId="85" priority="9">
      <formula>#REF!="48≠49+50+51"</formula>
    </cfRule>
  </conditionalFormatting>
  <conditionalFormatting sqref="E47">
    <cfRule type="expression" dxfId="84" priority="10">
      <formula>#REF!="54≠55+56+57+58+59+60+61"</formula>
    </cfRule>
  </conditionalFormatting>
  <conditionalFormatting sqref="L11 X11 AG11 C11 AA11 U11 R11 O11 AD11 I11 F11 AI11:AJ11">
    <cfRule type="expression" dxfId="83" priority="808">
      <formula>#REF!="11≠12+15+18+19+21+22"</formula>
    </cfRule>
  </conditionalFormatting>
  <conditionalFormatting sqref="L23 X23 AG23 C23 AA23 U23 R23 O23 AD23 I23 F23 AI23:AJ23">
    <cfRule type="expression" dxfId="82" priority="809">
      <formula>#REF!="23≠24+27+30+31+33+34"</formula>
    </cfRule>
  </conditionalFormatting>
  <conditionalFormatting sqref="L35 X35 AG35 C35 AA35 U35 R35 O35 AD35 I35 F35 AI35:AJ35">
    <cfRule type="expression" dxfId="81" priority="810">
      <formula>#REF!="35≠36+37+38+39"</formula>
    </cfRule>
  </conditionalFormatting>
  <conditionalFormatting sqref="L41 X41 AG41 C41 AA41 U41 R41 O41 AD41 I41 F41 AI41:AJ41">
    <cfRule type="expression" dxfId="80" priority="811">
      <formula>#REF!="48≠49+50+51"</formula>
    </cfRule>
  </conditionalFormatting>
  <conditionalFormatting sqref="L47 X47 C47 AA47 U47 R47 O47 AD47 I47 F47 AG47:AJ47">
    <cfRule type="expression" dxfId="79" priority="812">
      <formula>#REF!="54≠55+56+57+58+59+60+61"</formula>
    </cfRule>
  </conditionalFormatting>
  <hyperlinks>
    <hyperlink ref="B1" location="Innhold!A1" display="Tilbake" xr:uid="{00000000-0004-0000-23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3" manualBreakCount="3">
    <brk id="10" min="1" max="63" man="1"/>
    <brk id="19" min="1" max="63" man="1"/>
    <brk id="34" min="1" max="63"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M76"/>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2.5703125" defaultRowHeight="15.75" x14ac:dyDescent="0.25"/>
  <cols>
    <col min="1" max="1" width="77.7109375" style="754" customWidth="1"/>
    <col min="2" max="34" width="11.7109375" style="754" customWidth="1"/>
    <col min="35" max="35" width="13" style="754" customWidth="1"/>
    <col min="36" max="36" width="13.140625" style="754" customWidth="1"/>
    <col min="37" max="39" width="11.7109375" style="754" customWidth="1"/>
    <col min="40" max="40" width="7.7109375" style="754" customWidth="1"/>
    <col min="41" max="42" width="11.7109375" style="754" customWidth="1"/>
    <col min="43" max="43" width="7.7109375" style="754" customWidth="1"/>
    <col min="44" max="16384" width="12.5703125" style="754"/>
  </cols>
  <sheetData>
    <row r="1" spans="1:39" ht="20.25" customHeight="1" x14ac:dyDescent="0.3">
      <c r="A1" s="720" t="s">
        <v>180</v>
      </c>
      <c r="B1" s="480" t="s">
        <v>52</v>
      </c>
    </row>
    <row r="2" spans="1:39" ht="20.100000000000001" customHeight="1" x14ac:dyDescent="0.3">
      <c r="A2" s="755" t="s">
        <v>437</v>
      </c>
    </row>
    <row r="3" spans="1:39" ht="20.100000000000001" customHeight="1" x14ac:dyDescent="0.3">
      <c r="A3" s="756" t="s">
        <v>438</v>
      </c>
      <c r="AL3" s="757"/>
    </row>
    <row r="4" spans="1:39" ht="18.75" customHeight="1" x14ac:dyDescent="0.25">
      <c r="A4" s="758" t="s">
        <v>371</v>
      </c>
      <c r="B4" s="759"/>
      <c r="C4" s="760"/>
      <c r="D4" s="761"/>
      <c r="E4" s="760"/>
      <c r="F4" s="760"/>
      <c r="G4" s="760"/>
      <c r="H4" s="760"/>
      <c r="I4" s="760"/>
      <c r="J4" s="761"/>
      <c r="K4" s="760"/>
      <c r="L4" s="760"/>
      <c r="M4" s="761"/>
      <c r="N4" s="760"/>
      <c r="O4" s="760"/>
      <c r="P4" s="761"/>
      <c r="Q4" s="759"/>
      <c r="R4" s="760"/>
      <c r="S4" s="761"/>
      <c r="T4" s="759"/>
      <c r="U4" s="760"/>
      <c r="V4" s="761"/>
      <c r="W4" s="759"/>
      <c r="X4" s="760"/>
      <c r="Y4" s="761"/>
      <c r="Z4" s="759"/>
      <c r="AA4" s="760"/>
      <c r="AB4" s="761"/>
      <c r="AC4" s="759"/>
      <c r="AD4" s="760"/>
      <c r="AE4" s="761"/>
      <c r="AF4" s="759"/>
      <c r="AG4" s="760"/>
      <c r="AH4" s="761"/>
      <c r="AI4" s="759"/>
      <c r="AJ4" s="760"/>
      <c r="AK4" s="761"/>
      <c r="AL4" s="757"/>
      <c r="AM4" s="757"/>
    </row>
    <row r="5" spans="1:39" ht="18.75" customHeight="1" x14ac:dyDescent="0.3">
      <c r="A5" s="762" t="s">
        <v>439</v>
      </c>
      <c r="B5" s="1017" t="s">
        <v>183</v>
      </c>
      <c r="C5" s="1018"/>
      <c r="D5" s="1019"/>
      <c r="E5" s="982" t="s">
        <v>184</v>
      </c>
      <c r="F5" s="983"/>
      <c r="G5" s="984"/>
      <c r="H5" s="982" t="s">
        <v>185</v>
      </c>
      <c r="I5" s="983"/>
      <c r="J5" s="984"/>
      <c r="K5" s="1017" t="s">
        <v>186</v>
      </c>
      <c r="L5" s="1018"/>
      <c r="M5" s="1019"/>
      <c r="N5" s="909"/>
      <c r="O5" s="909"/>
      <c r="P5" s="910"/>
      <c r="Q5" s="982" t="s">
        <v>64</v>
      </c>
      <c r="R5" s="983"/>
      <c r="S5" s="984"/>
      <c r="T5" s="1017" t="s">
        <v>187</v>
      </c>
      <c r="U5" s="1018"/>
      <c r="V5" s="1019"/>
      <c r="W5" s="1017"/>
      <c r="X5" s="1018"/>
      <c r="Y5" s="1019"/>
      <c r="Z5" s="982"/>
      <c r="AA5" s="983"/>
      <c r="AB5" s="984"/>
      <c r="AC5" s="1017" t="s">
        <v>75</v>
      </c>
      <c r="AD5" s="1018"/>
      <c r="AE5" s="1019"/>
      <c r="AF5" s="1017" t="s">
        <v>416</v>
      </c>
      <c r="AG5" s="1018"/>
      <c r="AH5" s="1019"/>
      <c r="AI5" s="1017" t="s">
        <v>294</v>
      </c>
      <c r="AJ5" s="1018"/>
      <c r="AK5" s="1019"/>
      <c r="AL5" s="757"/>
      <c r="AM5" s="757"/>
    </row>
    <row r="6" spans="1:39" ht="18.75" customHeight="1" x14ac:dyDescent="0.3">
      <c r="A6" s="763" t="s">
        <v>417</v>
      </c>
      <c r="B6" s="1020" t="s">
        <v>189</v>
      </c>
      <c r="C6" s="1021"/>
      <c r="D6" s="1022"/>
      <c r="E6" s="985" t="s">
        <v>190</v>
      </c>
      <c r="F6" s="986"/>
      <c r="G6" s="987"/>
      <c r="H6" s="985" t="s">
        <v>190</v>
      </c>
      <c r="I6" s="986"/>
      <c r="J6" s="987"/>
      <c r="K6" s="1020" t="s">
        <v>191</v>
      </c>
      <c r="L6" s="1021"/>
      <c r="M6" s="1022"/>
      <c r="N6" s="911"/>
      <c r="O6" s="911" t="s">
        <v>64</v>
      </c>
      <c r="P6" s="912"/>
      <c r="Q6" s="985" t="s">
        <v>192</v>
      </c>
      <c r="R6" s="986"/>
      <c r="S6" s="987"/>
      <c r="T6" s="1020" t="s">
        <v>68</v>
      </c>
      <c r="U6" s="1021"/>
      <c r="V6" s="1022"/>
      <c r="W6" s="1020" t="s">
        <v>74</v>
      </c>
      <c r="X6" s="1021"/>
      <c r="Y6" s="1022"/>
      <c r="Z6" s="985" t="s">
        <v>70</v>
      </c>
      <c r="AA6" s="986"/>
      <c r="AB6" s="987"/>
      <c r="AC6" s="1020" t="s">
        <v>190</v>
      </c>
      <c r="AD6" s="1021"/>
      <c r="AE6" s="1022"/>
      <c r="AF6" s="1020" t="s">
        <v>440</v>
      </c>
      <c r="AG6" s="1021"/>
      <c r="AH6" s="1022"/>
      <c r="AI6" s="1020" t="s">
        <v>441</v>
      </c>
      <c r="AJ6" s="1021"/>
      <c r="AK6" s="1022"/>
      <c r="AL6" s="757"/>
      <c r="AM6" s="757"/>
    </row>
    <row r="7" spans="1:39" ht="18.75" customHeight="1" x14ac:dyDescent="0.3">
      <c r="A7" s="763"/>
      <c r="B7" s="733"/>
      <c r="C7" s="733"/>
      <c r="D7" s="533" t="s">
        <v>83</v>
      </c>
      <c r="E7" s="733"/>
      <c r="F7" s="733"/>
      <c r="G7" s="533" t="s">
        <v>83</v>
      </c>
      <c r="H7" s="733"/>
      <c r="I7" s="733"/>
      <c r="J7" s="533" t="s">
        <v>83</v>
      </c>
      <c r="K7" s="733"/>
      <c r="L7" s="733"/>
      <c r="M7" s="533" t="s">
        <v>83</v>
      </c>
      <c r="N7" s="733"/>
      <c r="O7" s="733"/>
      <c r="P7" s="533" t="s">
        <v>83</v>
      </c>
      <c r="Q7" s="733"/>
      <c r="R7" s="733"/>
      <c r="S7" s="533" t="s">
        <v>83</v>
      </c>
      <c r="T7" s="733"/>
      <c r="U7" s="733"/>
      <c r="V7" s="533" t="s">
        <v>83</v>
      </c>
      <c r="W7" s="733"/>
      <c r="X7" s="733"/>
      <c r="Y7" s="533" t="s">
        <v>83</v>
      </c>
      <c r="Z7" s="733"/>
      <c r="AA7" s="733"/>
      <c r="AB7" s="533" t="s">
        <v>83</v>
      </c>
      <c r="AC7" s="733"/>
      <c r="AD7" s="733"/>
      <c r="AE7" s="533" t="s">
        <v>83</v>
      </c>
      <c r="AF7" s="733"/>
      <c r="AG7" s="733"/>
      <c r="AH7" s="533" t="s">
        <v>83</v>
      </c>
      <c r="AI7" s="733"/>
      <c r="AJ7" s="733"/>
      <c r="AK7" s="533" t="s">
        <v>83</v>
      </c>
      <c r="AL7" s="757"/>
      <c r="AM7" s="757"/>
    </row>
    <row r="8" spans="1:39" ht="18.75" customHeight="1" x14ac:dyDescent="0.25">
      <c r="A8" s="764" t="s">
        <v>297</v>
      </c>
      <c r="B8" s="735">
        <v>2017</v>
      </c>
      <c r="C8" s="735">
        <v>2018</v>
      </c>
      <c r="D8" s="535" t="s">
        <v>85</v>
      </c>
      <c r="E8" s="735">
        <v>2017</v>
      </c>
      <c r="F8" s="735">
        <v>2018</v>
      </c>
      <c r="G8" s="535" t="s">
        <v>85</v>
      </c>
      <c r="H8" s="735">
        <v>2017</v>
      </c>
      <c r="I8" s="735">
        <v>2018</v>
      </c>
      <c r="J8" s="535" t="s">
        <v>85</v>
      </c>
      <c r="K8" s="735">
        <v>2017</v>
      </c>
      <c r="L8" s="735">
        <v>2018</v>
      </c>
      <c r="M8" s="535" t="s">
        <v>85</v>
      </c>
      <c r="N8" s="735">
        <v>2017</v>
      </c>
      <c r="O8" s="735">
        <v>2018</v>
      </c>
      <c r="P8" s="535" t="s">
        <v>85</v>
      </c>
      <c r="Q8" s="735">
        <v>2017</v>
      </c>
      <c r="R8" s="735">
        <v>2018</v>
      </c>
      <c r="S8" s="535" t="s">
        <v>85</v>
      </c>
      <c r="T8" s="735">
        <v>2017</v>
      </c>
      <c r="U8" s="735">
        <v>2018</v>
      </c>
      <c r="V8" s="535" t="s">
        <v>85</v>
      </c>
      <c r="W8" s="735">
        <v>2017</v>
      </c>
      <c r="X8" s="735">
        <v>2018</v>
      </c>
      <c r="Y8" s="535" t="s">
        <v>85</v>
      </c>
      <c r="Z8" s="735">
        <v>2017</v>
      </c>
      <c r="AA8" s="735">
        <v>2018</v>
      </c>
      <c r="AB8" s="535" t="s">
        <v>85</v>
      </c>
      <c r="AC8" s="735">
        <v>2017</v>
      </c>
      <c r="AD8" s="735">
        <v>2018</v>
      </c>
      <c r="AE8" s="535" t="s">
        <v>85</v>
      </c>
      <c r="AF8" s="735">
        <v>2017</v>
      </c>
      <c r="AG8" s="735">
        <v>2018</v>
      </c>
      <c r="AH8" s="535" t="s">
        <v>85</v>
      </c>
      <c r="AI8" s="735">
        <v>2017</v>
      </c>
      <c r="AJ8" s="735">
        <v>2018</v>
      </c>
      <c r="AK8" s="535" t="s">
        <v>85</v>
      </c>
      <c r="AL8" s="757"/>
      <c r="AM8" s="757"/>
    </row>
    <row r="9" spans="1:39" s="771" customFormat="1" ht="18.75" customHeight="1" x14ac:dyDescent="0.3">
      <c r="A9" s="765"/>
      <c r="B9" s="869"/>
      <c r="C9" s="680"/>
      <c r="D9" s="450"/>
      <c r="E9" s="869"/>
      <c r="F9" s="680"/>
      <c r="G9" s="450"/>
      <c r="H9" s="869"/>
      <c r="I9" s="680"/>
      <c r="J9" s="450"/>
      <c r="K9" s="869"/>
      <c r="L9" s="680"/>
      <c r="M9" s="450"/>
      <c r="N9" s="869"/>
      <c r="O9" s="680"/>
      <c r="P9" s="450"/>
      <c r="Q9" s="869"/>
      <c r="R9" s="680"/>
      <c r="S9" s="450"/>
      <c r="T9" s="685"/>
      <c r="U9" s="680"/>
      <c r="V9" s="769"/>
      <c r="W9" s="685"/>
      <c r="X9" s="680"/>
      <c r="Y9" s="769"/>
      <c r="Z9" s="929"/>
      <c r="AA9" s="680"/>
      <c r="AB9" s="769"/>
      <c r="AC9" s="869"/>
      <c r="AD9" s="680"/>
      <c r="AE9" s="769"/>
      <c r="AF9" s="767"/>
      <c r="AG9" s="767"/>
      <c r="AH9" s="450"/>
      <c r="AI9" s="768"/>
      <c r="AJ9" s="768"/>
      <c r="AK9" s="450"/>
      <c r="AL9" s="770"/>
      <c r="AM9" s="770"/>
    </row>
    <row r="10" spans="1:39" s="778" customFormat="1" ht="18.75" customHeight="1" x14ac:dyDescent="0.3">
      <c r="A10" s="565" t="s">
        <v>442</v>
      </c>
      <c r="B10" s="870"/>
      <c r="C10" s="678"/>
      <c r="D10" s="773"/>
      <c r="E10" s="870"/>
      <c r="F10" s="678"/>
      <c r="G10" s="773"/>
      <c r="H10" s="870"/>
      <c r="I10" s="678"/>
      <c r="J10" s="773"/>
      <c r="K10" s="870"/>
      <c r="L10" s="678"/>
      <c r="M10" s="773"/>
      <c r="N10" s="870"/>
      <c r="O10" s="678"/>
      <c r="P10" s="773"/>
      <c r="Q10" s="870"/>
      <c r="R10" s="678"/>
      <c r="S10" s="773"/>
      <c r="T10" s="686"/>
      <c r="U10" s="678"/>
      <c r="V10" s="776"/>
      <c r="W10" s="686"/>
      <c r="X10" s="678"/>
      <c r="Y10" s="776"/>
      <c r="Z10" s="930"/>
      <c r="AA10" s="678"/>
      <c r="AB10" s="776"/>
      <c r="AC10" s="870"/>
      <c r="AD10" s="678"/>
      <c r="AE10" s="776"/>
      <c r="AF10" s="774"/>
      <c r="AG10" s="774"/>
      <c r="AH10" s="773"/>
      <c r="AI10" s="775"/>
      <c r="AJ10" s="775"/>
      <c r="AK10" s="773"/>
      <c r="AL10" s="777"/>
      <c r="AM10" s="777"/>
    </row>
    <row r="11" spans="1:39" s="778" customFormat="1" ht="18.75" customHeight="1" x14ac:dyDescent="0.3">
      <c r="A11" s="743" t="s">
        <v>443</v>
      </c>
      <c r="B11" s="870">
        <f>SUM(B12:B15)</f>
        <v>16874.417999999998</v>
      </c>
      <c r="C11" s="678">
        <f>SUM(C12:C15)</f>
        <v>16794.103000000003</v>
      </c>
      <c r="D11" s="773">
        <f>IF(B11=0, "    ---- ", IF(ABS(ROUND(100/B11*C11-100,1))&lt;999,ROUND(100/B11*C11-100,1),IF(ROUND(100/B11*C11-100,1)&gt;999,999,-999)))</f>
        <v>-0.5</v>
      </c>
      <c r="E11" s="870">
        <f>SUM(E12:E15)</f>
        <v>74543.31</v>
      </c>
      <c r="F11" s="678">
        <f>SUM(F12:F15)</f>
        <v>76559.72099999999</v>
      </c>
      <c r="G11" s="773">
        <f>IF(E11=0, "    ---- ", IF(ABS(ROUND(100/E11*F11-100,1))&lt;999,ROUND(100/E11*F11-100,1),IF(ROUND(100/E11*F11-100,1)&gt;999,999,-999)))</f>
        <v>2.7</v>
      </c>
      <c r="H11" s="870">
        <f>SUM(H12:H15)</f>
        <v>3251.4210000000003</v>
      </c>
      <c r="I11" s="678">
        <f>SUM(I12:I15)</f>
        <v>3327.1</v>
      </c>
      <c r="J11" s="773">
        <f>IF(H11=0, "    ---- ", IF(ABS(ROUND(100/H11*I11-100,1))&lt;999,ROUND(100/H11*I11-100,1),IF(ROUND(100/H11*I11-100,1)&gt;999,999,-999)))</f>
        <v>2.2999999999999998</v>
      </c>
      <c r="K11" s="870">
        <f>SUM(K12:K15)</f>
        <v>22361.592999999997</v>
      </c>
      <c r="L11" s="678">
        <f>SUM(L12:L15)</f>
        <v>23796.2</v>
      </c>
      <c r="M11" s="773">
        <f>IF(K11=0, "    ---- ", IF(ABS(ROUND(100/K11*L11-100,1))&lt;999,ROUND(100/K11*L11-100,1),IF(ROUND(100/K11*L11-100,1)&gt;999,999,-999)))</f>
        <v>6.4</v>
      </c>
      <c r="N11" s="870">
        <f>SUM(N12:N15)</f>
        <v>1848.8795671500002</v>
      </c>
      <c r="O11" s="678">
        <f>SUM(O12:O15)</f>
        <v>1940.9515251500002</v>
      </c>
      <c r="P11" s="773">
        <f>IF(N11=0, "    ---- ", IF(ABS(ROUND(100/N11*O11-100,1))&lt;999,ROUND(100/N11*O11-100,1),IF(ROUND(100/N11*O11-100,1)&gt;999,999,-999)))</f>
        <v>5</v>
      </c>
      <c r="Q11" s="870">
        <f>SUM(Q12:Q15)</f>
        <v>2675</v>
      </c>
      <c r="R11" s="678">
        <f>SUM(R12:R15)</f>
        <v>3376.8</v>
      </c>
      <c r="S11" s="773">
        <f>IF(Q11=0, "    ---- ", IF(ABS(ROUND(100/Q11*R11-100,1))&lt;999,ROUND(100/Q11*R11-100,1),IF(ROUND(100/Q11*R11-100,1)&gt;999,999,-999)))</f>
        <v>26.2</v>
      </c>
      <c r="T11" s="870">
        <f>SUM(T12:T15)</f>
        <v>58646.140138300005</v>
      </c>
      <c r="U11" s="678">
        <f>SUM(U12:U15)</f>
        <v>59037.757645649996</v>
      </c>
      <c r="V11" s="779">
        <f>IF(T11=0, "    ---- ", IF(ABS(ROUND(100/T11*U11-100,1))&lt;999,ROUND(100/T11*U11-100,1),IF(ROUND(100/T11*U11-100,1)&gt;999,999,-999)))</f>
        <v>0.7</v>
      </c>
      <c r="W11" s="870">
        <f>SUM(W12:W15)</f>
        <v>2082.1870000000004</v>
      </c>
      <c r="X11" s="678">
        <f>SUM(X12:X15)</f>
        <v>2076.5110914399997</v>
      </c>
      <c r="Y11" s="776">
        <f>IF(W11=0, "    ---- ", IF(ABS(ROUND(100/W11*X11-100,1))&lt;999,ROUND(100/W11*X11-100,1),IF(ROUND(100/W11*X11-100,1)&gt;999,999,-999)))</f>
        <v>-0.3</v>
      </c>
      <c r="Z11" s="870">
        <f>SUM(Z12:Z15)</f>
        <v>25001.972000000002</v>
      </c>
      <c r="AA11" s="678">
        <f>SUM(AA12:AA15)</f>
        <v>27908.252</v>
      </c>
      <c r="AB11" s="779">
        <f>IF(Z11=0, "    ---- ", IF(ABS(ROUND(100/Z11*AA11-100,1))&lt;999,ROUND(100/Z11*AA11-100,1),IF(ROUND(100/Z11*AA11-100,1)&gt;999,999,-999)))</f>
        <v>11.6</v>
      </c>
      <c r="AC11" s="870">
        <f>SUM(AC12:AC15)</f>
        <v>80376</v>
      </c>
      <c r="AD11" s="678">
        <f>SUM(AD12:AD15)</f>
        <v>93440.9</v>
      </c>
      <c r="AE11" s="779">
        <f t="shared" ref="AE11:AE39" si="0">IF(AC11=0, "    ---- ", IF(ABS(ROUND(100/AC11*AD11-100,1))&lt;999,ROUND(100/AC11*AD11-100,1),IF(ROUND(100/AC11*AD11-100,1)&gt;999,999,-999)))</f>
        <v>16.3</v>
      </c>
      <c r="AF11" s="772">
        <f>+B11+E11+H11+K11+N11+Q11+T11+W11+Z11+AC11</f>
        <v>287660.92070545</v>
      </c>
      <c r="AG11" s="772">
        <f>+C11+F11+I11+L11+O11+R11+U11+X11+AA11+AD11</f>
        <v>308258.29626224004</v>
      </c>
      <c r="AH11" s="773">
        <f>IF(AF11=0, "    ---- ", IF(ABS(ROUND(100/AF11*AG11-100,1))&lt;999,ROUND(100/AF11*AG11-100,1),IF(ROUND(100/AF11*AG11-100,1)&gt;999,999,-999)))</f>
        <v>7.2</v>
      </c>
      <c r="AI11" s="780"/>
      <c r="AJ11" s="780"/>
      <c r="AK11" s="780"/>
      <c r="AL11" s="747"/>
      <c r="AM11" s="777"/>
    </row>
    <row r="12" spans="1:39" s="784" customFormat="1" ht="18.75" customHeight="1" x14ac:dyDescent="0.3">
      <c r="A12" s="541" t="s">
        <v>421</v>
      </c>
      <c r="B12" s="869">
        <v>2516.9319999999998</v>
      </c>
      <c r="C12" s="680">
        <v>2385.2289999999998</v>
      </c>
      <c r="D12" s="450">
        <f>IF(B12=0, "    ---- ", IF(ABS(ROUND(100/B12*C12-100,1))&lt;999,ROUND(100/B12*C12-100,1),IF(ROUND(100/B12*C12-100,1)&gt;999,999,-999)))</f>
        <v>-5.2</v>
      </c>
      <c r="E12" s="869">
        <v>5982.4639999999999</v>
      </c>
      <c r="F12" s="680">
        <v>5327.366</v>
      </c>
      <c r="G12" s="450">
        <f>IF(E12=0, "    ---- ", IF(ABS(ROUND(100/E12*F12-100,1))&lt;999,ROUND(100/E12*F12-100,1),IF(ROUND(100/E12*F12-100,1)&gt;999,999,-999)))</f>
        <v>-11</v>
      </c>
      <c r="H12" s="869"/>
      <c r="I12" s="680"/>
      <c r="J12" s="450"/>
      <c r="K12" s="869">
        <v>517.63099999999997</v>
      </c>
      <c r="L12" s="680">
        <v>521.29999999999995</v>
      </c>
      <c r="M12" s="450">
        <f>IF(K12=0, "    ---- ", IF(ABS(ROUND(100/K12*L12-100,1))&lt;999,ROUND(100/K12*L12-100,1),IF(ROUND(100/K12*L12-100,1)&gt;999,999,-999)))</f>
        <v>0.7</v>
      </c>
      <c r="N12" s="869"/>
      <c r="O12" s="680"/>
      <c r="P12" s="450"/>
      <c r="Q12" s="869"/>
      <c r="R12" s="680"/>
      <c r="S12" s="450"/>
      <c r="T12" s="869">
        <v>23826.602273592416</v>
      </c>
      <c r="U12" s="680">
        <v>23673.920913233622</v>
      </c>
      <c r="V12" s="781">
        <f>IF(T12=0, "    ---- ", IF(ABS(ROUND(100/T12*U12-100,1))&lt;999,ROUND(100/T12*U12-100,1),IF(ROUND(100/T12*U12-100,1)&gt;999,999,-999)))</f>
        <v>-0.6</v>
      </c>
      <c r="W12" s="869">
        <v>785.11300000000006</v>
      </c>
      <c r="X12" s="680">
        <v>780.53809144000002</v>
      </c>
      <c r="Y12" s="769">
        <f>IF(W12=0, "    ---- ", IF(ABS(ROUND(100/W12*X12-100,1))&lt;999,ROUND(100/W12*X12-100,1),IF(ROUND(100/W12*X12-100,1)&gt;999,999,-999)))</f>
        <v>-0.6</v>
      </c>
      <c r="Z12" s="869">
        <v>2183.145</v>
      </c>
      <c r="AA12" s="680">
        <v>2150.6410000000001</v>
      </c>
      <c r="AB12" s="781">
        <f>IF(Z12=0, "    ---- ", IF(ABS(ROUND(100/Z12*AA12-100,1))&lt;999,ROUND(100/Z12*AA12-100,1),IF(ROUND(100/Z12*AA12-100,1)&gt;999,999,-999)))</f>
        <v>-1.5</v>
      </c>
      <c r="AC12" s="869">
        <v>6482</v>
      </c>
      <c r="AD12" s="680">
        <v>6841.9</v>
      </c>
      <c r="AE12" s="781">
        <f t="shared" si="0"/>
        <v>5.6</v>
      </c>
      <c r="AF12" s="766">
        <f t="shared" ref="AF12:AG42" si="1">+B12+E12+H12+K12+N12+Q12+T12+W12+Z12+AC12</f>
        <v>42293.887273592409</v>
      </c>
      <c r="AG12" s="766">
        <f t="shared" si="1"/>
        <v>41680.895004673628</v>
      </c>
      <c r="AH12" s="450">
        <f>IF(AF12=0, "    ---- ", IF(ABS(ROUND(100/AF12*AG12-100,1))&lt;999,ROUND(100/AF12*AG12-100,1),IF(ROUND(100/AF12*AG12-100,1)&gt;999,999,-999)))</f>
        <v>-1.4</v>
      </c>
      <c r="AI12" s="782"/>
      <c r="AJ12" s="782"/>
      <c r="AK12" s="782"/>
      <c r="AL12" s="783"/>
      <c r="AM12" s="783"/>
    </row>
    <row r="13" spans="1:39" s="784" customFormat="1" ht="18.75" customHeight="1" x14ac:dyDescent="0.3">
      <c r="A13" s="541" t="s">
        <v>424</v>
      </c>
      <c r="B13" s="869">
        <v>2315.1280000000002</v>
      </c>
      <c r="C13" s="680">
        <v>2007.402</v>
      </c>
      <c r="D13" s="450">
        <f>IF(B13=0, "    ---- ", IF(ABS(ROUND(100/B13*C13-100,1))&lt;999,ROUND(100/B13*C13-100,1),IF(ROUND(100/B13*C13-100,1)&gt;999,999,-999)))</f>
        <v>-13.3</v>
      </c>
      <c r="E13" s="869">
        <v>5853.7629999999999</v>
      </c>
      <c r="F13" s="680">
        <v>5150.6779999999999</v>
      </c>
      <c r="G13" s="450">
        <f>IF(E13=0, "    ---- ", IF(ABS(ROUND(100/E13*F13-100,1))&lt;999,ROUND(100/E13*F13-100,1),IF(ROUND(100/E13*F13-100,1)&gt;999,999,-999)))</f>
        <v>-12</v>
      </c>
      <c r="H13" s="869">
        <v>115.92700000000001</v>
      </c>
      <c r="I13" s="680">
        <v>135.4</v>
      </c>
      <c r="J13" s="450">
        <f>IF(H13=0, "    ---- ", IF(ABS(ROUND(100/H13*I13-100,1))&lt;999,ROUND(100/H13*I13-100,1),IF(ROUND(100/H13*I13-100,1)&gt;999,999,-999)))</f>
        <v>16.8</v>
      </c>
      <c r="K13" s="869">
        <v>1599.558</v>
      </c>
      <c r="L13" s="680">
        <v>1492.6</v>
      </c>
      <c r="M13" s="450">
        <f>IF(K13=0, "    ---- ", IF(ABS(ROUND(100/K13*L13-100,1))&lt;999,ROUND(100/K13*L13-100,1),IF(ROUND(100/K13*L13-100,1)&gt;999,999,-999)))</f>
        <v>-6.7</v>
      </c>
      <c r="N13" s="869"/>
      <c r="O13" s="680"/>
      <c r="P13" s="450"/>
      <c r="Q13" s="869"/>
      <c r="R13" s="680"/>
      <c r="S13" s="450"/>
      <c r="T13" s="869">
        <v>3613.1504856800079</v>
      </c>
      <c r="U13" s="680">
        <v>3231.1500984697109</v>
      </c>
      <c r="V13" s="450">
        <f>IF(T13=0, "    ---- ", IF(ABS(ROUND(100/T13*U13-100,1))&lt;999,ROUND(100/T13*U13-100,1),IF(ROUND(100/T13*U13-100,1)&gt;999,999,-999)))</f>
        <v>-10.6</v>
      </c>
      <c r="W13" s="869">
        <v>912.52200000000005</v>
      </c>
      <c r="X13" s="680">
        <v>811.68600000000004</v>
      </c>
      <c r="Y13" s="450">
        <f>IF(W13=0, "    ---- ", IF(ABS(ROUND(100/W13*X13-100,1))&lt;999,ROUND(100/W13*X13-100,1),IF(ROUND(100/W13*X13-100,1)&gt;999,999,-999)))</f>
        <v>-11.1</v>
      </c>
      <c r="Z13" s="869">
        <v>2183.145</v>
      </c>
      <c r="AA13" s="680">
        <v>2121.9920000000002</v>
      </c>
      <c r="AB13" s="450">
        <f>IF(Z13=0, "    ---- ", IF(ABS(ROUND(100/Z13*AA13-100,1))&lt;999,ROUND(100/Z13*AA13-100,1),IF(ROUND(100/Z13*AA13-100,1)&gt;999,999,-999)))</f>
        <v>-2.8</v>
      </c>
      <c r="AC13" s="869">
        <v>4100</v>
      </c>
      <c r="AD13" s="680">
        <v>4159</v>
      </c>
      <c r="AE13" s="450">
        <f t="shared" si="0"/>
        <v>1.4</v>
      </c>
      <c r="AF13" s="766">
        <f t="shared" si="1"/>
        <v>20693.193485680007</v>
      </c>
      <c r="AG13" s="766">
        <f t="shared" si="1"/>
        <v>19109.90809846971</v>
      </c>
      <c r="AH13" s="450">
        <f>IF(AF13=0, "    ---- ", IF(ABS(ROUND(100/AF13*AG13-100,1))&lt;999,ROUND(100/AF13*AG13-100,1),IF(ROUND(100/AF13*AG13-100,1)&gt;999,999,-999)))</f>
        <v>-7.7</v>
      </c>
      <c r="AI13" s="782"/>
      <c r="AJ13" s="782"/>
      <c r="AK13" s="782"/>
      <c r="AL13" s="783"/>
      <c r="AM13" s="783"/>
    </row>
    <row r="14" spans="1:39" s="784" customFormat="1" ht="18.75" customHeight="1" x14ac:dyDescent="0.3">
      <c r="A14" s="541" t="s">
        <v>426</v>
      </c>
      <c r="B14" s="869">
        <v>12042.358</v>
      </c>
      <c r="C14" s="680">
        <v>12401.472000000002</v>
      </c>
      <c r="D14" s="450">
        <f>IF(B14=0, "    ---- ", IF(ABS(ROUND(100/B14*C14-100,1))&lt;999,ROUND(100/B14*C14-100,1),IF(ROUND(100/B14*C14-100,1)&gt;999,999,-999)))</f>
        <v>3</v>
      </c>
      <c r="E14" s="869">
        <v>62707.083000000006</v>
      </c>
      <c r="F14" s="680">
        <f>66763.298-681.621</f>
        <v>66081.676999999996</v>
      </c>
      <c r="G14" s="450">
        <f>IF(E14=0, "    ---- ", IF(ABS(ROUND(100/E14*F14-100,1))&lt;999,ROUND(100/E14*F14-100,1),IF(ROUND(100/E14*F14-100,1)&gt;999,999,-999)))</f>
        <v>5.4</v>
      </c>
      <c r="H14" s="869">
        <v>3135.4940000000001</v>
      </c>
      <c r="I14" s="680">
        <v>3191.7</v>
      </c>
      <c r="J14" s="450">
        <f>IF(H14=0, "    ---- ", IF(ABS(ROUND(100/H14*I14-100,1))&lt;999,ROUND(100/H14*I14-100,1),IF(ROUND(100/H14*I14-100,1)&gt;999,999,-999)))</f>
        <v>1.8</v>
      </c>
      <c r="K14" s="869">
        <v>20244.403999999999</v>
      </c>
      <c r="L14" s="680">
        <v>21782.3</v>
      </c>
      <c r="M14" s="450">
        <f>IF(K14=0, "    ---- ", IF(ABS(ROUND(100/K14*L14-100,1))&lt;999,ROUND(100/K14*L14-100,1),IF(ROUND(100/K14*L14-100,1)&gt;999,999,-999)))</f>
        <v>7.6</v>
      </c>
      <c r="N14" s="869"/>
      <c r="O14" s="680"/>
      <c r="P14" s="450"/>
      <c r="Q14" s="869">
        <v>2675</v>
      </c>
      <c r="R14" s="680">
        <v>3376.8</v>
      </c>
      <c r="S14" s="450">
        <f>IF(Q14=0, "    ---- ", IF(ABS(ROUND(100/Q14*R14-100,1))&lt;999,ROUND(100/Q14*R14-100,1),IF(ROUND(100/Q14*R14-100,1)&gt;999,999,-999)))</f>
        <v>26.2</v>
      </c>
      <c r="T14" s="869">
        <v>31206.387379027583</v>
      </c>
      <c r="U14" s="680">
        <v>32132.686633946665</v>
      </c>
      <c r="V14" s="450">
        <f>IF(T14=0, "    ---- ", IF(ABS(ROUND(100/T14*U14-100,1))&lt;999,ROUND(100/T14*U14-100,1),IF(ROUND(100/T14*U14-100,1)&gt;999,999,-999)))</f>
        <v>3</v>
      </c>
      <c r="W14" s="869">
        <v>384.55200000000002</v>
      </c>
      <c r="X14" s="680">
        <v>484.28699999999998</v>
      </c>
      <c r="Y14" s="450">
        <f>IF(W14=0, "    ---- ", IF(ABS(ROUND(100/W14*X14-100,1))&lt;999,ROUND(100/W14*X14-100,1),IF(ROUND(100/W14*X14-100,1)&gt;999,999,-999)))</f>
        <v>25.9</v>
      </c>
      <c r="Z14" s="869">
        <v>20635.682000000001</v>
      </c>
      <c r="AA14" s="680">
        <f>648.47+15790.899+7196.25</f>
        <v>23635.618999999999</v>
      </c>
      <c r="AB14" s="450">
        <f>IF(Z14=0, "    ---- ", IF(ABS(ROUND(100/Z14*AA14-100,1))&lt;999,ROUND(100/Z14*AA14-100,1),IF(ROUND(100/Z14*AA14-100,1)&gt;999,999,-999)))</f>
        <v>14.5</v>
      </c>
      <c r="AC14" s="869">
        <v>69794</v>
      </c>
      <c r="AD14" s="680">
        <v>82440</v>
      </c>
      <c r="AE14" s="450">
        <f t="shared" si="0"/>
        <v>18.100000000000001</v>
      </c>
      <c r="AF14" s="766">
        <f t="shared" si="1"/>
        <v>222824.96037902759</v>
      </c>
      <c r="AG14" s="766">
        <f t="shared" si="1"/>
        <v>245526.5416339467</v>
      </c>
      <c r="AH14" s="450">
        <f t="shared" ref="AH14:AH42" si="2">IF(AF14=0, "    ---- ", IF(ABS(ROUND(100/AF14*AG14-100,1))&lt;999,ROUND(100/AF14*AG14-100,1),IF(ROUND(100/AF14*AG14-100,1)&gt;999,999,-999)))</f>
        <v>10.199999999999999</v>
      </c>
      <c r="AI14" s="782"/>
      <c r="AJ14" s="782"/>
      <c r="AK14" s="782"/>
      <c r="AL14" s="783"/>
      <c r="AM14" s="783"/>
    </row>
    <row r="15" spans="1:39" s="784" customFormat="1" ht="18.75" customHeight="1" x14ac:dyDescent="0.3">
      <c r="A15" s="541" t="s">
        <v>428</v>
      </c>
      <c r="B15" s="869"/>
      <c r="C15" s="680"/>
      <c r="D15" s="450"/>
      <c r="E15" s="869"/>
      <c r="F15" s="680"/>
      <c r="G15" s="450"/>
      <c r="H15" s="869"/>
      <c r="I15" s="680"/>
      <c r="J15" s="450"/>
      <c r="K15" s="869"/>
      <c r="L15" s="680"/>
      <c r="M15" s="450"/>
      <c r="N15" s="869">
        <v>1848.8795671500002</v>
      </c>
      <c r="O15" s="680">
        <v>1940.9515251500002</v>
      </c>
      <c r="P15" s="450">
        <f>IF(N15=0, "    ---- ", IF(ABS(ROUND(100/N15*O15-100,1))&lt;999,ROUND(100/N15*O15-100,1),IF(ROUND(100/N15*O15-100,1)&gt;999,999,-999)))</f>
        <v>5</v>
      </c>
      <c r="Q15" s="869"/>
      <c r="R15" s="680"/>
      <c r="S15" s="450"/>
      <c r="T15" s="869"/>
      <c r="U15" s="680"/>
      <c r="V15" s="450"/>
      <c r="W15" s="869"/>
      <c r="X15" s="680"/>
      <c r="Y15" s="450"/>
      <c r="Z15" s="869"/>
      <c r="AA15" s="680"/>
      <c r="AB15" s="450"/>
      <c r="AC15" s="869"/>
      <c r="AD15" s="680"/>
      <c r="AE15" s="450"/>
      <c r="AF15" s="766">
        <f t="shared" si="1"/>
        <v>1848.8795671500002</v>
      </c>
      <c r="AG15" s="766">
        <f t="shared" si="1"/>
        <v>1940.9515251500002</v>
      </c>
      <c r="AH15" s="450">
        <f t="shared" si="2"/>
        <v>5</v>
      </c>
      <c r="AI15" s="782"/>
      <c r="AJ15" s="782"/>
      <c r="AK15" s="782"/>
      <c r="AL15" s="783"/>
      <c r="AM15" s="783"/>
    </row>
    <row r="16" spans="1:39" s="778" customFormat="1" ht="18.75" customHeight="1" x14ac:dyDescent="0.3">
      <c r="A16" s="743" t="s">
        <v>430</v>
      </c>
      <c r="B16" s="870"/>
      <c r="C16" s="678"/>
      <c r="D16" s="773"/>
      <c r="E16" s="870"/>
      <c r="F16" s="678"/>
      <c r="G16" s="773"/>
      <c r="H16" s="870"/>
      <c r="I16" s="678"/>
      <c r="J16" s="773"/>
      <c r="K16" s="870">
        <f>SUM(K17:K20)</f>
        <v>22361.592999999997</v>
      </c>
      <c r="L16" s="678">
        <f>SUM(L17:L20)</f>
        <v>23796.2</v>
      </c>
      <c r="M16" s="773">
        <f>IF(K16=0, "    ---- ", IF(ABS(ROUND(100/K16*L16-100,1))&lt;999,ROUND(100/K16*L16-100,1),IF(ROUND(100/K16*L16-100,1)&gt;999,999,-999)))</f>
        <v>6.4</v>
      </c>
      <c r="N16" s="870">
        <f>SUM(N17:N20)</f>
        <v>1848.8795671500002</v>
      </c>
      <c r="O16" s="678">
        <f>SUM(O17:O20)</f>
        <v>1940.9515251500002</v>
      </c>
      <c r="P16" s="773">
        <f>IF(N16=0, "    ---- ", IF(ABS(ROUND(100/N16*O16-100,1))&lt;999,ROUND(100/N16*O16-100,1),IF(ROUND(100/N16*O16-100,1)&gt;999,999,-999)))</f>
        <v>5</v>
      </c>
      <c r="Q16" s="870"/>
      <c r="R16" s="678"/>
      <c r="S16" s="773"/>
      <c r="T16" s="870">
        <f>SUM(T17:T20)</f>
        <v>58646.140138300005</v>
      </c>
      <c r="U16" s="678">
        <f>SUM(U17:U20)</f>
        <v>59037.757645649996</v>
      </c>
      <c r="V16" s="773">
        <f>IF(T16=0, "    ---- ", IF(ABS(ROUND(100/T16*U16-100,1))&lt;999,ROUND(100/T16*U16-100,1),IF(ROUND(100/T16*U16-100,1)&gt;999,999,-999)))</f>
        <v>0.7</v>
      </c>
      <c r="W16" s="870"/>
      <c r="X16" s="678"/>
      <c r="Y16" s="773"/>
      <c r="Z16" s="870"/>
      <c r="AA16" s="678"/>
      <c r="AB16" s="773"/>
      <c r="AC16" s="870">
        <f>SUM(AC17:AC20)</f>
        <v>80376</v>
      </c>
      <c r="AD16" s="678">
        <f>SUM(AD17:AD20)</f>
        <v>93441</v>
      </c>
      <c r="AE16" s="773">
        <f t="shared" si="0"/>
        <v>16.3</v>
      </c>
      <c r="AF16" s="772">
        <f t="shared" si="1"/>
        <v>163232.61270545001</v>
      </c>
      <c r="AG16" s="772">
        <f t="shared" si="1"/>
        <v>178215.90917080001</v>
      </c>
      <c r="AH16" s="773">
        <f t="shared" si="2"/>
        <v>9.1999999999999993</v>
      </c>
      <c r="AI16" s="780"/>
      <c r="AJ16" s="780"/>
      <c r="AK16" s="780"/>
      <c r="AL16" s="747"/>
      <c r="AM16" s="777"/>
    </row>
    <row r="17" spans="1:39" s="784" customFormat="1" ht="18.75" customHeight="1" x14ac:dyDescent="0.3">
      <c r="A17" s="541" t="s">
        <v>421</v>
      </c>
      <c r="B17" s="869"/>
      <c r="C17" s="680"/>
      <c r="D17" s="450"/>
      <c r="E17" s="869"/>
      <c r="F17" s="680"/>
      <c r="G17" s="450"/>
      <c r="H17" s="869"/>
      <c r="I17" s="680"/>
      <c r="J17" s="450"/>
      <c r="K17" s="869">
        <v>517.63099999999997</v>
      </c>
      <c r="L17" s="680">
        <v>521.29999999999995</v>
      </c>
      <c r="M17" s="450">
        <f>IF(K17=0, "    ---- ", IF(ABS(ROUND(100/K17*L17-100,1))&lt;999,ROUND(100/K17*L17-100,1),IF(ROUND(100/K17*L17-100,1)&gt;999,999,-999)))</f>
        <v>0.7</v>
      </c>
      <c r="N17" s="869"/>
      <c r="O17" s="680"/>
      <c r="P17" s="450"/>
      <c r="Q17" s="869"/>
      <c r="R17" s="680"/>
      <c r="S17" s="450"/>
      <c r="T17" s="869">
        <v>23826.602273592416</v>
      </c>
      <c r="U17" s="680">
        <v>23673.920913233622</v>
      </c>
      <c r="V17" s="450">
        <f>IF(T17=0, "    ---- ", IF(ABS(ROUND(100/T17*U17-100,1))&lt;999,ROUND(100/T17*U17-100,1),IF(ROUND(100/T17*U17-100,1)&gt;999,999,-999)))</f>
        <v>-0.6</v>
      </c>
      <c r="W17" s="869"/>
      <c r="X17" s="680"/>
      <c r="Y17" s="450"/>
      <c r="Z17" s="869"/>
      <c r="AA17" s="680"/>
      <c r="AB17" s="450"/>
      <c r="AC17" s="869">
        <v>6482</v>
      </c>
      <c r="AD17" s="680">
        <v>6842</v>
      </c>
      <c r="AE17" s="450">
        <f t="shared" si="0"/>
        <v>5.6</v>
      </c>
      <c r="AF17" s="766">
        <f t="shared" si="1"/>
        <v>30826.233273592417</v>
      </c>
      <c r="AG17" s="766">
        <f t="shared" si="1"/>
        <v>31037.220913233621</v>
      </c>
      <c r="AH17" s="450">
        <f t="shared" si="2"/>
        <v>0.7</v>
      </c>
      <c r="AI17" s="782"/>
      <c r="AJ17" s="782"/>
      <c r="AK17" s="782"/>
      <c r="AL17" s="783"/>
      <c r="AM17" s="783"/>
    </row>
    <row r="18" spans="1:39" s="784" customFormat="1" ht="18.75" customHeight="1" x14ac:dyDescent="0.3">
      <c r="A18" s="541" t="s">
        <v>424</v>
      </c>
      <c r="B18" s="869"/>
      <c r="C18" s="680"/>
      <c r="D18" s="450"/>
      <c r="E18" s="869"/>
      <c r="F18" s="680"/>
      <c r="G18" s="450"/>
      <c r="H18" s="869"/>
      <c r="I18" s="680"/>
      <c r="J18" s="450"/>
      <c r="K18" s="869">
        <v>1599.558</v>
      </c>
      <c r="L18" s="680">
        <v>1492.6</v>
      </c>
      <c r="M18" s="450">
        <f>IF(K18=0, "    ---- ", IF(ABS(ROUND(100/K18*L18-100,1))&lt;999,ROUND(100/K18*L18-100,1),IF(ROUND(100/K18*L18-100,1)&gt;999,999,-999)))</f>
        <v>-6.7</v>
      </c>
      <c r="N18" s="869"/>
      <c r="O18" s="680"/>
      <c r="P18" s="450"/>
      <c r="Q18" s="869"/>
      <c r="R18" s="680"/>
      <c r="S18" s="450"/>
      <c r="T18" s="869">
        <v>3613.1504856800079</v>
      </c>
      <c r="U18" s="680">
        <v>3231.1500984697109</v>
      </c>
      <c r="V18" s="450">
        <f>IF(T18=0, "    ---- ", IF(ABS(ROUND(100/T18*U18-100,1))&lt;999,ROUND(100/T18*U18-100,1),IF(ROUND(100/T18*U18-100,1)&gt;999,999,-999)))</f>
        <v>-10.6</v>
      </c>
      <c r="W18" s="869"/>
      <c r="X18" s="680"/>
      <c r="Y18" s="450"/>
      <c r="Z18" s="869"/>
      <c r="AA18" s="680"/>
      <c r="AB18" s="450"/>
      <c r="AC18" s="869">
        <v>4100</v>
      </c>
      <c r="AD18" s="680">
        <v>4159</v>
      </c>
      <c r="AE18" s="450">
        <f t="shared" si="0"/>
        <v>1.4</v>
      </c>
      <c r="AF18" s="766">
        <f t="shared" si="1"/>
        <v>9312.7084856800084</v>
      </c>
      <c r="AG18" s="766">
        <f t="shared" si="1"/>
        <v>8882.7500984697108</v>
      </c>
      <c r="AH18" s="450">
        <f t="shared" si="2"/>
        <v>-4.5999999999999996</v>
      </c>
      <c r="AI18" s="782"/>
      <c r="AJ18" s="782"/>
      <c r="AK18" s="782"/>
      <c r="AL18" s="783"/>
      <c r="AM18" s="783"/>
    </row>
    <row r="19" spans="1:39" s="784" customFormat="1" ht="18.75" customHeight="1" x14ac:dyDescent="0.3">
      <c r="A19" s="541" t="s">
        <v>426</v>
      </c>
      <c r="B19" s="869"/>
      <c r="C19" s="680"/>
      <c r="D19" s="450"/>
      <c r="E19" s="869"/>
      <c r="F19" s="680"/>
      <c r="G19" s="450"/>
      <c r="H19" s="869"/>
      <c r="I19" s="680"/>
      <c r="J19" s="450"/>
      <c r="K19" s="869">
        <v>20244.403999999999</v>
      </c>
      <c r="L19" s="680">
        <v>21782.3</v>
      </c>
      <c r="M19" s="450">
        <f>IF(K19=0, "    ---- ", IF(ABS(ROUND(100/K19*L19-100,1))&lt;999,ROUND(100/K19*L19-100,1),IF(ROUND(100/K19*L19-100,1)&gt;999,999,-999)))</f>
        <v>7.6</v>
      </c>
      <c r="N19" s="869"/>
      <c r="O19" s="680"/>
      <c r="P19" s="450"/>
      <c r="Q19" s="869"/>
      <c r="R19" s="680"/>
      <c r="S19" s="450"/>
      <c r="T19" s="869">
        <v>31206.387379027583</v>
      </c>
      <c r="U19" s="680">
        <v>32132.686633946665</v>
      </c>
      <c r="V19" s="450">
        <f>IF(T19=0, "    ---- ", IF(ABS(ROUND(100/T19*U19-100,1))&lt;999,ROUND(100/T19*U19-100,1),IF(ROUND(100/T19*U19-100,1)&gt;999,999,-999)))</f>
        <v>3</v>
      </c>
      <c r="W19" s="869"/>
      <c r="X19" s="680"/>
      <c r="Y19" s="450"/>
      <c r="Z19" s="869"/>
      <c r="AA19" s="680"/>
      <c r="AB19" s="450"/>
      <c r="AC19" s="869">
        <v>69794</v>
      </c>
      <c r="AD19" s="680">
        <v>82440</v>
      </c>
      <c r="AE19" s="450">
        <f t="shared" si="0"/>
        <v>18.100000000000001</v>
      </c>
      <c r="AF19" s="766">
        <f t="shared" si="1"/>
        <v>121244.79137902758</v>
      </c>
      <c r="AG19" s="766">
        <f t="shared" si="1"/>
        <v>136354.98663394665</v>
      </c>
      <c r="AH19" s="450">
        <f t="shared" si="2"/>
        <v>12.5</v>
      </c>
      <c r="AI19" s="782"/>
      <c r="AJ19" s="782"/>
      <c r="AK19" s="782"/>
      <c r="AL19" s="783"/>
      <c r="AM19" s="783"/>
    </row>
    <row r="20" spans="1:39" s="784" customFormat="1" ht="18.75" customHeight="1" x14ac:dyDescent="0.3">
      <c r="A20" s="541" t="s">
        <v>428</v>
      </c>
      <c r="B20" s="869"/>
      <c r="C20" s="680"/>
      <c r="D20" s="450"/>
      <c r="E20" s="869"/>
      <c r="F20" s="680"/>
      <c r="G20" s="450"/>
      <c r="H20" s="869"/>
      <c r="I20" s="680"/>
      <c r="J20" s="450"/>
      <c r="K20" s="869"/>
      <c r="L20" s="680"/>
      <c r="M20" s="450"/>
      <c r="N20" s="869">
        <v>1848.8795671500002</v>
      </c>
      <c r="O20" s="680">
        <v>1940.9515251500002</v>
      </c>
      <c r="P20" s="450">
        <f>IF(N20=0, "    ---- ", IF(ABS(ROUND(100/N20*O20-100,1))&lt;999,ROUND(100/N20*O20-100,1),IF(ROUND(100/N20*O20-100,1)&gt;999,999,-999)))</f>
        <v>5</v>
      </c>
      <c r="Q20" s="869"/>
      <c r="R20" s="680"/>
      <c r="S20" s="450"/>
      <c r="T20" s="869"/>
      <c r="U20" s="680"/>
      <c r="V20" s="450"/>
      <c r="W20" s="869"/>
      <c r="X20" s="680"/>
      <c r="Y20" s="450"/>
      <c r="Z20" s="869"/>
      <c r="AA20" s="680"/>
      <c r="AB20" s="450"/>
      <c r="AC20" s="869"/>
      <c r="AD20" s="680"/>
      <c r="AE20" s="450"/>
      <c r="AF20" s="766">
        <f t="shared" si="1"/>
        <v>1848.8795671500002</v>
      </c>
      <c r="AG20" s="766">
        <f t="shared" si="1"/>
        <v>1940.9515251500002</v>
      </c>
      <c r="AH20" s="450">
        <f t="shared" si="2"/>
        <v>5</v>
      </c>
      <c r="AI20" s="782"/>
      <c r="AJ20" s="782"/>
      <c r="AK20" s="782"/>
      <c r="AL20" s="783"/>
      <c r="AM20" s="783"/>
    </row>
    <row r="21" spans="1:39" s="778" customFormat="1" ht="18.75" customHeight="1" x14ac:dyDescent="0.3">
      <c r="A21" s="743" t="s">
        <v>444</v>
      </c>
      <c r="B21" s="870"/>
      <c r="C21" s="678"/>
      <c r="D21" s="773"/>
      <c r="E21" s="870"/>
      <c r="F21" s="678"/>
      <c r="G21" s="773"/>
      <c r="H21" s="870"/>
      <c r="I21" s="678"/>
      <c r="J21" s="773"/>
      <c r="K21" s="870"/>
      <c r="L21" s="678"/>
      <c r="M21" s="773"/>
      <c r="N21" s="870"/>
      <c r="O21" s="678"/>
      <c r="P21" s="773"/>
      <c r="Q21" s="870"/>
      <c r="R21" s="678"/>
      <c r="S21" s="773"/>
      <c r="T21" s="870"/>
      <c r="U21" s="678"/>
      <c r="V21" s="773"/>
      <c r="W21" s="870"/>
      <c r="X21" s="678"/>
      <c r="Y21" s="773"/>
      <c r="Z21" s="870"/>
      <c r="AA21" s="678"/>
      <c r="AB21" s="773"/>
      <c r="AC21" s="870"/>
      <c r="AD21" s="678"/>
      <c r="AE21" s="773"/>
      <c r="AF21" s="772">
        <f t="shared" si="1"/>
        <v>0</v>
      </c>
      <c r="AG21" s="772">
        <f t="shared" si="1"/>
        <v>0</v>
      </c>
      <c r="AH21" s="773" t="str">
        <f t="shared" si="2"/>
        <v xml:space="preserve">    ---- </v>
      </c>
      <c r="AI21" s="780"/>
      <c r="AJ21" s="780"/>
      <c r="AK21" s="780"/>
      <c r="AL21" s="747"/>
      <c r="AM21" s="777"/>
    </row>
    <row r="22" spans="1:39" s="784" customFormat="1" ht="18.75" customHeight="1" x14ac:dyDescent="0.3">
      <c r="A22" s="541" t="s">
        <v>421</v>
      </c>
      <c r="B22" s="869"/>
      <c r="C22" s="680"/>
      <c r="D22" s="450"/>
      <c r="E22" s="869"/>
      <c r="F22" s="680"/>
      <c r="G22" s="450"/>
      <c r="H22" s="869"/>
      <c r="I22" s="680"/>
      <c r="J22" s="450"/>
      <c r="K22" s="869"/>
      <c r="L22" s="680"/>
      <c r="M22" s="450"/>
      <c r="N22" s="869"/>
      <c r="O22" s="680"/>
      <c r="P22" s="450"/>
      <c r="Q22" s="869"/>
      <c r="R22" s="680"/>
      <c r="S22" s="450"/>
      <c r="T22" s="869"/>
      <c r="U22" s="680"/>
      <c r="V22" s="450"/>
      <c r="W22" s="869"/>
      <c r="X22" s="680"/>
      <c r="Y22" s="450"/>
      <c r="Z22" s="869"/>
      <c r="AA22" s="680"/>
      <c r="AB22" s="450"/>
      <c r="AC22" s="869"/>
      <c r="AD22" s="680"/>
      <c r="AE22" s="450"/>
      <c r="AF22" s="766">
        <f t="shared" si="1"/>
        <v>0</v>
      </c>
      <c r="AG22" s="766">
        <f t="shared" si="1"/>
        <v>0</v>
      </c>
      <c r="AH22" s="450" t="str">
        <f t="shared" si="2"/>
        <v xml:space="preserve">    ---- </v>
      </c>
      <c r="AI22" s="782"/>
      <c r="AJ22" s="782"/>
      <c r="AK22" s="782"/>
      <c r="AL22" s="783"/>
      <c r="AM22" s="783"/>
    </row>
    <row r="23" spans="1:39" s="784" customFormat="1" ht="18.75" customHeight="1" x14ac:dyDescent="0.3">
      <c r="A23" s="541" t="s">
        <v>424</v>
      </c>
      <c r="B23" s="869"/>
      <c r="C23" s="680"/>
      <c r="D23" s="450"/>
      <c r="E23" s="869"/>
      <c r="F23" s="680"/>
      <c r="G23" s="450"/>
      <c r="H23" s="869"/>
      <c r="I23" s="680"/>
      <c r="J23" s="450"/>
      <c r="K23" s="869"/>
      <c r="L23" s="680"/>
      <c r="M23" s="450"/>
      <c r="N23" s="869"/>
      <c r="O23" s="680"/>
      <c r="P23" s="450"/>
      <c r="Q23" s="869"/>
      <c r="R23" s="680"/>
      <c r="S23" s="450"/>
      <c r="T23" s="869"/>
      <c r="U23" s="680"/>
      <c r="V23" s="450"/>
      <c r="W23" s="869"/>
      <c r="X23" s="680"/>
      <c r="Y23" s="450"/>
      <c r="Z23" s="869"/>
      <c r="AA23" s="680"/>
      <c r="AB23" s="450"/>
      <c r="AC23" s="869"/>
      <c r="AD23" s="680"/>
      <c r="AE23" s="450"/>
      <c r="AF23" s="766">
        <f t="shared" si="1"/>
        <v>0</v>
      </c>
      <c r="AG23" s="766">
        <f t="shared" si="1"/>
        <v>0</v>
      </c>
      <c r="AH23" s="450" t="str">
        <f t="shared" si="2"/>
        <v xml:space="preserve">    ---- </v>
      </c>
      <c r="AI23" s="782"/>
      <c r="AJ23" s="782"/>
      <c r="AK23" s="782"/>
      <c r="AL23" s="783"/>
      <c r="AM23" s="783"/>
    </row>
    <row r="24" spans="1:39" s="784" customFormat="1" ht="18.75" customHeight="1" x14ac:dyDescent="0.3">
      <c r="A24" s="541" t="s">
        <v>426</v>
      </c>
      <c r="B24" s="869"/>
      <c r="C24" s="680"/>
      <c r="D24" s="450"/>
      <c r="E24" s="869"/>
      <c r="F24" s="680"/>
      <c r="G24" s="450"/>
      <c r="H24" s="869"/>
      <c r="I24" s="680"/>
      <c r="J24" s="450"/>
      <c r="K24" s="869"/>
      <c r="L24" s="680"/>
      <c r="M24" s="450"/>
      <c r="N24" s="869"/>
      <c r="O24" s="680"/>
      <c r="P24" s="450"/>
      <c r="Q24" s="869"/>
      <c r="R24" s="680"/>
      <c r="S24" s="450"/>
      <c r="T24" s="869"/>
      <c r="U24" s="680"/>
      <c r="V24" s="450"/>
      <c r="W24" s="869"/>
      <c r="X24" s="680"/>
      <c r="Y24" s="450"/>
      <c r="Z24" s="869"/>
      <c r="AA24" s="680"/>
      <c r="AB24" s="450"/>
      <c r="AC24" s="869"/>
      <c r="AD24" s="680"/>
      <c r="AE24" s="450"/>
      <c r="AF24" s="766">
        <f t="shared" si="1"/>
        <v>0</v>
      </c>
      <c r="AG24" s="766">
        <f t="shared" si="1"/>
        <v>0</v>
      </c>
      <c r="AH24" s="450" t="str">
        <f t="shared" si="2"/>
        <v xml:space="preserve">    ---- </v>
      </c>
      <c r="AI24" s="782"/>
      <c r="AJ24" s="782"/>
      <c r="AK24" s="782"/>
      <c r="AL24" s="783"/>
      <c r="AM24" s="783"/>
    </row>
    <row r="25" spans="1:39" s="784" customFormat="1" ht="18.75" customHeight="1" x14ac:dyDescent="0.3">
      <c r="A25" s="541" t="s">
        <v>428</v>
      </c>
      <c r="B25" s="869"/>
      <c r="C25" s="680"/>
      <c r="D25" s="450"/>
      <c r="E25" s="869"/>
      <c r="F25" s="680"/>
      <c r="G25" s="450"/>
      <c r="H25" s="869"/>
      <c r="I25" s="680"/>
      <c r="J25" s="450"/>
      <c r="K25" s="869"/>
      <c r="L25" s="680"/>
      <c r="M25" s="450"/>
      <c r="N25" s="869"/>
      <c r="O25" s="680"/>
      <c r="P25" s="450"/>
      <c r="Q25" s="869"/>
      <c r="R25" s="680"/>
      <c r="S25" s="450"/>
      <c r="T25" s="869"/>
      <c r="U25" s="680"/>
      <c r="V25" s="450"/>
      <c r="W25" s="869"/>
      <c r="X25" s="680"/>
      <c r="Y25" s="450"/>
      <c r="Z25" s="869"/>
      <c r="AA25" s="680"/>
      <c r="AB25" s="450"/>
      <c r="AC25" s="869"/>
      <c r="AD25" s="680"/>
      <c r="AE25" s="450"/>
      <c r="AF25" s="766">
        <f t="shared" si="1"/>
        <v>0</v>
      </c>
      <c r="AG25" s="766">
        <f t="shared" si="1"/>
        <v>0</v>
      </c>
      <c r="AH25" s="450" t="str">
        <f t="shared" si="2"/>
        <v xml:space="preserve">    ---- </v>
      </c>
      <c r="AI25" s="782"/>
      <c r="AJ25" s="782"/>
      <c r="AK25" s="782"/>
      <c r="AL25" s="783"/>
      <c r="AM25" s="783"/>
    </row>
    <row r="26" spans="1:39" s="778" customFormat="1" ht="18.75" customHeight="1" x14ac:dyDescent="0.3">
      <c r="A26" s="785" t="s">
        <v>445</v>
      </c>
      <c r="B26" s="870"/>
      <c r="C26" s="678"/>
      <c r="D26" s="773"/>
      <c r="E26" s="870"/>
      <c r="F26" s="678"/>
      <c r="G26" s="773"/>
      <c r="H26" s="678"/>
      <c r="I26" s="678"/>
      <c r="J26" s="773"/>
      <c r="K26" s="870"/>
      <c r="L26" s="678"/>
      <c r="M26" s="773"/>
      <c r="N26" s="870">
        <f>SUM(N27:N30)</f>
        <v>140.04001199999999</v>
      </c>
      <c r="O26" s="678">
        <f>SUM(O27:O30)</f>
        <v>99.874432999999996</v>
      </c>
      <c r="P26" s="773">
        <f>IF(N26=0, "    ---- ", IF(ABS(ROUND(100/N26*O26-100,1))&lt;999,ROUND(100/N26*O26-100,1),IF(ROUND(100/N26*O26-100,1)&gt;999,999,-999)))</f>
        <v>-28.7</v>
      </c>
      <c r="Q26" s="870"/>
      <c r="R26" s="678"/>
      <c r="S26" s="773"/>
      <c r="T26" s="870"/>
      <c r="U26" s="678"/>
      <c r="V26" s="773"/>
      <c r="W26" s="870"/>
      <c r="X26" s="678"/>
      <c r="Y26" s="773"/>
      <c r="Z26" s="870"/>
      <c r="AA26" s="678"/>
      <c r="AB26" s="773"/>
      <c r="AC26" s="870"/>
      <c r="AD26" s="678"/>
      <c r="AE26" s="773"/>
      <c r="AF26" s="772">
        <f t="shared" si="1"/>
        <v>140.04001199999999</v>
      </c>
      <c r="AG26" s="772">
        <f t="shared" si="1"/>
        <v>99.874432999999996</v>
      </c>
      <c r="AH26" s="773">
        <f t="shared" si="2"/>
        <v>-28.7</v>
      </c>
      <c r="AI26" s="780"/>
      <c r="AJ26" s="780"/>
      <c r="AK26" s="780"/>
      <c r="AL26" s="747"/>
      <c r="AM26" s="777"/>
    </row>
    <row r="27" spans="1:39" s="784" customFormat="1" ht="18.75" customHeight="1" x14ac:dyDescent="0.3">
      <c r="A27" s="541" t="s">
        <v>421</v>
      </c>
      <c r="B27" s="869"/>
      <c r="C27" s="680"/>
      <c r="D27" s="450"/>
      <c r="E27" s="869"/>
      <c r="F27" s="680"/>
      <c r="G27" s="450"/>
      <c r="H27" s="869"/>
      <c r="I27" s="680"/>
      <c r="J27" s="450"/>
      <c r="K27" s="869"/>
      <c r="L27" s="680"/>
      <c r="M27" s="450"/>
      <c r="N27" s="869"/>
      <c r="O27" s="680"/>
      <c r="P27" s="450"/>
      <c r="Q27" s="869"/>
      <c r="R27" s="680"/>
      <c r="S27" s="450"/>
      <c r="T27" s="869"/>
      <c r="U27" s="680"/>
      <c r="V27" s="450"/>
      <c r="W27" s="869"/>
      <c r="X27" s="680"/>
      <c r="Y27" s="450"/>
      <c r="Z27" s="869"/>
      <c r="AA27" s="680"/>
      <c r="AB27" s="450"/>
      <c r="AC27" s="869"/>
      <c r="AD27" s="680"/>
      <c r="AE27" s="450"/>
      <c r="AF27" s="766">
        <f t="shared" si="1"/>
        <v>0</v>
      </c>
      <c r="AG27" s="766">
        <f t="shared" si="1"/>
        <v>0</v>
      </c>
      <c r="AH27" s="450" t="str">
        <f t="shared" si="2"/>
        <v xml:space="preserve">    ---- </v>
      </c>
      <c r="AI27" s="782"/>
      <c r="AJ27" s="782"/>
      <c r="AK27" s="782"/>
      <c r="AL27" s="783"/>
      <c r="AM27" s="783"/>
    </row>
    <row r="28" spans="1:39" s="784" customFormat="1" ht="18.75" customHeight="1" x14ac:dyDescent="0.3">
      <c r="A28" s="541" t="s">
        <v>424</v>
      </c>
      <c r="B28" s="869"/>
      <c r="C28" s="680"/>
      <c r="D28" s="450"/>
      <c r="E28" s="869"/>
      <c r="F28" s="680"/>
      <c r="G28" s="450"/>
      <c r="H28" s="869"/>
      <c r="I28" s="680"/>
      <c r="J28" s="450"/>
      <c r="K28" s="869"/>
      <c r="L28" s="680"/>
      <c r="M28" s="450"/>
      <c r="N28" s="869"/>
      <c r="O28" s="680"/>
      <c r="P28" s="450"/>
      <c r="Q28" s="869"/>
      <c r="R28" s="680"/>
      <c r="S28" s="450"/>
      <c r="T28" s="869"/>
      <c r="U28" s="680"/>
      <c r="V28" s="450"/>
      <c r="W28" s="869"/>
      <c r="X28" s="680"/>
      <c r="Y28" s="450"/>
      <c r="Z28" s="869"/>
      <c r="AA28" s="680"/>
      <c r="AB28" s="450"/>
      <c r="AC28" s="869"/>
      <c r="AD28" s="680"/>
      <c r="AE28" s="450"/>
      <c r="AF28" s="766">
        <f t="shared" si="1"/>
        <v>0</v>
      </c>
      <c r="AG28" s="766">
        <f t="shared" si="1"/>
        <v>0</v>
      </c>
      <c r="AH28" s="450" t="str">
        <f t="shared" si="2"/>
        <v xml:space="preserve">    ---- </v>
      </c>
      <c r="AI28" s="782"/>
      <c r="AJ28" s="782"/>
      <c r="AK28" s="782"/>
      <c r="AL28" s="783"/>
      <c r="AM28" s="783"/>
    </row>
    <row r="29" spans="1:39" s="784" customFormat="1" ht="18.75" customHeight="1" x14ac:dyDescent="0.3">
      <c r="A29" s="541" t="s">
        <v>426</v>
      </c>
      <c r="B29" s="869"/>
      <c r="C29" s="680"/>
      <c r="D29" s="450"/>
      <c r="E29" s="869"/>
      <c r="F29" s="680"/>
      <c r="G29" s="450"/>
      <c r="H29" s="869"/>
      <c r="I29" s="680"/>
      <c r="J29" s="450"/>
      <c r="K29" s="869"/>
      <c r="L29" s="680"/>
      <c r="M29" s="450"/>
      <c r="N29" s="869"/>
      <c r="O29" s="680"/>
      <c r="P29" s="450"/>
      <c r="Q29" s="869"/>
      <c r="R29" s="680"/>
      <c r="S29" s="450"/>
      <c r="T29" s="869"/>
      <c r="U29" s="680"/>
      <c r="V29" s="450"/>
      <c r="W29" s="869"/>
      <c r="X29" s="680"/>
      <c r="Y29" s="450"/>
      <c r="Z29" s="869"/>
      <c r="AA29" s="680"/>
      <c r="AB29" s="450"/>
      <c r="AC29" s="869"/>
      <c r="AD29" s="680"/>
      <c r="AE29" s="450"/>
      <c r="AF29" s="766">
        <f t="shared" si="1"/>
        <v>0</v>
      </c>
      <c r="AG29" s="766">
        <f t="shared" si="1"/>
        <v>0</v>
      </c>
      <c r="AH29" s="450" t="str">
        <f t="shared" si="2"/>
        <v xml:space="preserve">    ---- </v>
      </c>
      <c r="AI29" s="782"/>
      <c r="AJ29" s="782"/>
      <c r="AK29" s="782"/>
      <c r="AL29" s="783"/>
      <c r="AM29" s="783"/>
    </row>
    <row r="30" spans="1:39" s="784" customFormat="1" ht="18.75" customHeight="1" x14ac:dyDescent="0.3">
      <c r="A30" s="541" t="s">
        <v>428</v>
      </c>
      <c r="B30" s="869"/>
      <c r="C30" s="680"/>
      <c r="D30" s="450"/>
      <c r="E30" s="869"/>
      <c r="F30" s="680"/>
      <c r="G30" s="450"/>
      <c r="H30" s="869"/>
      <c r="I30" s="680"/>
      <c r="J30" s="450"/>
      <c r="K30" s="869"/>
      <c r="L30" s="680"/>
      <c r="M30" s="450"/>
      <c r="N30" s="869">
        <v>140.04001199999999</v>
      </c>
      <c r="O30" s="680">
        <v>99.874432999999996</v>
      </c>
      <c r="P30" s="450">
        <f>IF(N30=0, "    ---- ", IF(ABS(ROUND(100/N30*O30-100,1))&lt;999,ROUND(100/N30*O30-100,1),IF(ROUND(100/N30*O30-100,1)&gt;999,999,-999)))</f>
        <v>-28.7</v>
      </c>
      <c r="Q30" s="869"/>
      <c r="R30" s="680"/>
      <c r="S30" s="450"/>
      <c r="T30" s="869"/>
      <c r="U30" s="680"/>
      <c r="V30" s="450"/>
      <c r="W30" s="869"/>
      <c r="X30" s="680"/>
      <c r="Y30" s="450"/>
      <c r="Z30" s="869"/>
      <c r="AA30" s="680"/>
      <c r="AB30" s="450"/>
      <c r="AC30" s="869"/>
      <c r="AD30" s="680"/>
      <c r="AE30" s="450"/>
      <c r="AF30" s="766">
        <f t="shared" si="1"/>
        <v>140.04001199999999</v>
      </c>
      <c r="AG30" s="766">
        <f t="shared" si="1"/>
        <v>99.874432999999996</v>
      </c>
      <c r="AH30" s="450">
        <f t="shared" si="2"/>
        <v>-28.7</v>
      </c>
      <c r="AI30" s="782"/>
      <c r="AJ30" s="782"/>
      <c r="AK30" s="782"/>
      <c r="AL30" s="783"/>
      <c r="AM30" s="783"/>
    </row>
    <row r="31" spans="1:39" s="778" customFormat="1" ht="18.75" customHeight="1" x14ac:dyDescent="0.3">
      <c r="A31" s="785" t="s">
        <v>446</v>
      </c>
      <c r="B31" s="870">
        <f>SUM(B32:B34)</f>
        <v>74.31</v>
      </c>
      <c r="C31" s="678">
        <f>SUM(C32:C34)</f>
        <v>62.942999999999998</v>
      </c>
      <c r="D31" s="773">
        <f>IF(B31=0, "    ---- ", IF(ABS(ROUND(100/B31*C31-100,1))&lt;999,ROUND(100/B31*C31-100,1),IF(ROUND(100/B31*C31-100,1)&gt;999,999,-999)))</f>
        <v>-15.3</v>
      </c>
      <c r="E31" s="870">
        <f>SUM(E32:E34)</f>
        <v>662.77</v>
      </c>
      <c r="F31" s="678">
        <f>SUM(F32:F34)</f>
        <v>681.62099999999998</v>
      </c>
      <c r="G31" s="773">
        <f>IF(E31=0, "    ---- ", IF(ABS(ROUND(100/E31*F31-100,1))&lt;999,ROUND(100/E31*F31-100,1),IF(ROUND(100/E31*F31-100,1)&gt;999,999,-999)))</f>
        <v>2.8</v>
      </c>
      <c r="H31" s="870"/>
      <c r="I31" s="678"/>
      <c r="J31" s="773"/>
      <c r="K31" s="870">
        <f>SUM(K32:K34)</f>
        <v>319</v>
      </c>
      <c r="L31" s="678">
        <f>SUM(L32:L34)</f>
        <v>305.55</v>
      </c>
      <c r="M31" s="773">
        <f>IF(K31=0, "    ---- ", IF(ABS(ROUND(100/K31*L31-100,1))&lt;999,ROUND(100/K31*L31-100,1),IF(ROUND(100/K31*L31-100,1)&gt;999,999,-999)))</f>
        <v>-4.2</v>
      </c>
      <c r="N31" s="870">
        <f>SUM(N32:N34)</f>
        <v>385.03601700000002</v>
      </c>
      <c r="O31" s="678">
        <f>SUM(O32:O34)</f>
        <v>377.869282</v>
      </c>
      <c r="P31" s="773">
        <f>IF(N31=0, "    ---- ", IF(ABS(ROUND(100/N31*O31-100,1))&lt;999,ROUND(100/N31*O31-100,1),IF(ROUND(100/N31*O31-100,1)&gt;999,999,-999)))</f>
        <v>-1.9</v>
      </c>
      <c r="Q31" s="870">
        <f>SUM(Q32:Q34)</f>
        <v>8.6999999999999993</v>
      </c>
      <c r="R31" s="678">
        <f>SUM(R32:R34)</f>
        <v>19.600000000000001</v>
      </c>
      <c r="S31" s="773">
        <f>IF(Q31=0, "    ---- ", IF(ABS(ROUND(100/Q31*R31-100,1))&lt;999,ROUND(100/Q31*R31-100,1),IF(ROUND(100/Q31*R31-100,1)&gt;999,999,-999)))</f>
        <v>125.3</v>
      </c>
      <c r="T31" s="870"/>
      <c r="U31" s="678"/>
      <c r="V31" s="773"/>
      <c r="W31" s="870"/>
      <c r="X31" s="678"/>
      <c r="Y31" s="773"/>
      <c r="Z31" s="870">
        <f>SUM(Z32:Z34)</f>
        <v>417.935</v>
      </c>
      <c r="AA31" s="678">
        <f>SUM(AA32:AA34)</f>
        <v>516.46799999999996</v>
      </c>
      <c r="AB31" s="773">
        <f>IF(Z31=0, "    ---- ", IF(ABS(ROUND(100/Z31*AA31-100,1))&lt;999,ROUND(100/Z31*AA31-100,1),IF(ROUND(100/Z31*AA31-100,1)&gt;999,999,-999)))</f>
        <v>23.6</v>
      </c>
      <c r="AC31" s="870"/>
      <c r="AD31" s="678"/>
      <c r="AE31" s="773"/>
      <c r="AF31" s="772">
        <f t="shared" si="1"/>
        <v>1867.7510169999998</v>
      </c>
      <c r="AG31" s="772">
        <f t="shared" si="1"/>
        <v>1964.0512819999999</v>
      </c>
      <c r="AH31" s="773">
        <f t="shared" si="2"/>
        <v>5.2</v>
      </c>
      <c r="AI31" s="780"/>
      <c r="AJ31" s="780"/>
      <c r="AK31" s="780"/>
      <c r="AL31" s="747"/>
      <c r="AM31" s="777"/>
    </row>
    <row r="32" spans="1:39" s="784" customFormat="1" ht="18.75" customHeight="1" x14ac:dyDescent="0.3">
      <c r="A32" s="541" t="s">
        <v>424</v>
      </c>
      <c r="B32" s="869"/>
      <c r="C32" s="680"/>
      <c r="D32" s="450"/>
      <c r="E32" s="869"/>
      <c r="F32" s="680"/>
      <c r="G32" s="450"/>
      <c r="H32" s="869"/>
      <c r="I32" s="680"/>
      <c r="J32" s="450"/>
      <c r="K32" s="869"/>
      <c r="L32" s="680"/>
      <c r="M32" s="450"/>
      <c r="N32" s="869"/>
      <c r="O32" s="680"/>
      <c r="P32" s="450"/>
      <c r="Q32" s="869"/>
      <c r="R32" s="680"/>
      <c r="S32" s="450"/>
      <c r="T32" s="869"/>
      <c r="U32" s="680"/>
      <c r="V32" s="450"/>
      <c r="W32" s="869"/>
      <c r="X32" s="680"/>
      <c r="Y32" s="450"/>
      <c r="Z32" s="869"/>
      <c r="AA32" s="680"/>
      <c r="AB32" s="450"/>
      <c r="AC32" s="869"/>
      <c r="AD32" s="680"/>
      <c r="AE32" s="450"/>
      <c r="AF32" s="766">
        <f t="shared" si="1"/>
        <v>0</v>
      </c>
      <c r="AG32" s="766">
        <f t="shared" si="1"/>
        <v>0</v>
      </c>
      <c r="AH32" s="450" t="str">
        <f t="shared" si="2"/>
        <v xml:space="preserve">    ---- </v>
      </c>
      <c r="AI32" s="782"/>
      <c r="AJ32" s="782"/>
      <c r="AK32" s="782"/>
      <c r="AL32" s="783"/>
      <c r="AM32" s="783"/>
    </row>
    <row r="33" spans="1:39" s="784" customFormat="1" ht="18.75" customHeight="1" x14ac:dyDescent="0.3">
      <c r="A33" s="541" t="s">
        <v>426</v>
      </c>
      <c r="B33" s="869">
        <v>74.31</v>
      </c>
      <c r="C33" s="680">
        <v>62.942999999999998</v>
      </c>
      <c r="D33" s="450">
        <f>IF(B33=0, "    ---- ", IF(ABS(ROUND(100/B33*C33-100,1))&lt;999,ROUND(100/B33*C33-100,1),IF(ROUND(100/B33*C33-100,1)&gt;999,999,-999)))</f>
        <v>-15.3</v>
      </c>
      <c r="E33" s="869">
        <v>662.77</v>
      </c>
      <c r="F33" s="680">
        <v>681.62099999999998</v>
      </c>
      <c r="G33" s="450">
        <f>IF(E33=0, "    ---- ", IF(ABS(ROUND(100/E33*F33-100,1))&lt;999,ROUND(100/E33*F33-100,1),IF(ROUND(100/E33*F33-100,1)&gt;999,999,-999)))</f>
        <v>2.8</v>
      </c>
      <c r="H33" s="869"/>
      <c r="I33" s="680"/>
      <c r="J33" s="450"/>
      <c r="K33" s="869">
        <v>319</v>
      </c>
      <c r="L33" s="680">
        <v>305.55</v>
      </c>
      <c r="M33" s="450">
        <f>IF(K33=0, "    ---- ", IF(ABS(ROUND(100/K33*L33-100,1))&lt;999,ROUND(100/K33*L33-100,1),IF(ROUND(100/K33*L33-100,1)&gt;999,999,-999)))</f>
        <v>-4.2</v>
      </c>
      <c r="N33" s="869"/>
      <c r="O33" s="680"/>
      <c r="P33" s="450"/>
      <c r="Q33" s="869">
        <v>8.6999999999999993</v>
      </c>
      <c r="R33" s="680">
        <v>19.600000000000001</v>
      </c>
      <c r="S33" s="450">
        <f>IF(Q33=0, "    ---- ", IF(ABS(ROUND(100/Q33*R33-100,1))&lt;999,ROUND(100/Q33*R33-100,1),IF(ROUND(100/Q33*R33-100,1)&gt;999,999,-999)))</f>
        <v>125.3</v>
      </c>
      <c r="T33" s="869"/>
      <c r="U33" s="680"/>
      <c r="V33" s="450"/>
      <c r="W33" s="869"/>
      <c r="X33" s="680"/>
      <c r="Y33" s="450"/>
      <c r="Z33" s="869">
        <v>417.935</v>
      </c>
      <c r="AA33" s="680">
        <f>29.92+486.548</f>
        <v>516.46799999999996</v>
      </c>
      <c r="AB33" s="450">
        <f>IF(Z33=0, "    ---- ", IF(ABS(ROUND(100/Z33*AA33-100,1))&lt;999,ROUND(100/Z33*AA33-100,1),IF(ROUND(100/Z33*AA33-100,1)&gt;999,999,-999)))</f>
        <v>23.6</v>
      </c>
      <c r="AC33" s="869"/>
      <c r="AD33" s="680"/>
      <c r="AE33" s="450"/>
      <c r="AF33" s="766">
        <f t="shared" si="1"/>
        <v>1482.7149999999999</v>
      </c>
      <c r="AG33" s="766">
        <f t="shared" si="1"/>
        <v>1586.1819999999998</v>
      </c>
      <c r="AH33" s="450">
        <f t="shared" si="2"/>
        <v>7</v>
      </c>
      <c r="AI33" s="782"/>
      <c r="AJ33" s="782"/>
      <c r="AK33" s="782"/>
      <c r="AL33" s="783"/>
      <c r="AM33" s="783"/>
    </row>
    <row r="34" spans="1:39" s="784" customFormat="1" ht="18.75" customHeight="1" x14ac:dyDescent="0.3">
      <c r="A34" s="541" t="s">
        <v>428</v>
      </c>
      <c r="B34" s="869"/>
      <c r="C34" s="680"/>
      <c r="D34" s="450"/>
      <c r="E34" s="869"/>
      <c r="F34" s="680"/>
      <c r="G34" s="450"/>
      <c r="H34" s="869"/>
      <c r="I34" s="680"/>
      <c r="J34" s="450"/>
      <c r="K34" s="869"/>
      <c r="L34" s="680"/>
      <c r="M34" s="450"/>
      <c r="N34" s="869">
        <v>385.03601700000002</v>
      </c>
      <c r="O34" s="680">
        <v>377.869282</v>
      </c>
      <c r="P34" s="450">
        <f>IF(N34=0, "    ---- ", IF(ABS(ROUND(100/N34*O34-100,1))&lt;999,ROUND(100/N34*O34-100,1),IF(ROUND(100/N34*O34-100,1)&gt;999,999,-999)))</f>
        <v>-1.9</v>
      </c>
      <c r="Q34" s="869"/>
      <c r="R34" s="680"/>
      <c r="S34" s="450"/>
      <c r="T34" s="869"/>
      <c r="U34" s="680"/>
      <c r="V34" s="450"/>
      <c r="W34" s="869"/>
      <c r="X34" s="680"/>
      <c r="Y34" s="450"/>
      <c r="Z34" s="869"/>
      <c r="AA34" s="680"/>
      <c r="AB34" s="450"/>
      <c r="AC34" s="869"/>
      <c r="AD34" s="680"/>
      <c r="AE34" s="450"/>
      <c r="AF34" s="766">
        <f t="shared" si="1"/>
        <v>385.03601700000002</v>
      </c>
      <c r="AG34" s="766">
        <f t="shared" si="1"/>
        <v>377.869282</v>
      </c>
      <c r="AH34" s="450">
        <f t="shared" si="2"/>
        <v>-1.9</v>
      </c>
      <c r="AI34" s="786"/>
      <c r="AJ34" s="782"/>
      <c r="AK34" s="782"/>
      <c r="AL34" s="783"/>
      <c r="AM34" s="783"/>
    </row>
    <row r="35" spans="1:39" s="778" customFormat="1" ht="18.75" customHeight="1" x14ac:dyDescent="0.3">
      <c r="A35" s="785" t="s">
        <v>447</v>
      </c>
      <c r="B35" s="870">
        <f>SUM(B11+B21+B26+B31)</f>
        <v>16948.727999999999</v>
      </c>
      <c r="C35" s="678">
        <f>SUM(C11+C21+C26+C31)</f>
        <v>16857.046000000002</v>
      </c>
      <c r="D35" s="773">
        <f>IF(B35=0, "    ---- ", IF(ABS(ROUND(100/B35*C35-100,1))&lt;999,ROUND(100/B35*C35-100,1),IF(ROUND(100/B35*C35-100,1)&gt;999,999,-999)))</f>
        <v>-0.5</v>
      </c>
      <c r="E35" s="870">
        <f>SUM(E11+E21+E26+E31)</f>
        <v>75206.080000000002</v>
      </c>
      <c r="F35" s="678">
        <f>SUM(F11+F21+F26+F31)</f>
        <v>77241.34199999999</v>
      </c>
      <c r="G35" s="773">
        <f>IF(E35=0, "    ---- ", IF(ABS(ROUND(100/E35*F35-100,1))&lt;999,ROUND(100/E35*F35-100,1),IF(ROUND(100/E35*F35-100,1)&gt;999,999,-999)))</f>
        <v>2.7</v>
      </c>
      <c r="H35" s="870">
        <f>SUM(H11+H21+H26+H31)</f>
        <v>3251.4210000000003</v>
      </c>
      <c r="I35" s="678">
        <f>SUM(I11+I21+I26+I31)</f>
        <v>3327.1</v>
      </c>
      <c r="J35" s="773">
        <f>IF(H35=0, "    ---- ", IF(ABS(ROUND(100/H35*I35-100,1))&lt;999,ROUND(100/H35*I35-100,1),IF(ROUND(100/H35*I35-100,1)&gt;999,999,-999)))</f>
        <v>2.2999999999999998</v>
      </c>
      <c r="K35" s="773">
        <f>SUM(K11+K21+K26+K31)</f>
        <v>22680.592999999997</v>
      </c>
      <c r="L35" s="773">
        <f>SUM(L11+L21+L26+L31)</f>
        <v>24101.75</v>
      </c>
      <c r="M35" s="773">
        <f>IF(K35=0, "    ---- ", IF(ABS(ROUND(100/K35*L35-100,1))&lt;999,ROUND(100/K35*L35-100,1),IF(ROUND(100/K35*L35-100,1)&gt;999,999,-999)))</f>
        <v>6.3</v>
      </c>
      <c r="N35" s="870">
        <f>SUM(N11+N21+N26+N31)</f>
        <v>2373.95559615</v>
      </c>
      <c r="O35" s="678">
        <f>SUM(O11+O21+O26+O31)</f>
        <v>2418.6952401500002</v>
      </c>
      <c r="P35" s="773">
        <f>IF(N35=0, "    ---- ", IF(ABS(ROUND(100/N35*O35-100,1))&lt;999,ROUND(100/N35*O35-100,1),IF(ROUND(100/N35*O35-100,1)&gt;999,999,-999)))</f>
        <v>1.9</v>
      </c>
      <c r="Q35" s="870">
        <f>SUM(Q11+Q21+Q26+Q31)</f>
        <v>2683.7</v>
      </c>
      <c r="R35" s="678">
        <f>SUM(R11+R21+R26+R31)</f>
        <v>3396.4</v>
      </c>
      <c r="S35" s="773">
        <f>IF(Q35=0, "    ---- ", IF(ABS(ROUND(100/Q35*R35-100,1))&lt;999,ROUND(100/Q35*R35-100,1),IF(ROUND(100/Q35*R35-100,1)&gt;999,999,-999)))</f>
        <v>26.6</v>
      </c>
      <c r="T35" s="870">
        <f>SUM(T11+T21+T26+T31)</f>
        <v>58646.140138300005</v>
      </c>
      <c r="U35" s="678">
        <f>SUM(U11+U21+U26+U31)</f>
        <v>59037.757645649996</v>
      </c>
      <c r="V35" s="773">
        <f>IF(T35=0, "    ---- ", IF(ABS(ROUND(100/T35*U35-100,1))&lt;999,ROUND(100/T35*U35-100,1),IF(ROUND(100/T35*U35-100,1)&gt;999,999,-999)))</f>
        <v>0.7</v>
      </c>
      <c r="W35" s="870">
        <f>SUM(W11+W21+W26+W31)</f>
        <v>2082.1870000000004</v>
      </c>
      <c r="X35" s="678">
        <f>SUM(X11+X21+X26+X31)</f>
        <v>2076.5110914399997</v>
      </c>
      <c r="Y35" s="773">
        <f>IF(W35=0, "    ---- ", IF(ABS(ROUND(100/W35*X35-100,1))&lt;999,ROUND(100/W35*X35-100,1),IF(ROUND(100/W35*X35-100,1)&gt;999,999,-999)))</f>
        <v>-0.3</v>
      </c>
      <c r="Z35" s="870">
        <f>SUM(Z11+Z21+Z26+Z31)</f>
        <v>25419.907000000003</v>
      </c>
      <c r="AA35" s="678">
        <f>SUM(AA11+AA21+AA26+AA31)</f>
        <v>28424.720000000001</v>
      </c>
      <c r="AB35" s="773">
        <f>IF(Z35=0, "    ---- ", IF(ABS(ROUND(100/Z35*AA35-100,1))&lt;999,ROUND(100/Z35*AA35-100,1),IF(ROUND(100/Z35*AA35-100,1)&gt;999,999,-999)))</f>
        <v>11.8</v>
      </c>
      <c r="AC35" s="870">
        <f>SUM(AC11+AC21+AC26+AC31)</f>
        <v>80376</v>
      </c>
      <c r="AD35" s="678">
        <f>SUM(AD11+AD21+AD26+AD31)</f>
        <v>93440.9</v>
      </c>
      <c r="AE35" s="773">
        <f t="shared" si="0"/>
        <v>16.3</v>
      </c>
      <c r="AF35" s="772">
        <f t="shared" si="1"/>
        <v>289668.71173445001</v>
      </c>
      <c r="AG35" s="772">
        <f t="shared" si="1"/>
        <v>310322.22197724</v>
      </c>
      <c r="AH35" s="773">
        <f t="shared" si="2"/>
        <v>7.1</v>
      </c>
      <c r="AI35" s="772">
        <f>AF35+'Tabell 7a'!AI47</f>
        <v>1345958.3378263193</v>
      </c>
      <c r="AJ35" s="773">
        <f>AG35+'Tabell 7a'!AJ47</f>
        <v>1372166.8069036552</v>
      </c>
      <c r="AK35" s="773">
        <f t="shared" ref="AK35:AK42" si="3">IF(AI35=0, "    ---- ", IF(ABS(ROUND(100/AI35*AJ35-100,1))&lt;999,ROUND(100/AI35*AJ35-100,1),IF(ROUND(100/AI35*AJ35-100,1)&gt;999,999,-999)))</f>
        <v>1.9</v>
      </c>
      <c r="AL35" s="747"/>
      <c r="AM35" s="777"/>
    </row>
    <row r="36" spans="1:39" s="784" customFormat="1" ht="18.75" customHeight="1" x14ac:dyDescent="0.3">
      <c r="A36" s="541" t="s">
        <v>421</v>
      </c>
      <c r="B36" s="869">
        <f>SUM(B12+B22+B27)</f>
        <v>2516.9319999999998</v>
      </c>
      <c r="C36" s="680">
        <f>SUM(C12+C22+C27)</f>
        <v>2385.2289999999998</v>
      </c>
      <c r="D36" s="450">
        <f>IF(B36=0, "    ---- ", IF(ABS(ROUND(100/B36*C36-100,1))&lt;999,ROUND(100/B36*C36-100,1),IF(ROUND(100/B36*C36-100,1)&gt;999,999,-999)))</f>
        <v>-5.2</v>
      </c>
      <c r="E36" s="869">
        <f>SUM(E12+E22+E27)</f>
        <v>5982.4639999999999</v>
      </c>
      <c r="F36" s="680">
        <f>SUM(F12+F22+F27)</f>
        <v>5327.366</v>
      </c>
      <c r="G36" s="450">
        <f>IF(E36=0, "    ---- ", IF(ABS(ROUND(100/E36*F36-100,1))&lt;999,ROUND(100/E36*F36-100,1),IF(ROUND(100/E36*F36-100,1)&gt;999,999,-999)))</f>
        <v>-11</v>
      </c>
      <c r="H36" s="869"/>
      <c r="I36" s="680"/>
      <c r="J36" s="450"/>
      <c r="K36" s="450">
        <f>SUM(K12+K22+K27)</f>
        <v>517.63099999999997</v>
      </c>
      <c r="L36" s="450">
        <f>SUM(L12+L22+L27)</f>
        <v>521.29999999999995</v>
      </c>
      <c r="M36" s="450">
        <f>IF(K36=0, "    ---- ", IF(ABS(ROUND(100/K36*L36-100,1))&lt;999,ROUND(100/K36*L36-100,1),IF(ROUND(100/K36*L36-100,1)&gt;999,999,-999)))</f>
        <v>0.7</v>
      </c>
      <c r="N36" s="869"/>
      <c r="O36" s="680"/>
      <c r="P36" s="450"/>
      <c r="Q36" s="869"/>
      <c r="R36" s="680"/>
      <c r="S36" s="450"/>
      <c r="T36" s="869">
        <f>SUM(T12+T22+T27)</f>
        <v>23826.602273592416</v>
      </c>
      <c r="U36" s="680">
        <f>SUM(U12+U22+U27)</f>
        <v>23673.920913233622</v>
      </c>
      <c r="V36" s="450">
        <f>IF(T36=0, "    ---- ", IF(ABS(ROUND(100/T36*U36-100,1))&lt;999,ROUND(100/T36*U36-100,1),IF(ROUND(100/T36*U36-100,1)&gt;999,999,-999)))</f>
        <v>-0.6</v>
      </c>
      <c r="W36" s="869">
        <f>SUM(W12+W22+W27)</f>
        <v>785.11300000000006</v>
      </c>
      <c r="X36" s="680">
        <f>SUM(X12+X22+X27)</f>
        <v>780.53809144000002</v>
      </c>
      <c r="Y36" s="450">
        <f>IF(W36=0, "    ---- ", IF(ABS(ROUND(100/W36*X36-100,1))&lt;999,ROUND(100/W36*X36-100,1),IF(ROUND(100/W36*X36-100,1)&gt;999,999,-999)))</f>
        <v>-0.6</v>
      </c>
      <c r="Z36" s="869">
        <f>SUM(Z12+Z22+Z27)</f>
        <v>2183.145</v>
      </c>
      <c r="AA36" s="680">
        <f>SUM(AA12+AA22+AA27)</f>
        <v>2150.6410000000001</v>
      </c>
      <c r="AB36" s="450">
        <f>IF(Z36=0, "    ---- ", IF(ABS(ROUND(100/Z36*AA36-100,1))&lt;999,ROUND(100/Z36*AA36-100,1),IF(ROUND(100/Z36*AA36-100,1)&gt;999,999,-999)))</f>
        <v>-1.5</v>
      </c>
      <c r="AC36" s="869">
        <f>SUM(AC12+AC22+AC27)</f>
        <v>6482</v>
      </c>
      <c r="AD36" s="680">
        <f>SUM(AD12+AD22+AD27)</f>
        <v>6841.9</v>
      </c>
      <c r="AE36" s="450">
        <f t="shared" si="0"/>
        <v>5.6</v>
      </c>
      <c r="AF36" s="766">
        <f t="shared" si="1"/>
        <v>42293.887273592409</v>
      </c>
      <c r="AG36" s="766">
        <f t="shared" si="1"/>
        <v>41680.895004673628</v>
      </c>
      <c r="AH36" s="450">
        <f t="shared" si="2"/>
        <v>-1.4</v>
      </c>
      <c r="AI36" s="766">
        <f>AF36+'Tabell 7a'!AI48</f>
        <v>64112.168338953023</v>
      </c>
      <c r="AJ36" s="450">
        <f>AG36+'Tabell 7a'!AJ48</f>
        <v>61969.558662888412</v>
      </c>
      <c r="AK36" s="450">
        <f t="shared" si="3"/>
        <v>-3.3</v>
      </c>
      <c r="AL36" s="783"/>
      <c r="AM36" s="783"/>
    </row>
    <row r="37" spans="1:39" s="784" customFormat="1" ht="18.75" customHeight="1" x14ac:dyDescent="0.3">
      <c r="A37" s="541" t="s">
        <v>424</v>
      </c>
      <c r="B37" s="869">
        <f>SUM(B13+B23+B28+B32)</f>
        <v>2315.1280000000002</v>
      </c>
      <c r="C37" s="680">
        <f>SUM(C13+C23+C28+C32)</f>
        <v>2007.402</v>
      </c>
      <c r="D37" s="450">
        <f>IF(B37=0, "    ---- ", IF(ABS(ROUND(100/B37*C37-100,1))&lt;999,ROUND(100/B37*C37-100,1),IF(ROUND(100/B37*C37-100,1)&gt;999,999,-999)))</f>
        <v>-13.3</v>
      </c>
      <c r="E37" s="869">
        <f>SUM(E13+E23+E28+E32)</f>
        <v>5853.7629999999999</v>
      </c>
      <c r="F37" s="680">
        <f>SUM(F13+F23+F28+F32)</f>
        <v>5150.6779999999999</v>
      </c>
      <c r="G37" s="450">
        <f>IF(E37=0, "    ---- ", IF(ABS(ROUND(100/E37*F37-100,1))&lt;999,ROUND(100/E37*F37-100,1),IF(ROUND(100/E37*F37-100,1)&gt;999,999,-999)))</f>
        <v>-12</v>
      </c>
      <c r="H37" s="869">
        <f>SUM(H13+H23+H28+H32)</f>
        <v>115.92700000000001</v>
      </c>
      <c r="I37" s="680">
        <f>SUM(I13+I23+I28+I32)</f>
        <v>135.4</v>
      </c>
      <c r="J37" s="450">
        <f>IF(H37=0, "    ---- ", IF(ABS(ROUND(100/H37*I37-100,1))&lt;999,ROUND(100/H37*I37-100,1),IF(ROUND(100/H37*I37-100,1)&gt;999,999,-999)))</f>
        <v>16.8</v>
      </c>
      <c r="K37" s="450">
        <f>SUM(K13+K23+K28+K32)</f>
        <v>1599.558</v>
      </c>
      <c r="L37" s="450">
        <f>SUM(L13+L23+L28+L32)</f>
        <v>1492.6</v>
      </c>
      <c r="M37" s="450">
        <f>IF(K37=0, "    ---- ", IF(ABS(ROUND(100/K37*L37-100,1))&lt;999,ROUND(100/K37*L37-100,1),IF(ROUND(100/K37*L37-100,1)&gt;999,999,-999)))</f>
        <v>-6.7</v>
      </c>
      <c r="N37" s="869"/>
      <c r="O37" s="680"/>
      <c r="P37" s="450"/>
      <c r="Q37" s="869"/>
      <c r="R37" s="680"/>
      <c r="S37" s="450"/>
      <c r="T37" s="869">
        <f>SUM(T13+T23+T28+T32)</f>
        <v>3613.1504856800079</v>
      </c>
      <c r="U37" s="680">
        <f>SUM(U13+U23+U28+U32)</f>
        <v>3231.1500984697109</v>
      </c>
      <c r="V37" s="450">
        <f>IF(T37=0, "    ---- ", IF(ABS(ROUND(100/T37*U37-100,1))&lt;999,ROUND(100/T37*U37-100,1),IF(ROUND(100/T37*U37-100,1)&gt;999,999,-999)))</f>
        <v>-10.6</v>
      </c>
      <c r="W37" s="869">
        <f>SUM(W13+W23+W28+W32)</f>
        <v>912.52200000000005</v>
      </c>
      <c r="X37" s="680">
        <f>SUM(X13+X23+X28+X32)</f>
        <v>811.68600000000004</v>
      </c>
      <c r="Y37" s="450">
        <f>IF(W37=0, "    ---- ", IF(ABS(ROUND(100/W37*X37-100,1))&lt;999,ROUND(100/W37*X37-100,1),IF(ROUND(100/W37*X37-100,1)&gt;999,999,-999)))</f>
        <v>-11.1</v>
      </c>
      <c r="Z37" s="869">
        <f>SUM(Z13+Z23+Z28+Z32)</f>
        <v>2183.145</v>
      </c>
      <c r="AA37" s="680">
        <f>SUM(AA13+AA23+AA28+AA32)</f>
        <v>2121.9920000000002</v>
      </c>
      <c r="AB37" s="450">
        <f>IF(Z37=0, "    ---- ", IF(ABS(ROUND(100/Z37*AA37-100,1))&lt;999,ROUND(100/Z37*AA37-100,1),IF(ROUND(100/Z37*AA37-100,1)&gt;999,999,-999)))</f>
        <v>-2.8</v>
      </c>
      <c r="AC37" s="869">
        <f>SUM(AC13+AC23+AC28+AC32)</f>
        <v>4100</v>
      </c>
      <c r="AD37" s="680">
        <f>SUM(AD13+AD23+AD28+AD32)</f>
        <v>4159</v>
      </c>
      <c r="AE37" s="450">
        <f t="shared" si="0"/>
        <v>1.4</v>
      </c>
      <c r="AF37" s="766">
        <f t="shared" si="1"/>
        <v>20693.193485680007</v>
      </c>
      <c r="AG37" s="766">
        <f t="shared" si="1"/>
        <v>19109.90809846971</v>
      </c>
      <c r="AH37" s="450">
        <f t="shared" si="2"/>
        <v>-7.7</v>
      </c>
      <c r="AI37" s="766">
        <f>AF37+'Tabell 7a'!AI49</f>
        <v>70184.088549898501</v>
      </c>
      <c r="AJ37" s="450">
        <f>AG37+'Tabell 7a'!AJ49</f>
        <v>67022.717930307161</v>
      </c>
      <c r="AK37" s="450">
        <f t="shared" si="3"/>
        <v>-4.5</v>
      </c>
      <c r="AL37" s="783"/>
      <c r="AM37" s="783"/>
    </row>
    <row r="38" spans="1:39" s="784" customFormat="1" ht="18.75" customHeight="1" x14ac:dyDescent="0.3">
      <c r="A38" s="591" t="s">
        <v>425</v>
      </c>
      <c r="B38" s="869"/>
      <c r="C38" s="680"/>
      <c r="D38" s="450"/>
      <c r="E38" s="869"/>
      <c r="F38" s="680"/>
      <c r="G38" s="450"/>
      <c r="H38" s="869"/>
      <c r="I38" s="680"/>
      <c r="J38" s="450"/>
      <c r="K38" s="450"/>
      <c r="L38" s="450"/>
      <c r="M38" s="450"/>
      <c r="N38" s="869"/>
      <c r="O38" s="680"/>
      <c r="P38" s="450"/>
      <c r="Q38" s="869"/>
      <c r="R38" s="680"/>
      <c r="S38" s="450"/>
      <c r="T38" s="869"/>
      <c r="U38" s="680"/>
      <c r="V38" s="450"/>
      <c r="W38" s="869"/>
      <c r="X38" s="680"/>
      <c r="Y38" s="450"/>
      <c r="Z38" s="869"/>
      <c r="AA38" s="680"/>
      <c r="AB38" s="450"/>
      <c r="AC38" s="869"/>
      <c r="AD38" s="680"/>
      <c r="AE38" s="450"/>
      <c r="AF38" s="766">
        <f t="shared" si="1"/>
        <v>0</v>
      </c>
      <c r="AG38" s="766">
        <f t="shared" si="1"/>
        <v>0</v>
      </c>
      <c r="AH38" s="450" t="str">
        <f t="shared" si="2"/>
        <v xml:space="preserve">    ---- </v>
      </c>
      <c r="AI38" s="766">
        <f>AF38+'Tabell 7a'!AI50</f>
        <v>2722.6149999999998</v>
      </c>
      <c r="AJ38" s="450">
        <f>AG38+'Tabell 7a'!AJ50</f>
        <v>3634.4556846300002</v>
      </c>
      <c r="AK38" s="450">
        <f t="shared" si="3"/>
        <v>33.5</v>
      </c>
      <c r="AL38" s="783"/>
      <c r="AM38" s="783"/>
    </row>
    <row r="39" spans="1:39" s="784" customFormat="1" ht="18.75" customHeight="1" x14ac:dyDescent="0.3">
      <c r="A39" s="541" t="s">
        <v>426</v>
      </c>
      <c r="B39" s="869">
        <f>SUM(B14+B24+B29+B33)</f>
        <v>12116.668</v>
      </c>
      <c r="C39" s="680">
        <f>SUM(C14+C24+C29+C33)</f>
        <v>12464.415000000001</v>
      </c>
      <c r="D39" s="450">
        <f>IF(B39=0, "    ---- ", IF(ABS(ROUND(100/B39*C39-100,1))&lt;999,ROUND(100/B39*C39-100,1),IF(ROUND(100/B39*C39-100,1)&gt;999,999,-999)))</f>
        <v>2.9</v>
      </c>
      <c r="E39" s="869">
        <f>SUM(E14+E24+E29+E33)</f>
        <v>63369.853000000003</v>
      </c>
      <c r="F39" s="680">
        <f>SUM(F14+F24+F29+F33)</f>
        <v>66763.297999999995</v>
      </c>
      <c r="G39" s="450">
        <f>IF(E39=0, "    ---- ", IF(ABS(ROUND(100/E39*F39-100,1))&lt;999,ROUND(100/E39*F39-100,1),IF(ROUND(100/E39*F39-100,1)&gt;999,999,-999)))</f>
        <v>5.4</v>
      </c>
      <c r="H39" s="869">
        <f>SUM(H14+H24+H29+H33)</f>
        <v>3135.4940000000001</v>
      </c>
      <c r="I39" s="680">
        <f>SUM(I14+I24+I29+I33)</f>
        <v>3191.7</v>
      </c>
      <c r="J39" s="450">
        <f>IF(H39=0, "    ---- ", IF(ABS(ROUND(100/H39*I39-100,1))&lt;999,ROUND(100/H39*I39-100,1),IF(ROUND(100/H39*I39-100,1)&gt;999,999,-999)))</f>
        <v>1.8</v>
      </c>
      <c r="K39" s="450">
        <f>SUM(K14+K24+K29+K33)</f>
        <v>20563.403999999999</v>
      </c>
      <c r="L39" s="450">
        <f>SUM(L14+L24+L29+L33)</f>
        <v>22087.85</v>
      </c>
      <c r="M39" s="450">
        <f>IF(K39=0, "    ---- ", IF(ABS(ROUND(100/K39*L39-100,1))&lt;999,ROUND(100/K39*L39-100,1),IF(ROUND(100/K39*L39-100,1)&gt;999,999,-999)))</f>
        <v>7.4</v>
      </c>
      <c r="N39" s="869"/>
      <c r="O39" s="680"/>
      <c r="P39" s="450"/>
      <c r="Q39" s="869">
        <f>SUM(Q14+Q24+Q29+Q33)</f>
        <v>2683.7</v>
      </c>
      <c r="R39" s="680">
        <f>SUM(R14+R24+R29+R33)</f>
        <v>3396.4</v>
      </c>
      <c r="S39" s="450">
        <f>IF(Q39=0, "    ---- ", IF(ABS(ROUND(100/Q39*R39-100,1))&lt;999,ROUND(100/Q39*R39-100,1),IF(ROUND(100/Q39*R39-100,1)&gt;999,999,-999)))</f>
        <v>26.6</v>
      </c>
      <c r="T39" s="869">
        <f>SUM(T14+T24+T29+T33)</f>
        <v>31206.387379027583</v>
      </c>
      <c r="U39" s="680">
        <f>SUM(U14+U24+U29+U33)</f>
        <v>32132.686633946665</v>
      </c>
      <c r="V39" s="450">
        <f>IF(T39=0, "    ---- ", IF(ABS(ROUND(100/T39*U39-100,1))&lt;999,ROUND(100/T39*U39-100,1),IF(ROUND(100/T39*U39-100,1)&gt;999,999,-999)))</f>
        <v>3</v>
      </c>
      <c r="W39" s="869">
        <f>SUM(W14+W24+W29+W33)</f>
        <v>384.55200000000002</v>
      </c>
      <c r="X39" s="680">
        <f>SUM(X14+X24+X29+X33)</f>
        <v>484.28699999999998</v>
      </c>
      <c r="Y39" s="450">
        <f>IF(W39=0, "    ---- ", IF(ABS(ROUND(100/W39*X39-100,1))&lt;999,ROUND(100/W39*X39-100,1),IF(ROUND(100/W39*X39-100,1)&gt;999,999,-999)))</f>
        <v>25.9</v>
      </c>
      <c r="Z39" s="869">
        <f>SUM(Z14+Z24+Z29+Z33)</f>
        <v>21053.617000000002</v>
      </c>
      <c r="AA39" s="680">
        <f>SUM(AA14+AA24+AA29+AA33)</f>
        <v>24152.087</v>
      </c>
      <c r="AB39" s="450">
        <f>IF(Z39=0, "    ---- ", IF(ABS(ROUND(100/Z39*AA39-100,1))&lt;999,ROUND(100/Z39*AA39-100,1),IF(ROUND(100/Z39*AA39-100,1)&gt;999,999,-999)))</f>
        <v>14.7</v>
      </c>
      <c r="AC39" s="869">
        <f>SUM(AC14+AC24+AC29+AC33)</f>
        <v>69794</v>
      </c>
      <c r="AD39" s="680">
        <f>SUM(AD14+AD24+AD29+AD33)</f>
        <v>82440</v>
      </c>
      <c r="AE39" s="450">
        <f t="shared" si="0"/>
        <v>18.100000000000001</v>
      </c>
      <c r="AF39" s="766">
        <f t="shared" si="1"/>
        <v>224307.67537902758</v>
      </c>
      <c r="AG39" s="766">
        <f t="shared" si="1"/>
        <v>247112.72363394665</v>
      </c>
      <c r="AH39" s="450">
        <f t="shared" si="2"/>
        <v>10.199999999999999</v>
      </c>
      <c r="AI39" s="766">
        <f>AF39+'Tabell 7a'!AI51</f>
        <v>604315.18094153272</v>
      </c>
      <c r="AJ39" s="450">
        <f>AG39+'Tabell 7a'!AJ51</f>
        <v>632534.0305735271</v>
      </c>
      <c r="AK39" s="450">
        <f t="shared" si="3"/>
        <v>4.7</v>
      </c>
      <c r="AL39" s="783"/>
      <c r="AM39" s="783"/>
    </row>
    <row r="40" spans="1:39" s="784" customFormat="1" ht="18.75" customHeight="1" x14ac:dyDescent="0.3">
      <c r="A40" s="541" t="s">
        <v>428</v>
      </c>
      <c r="B40" s="869"/>
      <c r="C40" s="680"/>
      <c r="D40" s="450"/>
      <c r="E40" s="869"/>
      <c r="F40" s="680"/>
      <c r="G40" s="450"/>
      <c r="H40" s="869"/>
      <c r="I40" s="680"/>
      <c r="J40" s="450"/>
      <c r="K40" s="450"/>
      <c r="L40" s="450"/>
      <c r="M40" s="450"/>
      <c r="N40" s="869">
        <f>SUM(N15+N25+N30+N34)</f>
        <v>2373.95559615</v>
      </c>
      <c r="O40" s="680">
        <v>2418.6952401500002</v>
      </c>
      <c r="P40" s="450">
        <f>IF(N40=0, "    ---- ", IF(ABS(ROUND(100/N40*O40-100,1))&lt;999,ROUND(100/N40*O40-100,1),IF(ROUND(100/N40*O40-100,1)&gt;999,999,-999)))</f>
        <v>1.9</v>
      </c>
      <c r="Q40" s="869"/>
      <c r="R40" s="680"/>
      <c r="S40" s="450"/>
      <c r="T40" s="869"/>
      <c r="U40" s="680"/>
      <c r="V40" s="450"/>
      <c r="W40" s="869"/>
      <c r="X40" s="680"/>
      <c r="Y40" s="450"/>
      <c r="Z40" s="869"/>
      <c r="AA40" s="680"/>
      <c r="AB40" s="450"/>
      <c r="AC40" s="869"/>
      <c r="AD40" s="680"/>
      <c r="AE40" s="450"/>
      <c r="AF40" s="766">
        <f t="shared" si="1"/>
        <v>2373.95559615</v>
      </c>
      <c r="AG40" s="766">
        <f t="shared" si="1"/>
        <v>2418.6952401500002</v>
      </c>
      <c r="AH40" s="450">
        <f t="shared" si="2"/>
        <v>1.9</v>
      </c>
      <c r="AI40" s="766">
        <f>AF40+'Tabell 7a'!AI52</f>
        <v>519987.26482914999</v>
      </c>
      <c r="AJ40" s="450">
        <f>AG40+'Tabell 7a'!AJ52</f>
        <v>551363.19574320992</v>
      </c>
      <c r="AK40" s="450">
        <f t="shared" si="3"/>
        <v>6</v>
      </c>
      <c r="AL40" s="783"/>
      <c r="AM40" s="783"/>
    </row>
    <row r="41" spans="1:39" s="784" customFormat="1" ht="18.75" customHeight="1" x14ac:dyDescent="0.3">
      <c r="A41" s="591" t="s">
        <v>429</v>
      </c>
      <c r="B41" s="869"/>
      <c r="C41" s="680"/>
      <c r="D41" s="450"/>
      <c r="E41" s="869"/>
      <c r="F41" s="680"/>
      <c r="G41" s="450"/>
      <c r="H41" s="869"/>
      <c r="I41" s="680"/>
      <c r="J41" s="450"/>
      <c r="K41" s="869"/>
      <c r="L41" s="680"/>
      <c r="M41" s="450"/>
      <c r="N41" s="869"/>
      <c r="O41" s="680"/>
      <c r="P41" s="450"/>
      <c r="Q41" s="869"/>
      <c r="R41" s="680"/>
      <c r="S41" s="450"/>
      <c r="T41" s="869"/>
      <c r="U41" s="680"/>
      <c r="V41" s="450"/>
      <c r="W41" s="869"/>
      <c r="X41" s="680"/>
      <c r="Y41" s="450"/>
      <c r="Z41" s="869"/>
      <c r="AA41" s="680"/>
      <c r="AB41" s="450"/>
      <c r="AC41" s="869"/>
      <c r="AD41" s="680"/>
      <c r="AE41" s="450"/>
      <c r="AF41" s="766">
        <f t="shared" si="1"/>
        <v>0</v>
      </c>
      <c r="AG41" s="766">
        <f t="shared" si="1"/>
        <v>0</v>
      </c>
      <c r="AH41" s="450" t="str">
        <f t="shared" si="2"/>
        <v xml:space="preserve">    ---- </v>
      </c>
      <c r="AI41" s="766">
        <f>AF41+'Tabell 7a'!AI53</f>
        <v>19598.685860785241</v>
      </c>
      <c r="AJ41" s="450">
        <f>AG41+'Tabell 7a'!AJ53</f>
        <v>5562.5154270925796</v>
      </c>
      <c r="AK41" s="450">
        <f t="shared" si="3"/>
        <v>-71.599999999999994</v>
      </c>
      <c r="AL41" s="783"/>
      <c r="AM41" s="783"/>
    </row>
    <row r="42" spans="1:39" s="784" customFormat="1" ht="18.75" customHeight="1" x14ac:dyDescent="0.3">
      <c r="A42" s="886" t="s">
        <v>436</v>
      </c>
      <c r="B42" s="717"/>
      <c r="C42" s="697"/>
      <c r="D42" s="788"/>
      <c r="E42" s="717"/>
      <c r="F42" s="697"/>
      <c r="G42" s="788"/>
      <c r="H42" s="717"/>
      <c r="I42" s="697"/>
      <c r="J42" s="788"/>
      <c r="K42" s="717"/>
      <c r="L42" s="697"/>
      <c r="M42" s="788"/>
      <c r="N42" s="717"/>
      <c r="O42" s="697"/>
      <c r="P42" s="788"/>
      <c r="Q42" s="717"/>
      <c r="R42" s="697"/>
      <c r="S42" s="788"/>
      <c r="T42" s="717"/>
      <c r="U42" s="697"/>
      <c r="V42" s="788"/>
      <c r="W42" s="717"/>
      <c r="X42" s="697"/>
      <c r="Y42" s="788"/>
      <c r="Z42" s="717"/>
      <c r="AA42" s="697"/>
      <c r="AB42" s="788"/>
      <c r="AC42" s="717"/>
      <c r="AD42" s="697"/>
      <c r="AE42" s="788"/>
      <c r="AF42" s="787">
        <f t="shared" si="1"/>
        <v>0</v>
      </c>
      <c r="AG42" s="787">
        <f t="shared" si="1"/>
        <v>0</v>
      </c>
      <c r="AH42" s="788" t="str">
        <f t="shared" si="2"/>
        <v xml:space="preserve">    ---- </v>
      </c>
      <c r="AI42" s="787">
        <f>AF42+'Tabell 7a'!AI54</f>
        <v>65038.334306000004</v>
      </c>
      <c r="AJ42" s="788">
        <f>AG42+'Tabell 7a'!AJ54</f>
        <v>50080.332882000002</v>
      </c>
      <c r="AK42" s="788">
        <f t="shared" si="3"/>
        <v>-23</v>
      </c>
      <c r="AL42" s="783"/>
      <c r="AM42" s="783"/>
    </row>
    <row r="43" spans="1:39" s="789" customFormat="1" ht="18.75" customHeight="1" x14ac:dyDescent="0.3">
      <c r="A43" s="593" t="s">
        <v>261</v>
      </c>
      <c r="B43" s="593"/>
      <c r="K43" s="593"/>
      <c r="T43" s="790"/>
      <c r="X43" s="791"/>
      <c r="Y43" s="791"/>
      <c r="Z43" s="593"/>
      <c r="AF43" s="593"/>
      <c r="AI43" s="593"/>
      <c r="AL43" s="792"/>
      <c r="AM43" s="792"/>
    </row>
    <row r="44" spans="1:39" s="789" customFormat="1" ht="18.75" customHeight="1" x14ac:dyDescent="0.3">
      <c r="A44" s="593" t="s">
        <v>263</v>
      </c>
      <c r="B44" s="793"/>
      <c r="K44" s="593"/>
      <c r="X44" s="791"/>
      <c r="Y44" s="791"/>
      <c r="Z44" s="593"/>
      <c r="AI44" s="593"/>
      <c r="AL44" s="792"/>
      <c r="AM44" s="792"/>
    </row>
    <row r="45" spans="1:39" s="789" customFormat="1" ht="18.75" x14ac:dyDescent="0.3">
      <c r="AM45" s="792"/>
    </row>
    <row r="46" spans="1:39" s="789" customFormat="1" ht="18.75" x14ac:dyDescent="0.3">
      <c r="B46" s="702"/>
      <c r="C46" s="702"/>
      <c r="K46" s="702"/>
      <c r="L46" s="702"/>
      <c r="T46" s="702"/>
      <c r="U46" s="702"/>
      <c r="W46" s="702"/>
      <c r="X46" s="702"/>
      <c r="Z46" s="702"/>
      <c r="AA46" s="702"/>
      <c r="AC46" s="702"/>
      <c r="AD46" s="702"/>
      <c r="AF46" s="702"/>
      <c r="AG46" s="702"/>
      <c r="AI46" s="702"/>
      <c r="AJ46" s="702"/>
    </row>
    <row r="47" spans="1:39" s="789" customFormat="1" ht="18.75" x14ac:dyDescent="0.3">
      <c r="B47" s="702"/>
      <c r="C47" s="702"/>
      <c r="K47" s="702"/>
      <c r="L47" s="702"/>
      <c r="T47" s="702"/>
      <c r="U47" s="702"/>
      <c r="W47" s="702"/>
      <c r="X47" s="702"/>
      <c r="Z47" s="702"/>
      <c r="AA47" s="702"/>
      <c r="AC47" s="702"/>
      <c r="AD47" s="702"/>
      <c r="AF47" s="702"/>
      <c r="AG47" s="702"/>
      <c r="AI47" s="702"/>
      <c r="AJ47" s="702"/>
    </row>
    <row r="48" spans="1:39" s="789" customFormat="1" ht="18.75" x14ac:dyDescent="0.3">
      <c r="B48" s="702"/>
      <c r="C48" s="702"/>
      <c r="K48" s="702"/>
      <c r="L48" s="702"/>
      <c r="T48" s="702"/>
      <c r="U48" s="702"/>
      <c r="W48" s="702"/>
      <c r="X48" s="702"/>
      <c r="Z48" s="702"/>
      <c r="AA48" s="702"/>
      <c r="AC48" s="702"/>
      <c r="AD48" s="702"/>
      <c r="AF48" s="702"/>
      <c r="AG48" s="702"/>
      <c r="AI48" s="702"/>
      <c r="AJ48" s="702"/>
    </row>
    <row r="49" spans="1:37" s="789" customFormat="1" ht="18.75" x14ac:dyDescent="0.3">
      <c r="B49" s="702"/>
      <c r="C49" s="702"/>
      <c r="K49" s="702"/>
      <c r="L49" s="702"/>
      <c r="T49" s="702"/>
      <c r="U49" s="702"/>
      <c r="W49" s="702"/>
      <c r="X49" s="702"/>
      <c r="Z49" s="702"/>
      <c r="AA49" s="702"/>
      <c r="AC49" s="702"/>
      <c r="AD49" s="702"/>
      <c r="AF49" s="702"/>
      <c r="AG49" s="702"/>
      <c r="AI49" s="702"/>
      <c r="AJ49" s="702"/>
    </row>
    <row r="50" spans="1:37" s="789" customFormat="1" ht="18.75" x14ac:dyDescent="0.3">
      <c r="B50" s="702"/>
      <c r="C50" s="702"/>
      <c r="K50" s="702"/>
      <c r="L50" s="702"/>
      <c r="T50" s="702"/>
      <c r="U50" s="702"/>
      <c r="W50" s="702"/>
      <c r="X50" s="702"/>
      <c r="Z50" s="702"/>
      <c r="AA50" s="702"/>
      <c r="AC50" s="702"/>
      <c r="AD50" s="702"/>
      <c r="AF50" s="702"/>
      <c r="AG50" s="702"/>
      <c r="AI50" s="702"/>
      <c r="AJ50" s="702"/>
    </row>
    <row r="51" spans="1:37" s="789" customFormat="1" ht="18.75" x14ac:dyDescent="0.3">
      <c r="B51" s="702"/>
      <c r="C51" s="702"/>
      <c r="K51" s="702"/>
      <c r="L51" s="702"/>
      <c r="T51" s="702"/>
      <c r="U51" s="702"/>
      <c r="W51" s="702"/>
      <c r="X51" s="702"/>
      <c r="Z51" s="702"/>
      <c r="AA51" s="702"/>
      <c r="AC51" s="702"/>
      <c r="AD51" s="702"/>
      <c r="AF51" s="702"/>
      <c r="AG51" s="702"/>
      <c r="AI51" s="702"/>
      <c r="AJ51" s="702"/>
    </row>
    <row r="52" spans="1:37" s="789" customFormat="1" ht="18.75" x14ac:dyDescent="0.3">
      <c r="A52" s="792"/>
      <c r="B52" s="702"/>
      <c r="C52" s="702"/>
      <c r="D52" s="792"/>
      <c r="E52" s="792"/>
      <c r="F52" s="792"/>
      <c r="G52" s="792"/>
      <c r="H52" s="792"/>
      <c r="I52" s="792"/>
      <c r="J52" s="792"/>
      <c r="K52" s="702"/>
      <c r="L52" s="702"/>
      <c r="M52" s="792"/>
      <c r="N52" s="792"/>
      <c r="O52" s="792"/>
      <c r="P52" s="792"/>
      <c r="Q52" s="792"/>
      <c r="R52" s="792"/>
      <c r="S52" s="792"/>
      <c r="T52" s="702"/>
      <c r="U52" s="702"/>
      <c r="V52" s="792"/>
      <c r="W52" s="702"/>
      <c r="X52" s="702"/>
      <c r="Y52" s="792"/>
      <c r="Z52" s="702"/>
      <c r="AA52" s="702"/>
      <c r="AB52" s="792"/>
      <c r="AC52" s="702"/>
      <c r="AD52" s="702"/>
      <c r="AE52" s="792"/>
      <c r="AF52" s="702"/>
      <c r="AG52" s="702"/>
      <c r="AH52" s="792"/>
      <c r="AI52" s="702"/>
      <c r="AJ52" s="702"/>
      <c r="AK52" s="792"/>
    </row>
    <row r="53" spans="1:37" s="792" customFormat="1" ht="18.75" x14ac:dyDescent="0.3"/>
    <row r="54" spans="1:37" s="792" customFormat="1" ht="18.75" x14ac:dyDescent="0.3"/>
    <row r="55" spans="1:37" s="789" customFormat="1" ht="18.75" x14ac:dyDescent="0.3"/>
    <row r="56" spans="1:37" s="789" customFormat="1" ht="18.75" x14ac:dyDescent="0.3"/>
    <row r="57" spans="1:37" s="789" customFormat="1" ht="18.75" x14ac:dyDescent="0.3"/>
    <row r="58" spans="1:37" s="789" customFormat="1" ht="18.75" x14ac:dyDescent="0.3"/>
    <row r="59" spans="1:37" s="789" customFormat="1" ht="18.75" x14ac:dyDescent="0.3"/>
    <row r="60" spans="1:37" s="789" customFormat="1" ht="18.75" x14ac:dyDescent="0.3"/>
    <row r="61" spans="1:37" s="789" customFormat="1" ht="18.75" x14ac:dyDescent="0.3"/>
    <row r="62" spans="1:37" s="789" customFormat="1" ht="18.75" x14ac:dyDescent="0.3"/>
    <row r="63" spans="1:37" s="789" customFormat="1" ht="18.75" x14ac:dyDescent="0.3"/>
    <row r="64" spans="1:37" s="789" customFormat="1" ht="18.75" x14ac:dyDescent="0.3"/>
    <row r="65" s="789" customFormat="1" ht="18.75" x14ac:dyDescent="0.3"/>
    <row r="66" s="789" customFormat="1" ht="18.75" x14ac:dyDescent="0.3"/>
    <row r="67" s="789" customFormat="1" ht="18.75" x14ac:dyDescent="0.3"/>
    <row r="68" s="789" customFormat="1" ht="18.75" x14ac:dyDescent="0.3"/>
    <row r="69" s="789" customFormat="1" ht="18.75" x14ac:dyDescent="0.3"/>
    <row r="70" s="789" customFormat="1" ht="18.75" x14ac:dyDescent="0.3"/>
    <row r="71" s="789" customFormat="1" ht="18.75" x14ac:dyDescent="0.3"/>
    <row r="72" s="789" customFormat="1" ht="18.75" x14ac:dyDescent="0.3"/>
    <row r="73" s="789" customFormat="1" ht="18.75" x14ac:dyDescent="0.3"/>
    <row r="74" s="789" customFormat="1" ht="18.75" x14ac:dyDescent="0.3"/>
    <row r="75" s="789" customFormat="1" ht="18.75" x14ac:dyDescent="0.3"/>
    <row r="76" s="789" customFormat="1" ht="18.75" x14ac:dyDescent="0.3"/>
  </sheetData>
  <mergeCells count="22">
    <mergeCell ref="AI6:AK6"/>
    <mergeCell ref="B6:D6"/>
    <mergeCell ref="E6:G6"/>
    <mergeCell ref="H6:J6"/>
    <mergeCell ref="K6:M6"/>
    <mergeCell ref="Q6:S6"/>
    <mergeCell ref="T6:V6"/>
    <mergeCell ref="W6:Y6"/>
    <mergeCell ref="Z6:AB6"/>
    <mergeCell ref="AC6:AE6"/>
    <mergeCell ref="AF6:AH6"/>
    <mergeCell ref="AI5:AK5"/>
    <mergeCell ref="B5:D5"/>
    <mergeCell ref="E5:G5"/>
    <mergeCell ref="H5:J5"/>
    <mergeCell ref="K5:M5"/>
    <mergeCell ref="Q5:S5"/>
    <mergeCell ref="T5:V5"/>
    <mergeCell ref="W5:Y5"/>
    <mergeCell ref="Z5:AB5"/>
    <mergeCell ref="AC5:AE5"/>
    <mergeCell ref="AF5:AH5"/>
  </mergeCells>
  <conditionalFormatting sqref="L11">
    <cfRule type="expression" dxfId="78" priority="146">
      <formula>L$41="11≠12+13+14+15"</formula>
    </cfRule>
  </conditionalFormatting>
  <conditionalFormatting sqref="L21">
    <cfRule type="expression" dxfId="77" priority="147">
      <formula>L$43="21≠22+23+24+25"</formula>
    </cfRule>
  </conditionalFormatting>
  <conditionalFormatting sqref="L26">
    <cfRule type="expression" dxfId="76" priority="148">
      <formula>L$44="26≠27+28+29+30"</formula>
    </cfRule>
  </conditionalFormatting>
  <conditionalFormatting sqref="L16">
    <cfRule type="expression" dxfId="75" priority="149">
      <formula>L$42="16≠17+18+19+20"</formula>
    </cfRule>
  </conditionalFormatting>
  <conditionalFormatting sqref="K11">
    <cfRule type="expression" dxfId="74" priority="142">
      <formula>#REF!="11≠12+13+14+15"</formula>
    </cfRule>
  </conditionalFormatting>
  <conditionalFormatting sqref="K16">
    <cfRule type="expression" dxfId="73" priority="143">
      <formula>#REF!="16≠17+18+19+20"</formula>
    </cfRule>
  </conditionalFormatting>
  <conditionalFormatting sqref="K21">
    <cfRule type="expression" dxfId="72" priority="144">
      <formula>#REF!="21≠22+23+24+25"</formula>
    </cfRule>
  </conditionalFormatting>
  <conditionalFormatting sqref="K26">
    <cfRule type="expression" dxfId="71" priority="145">
      <formula>#REF!="26≠27+28+29+30"</formula>
    </cfRule>
  </conditionalFormatting>
  <conditionalFormatting sqref="L31">
    <cfRule type="expression" dxfId="70" priority="141">
      <formula>L$45="36≠37+38+39"</formula>
    </cfRule>
  </conditionalFormatting>
  <conditionalFormatting sqref="K31">
    <cfRule type="expression" dxfId="69" priority="139">
      <formula>#REF!="36≠37+38+39"</formula>
    </cfRule>
  </conditionalFormatting>
  <conditionalFormatting sqref="U35">
    <cfRule type="expression" dxfId="68" priority="125">
      <formula>#REF!="40≠41+42+43+44+45+46+47"</formula>
    </cfRule>
  </conditionalFormatting>
  <conditionalFormatting sqref="T11">
    <cfRule type="expression" dxfId="67" priority="116">
      <formula>#REF!="11≠12+13+14+15"</formula>
    </cfRule>
  </conditionalFormatting>
  <conditionalFormatting sqref="T16">
    <cfRule type="expression" dxfId="66" priority="117">
      <formula>#REF!="16≠17+18+19+20"</formula>
    </cfRule>
  </conditionalFormatting>
  <conditionalFormatting sqref="T21">
    <cfRule type="expression" dxfId="65" priority="118">
      <formula>#REF!="21≠22+23+24+25"</formula>
    </cfRule>
  </conditionalFormatting>
  <conditionalFormatting sqref="T26">
    <cfRule type="expression" dxfId="64" priority="119">
      <formula>#REF!="26≠27+28+29+30"</formula>
    </cfRule>
  </conditionalFormatting>
  <conditionalFormatting sqref="T31">
    <cfRule type="expression" dxfId="63" priority="120">
      <formula>#REF!="36≠37+38+39"</formula>
    </cfRule>
  </conditionalFormatting>
  <conditionalFormatting sqref="T35">
    <cfRule type="expression" dxfId="62" priority="115">
      <formula>#REF!="40≠41+42+43+44+45+46+47"</formula>
    </cfRule>
  </conditionalFormatting>
  <conditionalFormatting sqref="AD35">
    <cfRule type="expression" dxfId="61" priority="113">
      <formula>#REF!="40≠41+42+43+44+45+46+47"</formula>
    </cfRule>
  </conditionalFormatting>
  <conditionalFormatting sqref="AC11">
    <cfRule type="expression" dxfId="60" priority="104">
      <formula>#REF!="11≠12+13+14+15"</formula>
    </cfRule>
  </conditionalFormatting>
  <conditionalFormatting sqref="AC16">
    <cfRule type="expression" dxfId="59" priority="105">
      <formula>#REF!="16≠17+18+19+20"</formula>
    </cfRule>
  </conditionalFormatting>
  <conditionalFormatting sqref="AC21">
    <cfRule type="expression" dxfId="58" priority="106">
      <formula>#REF!="21≠22+23+24+25"</formula>
    </cfRule>
  </conditionalFormatting>
  <conditionalFormatting sqref="AC26">
    <cfRule type="expression" dxfId="57" priority="107">
      <formula>#REF!="26≠27+28+29+30"</formula>
    </cfRule>
  </conditionalFormatting>
  <conditionalFormatting sqref="AC31">
    <cfRule type="expression" dxfId="56" priority="108">
      <formula>#REF!="36≠37+38+39"</formula>
    </cfRule>
  </conditionalFormatting>
  <conditionalFormatting sqref="AC35">
    <cfRule type="expression" dxfId="55" priority="103">
      <formula>#REF!="40≠41+42+43+44+45+46+47"</formula>
    </cfRule>
  </conditionalFormatting>
  <conditionalFormatting sqref="C35">
    <cfRule type="expression" dxfId="54" priority="101">
      <formula>#REF!="40≠41+42+43+44+45+46+47"</formula>
    </cfRule>
  </conditionalFormatting>
  <conditionalFormatting sqref="B11">
    <cfRule type="expression" dxfId="53" priority="91">
      <formula>#REF!="11≠12+13+14+15"</formula>
    </cfRule>
  </conditionalFormatting>
  <conditionalFormatting sqref="B16">
    <cfRule type="expression" dxfId="52" priority="92">
      <formula>#REF!="16≠17+18+19+20"</formula>
    </cfRule>
  </conditionalFormatting>
  <conditionalFormatting sqref="B21">
    <cfRule type="expression" dxfId="51" priority="93">
      <formula>#REF!="21≠22+23+24+25"</formula>
    </cfRule>
  </conditionalFormatting>
  <conditionalFormatting sqref="B26">
    <cfRule type="expression" dxfId="50" priority="94">
      <formula>#REF!="26≠27+28+29+30"</formula>
    </cfRule>
  </conditionalFormatting>
  <conditionalFormatting sqref="B31">
    <cfRule type="expression" dxfId="49" priority="95">
      <formula>#REF!="36≠37+38+39"</formula>
    </cfRule>
  </conditionalFormatting>
  <conditionalFormatting sqref="B35">
    <cfRule type="expression" dxfId="48" priority="96">
      <formula>#REF!="40≠41+42+43+44+45+46+47"</formula>
    </cfRule>
  </conditionalFormatting>
  <conditionalFormatting sqref="R35">
    <cfRule type="expression" dxfId="47" priority="89">
      <formula>#REF!="40≠41+42+43+44+45+46+47"</formula>
    </cfRule>
  </conditionalFormatting>
  <conditionalFormatting sqref="Q11">
    <cfRule type="expression" dxfId="46" priority="80">
      <formula>#REF!="11≠12+13+14+15"</formula>
    </cfRule>
  </conditionalFormatting>
  <conditionalFormatting sqref="Q16">
    <cfRule type="expression" dxfId="45" priority="81">
      <formula>#REF!="16≠17+18+19+20"</formula>
    </cfRule>
  </conditionalFormatting>
  <conditionalFormatting sqref="Q21">
    <cfRule type="expression" dxfId="44" priority="82">
      <formula>#REF!="21≠22+23+24+25"</formula>
    </cfRule>
  </conditionalFormatting>
  <conditionalFormatting sqref="Q26">
    <cfRule type="expression" dxfId="43" priority="83">
      <formula>#REF!="26≠27+28+29+30"</formula>
    </cfRule>
  </conditionalFormatting>
  <conditionalFormatting sqref="Q31">
    <cfRule type="expression" dxfId="42" priority="84">
      <formula>#REF!="36≠37+38+39"</formula>
    </cfRule>
  </conditionalFormatting>
  <conditionalFormatting sqref="Q35">
    <cfRule type="expression" dxfId="41" priority="79">
      <formula>#REF!="40≠41+42+43+44+45+46+47"</formula>
    </cfRule>
  </conditionalFormatting>
  <conditionalFormatting sqref="O35">
    <cfRule type="expression" dxfId="40" priority="77">
      <formula>#REF!="40≠41+42+43+44+45+46+47"</formula>
    </cfRule>
  </conditionalFormatting>
  <conditionalFormatting sqref="N11">
    <cfRule type="expression" dxfId="39" priority="68">
      <formula>#REF!="11≠12+13+14+15"</formula>
    </cfRule>
  </conditionalFormatting>
  <conditionalFormatting sqref="N16">
    <cfRule type="expression" dxfId="38" priority="69">
      <formula>#REF!="16≠17+18+19+20"</formula>
    </cfRule>
  </conditionalFormatting>
  <conditionalFormatting sqref="N21">
    <cfRule type="expression" dxfId="37" priority="70">
      <formula>#REF!="21≠22+23+24+25"</formula>
    </cfRule>
  </conditionalFormatting>
  <conditionalFormatting sqref="N26">
    <cfRule type="expression" dxfId="36" priority="71">
      <formula>#REF!="26≠27+28+29+30"</formula>
    </cfRule>
  </conditionalFormatting>
  <conditionalFormatting sqref="N31">
    <cfRule type="expression" dxfId="35" priority="72">
      <formula>#REF!="36≠37+38+39"</formula>
    </cfRule>
  </conditionalFormatting>
  <conditionalFormatting sqref="N35">
    <cfRule type="expression" dxfId="34" priority="67">
      <formula>#REF!="40≠41+42+43+44+45+46+47"</formula>
    </cfRule>
  </conditionalFormatting>
  <conditionalFormatting sqref="X35">
    <cfRule type="expression" dxfId="33" priority="65">
      <formula>#REF!="40≠41+42+43+44+45+46+47"</formula>
    </cfRule>
  </conditionalFormatting>
  <conditionalFormatting sqref="W11">
    <cfRule type="expression" dxfId="32" priority="56">
      <formula>#REF!="11≠12+13+14+15"</formula>
    </cfRule>
  </conditionalFormatting>
  <conditionalFormatting sqref="W16">
    <cfRule type="expression" dxfId="31" priority="57">
      <formula>#REF!="16≠17+18+19+20"</formula>
    </cfRule>
  </conditionalFormatting>
  <conditionalFormatting sqref="W21">
    <cfRule type="expression" dxfId="30" priority="58">
      <formula>#REF!="21≠22+23+24+25"</formula>
    </cfRule>
  </conditionalFormatting>
  <conditionalFormatting sqref="W26">
    <cfRule type="expression" dxfId="29" priority="59">
      <formula>#REF!="26≠27+28+29+30"</formula>
    </cfRule>
  </conditionalFormatting>
  <conditionalFormatting sqref="W31">
    <cfRule type="expression" dxfId="28" priority="60">
      <formula>#REF!="36≠37+38+39"</formula>
    </cfRule>
  </conditionalFormatting>
  <conditionalFormatting sqref="W35">
    <cfRule type="expression" dxfId="27" priority="55">
      <formula>#REF!="40≠41+42+43+44+45+46+47"</formula>
    </cfRule>
  </conditionalFormatting>
  <conditionalFormatting sqref="AA35">
    <cfRule type="expression" dxfId="26" priority="41">
      <formula>#REF!="40≠41+42+43+44+45+46+47"</formula>
    </cfRule>
  </conditionalFormatting>
  <conditionalFormatting sqref="Z11">
    <cfRule type="expression" dxfId="25" priority="32">
      <formula>#REF!="11≠12+13+14+15"</formula>
    </cfRule>
  </conditionalFormatting>
  <conditionalFormatting sqref="Z16">
    <cfRule type="expression" dxfId="24" priority="33">
      <formula>#REF!="16≠17+18+19+20"</formula>
    </cfRule>
  </conditionalFormatting>
  <conditionalFormatting sqref="Z21">
    <cfRule type="expression" dxfId="23" priority="34">
      <formula>#REF!="21≠22+23+24+25"</formula>
    </cfRule>
  </conditionalFormatting>
  <conditionalFormatting sqref="Z26">
    <cfRule type="expression" dxfId="22" priority="35">
      <formula>#REF!="26≠27+28+29+30"</formula>
    </cfRule>
  </conditionalFormatting>
  <conditionalFormatting sqref="Z31">
    <cfRule type="expression" dxfId="21" priority="36">
      <formula>#REF!="36≠37+38+39"</formula>
    </cfRule>
  </conditionalFormatting>
  <conditionalFormatting sqref="Z35">
    <cfRule type="expression" dxfId="20" priority="31">
      <formula>#REF!="40≠41+42+43+44+45+46+47"</formula>
    </cfRule>
  </conditionalFormatting>
  <conditionalFormatting sqref="I35">
    <cfRule type="expression" dxfId="19" priority="29">
      <formula>#REF!="40≠41+42+43+44+45+46+47"</formula>
    </cfRule>
  </conditionalFormatting>
  <conditionalFormatting sqref="H11">
    <cfRule type="expression" dxfId="18" priority="21">
      <formula>#REF!="11≠12+13+14+15"</formula>
    </cfRule>
  </conditionalFormatting>
  <conditionalFormatting sqref="H16">
    <cfRule type="expression" dxfId="17" priority="22">
      <formula>#REF!="16≠17+18+19+20"</formula>
    </cfRule>
  </conditionalFormatting>
  <conditionalFormatting sqref="H21">
    <cfRule type="expression" dxfId="16" priority="23">
      <formula>#REF!="21≠22+23+24+25"</formula>
    </cfRule>
  </conditionalFormatting>
  <conditionalFormatting sqref="H31">
    <cfRule type="expression" dxfId="15" priority="24">
      <formula>#REF!="36≠37+38+39"</formula>
    </cfRule>
  </conditionalFormatting>
  <conditionalFormatting sqref="H35">
    <cfRule type="expression" dxfId="14" priority="20">
      <formula>#REF!="40≠41+42+43+44+45+46+47"</formula>
    </cfRule>
  </conditionalFormatting>
  <conditionalFormatting sqref="F35">
    <cfRule type="expression" dxfId="13" priority="17">
      <formula>#REF!="40≠41+42+43+44+45+46+47"</formula>
    </cfRule>
  </conditionalFormatting>
  <conditionalFormatting sqref="E11">
    <cfRule type="expression" dxfId="12" priority="8">
      <formula>#REF!="11≠12+13+14+15"</formula>
    </cfRule>
  </conditionalFormatting>
  <conditionalFormatting sqref="E16">
    <cfRule type="expression" dxfId="11" priority="9">
      <formula>#REF!="16≠17+18+19+20"</formula>
    </cfRule>
  </conditionalFormatting>
  <conditionalFormatting sqref="E21">
    <cfRule type="expression" dxfId="10" priority="10">
      <formula>#REF!="21≠22+23+24+25"</formula>
    </cfRule>
  </conditionalFormatting>
  <conditionalFormatting sqref="E26">
    <cfRule type="expression" dxfId="9" priority="11">
      <formula>#REF!="26≠27+28+29+30"</formula>
    </cfRule>
  </conditionalFormatting>
  <conditionalFormatting sqref="E31">
    <cfRule type="expression" dxfId="8" priority="12">
      <formula>#REF!="36≠37+38+39"</formula>
    </cfRule>
  </conditionalFormatting>
  <conditionalFormatting sqref="E35">
    <cfRule type="expression" dxfId="7" priority="7">
      <formula>#REF!="40≠41+42+43+44+45+46+47"</formula>
    </cfRule>
  </conditionalFormatting>
  <conditionalFormatting sqref="AI11:AJ11 U11 AD11 C11 R11 O11 X11 AA11 I11 F11 AF11:AG11">
    <cfRule type="expression" dxfId="6" priority="813">
      <formula>#REF!="11≠12+13+14+15"</formula>
    </cfRule>
  </conditionalFormatting>
  <conditionalFormatting sqref="AI16:AJ16 U16 AD16 C16 R16 O16 X16 AA16 I16 F16 AF16:AG16">
    <cfRule type="expression" dxfId="5" priority="815">
      <formula>#REF!="16≠17+18+19+20"</formula>
    </cfRule>
  </conditionalFormatting>
  <conditionalFormatting sqref="AI21:AJ21 U21 AD21 C21 R21 O21 X21 AA21 I21 F21 AF21:AG21">
    <cfRule type="expression" dxfId="4" priority="817">
      <formula>#REF!="21≠22+23+24+25"</formula>
    </cfRule>
  </conditionalFormatting>
  <conditionalFormatting sqref="AI26:AJ26 U26 AD26 C26 R26 O26 X26 AA26 H26:I26 F26 AF26:AG26">
    <cfRule type="expression" dxfId="3" priority="819">
      <formula>#REF!="26≠27+28+29+30"</formula>
    </cfRule>
  </conditionalFormatting>
  <conditionalFormatting sqref="AI31:AJ31 AF31:AG31">
    <cfRule type="expression" dxfId="2" priority="821">
      <formula>#REF!="36≠37+38+39"</formula>
    </cfRule>
  </conditionalFormatting>
  <conditionalFormatting sqref="AI35:AJ35 K35:L35 AF35:AG35">
    <cfRule type="expression" dxfId="1" priority="823">
      <formula>#REF!="40≠41+42+43+44+45+46+47"</formula>
    </cfRule>
  </conditionalFormatting>
  <conditionalFormatting sqref="U31 AD31 C31 R31 O31 X31 AA31 I31 F31">
    <cfRule type="expression" dxfId="0" priority="827">
      <formula>#REF!="36≠37+38+39"</formula>
    </cfRule>
  </conditionalFormatting>
  <hyperlinks>
    <hyperlink ref="B1" location="Innhold!A1" display="Tilbake" xr:uid="{00000000-0004-0000-24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48" man="1"/>
    <brk id="19" min="1" max="48" man="1"/>
    <brk id="25" min="1" max="48" man="1"/>
    <brk id="34" min="1" max="4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59"/>
  <sheetViews>
    <sheetView showGridLines="0" zoomScale="70" zoomScaleNormal="7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62" style="516" customWidth="1"/>
    <col min="2" max="34" width="11.7109375" style="516" customWidth="1"/>
    <col min="35" max="253" width="11.42578125" style="516"/>
    <col min="254" max="254" width="62" style="516" customWidth="1"/>
    <col min="255" max="290" width="11.7109375" style="516" customWidth="1"/>
    <col min="291" max="509" width="11.42578125" style="516"/>
    <col min="510" max="510" width="62" style="516" customWidth="1"/>
    <col min="511" max="546" width="11.7109375" style="516" customWidth="1"/>
    <col min="547" max="765" width="11.42578125" style="516"/>
    <col min="766" max="766" width="62" style="516" customWidth="1"/>
    <col min="767" max="802" width="11.7109375" style="516" customWidth="1"/>
    <col min="803" max="1021" width="11.42578125" style="516"/>
    <col min="1022" max="1022" width="62" style="516" customWidth="1"/>
    <col min="1023" max="1058" width="11.7109375" style="516" customWidth="1"/>
    <col min="1059" max="1277" width="11.42578125" style="516"/>
    <col min="1278" max="1278" width="62" style="516" customWidth="1"/>
    <col min="1279" max="1314" width="11.7109375" style="516" customWidth="1"/>
    <col min="1315" max="1533" width="11.42578125" style="516"/>
    <col min="1534" max="1534" width="62" style="516" customWidth="1"/>
    <col min="1535" max="1570" width="11.7109375" style="516" customWidth="1"/>
    <col min="1571" max="1789" width="11.42578125" style="516"/>
    <col min="1790" max="1790" width="62" style="516" customWidth="1"/>
    <col min="1791" max="1826" width="11.7109375" style="516" customWidth="1"/>
    <col min="1827" max="2045" width="11.42578125" style="516"/>
    <col min="2046" max="2046" width="62" style="516" customWidth="1"/>
    <col min="2047" max="2082" width="11.7109375" style="516" customWidth="1"/>
    <col min="2083" max="2301" width="11.42578125" style="516"/>
    <col min="2302" max="2302" width="62" style="516" customWidth="1"/>
    <col min="2303" max="2338" width="11.7109375" style="516" customWidth="1"/>
    <col min="2339" max="2557" width="11.42578125" style="516"/>
    <col min="2558" max="2558" width="62" style="516" customWidth="1"/>
    <col min="2559" max="2594" width="11.7109375" style="516" customWidth="1"/>
    <col min="2595" max="2813" width="11.42578125" style="516"/>
    <col min="2814" max="2814" width="62" style="516" customWidth="1"/>
    <col min="2815" max="2850" width="11.7109375" style="516" customWidth="1"/>
    <col min="2851" max="3069" width="11.42578125" style="516"/>
    <col min="3070" max="3070" width="62" style="516" customWidth="1"/>
    <col min="3071" max="3106" width="11.7109375" style="516" customWidth="1"/>
    <col min="3107" max="3325" width="11.42578125" style="516"/>
    <col min="3326" max="3326" width="62" style="516" customWidth="1"/>
    <col min="3327" max="3362" width="11.7109375" style="516" customWidth="1"/>
    <col min="3363" max="3581" width="11.42578125" style="516"/>
    <col min="3582" max="3582" width="62" style="516" customWidth="1"/>
    <col min="3583" max="3618" width="11.7109375" style="516" customWidth="1"/>
    <col min="3619" max="3837" width="11.42578125" style="516"/>
    <col min="3838" max="3838" width="62" style="516" customWidth="1"/>
    <col min="3839" max="3874" width="11.7109375" style="516" customWidth="1"/>
    <col min="3875" max="4093" width="11.42578125" style="516"/>
    <col min="4094" max="4094" width="62" style="516" customWidth="1"/>
    <col min="4095" max="4130" width="11.7109375" style="516" customWidth="1"/>
    <col min="4131" max="4349" width="11.42578125" style="516"/>
    <col min="4350" max="4350" width="62" style="516" customWidth="1"/>
    <col min="4351" max="4386" width="11.7109375" style="516" customWidth="1"/>
    <col min="4387" max="4605" width="11.42578125" style="516"/>
    <col min="4606" max="4606" width="62" style="516" customWidth="1"/>
    <col min="4607" max="4642" width="11.7109375" style="516" customWidth="1"/>
    <col min="4643" max="4861" width="11.42578125" style="516"/>
    <col min="4862" max="4862" width="62" style="516" customWidth="1"/>
    <col min="4863" max="4898" width="11.7109375" style="516" customWidth="1"/>
    <col min="4899" max="5117" width="11.42578125" style="516"/>
    <col min="5118" max="5118" width="62" style="516" customWidth="1"/>
    <col min="5119" max="5154" width="11.7109375" style="516" customWidth="1"/>
    <col min="5155" max="5373" width="11.42578125" style="516"/>
    <col min="5374" max="5374" width="62" style="516" customWidth="1"/>
    <col min="5375" max="5410" width="11.7109375" style="516" customWidth="1"/>
    <col min="5411" max="5629" width="11.42578125" style="516"/>
    <col min="5630" max="5630" width="62" style="516" customWidth="1"/>
    <col min="5631" max="5666" width="11.7109375" style="516" customWidth="1"/>
    <col min="5667" max="5885" width="11.42578125" style="516"/>
    <col min="5886" max="5886" width="62" style="516" customWidth="1"/>
    <col min="5887" max="5922" width="11.7109375" style="516" customWidth="1"/>
    <col min="5923" max="6141" width="11.42578125" style="516"/>
    <col min="6142" max="6142" width="62" style="516" customWidth="1"/>
    <col min="6143" max="6178" width="11.7109375" style="516" customWidth="1"/>
    <col min="6179" max="6397" width="11.42578125" style="516"/>
    <col min="6398" max="6398" width="62" style="516" customWidth="1"/>
    <col min="6399" max="6434" width="11.7109375" style="516" customWidth="1"/>
    <col min="6435" max="6653" width="11.42578125" style="516"/>
    <col min="6654" max="6654" width="62" style="516" customWidth="1"/>
    <col min="6655" max="6690" width="11.7109375" style="516" customWidth="1"/>
    <col min="6691" max="6909" width="11.42578125" style="516"/>
    <col min="6910" max="6910" width="62" style="516" customWidth="1"/>
    <col min="6911" max="6946" width="11.7109375" style="516" customWidth="1"/>
    <col min="6947" max="7165" width="11.42578125" style="516"/>
    <col min="7166" max="7166" width="62" style="516" customWidth="1"/>
    <col min="7167" max="7202" width="11.7109375" style="516" customWidth="1"/>
    <col min="7203" max="7421" width="11.42578125" style="516"/>
    <col min="7422" max="7422" width="62" style="516" customWidth="1"/>
    <col min="7423" max="7458" width="11.7109375" style="516" customWidth="1"/>
    <col min="7459" max="7677" width="11.42578125" style="516"/>
    <col min="7678" max="7678" width="62" style="516" customWidth="1"/>
    <col min="7679" max="7714" width="11.7109375" style="516" customWidth="1"/>
    <col min="7715" max="7933" width="11.42578125" style="516"/>
    <col min="7934" max="7934" width="62" style="516" customWidth="1"/>
    <col min="7935" max="7970" width="11.7109375" style="516" customWidth="1"/>
    <col min="7971" max="8189" width="11.42578125" style="516"/>
    <col min="8190" max="8190" width="62" style="516" customWidth="1"/>
    <col min="8191" max="8226" width="11.7109375" style="516" customWidth="1"/>
    <col min="8227" max="8445" width="11.42578125" style="516"/>
    <col min="8446" max="8446" width="62" style="516" customWidth="1"/>
    <col min="8447" max="8482" width="11.7109375" style="516" customWidth="1"/>
    <col min="8483" max="8701" width="11.42578125" style="516"/>
    <col min="8702" max="8702" width="62" style="516" customWidth="1"/>
    <col min="8703" max="8738" width="11.7109375" style="516" customWidth="1"/>
    <col min="8739" max="8957" width="11.42578125" style="516"/>
    <col min="8958" max="8958" width="62" style="516" customWidth="1"/>
    <col min="8959" max="8994" width="11.7109375" style="516" customWidth="1"/>
    <col min="8995" max="9213" width="11.42578125" style="516"/>
    <col min="9214" max="9214" width="62" style="516" customWidth="1"/>
    <col min="9215" max="9250" width="11.7109375" style="516" customWidth="1"/>
    <col min="9251" max="9469" width="11.42578125" style="516"/>
    <col min="9470" max="9470" width="62" style="516" customWidth="1"/>
    <col min="9471" max="9506" width="11.7109375" style="516" customWidth="1"/>
    <col min="9507" max="9725" width="11.42578125" style="516"/>
    <col min="9726" max="9726" width="62" style="516" customWidth="1"/>
    <col min="9727" max="9762" width="11.7109375" style="516" customWidth="1"/>
    <col min="9763" max="9981" width="11.42578125" style="516"/>
    <col min="9982" max="9982" width="62" style="516" customWidth="1"/>
    <col min="9983" max="10018" width="11.7109375" style="516" customWidth="1"/>
    <col min="10019" max="10237" width="11.42578125" style="516"/>
    <col min="10238" max="10238" width="62" style="516" customWidth="1"/>
    <col min="10239" max="10274" width="11.7109375" style="516" customWidth="1"/>
    <col min="10275" max="10493" width="11.42578125" style="516"/>
    <col min="10494" max="10494" width="62" style="516" customWidth="1"/>
    <col min="10495" max="10530" width="11.7109375" style="516" customWidth="1"/>
    <col min="10531" max="10749" width="11.42578125" style="516"/>
    <col min="10750" max="10750" width="62" style="516" customWidth="1"/>
    <col min="10751" max="10786" width="11.7109375" style="516" customWidth="1"/>
    <col min="10787" max="11005" width="11.42578125" style="516"/>
    <col min="11006" max="11006" width="62" style="516" customWidth="1"/>
    <col min="11007" max="11042" width="11.7109375" style="516" customWidth="1"/>
    <col min="11043" max="11261" width="11.42578125" style="516"/>
    <col min="11262" max="11262" width="62" style="516" customWidth="1"/>
    <col min="11263" max="11298" width="11.7109375" style="516" customWidth="1"/>
    <col min="11299" max="11517" width="11.42578125" style="516"/>
    <col min="11518" max="11518" width="62" style="516" customWidth="1"/>
    <col min="11519" max="11554" width="11.7109375" style="516" customWidth="1"/>
    <col min="11555" max="11773" width="11.42578125" style="516"/>
    <col min="11774" max="11774" width="62" style="516" customWidth="1"/>
    <col min="11775" max="11810" width="11.7109375" style="516" customWidth="1"/>
    <col min="11811" max="12029" width="11.42578125" style="516"/>
    <col min="12030" max="12030" width="62" style="516" customWidth="1"/>
    <col min="12031" max="12066" width="11.7109375" style="516" customWidth="1"/>
    <col min="12067" max="12285" width="11.42578125" style="516"/>
    <col min="12286" max="12286" width="62" style="516" customWidth="1"/>
    <col min="12287" max="12322" width="11.7109375" style="516" customWidth="1"/>
    <col min="12323" max="12541" width="11.42578125" style="516"/>
    <col min="12542" max="12542" width="62" style="516" customWidth="1"/>
    <col min="12543" max="12578" width="11.7109375" style="516" customWidth="1"/>
    <col min="12579" max="12797" width="11.42578125" style="516"/>
    <col min="12798" max="12798" width="62" style="516" customWidth="1"/>
    <col min="12799" max="12834" width="11.7109375" style="516" customWidth="1"/>
    <col min="12835" max="13053" width="11.42578125" style="516"/>
    <col min="13054" max="13054" width="62" style="516" customWidth="1"/>
    <col min="13055" max="13090" width="11.7109375" style="516" customWidth="1"/>
    <col min="13091" max="13309" width="11.42578125" style="516"/>
    <col min="13310" max="13310" width="62" style="516" customWidth="1"/>
    <col min="13311" max="13346" width="11.7109375" style="516" customWidth="1"/>
    <col min="13347" max="13565" width="11.42578125" style="516"/>
    <col min="13566" max="13566" width="62" style="516" customWidth="1"/>
    <col min="13567" max="13602" width="11.7109375" style="516" customWidth="1"/>
    <col min="13603" max="13821" width="11.42578125" style="516"/>
    <col min="13822" max="13822" width="62" style="516" customWidth="1"/>
    <col min="13823" max="13858" width="11.7109375" style="516" customWidth="1"/>
    <col min="13859" max="14077" width="11.42578125" style="516"/>
    <col min="14078" max="14078" width="62" style="516" customWidth="1"/>
    <col min="14079" max="14114" width="11.7109375" style="516" customWidth="1"/>
    <col min="14115" max="14333" width="11.42578125" style="516"/>
    <col min="14334" max="14334" width="62" style="516" customWidth="1"/>
    <col min="14335" max="14370" width="11.7109375" style="516" customWidth="1"/>
    <col min="14371" max="14589" width="11.42578125" style="516"/>
    <col min="14590" max="14590" width="62" style="516" customWidth="1"/>
    <col min="14591" max="14626" width="11.7109375" style="516" customWidth="1"/>
    <col min="14627" max="14845" width="11.42578125" style="516"/>
    <col min="14846" max="14846" width="62" style="516" customWidth="1"/>
    <col min="14847" max="14882" width="11.7109375" style="516" customWidth="1"/>
    <col min="14883" max="15101" width="11.42578125" style="516"/>
    <col min="15102" max="15102" width="62" style="516" customWidth="1"/>
    <col min="15103" max="15138" width="11.7109375" style="516" customWidth="1"/>
    <col min="15139" max="15357" width="11.42578125" style="516"/>
    <col min="15358" max="15358" width="62" style="516" customWidth="1"/>
    <col min="15359" max="15394" width="11.7109375" style="516" customWidth="1"/>
    <col min="15395" max="15613" width="11.42578125" style="516"/>
    <col min="15614" max="15614" width="62" style="516" customWidth="1"/>
    <col min="15615" max="15650" width="11.7109375" style="516" customWidth="1"/>
    <col min="15651" max="15869" width="11.42578125" style="516"/>
    <col min="15870" max="15870" width="62" style="516" customWidth="1"/>
    <col min="15871" max="15906" width="11.7109375" style="516" customWidth="1"/>
    <col min="15907" max="16125" width="11.42578125" style="516"/>
    <col min="16126" max="16126" width="62" style="516" customWidth="1"/>
    <col min="16127" max="16162" width="11.7109375" style="516" customWidth="1"/>
    <col min="16163" max="16384" width="11.42578125" style="516"/>
  </cols>
  <sheetData>
    <row r="1" spans="1:51" ht="20.25" customHeight="1" x14ac:dyDescent="0.3">
      <c r="A1" s="514" t="s">
        <v>180</v>
      </c>
      <c r="B1" s="480" t="s">
        <v>52</v>
      </c>
      <c r="AI1" s="794"/>
    </row>
    <row r="2" spans="1:51" ht="20.100000000000001" customHeight="1" x14ac:dyDescent="0.3">
      <c r="A2" s="514" t="s">
        <v>276</v>
      </c>
      <c r="C2" s="942"/>
      <c r="D2" s="942"/>
      <c r="E2" s="942"/>
      <c r="F2" s="721"/>
      <c r="AI2" s="794"/>
    </row>
    <row r="3" spans="1:51" ht="20.100000000000001" customHeight="1" x14ac:dyDescent="0.3">
      <c r="A3" s="795" t="s">
        <v>344</v>
      </c>
      <c r="AI3" s="796"/>
    </row>
    <row r="4" spans="1:51" ht="20.100000000000001" customHeight="1" x14ac:dyDescent="0.3">
      <c r="A4" s="520" t="s">
        <v>371</v>
      </c>
      <c r="B4" s="525"/>
      <c r="C4" s="524"/>
      <c r="D4" s="526"/>
      <c r="E4" s="525"/>
      <c r="F4" s="524"/>
      <c r="G4" s="526"/>
      <c r="H4" s="524"/>
      <c r="I4" s="524"/>
      <c r="J4" s="526"/>
      <c r="K4" s="525"/>
      <c r="L4" s="524"/>
      <c r="M4" s="526"/>
      <c r="N4" s="525"/>
      <c r="O4" s="524"/>
      <c r="P4" s="526"/>
      <c r="Q4" s="525"/>
      <c r="R4" s="524"/>
      <c r="S4" s="526"/>
      <c r="T4" s="525"/>
      <c r="U4" s="524"/>
      <c r="V4" s="526"/>
      <c r="W4" s="525"/>
      <c r="X4" s="524"/>
      <c r="Y4" s="526"/>
      <c r="Z4" s="525"/>
      <c r="AA4" s="524"/>
      <c r="AB4" s="526"/>
      <c r="AC4" s="525"/>
      <c r="AD4" s="524"/>
      <c r="AE4" s="526"/>
      <c r="AF4" s="525"/>
      <c r="AG4" s="797"/>
      <c r="AH4" s="526"/>
      <c r="AI4" s="798"/>
      <c r="AJ4" s="799"/>
      <c r="AK4" s="799"/>
      <c r="AL4" s="799"/>
      <c r="AM4" s="799"/>
      <c r="AN4" s="799"/>
      <c r="AO4" s="799"/>
      <c r="AP4" s="799"/>
      <c r="AQ4" s="799"/>
      <c r="AR4" s="799"/>
      <c r="AS4" s="799"/>
      <c r="AT4" s="799"/>
      <c r="AU4" s="799"/>
      <c r="AV4" s="799"/>
      <c r="AW4" s="799"/>
      <c r="AX4" s="799"/>
      <c r="AY4" s="799"/>
    </row>
    <row r="5" spans="1:51" ht="20.100000000000001" customHeight="1" x14ac:dyDescent="0.3">
      <c r="A5" s="531"/>
      <c r="B5" s="982" t="s">
        <v>183</v>
      </c>
      <c r="C5" s="983"/>
      <c r="D5" s="984"/>
      <c r="E5" s="982" t="s">
        <v>184</v>
      </c>
      <c r="F5" s="983"/>
      <c r="G5" s="984"/>
      <c r="H5" s="983" t="s">
        <v>185</v>
      </c>
      <c r="I5" s="983"/>
      <c r="J5" s="984"/>
      <c r="K5" s="982" t="s">
        <v>186</v>
      </c>
      <c r="L5" s="983"/>
      <c r="M5" s="984"/>
      <c r="N5" s="900" t="s">
        <v>187</v>
      </c>
      <c r="O5" s="901"/>
      <c r="P5" s="902"/>
      <c r="Q5" s="982" t="s">
        <v>64</v>
      </c>
      <c r="R5" s="983"/>
      <c r="S5" s="984"/>
      <c r="T5" s="882"/>
      <c r="U5" s="883"/>
      <c r="V5" s="884"/>
      <c r="W5" s="982" t="s">
        <v>188</v>
      </c>
      <c r="X5" s="983"/>
      <c r="Y5" s="984"/>
      <c r="Z5" s="982"/>
      <c r="AA5" s="983"/>
      <c r="AB5" s="984"/>
      <c r="AC5" s="982" t="s">
        <v>75</v>
      </c>
      <c r="AD5" s="983"/>
      <c r="AE5" s="984"/>
      <c r="AF5" s="982" t="s">
        <v>294</v>
      </c>
      <c r="AG5" s="983"/>
      <c r="AH5" s="984"/>
      <c r="AI5" s="598"/>
      <c r="AJ5" s="800"/>
      <c r="AK5" s="1023"/>
      <c r="AL5" s="1023"/>
      <c r="AM5" s="1023"/>
      <c r="AN5" s="1023"/>
      <c r="AO5" s="1023"/>
      <c r="AP5" s="1023"/>
      <c r="AQ5" s="1023"/>
      <c r="AR5" s="1023"/>
      <c r="AS5" s="1023"/>
      <c r="AT5" s="1023"/>
      <c r="AU5" s="1023"/>
      <c r="AV5" s="1023"/>
      <c r="AW5" s="1023"/>
      <c r="AX5" s="1023"/>
      <c r="AY5" s="1023"/>
    </row>
    <row r="6" spans="1:51" ht="20.100000000000001" customHeight="1" x14ac:dyDescent="0.3">
      <c r="A6" s="532"/>
      <c r="B6" s="985" t="s">
        <v>189</v>
      </c>
      <c r="C6" s="986"/>
      <c r="D6" s="987"/>
      <c r="E6" s="985" t="s">
        <v>190</v>
      </c>
      <c r="F6" s="986"/>
      <c r="G6" s="987"/>
      <c r="H6" s="986" t="s">
        <v>190</v>
      </c>
      <c r="I6" s="986"/>
      <c r="J6" s="987"/>
      <c r="K6" s="985" t="s">
        <v>191</v>
      </c>
      <c r="L6" s="986"/>
      <c r="M6" s="987"/>
      <c r="N6" s="985" t="s">
        <v>64</v>
      </c>
      <c r="O6" s="986"/>
      <c r="P6" s="987"/>
      <c r="Q6" s="985" t="s">
        <v>192</v>
      </c>
      <c r="R6" s="986"/>
      <c r="S6" s="987"/>
      <c r="T6" s="985" t="s">
        <v>68</v>
      </c>
      <c r="U6" s="986"/>
      <c r="V6" s="987"/>
      <c r="W6" s="985" t="s">
        <v>189</v>
      </c>
      <c r="X6" s="986"/>
      <c r="Y6" s="987"/>
      <c r="Z6" s="985" t="s">
        <v>70</v>
      </c>
      <c r="AA6" s="986"/>
      <c r="AB6" s="987"/>
      <c r="AC6" s="985" t="s">
        <v>190</v>
      </c>
      <c r="AD6" s="986"/>
      <c r="AE6" s="987"/>
      <c r="AF6" s="985" t="s">
        <v>295</v>
      </c>
      <c r="AG6" s="986"/>
      <c r="AH6" s="987"/>
      <c r="AI6" s="598"/>
      <c r="AJ6" s="800"/>
      <c r="AK6" s="1023"/>
      <c r="AL6" s="1023"/>
      <c r="AM6" s="1023"/>
      <c r="AN6" s="1023"/>
      <c r="AO6" s="1023"/>
      <c r="AP6" s="1023"/>
      <c r="AQ6" s="1023"/>
      <c r="AR6" s="1023"/>
      <c r="AS6" s="1023"/>
      <c r="AT6" s="1023"/>
      <c r="AU6" s="1023"/>
      <c r="AV6" s="1023"/>
      <c r="AW6" s="1023"/>
      <c r="AX6" s="1023"/>
      <c r="AY6" s="1023"/>
    </row>
    <row r="7" spans="1:51" ht="20.100000000000001" customHeight="1" x14ac:dyDescent="0.3">
      <c r="A7" s="532"/>
      <c r="B7" s="733"/>
      <c r="C7" s="733"/>
      <c r="D7" s="533" t="s">
        <v>83</v>
      </c>
      <c r="E7" s="733"/>
      <c r="F7" s="733"/>
      <c r="G7" s="533" t="s">
        <v>83</v>
      </c>
      <c r="H7" s="733"/>
      <c r="I7" s="733"/>
      <c r="J7" s="533" t="s">
        <v>83</v>
      </c>
      <c r="K7" s="733"/>
      <c r="L7" s="733"/>
      <c r="M7" s="533" t="s">
        <v>83</v>
      </c>
      <c r="N7" s="733"/>
      <c r="O7" s="733"/>
      <c r="P7" s="533" t="s">
        <v>83</v>
      </c>
      <c r="Q7" s="733"/>
      <c r="R7" s="733"/>
      <c r="S7" s="533" t="s">
        <v>83</v>
      </c>
      <c r="T7" s="733"/>
      <c r="U7" s="733"/>
      <c r="V7" s="533" t="s">
        <v>83</v>
      </c>
      <c r="W7" s="733"/>
      <c r="X7" s="733"/>
      <c r="Y7" s="533" t="s">
        <v>83</v>
      </c>
      <c r="Z7" s="733"/>
      <c r="AA7" s="733"/>
      <c r="AB7" s="533" t="s">
        <v>83</v>
      </c>
      <c r="AC7" s="733"/>
      <c r="AD7" s="733"/>
      <c r="AE7" s="533" t="s">
        <v>83</v>
      </c>
      <c r="AF7" s="733"/>
      <c r="AG7" s="733"/>
      <c r="AH7" s="533" t="s">
        <v>83</v>
      </c>
      <c r="AI7" s="598"/>
      <c r="AJ7" s="800"/>
      <c r="AK7" s="800"/>
      <c r="AL7" s="800"/>
      <c r="AM7" s="800"/>
      <c r="AN7" s="800"/>
      <c r="AO7" s="800"/>
      <c r="AP7" s="800"/>
      <c r="AQ7" s="800"/>
      <c r="AR7" s="800"/>
      <c r="AS7" s="800"/>
      <c r="AT7" s="800"/>
      <c r="AU7" s="800"/>
      <c r="AV7" s="800"/>
      <c r="AW7" s="800"/>
      <c r="AX7" s="800"/>
      <c r="AY7" s="800"/>
    </row>
    <row r="8" spans="1:51" ht="20.100000000000001" customHeight="1" x14ac:dyDescent="0.25">
      <c r="A8" s="801" t="s">
        <v>297</v>
      </c>
      <c r="B8" s="735">
        <v>2017</v>
      </c>
      <c r="C8" s="735">
        <v>2018</v>
      </c>
      <c r="D8" s="535" t="s">
        <v>85</v>
      </c>
      <c r="E8" s="735">
        <v>2017</v>
      </c>
      <c r="F8" s="735">
        <v>2018</v>
      </c>
      <c r="G8" s="535" t="s">
        <v>85</v>
      </c>
      <c r="H8" s="735">
        <v>2017</v>
      </c>
      <c r="I8" s="735">
        <v>2018</v>
      </c>
      <c r="J8" s="535" t="s">
        <v>85</v>
      </c>
      <c r="K8" s="735">
        <v>2017</v>
      </c>
      <c r="L8" s="735">
        <v>2018</v>
      </c>
      <c r="M8" s="535" t="s">
        <v>85</v>
      </c>
      <c r="N8" s="735">
        <v>2017</v>
      </c>
      <c r="O8" s="735">
        <v>2018</v>
      </c>
      <c r="P8" s="535" t="s">
        <v>85</v>
      </c>
      <c r="Q8" s="735">
        <v>2017</v>
      </c>
      <c r="R8" s="735">
        <v>2018</v>
      </c>
      <c r="S8" s="535" t="s">
        <v>85</v>
      </c>
      <c r="T8" s="735">
        <v>2017</v>
      </c>
      <c r="U8" s="735">
        <v>2018</v>
      </c>
      <c r="V8" s="535" t="s">
        <v>85</v>
      </c>
      <c r="W8" s="735">
        <v>2017</v>
      </c>
      <c r="X8" s="735">
        <v>2018</v>
      </c>
      <c r="Y8" s="535" t="s">
        <v>85</v>
      </c>
      <c r="Z8" s="735">
        <v>2017</v>
      </c>
      <c r="AA8" s="735">
        <v>2018</v>
      </c>
      <c r="AB8" s="535" t="s">
        <v>85</v>
      </c>
      <c r="AC8" s="735">
        <v>2017</v>
      </c>
      <c r="AD8" s="735">
        <v>2018</v>
      </c>
      <c r="AE8" s="535" t="s">
        <v>85</v>
      </c>
      <c r="AF8" s="735">
        <v>2017</v>
      </c>
      <c r="AG8" s="735">
        <v>2018</v>
      </c>
      <c r="AH8" s="535" t="s">
        <v>85</v>
      </c>
      <c r="AI8" s="598"/>
      <c r="AJ8" s="802"/>
      <c r="AK8" s="803"/>
      <c r="AL8" s="803"/>
      <c r="AM8" s="802"/>
      <c r="AN8" s="803"/>
      <c r="AO8" s="803"/>
      <c r="AP8" s="802"/>
      <c r="AQ8" s="803"/>
      <c r="AR8" s="803"/>
      <c r="AS8" s="802"/>
      <c r="AT8" s="803"/>
      <c r="AU8" s="803"/>
      <c r="AV8" s="802"/>
      <c r="AW8" s="803"/>
      <c r="AX8" s="803"/>
      <c r="AY8" s="802"/>
    </row>
    <row r="9" spans="1:51" s="809" customFormat="1" ht="20.100000000000001" customHeight="1" x14ac:dyDescent="0.3">
      <c r="A9" s="804"/>
      <c r="B9" s="897"/>
      <c r="C9" s="887"/>
      <c r="D9" s="806"/>
      <c r="E9" s="887"/>
      <c r="F9" s="887"/>
      <c r="G9" s="806"/>
      <c r="H9" s="932"/>
      <c r="I9" s="887"/>
      <c r="J9" s="806"/>
      <c r="K9" s="876"/>
      <c r="L9" s="876"/>
      <c r="M9" s="806"/>
      <c r="N9" s="887"/>
      <c r="O9" s="887"/>
      <c r="P9" s="806"/>
      <c r="Q9" s="876"/>
      <c r="R9" s="876"/>
      <c r="S9" s="806"/>
      <c r="T9" s="876"/>
      <c r="U9" s="879"/>
      <c r="V9" s="806"/>
      <c r="W9" s="887"/>
      <c r="X9" s="887"/>
      <c r="Y9" s="806"/>
      <c r="Z9" s="887"/>
      <c r="AA9" s="887"/>
      <c r="AB9" s="807"/>
      <c r="AC9" s="887"/>
      <c r="AD9" s="887"/>
      <c r="AE9" s="806"/>
      <c r="AF9" s="805"/>
      <c r="AG9" s="806"/>
      <c r="AH9" s="806"/>
      <c r="AI9" s="808"/>
      <c r="AJ9" s="808"/>
    </row>
    <row r="10" spans="1:51" s="813" customFormat="1" ht="20.100000000000001" customHeight="1" x14ac:dyDescent="0.3">
      <c r="A10" s="541" t="s">
        <v>448</v>
      </c>
      <c r="B10" s="897"/>
      <c r="C10" s="887"/>
      <c r="D10" s="806"/>
      <c r="E10" s="887">
        <v>24.37</v>
      </c>
      <c r="F10" s="887">
        <v>22.7</v>
      </c>
      <c r="G10" s="806"/>
      <c r="H10" s="932">
        <v>36</v>
      </c>
      <c r="I10" s="887">
        <v>37.700000000000003</v>
      </c>
      <c r="J10" s="806"/>
      <c r="K10" s="876">
        <v>19.98</v>
      </c>
      <c r="L10" s="876">
        <v>17.079999999999998</v>
      </c>
      <c r="M10" s="806"/>
      <c r="N10" s="887">
        <v>27.69</v>
      </c>
      <c r="O10" s="887">
        <v>24.4</v>
      </c>
      <c r="P10" s="806"/>
      <c r="Q10" s="876">
        <v>47.6</v>
      </c>
      <c r="R10" s="876">
        <v>40.799999999999997</v>
      </c>
      <c r="S10" s="806">
        <f>IF(Q10=0, "    ---- ", IF(ABS(ROUND(100/Q10*R10-100,1))&lt;999,ROUND(100/Q10*R10-100,1),IF(ROUND(100/Q10*R10-100,1)&gt;999,999,-999)))</f>
        <v>-14.3</v>
      </c>
      <c r="T10" s="887">
        <v>32.1</v>
      </c>
      <c r="U10" s="881">
        <v>31.3</v>
      </c>
      <c r="V10" s="806"/>
      <c r="W10" s="887">
        <v>45.260939670173535</v>
      </c>
      <c r="X10" s="914">
        <f>(1430+7239+1240+7492+9304+545)/(63589+3249)*100</f>
        <v>40.770220533229597</v>
      </c>
      <c r="Y10" s="806"/>
      <c r="Z10" s="881">
        <v>35.620465584001529</v>
      </c>
      <c r="AA10" s="881">
        <v>39.082350796675001</v>
      </c>
      <c r="AB10" s="806"/>
      <c r="AC10" s="881">
        <v>25</v>
      </c>
      <c r="AD10" s="881">
        <v>23.6</v>
      </c>
      <c r="AE10" s="806"/>
      <c r="AF10" s="805"/>
      <c r="AG10" s="806"/>
      <c r="AH10" s="806"/>
      <c r="AI10" s="812"/>
      <c r="AJ10" s="812"/>
    </row>
    <row r="11" spans="1:51" s="813" customFormat="1" ht="20.100000000000001" customHeight="1" x14ac:dyDescent="0.3">
      <c r="A11" s="541" t="s">
        <v>353</v>
      </c>
      <c r="B11" s="947">
        <v>39.386000000000003</v>
      </c>
      <c r="C11" s="638">
        <v>24.7</v>
      </c>
      <c r="D11" s="543">
        <f>IF(B11=0, "    ---- ", IF(ABS(ROUND(100/B11*C11-100,1))&lt;999,ROUND(100/B11*C11-100,1),IF(ROUND(100/B11*C11-100,1)&gt;999,999,-999)))</f>
        <v>-37.299999999999997</v>
      </c>
      <c r="E11" s="888">
        <v>3261.951</v>
      </c>
      <c r="F11" s="888">
        <v>1456.796</v>
      </c>
      <c r="G11" s="543">
        <f>IF(E11=0, "    ---- ", IF(ABS(ROUND(100/E11*F11-100,1))&lt;999,ROUND(100/E11*F11-100,1),IF(ROUND(100/E11*F11-100,1)&gt;999,999,-999)))</f>
        <v>-55.3</v>
      </c>
      <c r="H11" s="933"/>
      <c r="I11" s="888"/>
      <c r="J11" s="543"/>
      <c r="K11" s="877">
        <v>54.73</v>
      </c>
      <c r="L11" s="877">
        <v>5.7329999999999997</v>
      </c>
      <c r="M11" s="543">
        <f>IF(K11=0, "    ---- ", IF(ABS(ROUND(100/K11*L11-100,1))&lt;999,ROUND(100/K11*L11-100,1),IF(ROUND(100/K11*L11-100,1)&gt;999,999,-999)))</f>
        <v>-89.5</v>
      </c>
      <c r="N11" s="888">
        <v>42277.481306000001</v>
      </c>
      <c r="O11" s="888">
        <v>33439.041881999998</v>
      </c>
      <c r="P11" s="543">
        <f>IF(N11=0, "    ---- ", IF(ABS(ROUND(100/N11*O11-100,1))&lt;999,ROUND(100/N11*O11-100,1),IF(ROUND(100/N11*O11-100,1)&gt;999,999,-999)))</f>
        <v>-20.9</v>
      </c>
      <c r="Q11" s="877">
        <v>31</v>
      </c>
      <c r="R11" s="877">
        <v>8</v>
      </c>
      <c r="S11" s="543"/>
      <c r="T11" s="888">
        <v>1379</v>
      </c>
      <c r="U11" s="638">
        <v>987</v>
      </c>
      <c r="V11" s="543">
        <f>IF(T11=0, "    ---- ", IF(ABS(ROUND(100/T11*U11-100,1))&lt;999,ROUND(100/T11*U11-100,1),IF(ROUND(100/T11*U11-100,1)&gt;999,999,-999)))</f>
        <v>-28.4</v>
      </c>
      <c r="W11" s="888">
        <v>10933</v>
      </c>
      <c r="X11" s="888">
        <v>9304</v>
      </c>
      <c r="Y11" s="543">
        <f>IF(W11=0, "    ---- ", IF(ABS(ROUND(100/W11*X11-100,1))&lt;999,ROUND(100/W11*X11-100,1),IF(ROUND(100/W11*X11-100,1)&gt;999,999,-999)))</f>
        <v>-14.9</v>
      </c>
      <c r="Z11" s="638">
        <v>2286.9650000000001</v>
      </c>
      <c r="AA11" s="638">
        <v>1544.798</v>
      </c>
      <c r="AB11" s="543">
        <f>IF(Z11=0, "    ---- ", IF(ABS(ROUND(100/Z11*AA11-100,1))&lt;999,ROUND(100/Z11*AA11-100,1),IF(ROUND(100/Z11*AA11-100,1)&gt;999,999,-999)))</f>
        <v>-32.5</v>
      </c>
      <c r="AC11" s="638">
        <v>3707</v>
      </c>
      <c r="AD11" s="638">
        <v>2245</v>
      </c>
      <c r="AE11" s="543">
        <f>IF(AC11=0, "    ---- ", IF(ABS(ROUND(100/AC11*AD11-100,1))&lt;999,ROUND(100/AC11*AD11-100,1),IF(ROUND(100/AC11*AD11-100,1)&gt;999,999,-999)))</f>
        <v>-39.4</v>
      </c>
      <c r="AF11" s="546">
        <f>B11+E11+H11+K11+N11+Q11+T11+W11+Z11+AC11</f>
        <v>63970.513306000008</v>
      </c>
      <c r="AG11" s="543">
        <f>C11+F11+I11+L11+O11+R11+U11+X11+AA11+AD11</f>
        <v>49015.068882</v>
      </c>
      <c r="AH11" s="543">
        <f>IF(AF11=0, "    ---- ", IF(ABS(ROUND(100/AF11*AG11-100,1))&lt;999,ROUND(100/AF11*AG11-100,1),IF(ROUND(100/AF11*AG11-100,1)&gt;999,999,-999)))</f>
        <v>-23.4</v>
      </c>
      <c r="AI11" s="812"/>
      <c r="AJ11" s="812"/>
    </row>
    <row r="12" spans="1:51" s="813" customFormat="1" ht="20.100000000000001" customHeight="1" x14ac:dyDescent="0.3">
      <c r="A12" s="750" t="s">
        <v>449</v>
      </c>
      <c r="B12" s="898"/>
      <c r="C12" s="899"/>
      <c r="D12" s="815"/>
      <c r="E12" s="899">
        <v>7862.6270000000004</v>
      </c>
      <c r="F12" s="899">
        <v>5878.8739999999998</v>
      </c>
      <c r="G12" s="815">
        <f>IF(E12=0, "    ---- ", IF(ABS(ROUND(100/E12*F12-100,1))&lt;999,ROUND(100/E12*F12-100,1),IF(ROUND(100/E12*F12-100,1)&gt;999,999,-999)))</f>
        <v>-25.2</v>
      </c>
      <c r="H12" s="934"/>
      <c r="I12" s="899"/>
      <c r="J12" s="815"/>
      <c r="K12" s="878"/>
      <c r="L12" s="878"/>
      <c r="M12" s="815"/>
      <c r="N12" s="899">
        <v>729</v>
      </c>
      <c r="O12" s="899">
        <v>365</v>
      </c>
      <c r="P12" s="815">
        <f>IF(N12=0, "    ---- ", IF(ABS(ROUND(100/N12*O12-100,1))&lt;999,ROUND(100/N12*O12-100,1),IF(ROUND(100/N12*O12-100,1)&gt;999,999,-999)))</f>
        <v>-49.9</v>
      </c>
      <c r="Q12" s="878">
        <v>61</v>
      </c>
      <c r="R12" s="878">
        <v>25</v>
      </c>
      <c r="S12" s="815">
        <f>IF(Q12=0, "    ---- ", IF(ABS(ROUND(100/Q12*R12-100,1))&lt;999,ROUND(100/Q12*R12-100,1),IF(ROUND(100/Q12*R12-100,1)&gt;999,999,-999)))</f>
        <v>-59</v>
      </c>
      <c r="T12" s="878">
        <v>1764</v>
      </c>
      <c r="U12" s="643">
        <v>1113</v>
      </c>
      <c r="V12" s="815">
        <f>IF(T12=0, "    ---- ", IF(ABS(ROUND(100/T12*U12-100,1))&lt;999,ROUND(100/T12*U12-100,1),IF(ROUND(100/T12*U12-100,1)&gt;999,999,-999)))</f>
        <v>-36.9</v>
      </c>
      <c r="W12" s="899">
        <v>1063</v>
      </c>
      <c r="X12" s="899">
        <v>545</v>
      </c>
      <c r="Y12" s="815">
        <f>IF(W12=0, "    ---- ", IF(ABS(ROUND(100/W12*X12-100,1))&lt;999,ROUND(100/W12*X12-100,1),IF(ROUND(100/W12*X12-100,1)&gt;999,999,-999)))</f>
        <v>-48.7</v>
      </c>
      <c r="Z12" s="645">
        <v>48.545000000000002</v>
      </c>
      <c r="AA12" s="645">
        <v>30.024000000000001</v>
      </c>
      <c r="AB12" s="815">
        <f>IF(Z12=0, "    ---- ", IF(ABS(ROUND(100/Z12*AA12-100,1))&lt;999,ROUND(100/Z12*AA12-100,1),IF(ROUND(100/Z12*AA12-100,1)&gt;999,999,-999)))</f>
        <v>-38.200000000000003</v>
      </c>
      <c r="AC12" s="645">
        <v>8531</v>
      </c>
      <c r="AD12" s="645">
        <v>5009</v>
      </c>
      <c r="AE12" s="815">
        <f>IF(AC12=0, "    ---- ", IF(ABS(ROUND(100/AC12*AD12-100,1))&lt;999,ROUND(100/AC12*AD12-100,1),IF(ROUND(100/AC12*AD12-100,1)&gt;999,999,-999)))</f>
        <v>-41.3</v>
      </c>
      <c r="AF12" s="814">
        <f>B12+E12+H12+K12+N12+Q12+T12+W12+Z12+AC12</f>
        <v>20059.171999999999</v>
      </c>
      <c r="AG12" s="815">
        <f>C12+F12+I12+L12+O12+R12+U12+X12+AA12+AD12</f>
        <v>12965.898000000001</v>
      </c>
      <c r="AH12" s="815">
        <f>IF(AF12=0, "    ---- ", IF(ABS(ROUND(100/AF12*AG12-100,1))&lt;999,ROUND(100/AF12*AG12-100,1),IF(ROUND(100/AF12*AG12-100,1)&gt;999,999,-999)))</f>
        <v>-35.4</v>
      </c>
      <c r="AI12" s="812"/>
      <c r="AJ12" s="812"/>
    </row>
    <row r="13" spans="1:51" s="813" customFormat="1" ht="20.100000000000001" customHeight="1" x14ac:dyDescent="0.3">
      <c r="A13" s="565"/>
      <c r="B13" s="881"/>
      <c r="C13" s="881"/>
      <c r="D13" s="811"/>
      <c r="E13" s="881"/>
      <c r="F13" s="881"/>
      <c r="G13" s="811"/>
      <c r="H13" s="816"/>
      <c r="I13" s="811"/>
      <c r="J13" s="811"/>
      <c r="K13" s="879"/>
      <c r="L13" s="879"/>
      <c r="M13" s="811"/>
      <c r="N13" s="881"/>
      <c r="O13" s="881"/>
      <c r="P13" s="811"/>
      <c r="Q13" s="879"/>
      <c r="R13" s="879"/>
      <c r="S13" s="811"/>
      <c r="T13" s="879"/>
      <c r="U13" s="879"/>
      <c r="V13" s="811"/>
      <c r="W13" s="881"/>
      <c r="X13" s="881"/>
      <c r="Y13" s="811"/>
      <c r="Z13" s="881"/>
      <c r="AA13" s="881"/>
      <c r="AB13" s="811"/>
      <c r="AC13" s="881"/>
      <c r="AD13" s="881"/>
      <c r="AE13" s="811"/>
      <c r="AF13" s="811"/>
      <c r="AG13" s="811"/>
      <c r="AH13" s="811"/>
      <c r="AI13" s="812"/>
      <c r="AJ13" s="812"/>
    </row>
    <row r="14" spans="1:51" s="813" customFormat="1" ht="20.100000000000001" customHeight="1" x14ac:dyDescent="0.3">
      <c r="A14" s="871" t="s">
        <v>450</v>
      </c>
      <c r="B14" s="880"/>
      <c r="C14" s="880"/>
      <c r="D14" s="818"/>
      <c r="E14" s="880"/>
      <c r="F14" s="880"/>
      <c r="G14" s="818"/>
      <c r="H14" s="819"/>
      <c r="I14" s="818"/>
      <c r="J14" s="818"/>
      <c r="K14" s="880"/>
      <c r="L14" s="880"/>
      <c r="M14" s="818"/>
      <c r="N14" s="880"/>
      <c r="O14" s="880"/>
      <c r="P14" s="818"/>
      <c r="Q14" s="880"/>
      <c r="R14" s="880"/>
      <c r="S14" s="818"/>
      <c r="T14" s="880"/>
      <c r="U14" s="880"/>
      <c r="V14" s="818"/>
      <c r="W14" s="880"/>
      <c r="X14" s="880"/>
      <c r="Y14" s="818"/>
      <c r="Z14" s="880"/>
      <c r="AA14" s="880"/>
      <c r="AB14" s="818"/>
      <c r="AC14" s="880"/>
      <c r="AD14" s="880"/>
      <c r="AE14" s="818"/>
      <c r="AF14" s="744"/>
      <c r="AG14" s="818"/>
      <c r="AH14" s="818"/>
      <c r="AI14" s="812"/>
      <c r="AJ14" s="812"/>
    </row>
    <row r="15" spans="1:51" s="813" customFormat="1" ht="20.100000000000001" customHeight="1" x14ac:dyDescent="0.3">
      <c r="A15" s="871" t="s">
        <v>451</v>
      </c>
      <c r="B15" s="880"/>
      <c r="C15" s="880"/>
      <c r="D15" s="818"/>
      <c r="E15" s="880"/>
      <c r="F15" s="880"/>
      <c r="G15" s="818"/>
      <c r="H15" s="819"/>
      <c r="I15" s="818"/>
      <c r="J15" s="818"/>
      <c r="K15" s="880"/>
      <c r="L15" s="880"/>
      <c r="M15" s="818"/>
      <c r="N15" s="880"/>
      <c r="O15" s="880"/>
      <c r="P15" s="818"/>
      <c r="Q15" s="880"/>
      <c r="R15" s="880"/>
      <c r="S15" s="818"/>
      <c r="T15" s="880"/>
      <c r="U15" s="880"/>
      <c r="V15" s="818"/>
      <c r="W15" s="880"/>
      <c r="X15" s="880"/>
      <c r="Y15" s="818"/>
      <c r="Z15" s="880"/>
      <c r="AA15" s="880"/>
      <c r="AB15" s="818"/>
      <c r="AC15" s="880"/>
      <c r="AD15" s="880"/>
      <c r="AE15" s="818"/>
      <c r="AF15" s="744"/>
      <c r="AG15" s="818"/>
      <c r="AH15" s="818"/>
      <c r="AI15" s="812"/>
      <c r="AJ15" s="812"/>
    </row>
    <row r="16" spans="1:51" s="813" customFormat="1" ht="20.100000000000001" customHeight="1" x14ac:dyDescent="0.3">
      <c r="A16" s="872" t="s">
        <v>497</v>
      </c>
      <c r="B16" s="880"/>
      <c r="C16" s="880">
        <f>AVERAGE(C17:C21)</f>
        <v>2.8540000000000001</v>
      </c>
      <c r="D16" s="818"/>
      <c r="E16" s="880"/>
      <c r="F16" s="880">
        <f>AVERAGE(F17:F21)</f>
        <v>4.548</v>
      </c>
      <c r="G16" s="818"/>
      <c r="H16" s="818"/>
      <c r="I16" s="818"/>
      <c r="J16" s="818"/>
      <c r="K16" s="880"/>
      <c r="L16" s="880">
        <f>AVERAGE(L17:L21)</f>
        <v>4.3558000000000003</v>
      </c>
      <c r="M16" s="818"/>
      <c r="N16" s="880"/>
      <c r="O16" s="880">
        <f>AVERAGE(O17:O21)</f>
        <v>3.9741999999999997</v>
      </c>
      <c r="P16" s="818"/>
      <c r="Q16" s="880"/>
      <c r="R16" s="880">
        <f>AVERAGE(R17:R21)</f>
        <v>5.5</v>
      </c>
      <c r="S16" s="818"/>
      <c r="T16" s="880"/>
      <c r="U16" s="880">
        <f>AVERAGE(U17:U21)</f>
        <v>4.508</v>
      </c>
      <c r="V16" s="818"/>
      <c r="W16" s="880"/>
      <c r="X16" s="880">
        <f>AVERAGE(X17:X21)</f>
        <v>5.1340000000000003</v>
      </c>
      <c r="Y16" s="818"/>
      <c r="Z16" s="880"/>
      <c r="AA16" s="880">
        <f>AVERAGE(AA17:AA21)</f>
        <v>4.5124232152484725</v>
      </c>
      <c r="AB16" s="818"/>
      <c r="AC16" s="880"/>
      <c r="AD16" s="880">
        <f>AVERAGE(AD17:AD21)</f>
        <v>4.8940000000000001</v>
      </c>
      <c r="AE16" s="818"/>
      <c r="AF16" s="744"/>
      <c r="AG16" s="818"/>
      <c r="AH16" s="818"/>
      <c r="AI16" s="812"/>
      <c r="AJ16" s="812"/>
    </row>
    <row r="17" spans="1:36" s="809" customFormat="1" ht="20.100000000000001" customHeight="1" x14ac:dyDescent="0.3">
      <c r="A17" s="873">
        <v>2018</v>
      </c>
      <c r="B17" s="881"/>
      <c r="C17" s="881">
        <v>3.47</v>
      </c>
      <c r="D17" s="811"/>
      <c r="E17" s="880"/>
      <c r="F17" s="881">
        <v>3.46</v>
      </c>
      <c r="G17" s="811"/>
      <c r="H17" s="816"/>
      <c r="I17" s="811"/>
      <c r="J17" s="811"/>
      <c r="K17" s="881"/>
      <c r="L17" s="881">
        <v>5.2</v>
      </c>
      <c r="M17" s="811"/>
      <c r="N17" s="880"/>
      <c r="O17" s="881">
        <v>3.5110000000000001</v>
      </c>
      <c r="P17" s="811"/>
      <c r="Q17" s="881"/>
      <c r="R17" s="881">
        <v>4.5</v>
      </c>
      <c r="S17" s="811"/>
      <c r="T17" s="881"/>
      <c r="U17" s="881">
        <v>4.83</v>
      </c>
      <c r="V17" s="811"/>
      <c r="W17" s="881"/>
      <c r="X17" s="881">
        <v>4.5999999999999996</v>
      </c>
      <c r="Y17" s="811"/>
      <c r="Z17" s="880"/>
      <c r="AA17" s="881">
        <v>5.7548555647528596</v>
      </c>
      <c r="AB17" s="811"/>
      <c r="AC17" s="881"/>
      <c r="AD17" s="881">
        <v>3.21</v>
      </c>
      <c r="AE17" s="811"/>
      <c r="AF17" s="548"/>
      <c r="AG17" s="811"/>
      <c r="AH17" s="811"/>
      <c r="AI17" s="808"/>
      <c r="AJ17" s="808"/>
    </row>
    <row r="18" spans="1:36" s="809" customFormat="1" ht="20.100000000000001" customHeight="1" x14ac:dyDescent="0.3">
      <c r="A18" s="873">
        <v>2017</v>
      </c>
      <c r="B18" s="881"/>
      <c r="C18" s="881">
        <v>1.99</v>
      </c>
      <c r="D18" s="810"/>
      <c r="E18" s="881"/>
      <c r="F18" s="881">
        <v>4.57</v>
      </c>
      <c r="G18" s="810"/>
      <c r="H18" s="820"/>
      <c r="I18" s="810"/>
      <c r="J18" s="810"/>
      <c r="K18" s="881"/>
      <c r="L18" s="881">
        <v>3.68</v>
      </c>
      <c r="M18" s="810"/>
      <c r="N18" s="881"/>
      <c r="O18" s="881">
        <v>3.94</v>
      </c>
      <c r="P18" s="810"/>
      <c r="Q18" s="881"/>
      <c r="R18" s="881">
        <v>8.3000000000000007</v>
      </c>
      <c r="S18" s="810"/>
      <c r="T18" s="881"/>
      <c r="U18" s="881">
        <v>4.28</v>
      </c>
      <c r="V18" s="810"/>
      <c r="W18" s="881"/>
      <c r="X18" s="881">
        <v>7.9</v>
      </c>
      <c r="Y18" s="810"/>
      <c r="Z18" s="881"/>
      <c r="AA18" s="881">
        <v>6.0806192431269102</v>
      </c>
      <c r="AB18" s="810"/>
      <c r="AC18" s="881"/>
      <c r="AD18" s="881">
        <v>4.8099999999999996</v>
      </c>
      <c r="AE18" s="811"/>
      <c r="AF18" s="548"/>
      <c r="AG18" s="811"/>
      <c r="AH18" s="811"/>
      <c r="AI18" s="808"/>
      <c r="AJ18" s="808"/>
    </row>
    <row r="19" spans="1:36" s="813" customFormat="1" ht="20.100000000000001" customHeight="1" x14ac:dyDescent="0.3">
      <c r="A19" s="873">
        <v>2016</v>
      </c>
      <c r="B19" s="881"/>
      <c r="C19" s="881">
        <v>1.93</v>
      </c>
      <c r="D19" s="810"/>
      <c r="E19" s="881"/>
      <c r="F19" s="881">
        <v>4.26</v>
      </c>
      <c r="G19" s="810"/>
      <c r="H19" s="820"/>
      <c r="I19" s="810"/>
      <c r="J19" s="810"/>
      <c r="K19" s="881"/>
      <c r="L19" s="881">
        <v>3.76</v>
      </c>
      <c r="M19" s="810"/>
      <c r="N19" s="881"/>
      <c r="O19" s="881">
        <v>4.45</v>
      </c>
      <c r="P19" s="810"/>
      <c r="Q19" s="881"/>
      <c r="R19" s="881">
        <v>5.3</v>
      </c>
      <c r="S19" s="810"/>
      <c r="T19" s="881"/>
      <c r="U19" s="881">
        <v>4.1500000000000004</v>
      </c>
      <c r="V19" s="810"/>
      <c r="W19" s="881"/>
      <c r="X19" s="881">
        <v>6.28</v>
      </c>
      <c r="Y19" s="810"/>
      <c r="Z19" s="881"/>
      <c r="AA19" s="881">
        <v>3.99</v>
      </c>
      <c r="AB19" s="810"/>
      <c r="AC19" s="881"/>
      <c r="AD19" s="881">
        <v>6.01</v>
      </c>
      <c r="AE19" s="811"/>
      <c r="AF19" s="548"/>
      <c r="AG19" s="811"/>
      <c r="AH19" s="811"/>
      <c r="AI19" s="812"/>
      <c r="AJ19" s="812"/>
    </row>
    <row r="20" spans="1:36" s="813" customFormat="1" ht="20.100000000000001" customHeight="1" x14ac:dyDescent="0.3">
      <c r="A20" s="873">
        <v>2015</v>
      </c>
      <c r="B20" s="881"/>
      <c r="C20" s="881">
        <v>2.12</v>
      </c>
      <c r="D20" s="810"/>
      <c r="E20" s="881"/>
      <c r="F20" s="881">
        <v>5.05</v>
      </c>
      <c r="G20" s="810"/>
      <c r="H20" s="820"/>
      <c r="I20" s="810"/>
      <c r="J20" s="810"/>
      <c r="K20" s="881"/>
      <c r="L20" s="881">
        <v>4.6719999999999997</v>
      </c>
      <c r="M20" s="810"/>
      <c r="N20" s="881"/>
      <c r="O20" s="881">
        <v>3.63</v>
      </c>
      <c r="P20" s="810"/>
      <c r="Q20" s="881"/>
      <c r="R20" s="881">
        <v>4.8</v>
      </c>
      <c r="S20" s="810"/>
      <c r="T20" s="881"/>
      <c r="U20" s="881">
        <v>3.92</v>
      </c>
      <c r="V20" s="810"/>
      <c r="W20" s="881"/>
      <c r="X20" s="881">
        <v>2.9</v>
      </c>
      <c r="Y20" s="810"/>
      <c r="Z20" s="881"/>
      <c r="AA20" s="881">
        <v>2.53314578688892</v>
      </c>
      <c r="AB20" s="810"/>
      <c r="AC20" s="881"/>
      <c r="AD20" s="881">
        <v>5.24</v>
      </c>
      <c r="AE20" s="811"/>
      <c r="AF20" s="548"/>
      <c r="AG20" s="811"/>
      <c r="AH20" s="811"/>
      <c r="AI20" s="812"/>
      <c r="AJ20" s="812"/>
    </row>
    <row r="21" spans="1:36" s="813" customFormat="1" ht="20.100000000000001" customHeight="1" x14ac:dyDescent="0.3">
      <c r="A21" s="873">
        <v>2014</v>
      </c>
      <c r="B21" s="881"/>
      <c r="C21" s="881">
        <v>4.76</v>
      </c>
      <c r="D21" s="810"/>
      <c r="E21" s="881"/>
      <c r="F21" s="881">
        <v>5.4</v>
      </c>
      <c r="G21" s="810"/>
      <c r="H21" s="820"/>
      <c r="I21" s="810"/>
      <c r="J21" s="810"/>
      <c r="K21" s="881"/>
      <c r="L21" s="881">
        <v>4.4669999999999996</v>
      </c>
      <c r="M21" s="810"/>
      <c r="N21" s="881"/>
      <c r="O21" s="881">
        <v>4.34</v>
      </c>
      <c r="P21" s="810"/>
      <c r="Q21" s="881"/>
      <c r="R21" s="881">
        <v>4.5999999999999996</v>
      </c>
      <c r="S21" s="810"/>
      <c r="T21" s="881"/>
      <c r="U21" s="881">
        <v>5.36</v>
      </c>
      <c r="V21" s="810"/>
      <c r="W21" s="881"/>
      <c r="X21" s="881">
        <v>3.99</v>
      </c>
      <c r="Y21" s="810"/>
      <c r="Z21" s="881"/>
      <c r="AA21" s="881">
        <v>4.20349548147367</v>
      </c>
      <c r="AB21" s="810"/>
      <c r="AC21" s="881"/>
      <c r="AD21" s="881">
        <v>5.2</v>
      </c>
      <c r="AE21" s="811"/>
      <c r="AF21" s="548"/>
      <c r="AG21" s="811"/>
      <c r="AH21" s="811"/>
      <c r="AI21" s="812"/>
      <c r="AJ21" s="812"/>
    </row>
    <row r="22" spans="1:36" s="813" customFormat="1" ht="20.100000000000001" customHeight="1" x14ac:dyDescent="0.3">
      <c r="A22" s="874" t="s">
        <v>452</v>
      </c>
      <c r="B22" s="881"/>
      <c r="C22" s="881"/>
      <c r="D22" s="811"/>
      <c r="E22" s="881"/>
      <c r="F22" s="881"/>
      <c r="G22" s="811"/>
      <c r="H22" s="816"/>
      <c r="I22" s="811"/>
      <c r="J22" s="811"/>
      <c r="K22" s="881"/>
      <c r="L22" s="881"/>
      <c r="M22" s="811"/>
      <c r="N22" s="881"/>
      <c r="O22" s="881"/>
      <c r="P22" s="811"/>
      <c r="Q22" s="881"/>
      <c r="R22" s="881"/>
      <c r="S22" s="811"/>
      <c r="T22" s="881"/>
      <c r="U22" s="881"/>
      <c r="V22" s="811"/>
      <c r="W22" s="881"/>
      <c r="X22" s="881"/>
      <c r="Y22" s="811"/>
      <c r="Z22" s="881"/>
      <c r="AA22" s="881"/>
      <c r="AB22" s="811"/>
      <c r="AC22" s="881"/>
      <c r="AD22" s="881"/>
      <c r="AE22" s="811"/>
      <c r="AF22" s="548"/>
      <c r="AG22" s="811"/>
      <c r="AH22" s="811"/>
      <c r="AI22" s="812"/>
      <c r="AJ22" s="812"/>
    </row>
    <row r="23" spans="1:36" s="813" customFormat="1" ht="20.100000000000001" customHeight="1" x14ac:dyDescent="0.3">
      <c r="A23" s="873">
        <v>2018</v>
      </c>
      <c r="B23" s="881"/>
      <c r="C23" s="881"/>
      <c r="D23" s="811"/>
      <c r="E23" s="881"/>
      <c r="F23" s="881">
        <v>3.61</v>
      </c>
      <c r="G23" s="811"/>
      <c r="H23" s="816"/>
      <c r="I23" s="811"/>
      <c r="J23" s="811"/>
      <c r="K23" s="881"/>
      <c r="L23" s="881"/>
      <c r="M23" s="811"/>
      <c r="N23" s="881"/>
      <c r="O23" s="881"/>
      <c r="P23" s="811"/>
      <c r="Q23" s="881"/>
      <c r="R23" s="881"/>
      <c r="S23" s="811"/>
      <c r="T23" s="881"/>
      <c r="U23" s="881">
        <v>4.83</v>
      </c>
      <c r="V23" s="811"/>
      <c r="W23" s="881"/>
      <c r="X23" s="881"/>
      <c r="Y23" s="811"/>
      <c r="Z23" s="881"/>
      <c r="AA23" s="881">
        <v>2.8899617646606801</v>
      </c>
      <c r="AB23" s="811"/>
      <c r="AC23" s="881"/>
      <c r="AD23" s="881"/>
      <c r="AE23" s="811"/>
      <c r="AF23" s="548"/>
      <c r="AG23" s="811"/>
      <c r="AH23" s="811"/>
      <c r="AI23" s="812"/>
      <c r="AJ23" s="812"/>
    </row>
    <row r="24" spans="1:36" s="813" customFormat="1" ht="20.100000000000001" customHeight="1" x14ac:dyDescent="0.3">
      <c r="A24" s="873">
        <v>2017</v>
      </c>
      <c r="B24" s="881"/>
      <c r="C24" s="881"/>
      <c r="D24" s="810"/>
      <c r="E24" s="881"/>
      <c r="F24" s="881">
        <v>5.0199999999999996</v>
      </c>
      <c r="G24" s="810"/>
      <c r="H24" s="820"/>
      <c r="I24" s="810"/>
      <c r="J24" s="810"/>
      <c r="K24" s="881"/>
      <c r="L24" s="881"/>
      <c r="M24" s="810"/>
      <c r="N24" s="881"/>
      <c r="O24" s="881"/>
      <c r="P24" s="810"/>
      <c r="Q24" s="881"/>
      <c r="R24" s="881"/>
      <c r="S24" s="810"/>
      <c r="T24" s="881"/>
      <c r="U24" s="881">
        <v>4.28</v>
      </c>
      <c r="V24" s="810"/>
      <c r="W24" s="881"/>
      <c r="X24" s="881"/>
      <c r="Y24" s="810"/>
      <c r="Z24" s="881"/>
      <c r="AA24" s="881">
        <v>7.2430320850932501</v>
      </c>
      <c r="AB24" s="810"/>
      <c r="AC24" s="881"/>
      <c r="AD24" s="881"/>
      <c r="AE24" s="811"/>
      <c r="AF24" s="548"/>
      <c r="AG24" s="811"/>
      <c r="AH24" s="811"/>
      <c r="AI24" s="812"/>
      <c r="AJ24" s="812"/>
    </row>
    <row r="25" spans="1:36" s="813" customFormat="1" ht="20.100000000000001" customHeight="1" x14ac:dyDescent="0.3">
      <c r="A25" s="873">
        <v>2016</v>
      </c>
      <c r="B25" s="881"/>
      <c r="C25" s="881"/>
      <c r="D25" s="810"/>
      <c r="E25" s="881"/>
      <c r="F25" s="881">
        <v>4.3499999999999996</v>
      </c>
      <c r="G25" s="810"/>
      <c r="H25" s="820"/>
      <c r="I25" s="810"/>
      <c r="J25" s="810"/>
      <c r="K25" s="881"/>
      <c r="L25" s="881"/>
      <c r="M25" s="810"/>
      <c r="N25" s="881"/>
      <c r="O25" s="881"/>
      <c r="P25" s="810"/>
      <c r="Q25" s="881"/>
      <c r="R25" s="881"/>
      <c r="S25" s="810"/>
      <c r="T25" s="881"/>
      <c r="U25" s="881">
        <v>4.1500000000000004</v>
      </c>
      <c r="V25" s="810"/>
      <c r="W25" s="881"/>
      <c r="X25" s="881"/>
      <c r="Y25" s="810"/>
      <c r="Z25" s="881"/>
      <c r="AA25" s="881">
        <v>4.8582381483282404</v>
      </c>
      <c r="AB25" s="810"/>
      <c r="AC25" s="881"/>
      <c r="AD25" s="881"/>
      <c r="AE25" s="811"/>
      <c r="AF25" s="548"/>
      <c r="AG25" s="811"/>
      <c r="AH25" s="811"/>
      <c r="AI25" s="812"/>
      <c r="AJ25" s="812"/>
    </row>
    <row r="26" spans="1:36" s="813" customFormat="1" ht="20.100000000000001" customHeight="1" x14ac:dyDescent="0.3">
      <c r="A26" s="873">
        <v>2015</v>
      </c>
      <c r="B26" s="881"/>
      <c r="C26" s="881"/>
      <c r="D26" s="810"/>
      <c r="E26" s="881"/>
      <c r="F26" s="881">
        <v>5.26</v>
      </c>
      <c r="G26" s="810"/>
      <c r="H26" s="820"/>
      <c r="I26" s="810"/>
      <c r="J26" s="810"/>
      <c r="K26" s="881"/>
      <c r="L26" s="881"/>
      <c r="M26" s="810"/>
      <c r="N26" s="881"/>
      <c r="O26" s="881"/>
      <c r="P26" s="810"/>
      <c r="Q26" s="881"/>
      <c r="R26" s="881"/>
      <c r="S26" s="810"/>
      <c r="T26" s="881"/>
      <c r="U26" s="881">
        <v>3.92</v>
      </c>
      <c r="V26" s="810"/>
      <c r="W26" s="881"/>
      <c r="X26" s="881"/>
      <c r="Y26" s="810"/>
      <c r="Z26" s="881"/>
      <c r="AA26" s="881">
        <v>4.8899999999999997</v>
      </c>
      <c r="AB26" s="810"/>
      <c r="AC26" s="881"/>
      <c r="AD26" s="881"/>
      <c r="AE26" s="811"/>
      <c r="AF26" s="548"/>
      <c r="AG26" s="811"/>
      <c r="AH26" s="811"/>
      <c r="AI26" s="812"/>
      <c r="AJ26" s="812"/>
    </row>
    <row r="27" spans="1:36" s="813" customFormat="1" ht="20.100000000000001" customHeight="1" x14ac:dyDescent="0.3">
      <c r="A27" s="873">
        <v>2014</v>
      </c>
      <c r="B27" s="881"/>
      <c r="C27" s="881"/>
      <c r="D27" s="810"/>
      <c r="E27" s="881"/>
      <c r="F27" s="881">
        <v>5.2889999999999997</v>
      </c>
      <c r="G27" s="810"/>
      <c r="H27" s="820"/>
      <c r="I27" s="810"/>
      <c r="J27" s="810"/>
      <c r="K27" s="881"/>
      <c r="L27" s="881"/>
      <c r="M27" s="810"/>
      <c r="N27" s="881"/>
      <c r="O27" s="881"/>
      <c r="P27" s="810"/>
      <c r="Q27" s="881"/>
      <c r="R27" s="881"/>
      <c r="S27" s="810"/>
      <c r="T27" s="881"/>
      <c r="U27" s="881">
        <v>5.36</v>
      </c>
      <c r="V27" s="810"/>
      <c r="W27" s="881"/>
      <c r="X27" s="881"/>
      <c r="Y27" s="810"/>
      <c r="Z27" s="881"/>
      <c r="AA27" s="881">
        <v>4.8026267404587903</v>
      </c>
      <c r="AB27" s="810"/>
      <c r="AC27" s="881"/>
      <c r="AD27" s="881">
        <v>4.05</v>
      </c>
      <c r="AE27" s="811"/>
      <c r="AF27" s="548"/>
      <c r="AG27" s="811"/>
      <c r="AH27" s="811"/>
      <c r="AI27" s="812"/>
      <c r="AJ27" s="812"/>
    </row>
    <row r="28" spans="1:36" s="813" customFormat="1" ht="20.100000000000001" customHeight="1" x14ac:dyDescent="0.3">
      <c r="A28" s="874" t="s">
        <v>453</v>
      </c>
      <c r="B28" s="881"/>
      <c r="C28" s="881"/>
      <c r="D28" s="811"/>
      <c r="E28" s="881"/>
      <c r="F28" s="881"/>
      <c r="G28" s="811"/>
      <c r="H28" s="816"/>
      <c r="I28" s="811"/>
      <c r="J28" s="811"/>
      <c r="K28" s="881"/>
      <c r="L28" s="881"/>
      <c r="M28" s="811"/>
      <c r="N28" s="881"/>
      <c r="O28" s="881"/>
      <c r="P28" s="811"/>
      <c r="Q28" s="881"/>
      <c r="R28" s="881"/>
      <c r="S28" s="811"/>
      <c r="T28" s="881"/>
      <c r="U28" s="881"/>
      <c r="V28" s="811"/>
      <c r="W28" s="881"/>
      <c r="X28" s="881"/>
      <c r="Y28" s="811"/>
      <c r="Z28" s="881"/>
      <c r="AA28" s="881"/>
      <c r="AB28" s="811"/>
      <c r="AC28" s="881"/>
      <c r="AD28" s="881"/>
      <c r="AE28" s="811"/>
      <c r="AF28" s="548"/>
      <c r="AG28" s="811"/>
      <c r="AH28" s="811"/>
      <c r="AI28" s="812"/>
      <c r="AJ28" s="812"/>
    </row>
    <row r="29" spans="1:36" s="813" customFormat="1" ht="20.100000000000001" customHeight="1" x14ac:dyDescent="0.3">
      <c r="A29" s="873">
        <v>2018</v>
      </c>
      <c r="B29" s="881"/>
      <c r="C29" s="881">
        <v>3.47</v>
      </c>
      <c r="D29" s="811"/>
      <c r="E29" s="881"/>
      <c r="F29" s="881">
        <v>2.95</v>
      </c>
      <c r="G29" s="811"/>
      <c r="H29" s="816"/>
      <c r="I29" s="821"/>
      <c r="J29" s="811"/>
      <c r="K29" s="881"/>
      <c r="L29" s="881">
        <v>5.61</v>
      </c>
      <c r="M29" s="811"/>
      <c r="N29" s="881"/>
      <c r="O29" s="881"/>
      <c r="P29" s="811"/>
      <c r="Q29" s="881"/>
      <c r="R29" s="881">
        <v>4.5</v>
      </c>
      <c r="S29" s="811"/>
      <c r="T29" s="881"/>
      <c r="U29" s="881">
        <v>4.83</v>
      </c>
      <c r="V29" s="811"/>
      <c r="W29" s="881"/>
      <c r="X29" s="881"/>
      <c r="Y29" s="811"/>
      <c r="Z29" s="881"/>
      <c r="AA29" s="881">
        <v>5.4919117102760797</v>
      </c>
      <c r="AB29" s="811"/>
      <c r="AC29" s="881"/>
      <c r="AD29" s="881"/>
      <c r="AE29" s="811"/>
      <c r="AF29" s="548"/>
      <c r="AG29" s="811"/>
      <c r="AH29" s="811"/>
      <c r="AI29" s="812"/>
      <c r="AJ29" s="812"/>
    </row>
    <row r="30" spans="1:36" s="813" customFormat="1" ht="20.100000000000001" customHeight="1" x14ac:dyDescent="0.3">
      <c r="A30" s="873">
        <v>2017</v>
      </c>
      <c r="B30" s="881"/>
      <c r="C30" s="881">
        <v>1.99</v>
      </c>
      <c r="D30" s="810"/>
      <c r="E30" s="881"/>
      <c r="F30" s="881">
        <v>4.74</v>
      </c>
      <c r="G30" s="810"/>
      <c r="H30" s="820"/>
      <c r="I30" s="822"/>
      <c r="J30" s="810"/>
      <c r="K30" s="881"/>
      <c r="L30" s="881">
        <v>3.75</v>
      </c>
      <c r="M30" s="810"/>
      <c r="N30" s="881"/>
      <c r="O30" s="881"/>
      <c r="P30" s="810"/>
      <c r="Q30" s="881"/>
      <c r="R30" s="881">
        <v>8.3000000000000007</v>
      </c>
      <c r="S30" s="810"/>
      <c r="T30" s="881"/>
      <c r="U30" s="881">
        <v>4.28</v>
      </c>
      <c r="V30" s="810"/>
      <c r="W30" s="881"/>
      <c r="X30" s="881"/>
      <c r="Y30" s="810"/>
      <c r="Z30" s="881"/>
      <c r="AA30" s="881">
        <v>5.7183720533544404</v>
      </c>
      <c r="AB30" s="810"/>
      <c r="AC30" s="881"/>
      <c r="AD30" s="881"/>
      <c r="AE30" s="811"/>
      <c r="AF30" s="548"/>
      <c r="AG30" s="811"/>
      <c r="AH30" s="811"/>
      <c r="AI30" s="812"/>
      <c r="AJ30" s="812"/>
    </row>
    <row r="31" spans="1:36" s="813" customFormat="1" ht="20.100000000000001" customHeight="1" x14ac:dyDescent="0.3">
      <c r="A31" s="873">
        <v>2016</v>
      </c>
      <c r="B31" s="881"/>
      <c r="C31" s="881">
        <v>1.93</v>
      </c>
      <c r="D31" s="810"/>
      <c r="E31" s="881"/>
      <c r="F31" s="881">
        <v>3.54</v>
      </c>
      <c r="G31" s="810"/>
      <c r="H31" s="820"/>
      <c r="I31" s="822"/>
      <c r="J31" s="810"/>
      <c r="K31" s="881"/>
      <c r="L31" s="881">
        <v>4.08</v>
      </c>
      <c r="M31" s="810"/>
      <c r="N31" s="881"/>
      <c r="O31" s="881">
        <v>4.45</v>
      </c>
      <c r="P31" s="810"/>
      <c r="Q31" s="881"/>
      <c r="R31" s="881">
        <v>5.3</v>
      </c>
      <c r="S31" s="810"/>
      <c r="T31" s="881"/>
      <c r="U31" s="881">
        <v>4.1500000000000004</v>
      </c>
      <c r="V31" s="810"/>
      <c r="W31" s="881"/>
      <c r="X31" s="881"/>
      <c r="Y31" s="810"/>
      <c r="Z31" s="881"/>
      <c r="AA31" s="881">
        <v>3.46</v>
      </c>
      <c r="AB31" s="810"/>
      <c r="AC31" s="881"/>
      <c r="AD31" s="881"/>
      <c r="AE31" s="811"/>
      <c r="AF31" s="548"/>
      <c r="AG31" s="811"/>
      <c r="AH31" s="811"/>
      <c r="AI31" s="812"/>
      <c r="AJ31" s="812"/>
    </row>
    <row r="32" spans="1:36" s="813" customFormat="1" ht="20.100000000000001" customHeight="1" x14ac:dyDescent="0.3">
      <c r="A32" s="873">
        <v>2015</v>
      </c>
      <c r="B32" s="881"/>
      <c r="C32" s="881">
        <v>2.12</v>
      </c>
      <c r="D32" s="810"/>
      <c r="E32" s="881"/>
      <c r="F32" s="881">
        <v>4.79</v>
      </c>
      <c r="G32" s="810"/>
      <c r="H32" s="820"/>
      <c r="I32" s="822"/>
      <c r="J32" s="810"/>
      <c r="K32" s="881"/>
      <c r="L32" s="881">
        <v>5.43</v>
      </c>
      <c r="M32" s="810"/>
      <c r="N32" s="881"/>
      <c r="O32" s="881">
        <v>3.63</v>
      </c>
      <c r="P32" s="810"/>
      <c r="Q32" s="881"/>
      <c r="R32" s="881">
        <v>4.8</v>
      </c>
      <c r="S32" s="810"/>
      <c r="T32" s="881"/>
      <c r="U32" s="881">
        <v>3.92</v>
      </c>
      <c r="V32" s="810"/>
      <c r="W32" s="881"/>
      <c r="X32" s="881"/>
      <c r="Y32" s="810"/>
      <c r="Z32" s="881"/>
      <c r="AA32" s="881">
        <v>1.9026112643808699</v>
      </c>
      <c r="AB32" s="810"/>
      <c r="AC32" s="881"/>
      <c r="AD32" s="881"/>
      <c r="AE32" s="811"/>
      <c r="AF32" s="548"/>
      <c r="AG32" s="811"/>
      <c r="AH32" s="811"/>
      <c r="AI32" s="812"/>
      <c r="AJ32" s="812"/>
    </row>
    <row r="33" spans="1:36" s="813" customFormat="1" ht="20.100000000000001" customHeight="1" x14ac:dyDescent="0.3">
      <c r="A33" s="873">
        <v>2014</v>
      </c>
      <c r="B33" s="881"/>
      <c r="C33" s="881">
        <v>4.76</v>
      </c>
      <c r="D33" s="810"/>
      <c r="E33" s="881"/>
      <c r="F33" s="881">
        <v>5.93</v>
      </c>
      <c r="G33" s="810"/>
      <c r="H33" s="820"/>
      <c r="I33" s="822"/>
      <c r="J33" s="810"/>
      <c r="K33" s="881"/>
      <c r="L33" s="881">
        <v>4.63</v>
      </c>
      <c r="M33" s="810"/>
      <c r="N33" s="881"/>
      <c r="O33" s="881">
        <v>4.34</v>
      </c>
      <c r="P33" s="810"/>
      <c r="Q33" s="881"/>
      <c r="R33" s="881">
        <v>4.5999999999999996</v>
      </c>
      <c r="S33" s="810"/>
      <c r="T33" s="881"/>
      <c r="U33" s="881">
        <v>5.36</v>
      </c>
      <c r="V33" s="810"/>
      <c r="W33" s="881"/>
      <c r="X33" s="881"/>
      <c r="Y33" s="810"/>
      <c r="Z33" s="881"/>
      <c r="AA33" s="881">
        <v>3.8015995325596501</v>
      </c>
      <c r="AB33" s="810"/>
      <c r="AC33" s="881"/>
      <c r="AD33" s="881">
        <v>5.39</v>
      </c>
      <c r="AE33" s="811"/>
      <c r="AF33" s="548"/>
      <c r="AG33" s="811"/>
      <c r="AH33" s="811"/>
      <c r="AI33" s="812"/>
      <c r="AJ33" s="812"/>
    </row>
    <row r="34" spans="1:36" s="813" customFormat="1" ht="20.100000000000001" customHeight="1" x14ac:dyDescent="0.3">
      <c r="A34" s="871" t="s">
        <v>454</v>
      </c>
      <c r="B34" s="880"/>
      <c r="C34" s="880"/>
      <c r="D34" s="818"/>
      <c r="E34" s="880"/>
      <c r="F34" s="880"/>
      <c r="G34" s="818"/>
      <c r="H34" s="819"/>
      <c r="I34" s="818"/>
      <c r="J34" s="818"/>
      <c r="K34" s="880"/>
      <c r="L34" s="880"/>
      <c r="M34" s="818"/>
      <c r="N34" s="880"/>
      <c r="O34" s="880"/>
      <c r="P34" s="818"/>
      <c r="Q34" s="880"/>
      <c r="R34" s="880"/>
      <c r="S34" s="818"/>
      <c r="T34" s="880"/>
      <c r="U34" s="880"/>
      <c r="V34" s="818"/>
      <c r="W34" s="880"/>
      <c r="X34" s="880"/>
      <c r="Y34" s="818"/>
      <c r="Z34" s="880"/>
      <c r="AA34" s="880"/>
      <c r="AB34" s="818"/>
      <c r="AC34" s="880"/>
      <c r="AD34" s="880"/>
      <c r="AE34" s="818"/>
      <c r="AF34" s="744"/>
      <c r="AG34" s="818"/>
      <c r="AH34" s="818"/>
      <c r="AI34" s="812"/>
      <c r="AJ34" s="812"/>
    </row>
    <row r="35" spans="1:36" s="813" customFormat="1" ht="20.100000000000001" customHeight="1" x14ac:dyDescent="0.3">
      <c r="A35" s="872" t="s">
        <v>497</v>
      </c>
      <c r="B35" s="896"/>
      <c r="C35" s="880">
        <f>AVERAGE(C36:C40)</f>
        <v>3.2839999999999998</v>
      </c>
      <c r="D35" s="818"/>
      <c r="E35" s="896"/>
      <c r="F35" s="880">
        <f>AVERAGE(F36:F40)</f>
        <v>4.3600000000000003</v>
      </c>
      <c r="G35" s="818"/>
      <c r="H35" s="818"/>
      <c r="I35" s="818"/>
      <c r="J35" s="818"/>
      <c r="K35" s="880"/>
      <c r="L35" s="880">
        <f>AVERAGE(L36:L40)</f>
        <v>4.3944000000000001</v>
      </c>
      <c r="M35" s="818"/>
      <c r="N35" s="896"/>
      <c r="O35" s="880">
        <f>AVERAGE(O36:O40)</f>
        <v>4.9880000000000004</v>
      </c>
      <c r="P35" s="818"/>
      <c r="Q35" s="880"/>
      <c r="R35" s="880">
        <f>AVERAGE(R36:R40)</f>
        <v>5.0459999999999994</v>
      </c>
      <c r="S35" s="818"/>
      <c r="T35" s="880"/>
      <c r="U35" s="880">
        <f>AVERAGE(U36:U40)</f>
        <v>4.3600000000000003</v>
      </c>
      <c r="V35" s="818"/>
      <c r="W35" s="896"/>
      <c r="X35" s="880">
        <f>AVERAGE(X36:X40)</f>
        <v>5.8419999999999996</v>
      </c>
      <c r="Y35" s="818"/>
      <c r="Z35" s="896"/>
      <c r="AA35" s="880">
        <f>AVERAGE(AA36:AA40)</f>
        <v>5.208536871881341</v>
      </c>
      <c r="AB35" s="818"/>
      <c r="AC35" s="896"/>
      <c r="AD35" s="880">
        <f>AVERAGE(AD36:AD40)</f>
        <v>4.6159999999999997</v>
      </c>
      <c r="AE35" s="818"/>
      <c r="AF35" s="744"/>
      <c r="AG35" s="818"/>
      <c r="AH35" s="818"/>
      <c r="AI35" s="812"/>
      <c r="AJ35" s="812"/>
    </row>
    <row r="36" spans="1:36" s="809" customFormat="1" ht="20.100000000000001" customHeight="1" x14ac:dyDescent="0.3">
      <c r="A36" s="873">
        <v>2018</v>
      </c>
      <c r="B36" s="879"/>
      <c r="C36" s="879">
        <v>0.59</v>
      </c>
      <c r="D36" s="811"/>
      <c r="E36" s="896"/>
      <c r="F36" s="879">
        <v>2.5</v>
      </c>
      <c r="G36" s="811"/>
      <c r="H36" s="821"/>
      <c r="I36" s="817"/>
      <c r="J36" s="811"/>
      <c r="K36" s="881"/>
      <c r="L36" s="881">
        <v>3.95</v>
      </c>
      <c r="M36" s="811"/>
      <c r="N36" s="896"/>
      <c r="O36" s="879">
        <v>1.47</v>
      </c>
      <c r="P36" s="811"/>
      <c r="Q36" s="881"/>
      <c r="R36" s="881">
        <v>3</v>
      </c>
      <c r="S36" s="811"/>
      <c r="T36" s="881"/>
      <c r="U36" s="881">
        <v>3.9</v>
      </c>
      <c r="V36" s="811"/>
      <c r="W36" s="879"/>
      <c r="X36" s="879">
        <v>2</v>
      </c>
      <c r="Y36" s="811"/>
      <c r="Z36" s="896"/>
      <c r="AA36" s="879">
        <v>2.3197820675014702</v>
      </c>
      <c r="AB36" s="811"/>
      <c r="AC36" s="879"/>
      <c r="AD36" s="879">
        <v>2.36</v>
      </c>
      <c r="AE36" s="811"/>
      <c r="AF36" s="548"/>
      <c r="AG36" s="811"/>
      <c r="AH36" s="811"/>
      <c r="AI36" s="808"/>
      <c r="AJ36" s="808"/>
    </row>
    <row r="37" spans="1:36" s="809" customFormat="1" ht="20.100000000000001" customHeight="1" x14ac:dyDescent="0.3">
      <c r="A37" s="873">
        <v>2017</v>
      </c>
      <c r="B37" s="879"/>
      <c r="C37" s="879">
        <v>4.1500000000000004</v>
      </c>
      <c r="D37" s="810"/>
      <c r="E37" s="879"/>
      <c r="F37" s="879">
        <v>4.92</v>
      </c>
      <c r="G37" s="810"/>
      <c r="H37" s="822"/>
      <c r="I37" s="823"/>
      <c r="J37" s="810"/>
      <c r="K37" s="881"/>
      <c r="L37" s="881">
        <v>4.22</v>
      </c>
      <c r="M37" s="810"/>
      <c r="N37" s="879"/>
      <c r="O37" s="879">
        <v>6.75</v>
      </c>
      <c r="P37" s="810"/>
      <c r="Q37" s="881"/>
      <c r="R37" s="881">
        <v>5.6</v>
      </c>
      <c r="S37" s="810"/>
      <c r="T37" s="881"/>
      <c r="U37" s="881">
        <v>4.82</v>
      </c>
      <c r="V37" s="810"/>
      <c r="W37" s="879"/>
      <c r="X37" s="879">
        <v>9.1999999999999993</v>
      </c>
      <c r="Y37" s="810"/>
      <c r="Z37" s="879"/>
      <c r="AA37" s="879">
        <v>8.0327444650206896</v>
      </c>
      <c r="AB37" s="810"/>
      <c r="AC37" s="879"/>
      <c r="AD37" s="879">
        <v>5.32</v>
      </c>
      <c r="AE37" s="811"/>
      <c r="AF37" s="548"/>
      <c r="AG37" s="811"/>
      <c r="AH37" s="811"/>
      <c r="AI37" s="808"/>
      <c r="AJ37" s="808"/>
    </row>
    <row r="38" spans="1:36" s="813" customFormat="1" ht="20.100000000000001" customHeight="1" x14ac:dyDescent="0.3">
      <c r="A38" s="873">
        <v>2016</v>
      </c>
      <c r="B38" s="879"/>
      <c r="C38" s="879">
        <v>4.18</v>
      </c>
      <c r="D38" s="810"/>
      <c r="E38" s="879"/>
      <c r="F38" s="879">
        <v>4.2699999999999996</v>
      </c>
      <c r="G38" s="810"/>
      <c r="H38" s="822"/>
      <c r="I38" s="823"/>
      <c r="J38" s="810"/>
      <c r="K38" s="881"/>
      <c r="L38" s="881">
        <v>4.66</v>
      </c>
      <c r="M38" s="810"/>
      <c r="N38" s="879"/>
      <c r="O38" s="879">
        <v>5.83</v>
      </c>
      <c r="P38" s="810"/>
      <c r="Q38" s="881"/>
      <c r="R38" s="881">
        <v>5.83</v>
      </c>
      <c r="S38" s="810"/>
      <c r="T38" s="881"/>
      <c r="U38" s="881">
        <v>4.42</v>
      </c>
      <c r="V38" s="810"/>
      <c r="W38" s="879"/>
      <c r="X38" s="879">
        <v>5.35</v>
      </c>
      <c r="Y38" s="810"/>
      <c r="Z38" s="879"/>
      <c r="AA38" s="879">
        <v>4.8899999999999997</v>
      </c>
      <c r="AB38" s="810"/>
      <c r="AC38" s="879"/>
      <c r="AD38" s="879">
        <v>4.8099999999999996</v>
      </c>
      <c r="AE38" s="811"/>
      <c r="AF38" s="548"/>
      <c r="AG38" s="811"/>
      <c r="AH38" s="811"/>
      <c r="AI38" s="812"/>
      <c r="AJ38" s="812"/>
    </row>
    <row r="39" spans="1:36" s="813" customFormat="1" ht="20.100000000000001" customHeight="1" x14ac:dyDescent="0.3">
      <c r="A39" s="873">
        <v>2015</v>
      </c>
      <c r="B39" s="879"/>
      <c r="C39" s="879">
        <v>0.69</v>
      </c>
      <c r="D39" s="810"/>
      <c r="E39" s="879"/>
      <c r="F39" s="879">
        <v>4.66</v>
      </c>
      <c r="G39" s="810"/>
      <c r="H39" s="822"/>
      <c r="I39" s="823"/>
      <c r="J39" s="810"/>
      <c r="K39" s="881"/>
      <c r="L39" s="881">
        <v>4.6790000000000003</v>
      </c>
      <c r="M39" s="810"/>
      <c r="N39" s="879"/>
      <c r="O39" s="879">
        <v>3.95</v>
      </c>
      <c r="P39" s="810"/>
      <c r="Q39" s="881"/>
      <c r="R39" s="881">
        <v>4.7</v>
      </c>
      <c r="S39" s="810"/>
      <c r="T39" s="881"/>
      <c r="U39" s="881">
        <v>3.55</v>
      </c>
      <c r="V39" s="810"/>
      <c r="W39" s="879"/>
      <c r="X39" s="879">
        <v>5.0999999999999996</v>
      </c>
      <c r="Y39" s="810"/>
      <c r="Z39" s="879"/>
      <c r="AA39" s="879">
        <v>3.5837826760902098</v>
      </c>
      <c r="AB39" s="810"/>
      <c r="AC39" s="879"/>
      <c r="AD39" s="879">
        <v>4.34</v>
      </c>
      <c r="AE39" s="811"/>
      <c r="AF39" s="548"/>
      <c r="AG39" s="811"/>
      <c r="AH39" s="811"/>
      <c r="AI39" s="812"/>
      <c r="AJ39" s="812"/>
    </row>
    <row r="40" spans="1:36" s="813" customFormat="1" ht="20.100000000000001" customHeight="1" x14ac:dyDescent="0.3">
      <c r="A40" s="873">
        <v>2014</v>
      </c>
      <c r="B40" s="879"/>
      <c r="C40" s="879">
        <v>6.81</v>
      </c>
      <c r="D40" s="810"/>
      <c r="E40" s="879"/>
      <c r="F40" s="879">
        <v>5.45</v>
      </c>
      <c r="G40" s="810"/>
      <c r="H40" s="822"/>
      <c r="I40" s="823"/>
      <c r="J40" s="810"/>
      <c r="K40" s="881"/>
      <c r="L40" s="881">
        <v>4.4630000000000001</v>
      </c>
      <c r="M40" s="810"/>
      <c r="N40" s="879"/>
      <c r="O40" s="879">
        <v>6.94</v>
      </c>
      <c r="P40" s="810"/>
      <c r="Q40" s="881"/>
      <c r="R40" s="881">
        <v>6.1</v>
      </c>
      <c r="S40" s="810"/>
      <c r="T40" s="881"/>
      <c r="U40" s="881">
        <v>5.1100000000000003</v>
      </c>
      <c r="V40" s="810"/>
      <c r="W40" s="879"/>
      <c r="X40" s="879">
        <v>7.56</v>
      </c>
      <c r="Y40" s="810"/>
      <c r="Z40" s="879"/>
      <c r="AA40" s="879">
        <v>7.2163751507943399</v>
      </c>
      <c r="AB40" s="810"/>
      <c r="AC40" s="879"/>
      <c r="AD40" s="879">
        <v>6.25</v>
      </c>
      <c r="AE40" s="811"/>
      <c r="AF40" s="548"/>
      <c r="AG40" s="811"/>
      <c r="AH40" s="811"/>
      <c r="AI40" s="812"/>
      <c r="AJ40" s="812"/>
    </row>
    <row r="41" spans="1:36" s="813" customFormat="1" ht="20.100000000000001" customHeight="1" x14ac:dyDescent="0.3">
      <c r="A41" s="874" t="s">
        <v>452</v>
      </c>
      <c r="B41" s="881"/>
      <c r="C41" s="881"/>
      <c r="D41" s="811"/>
      <c r="E41" s="881"/>
      <c r="F41" s="881"/>
      <c r="G41" s="811"/>
      <c r="H41" s="816"/>
      <c r="I41" s="811"/>
      <c r="J41" s="811"/>
      <c r="K41" s="881"/>
      <c r="L41" s="881"/>
      <c r="M41" s="811"/>
      <c r="N41" s="881"/>
      <c r="O41" s="881"/>
      <c r="P41" s="811"/>
      <c r="Q41" s="881"/>
      <c r="R41" s="881"/>
      <c r="S41" s="811"/>
      <c r="T41" s="881"/>
      <c r="U41" s="881"/>
      <c r="V41" s="811"/>
      <c r="W41" s="881"/>
      <c r="X41" s="881"/>
      <c r="Y41" s="811"/>
      <c r="Z41" s="881"/>
      <c r="AA41" s="881"/>
      <c r="AB41" s="811"/>
      <c r="AC41" s="881"/>
      <c r="AD41" s="881"/>
      <c r="AE41" s="811"/>
      <c r="AF41" s="548"/>
      <c r="AG41" s="811"/>
      <c r="AH41" s="811"/>
      <c r="AI41" s="812"/>
      <c r="AJ41" s="812"/>
    </row>
    <row r="42" spans="1:36" s="813" customFormat="1" ht="20.100000000000001" customHeight="1" x14ac:dyDescent="0.3">
      <c r="A42" s="873">
        <v>2018</v>
      </c>
      <c r="B42" s="881"/>
      <c r="C42" s="881"/>
      <c r="D42" s="811"/>
      <c r="E42" s="881"/>
      <c r="F42" s="881">
        <v>2.5299999999999998</v>
      </c>
      <c r="G42" s="811"/>
      <c r="H42" s="816"/>
      <c r="I42" s="811"/>
      <c r="J42" s="811"/>
      <c r="K42" s="881"/>
      <c r="L42" s="881"/>
      <c r="M42" s="811"/>
      <c r="N42" s="881"/>
      <c r="O42" s="881"/>
      <c r="P42" s="811"/>
      <c r="Q42" s="881"/>
      <c r="R42" s="881"/>
      <c r="S42" s="811"/>
      <c r="T42" s="881"/>
      <c r="U42" s="881">
        <v>3.9</v>
      </c>
      <c r="V42" s="811"/>
      <c r="W42" s="881"/>
      <c r="X42" s="881"/>
      <c r="Y42" s="811"/>
      <c r="Z42" s="881"/>
      <c r="AA42" s="881">
        <v>1.37514717427514</v>
      </c>
      <c r="AB42" s="811"/>
      <c r="AC42" s="881"/>
      <c r="AD42" s="881"/>
      <c r="AE42" s="811"/>
      <c r="AF42" s="548"/>
      <c r="AG42" s="811"/>
      <c r="AH42" s="811"/>
      <c r="AI42" s="812"/>
      <c r="AJ42" s="812"/>
    </row>
    <row r="43" spans="1:36" s="813" customFormat="1" ht="20.100000000000001" customHeight="1" x14ac:dyDescent="0.3">
      <c r="A43" s="873">
        <v>2017</v>
      </c>
      <c r="B43" s="881"/>
      <c r="C43" s="881"/>
      <c r="D43" s="810"/>
      <c r="E43" s="881"/>
      <c r="F43" s="881">
        <v>5.69</v>
      </c>
      <c r="G43" s="810"/>
      <c r="H43" s="820"/>
      <c r="I43" s="810"/>
      <c r="J43" s="810"/>
      <c r="K43" s="881"/>
      <c r="L43" s="881"/>
      <c r="M43" s="810"/>
      <c r="N43" s="881"/>
      <c r="O43" s="881"/>
      <c r="P43" s="810"/>
      <c r="Q43" s="881"/>
      <c r="R43" s="881"/>
      <c r="S43" s="810"/>
      <c r="T43" s="881"/>
      <c r="U43" s="881">
        <v>4.82</v>
      </c>
      <c r="V43" s="810"/>
      <c r="W43" s="881"/>
      <c r="X43" s="881"/>
      <c r="Y43" s="810"/>
      <c r="Z43" s="881"/>
      <c r="AA43" s="881">
        <v>8.5075958174620503</v>
      </c>
      <c r="AB43" s="810"/>
      <c r="AC43" s="881"/>
      <c r="AD43" s="881"/>
      <c r="AE43" s="811"/>
      <c r="AF43" s="548"/>
      <c r="AG43" s="811"/>
      <c r="AH43" s="811"/>
      <c r="AI43" s="812"/>
      <c r="AJ43" s="812"/>
    </row>
    <row r="44" spans="1:36" s="813" customFormat="1" ht="20.100000000000001" customHeight="1" x14ac:dyDescent="0.3">
      <c r="A44" s="873">
        <v>2016</v>
      </c>
      <c r="B44" s="881"/>
      <c r="C44" s="881"/>
      <c r="D44" s="810"/>
      <c r="E44" s="881"/>
      <c r="F44" s="881">
        <v>4.62</v>
      </c>
      <c r="G44" s="810"/>
      <c r="H44" s="820"/>
      <c r="I44" s="810"/>
      <c r="J44" s="810"/>
      <c r="K44" s="881"/>
      <c r="L44" s="881"/>
      <c r="M44" s="810"/>
      <c r="N44" s="881"/>
      <c r="O44" s="881"/>
      <c r="P44" s="810"/>
      <c r="Q44" s="881"/>
      <c r="R44" s="881"/>
      <c r="S44" s="810"/>
      <c r="T44" s="881"/>
      <c r="U44" s="881">
        <v>4.42</v>
      </c>
      <c r="V44" s="810"/>
      <c r="W44" s="881"/>
      <c r="X44" s="881"/>
      <c r="Y44" s="810"/>
      <c r="Z44" s="881"/>
      <c r="AA44" s="881">
        <v>5.23</v>
      </c>
      <c r="AB44" s="810"/>
      <c r="AC44" s="881"/>
      <c r="AD44" s="881"/>
      <c r="AE44" s="811"/>
      <c r="AF44" s="548"/>
      <c r="AG44" s="811"/>
      <c r="AH44" s="811"/>
      <c r="AI44" s="812"/>
      <c r="AJ44" s="812"/>
    </row>
    <row r="45" spans="1:36" s="813" customFormat="1" ht="19.5" customHeight="1" x14ac:dyDescent="0.3">
      <c r="A45" s="873">
        <v>2015</v>
      </c>
      <c r="B45" s="881"/>
      <c r="C45" s="881"/>
      <c r="D45" s="810"/>
      <c r="E45" s="881"/>
      <c r="F45" s="881">
        <v>4.29</v>
      </c>
      <c r="G45" s="810"/>
      <c r="H45" s="820"/>
      <c r="I45" s="810"/>
      <c r="J45" s="810"/>
      <c r="K45" s="881"/>
      <c r="L45" s="881"/>
      <c r="M45" s="810"/>
      <c r="N45" s="881"/>
      <c r="O45" s="881"/>
      <c r="P45" s="810"/>
      <c r="Q45" s="881"/>
      <c r="R45" s="881"/>
      <c r="S45" s="810"/>
      <c r="T45" s="881"/>
      <c r="U45" s="881">
        <v>3.55</v>
      </c>
      <c r="V45" s="810"/>
      <c r="W45" s="881"/>
      <c r="X45" s="881"/>
      <c r="Y45" s="810"/>
      <c r="Z45" s="881"/>
      <c r="AA45" s="881">
        <v>4.00108762548372</v>
      </c>
      <c r="AB45" s="810"/>
      <c r="AC45" s="881"/>
      <c r="AD45" s="881">
        <v>4.41</v>
      </c>
      <c r="AE45" s="811"/>
      <c r="AF45" s="548"/>
      <c r="AG45" s="811"/>
      <c r="AH45" s="811"/>
      <c r="AI45" s="812"/>
      <c r="AJ45" s="812"/>
    </row>
    <row r="46" spans="1:36" ht="19.5" customHeight="1" x14ac:dyDescent="0.3">
      <c r="A46" s="873">
        <v>2014</v>
      </c>
      <c r="B46" s="881"/>
      <c r="C46" s="881"/>
      <c r="D46" s="810"/>
      <c r="E46" s="881"/>
      <c r="F46" s="881">
        <v>5.56</v>
      </c>
      <c r="G46" s="810"/>
      <c r="H46" s="820"/>
      <c r="I46" s="810"/>
      <c r="J46" s="810"/>
      <c r="K46" s="881"/>
      <c r="L46" s="881"/>
      <c r="M46" s="810"/>
      <c r="N46" s="881"/>
      <c r="O46" s="881"/>
      <c r="P46" s="810"/>
      <c r="Q46" s="881"/>
      <c r="R46" s="881"/>
      <c r="S46" s="810"/>
      <c r="T46" s="881"/>
      <c r="U46" s="881">
        <v>5.1100000000000003</v>
      </c>
      <c r="V46" s="810"/>
      <c r="W46" s="881"/>
      <c r="X46" s="881"/>
      <c r="Y46" s="810"/>
      <c r="Z46" s="881"/>
      <c r="AA46" s="881">
        <v>7.9419173659891698</v>
      </c>
      <c r="AB46" s="810"/>
      <c r="AC46" s="881"/>
      <c r="AD46" s="881">
        <v>5.75</v>
      </c>
      <c r="AE46" s="811"/>
      <c r="AF46" s="548"/>
      <c r="AG46" s="811"/>
      <c r="AH46" s="811"/>
      <c r="AJ46" s="598"/>
    </row>
    <row r="47" spans="1:36" s="577" customFormat="1" ht="18.75" x14ac:dyDescent="0.3">
      <c r="A47" s="874" t="s">
        <v>453</v>
      </c>
      <c r="B47" s="881"/>
      <c r="C47" s="881"/>
      <c r="D47" s="811"/>
      <c r="E47" s="881"/>
      <c r="F47" s="881"/>
      <c r="G47" s="811"/>
      <c r="H47" s="816"/>
      <c r="I47" s="811"/>
      <c r="J47" s="811"/>
      <c r="K47" s="881"/>
      <c r="L47" s="881"/>
      <c r="M47" s="811"/>
      <c r="N47" s="881"/>
      <c r="O47" s="881"/>
      <c r="P47" s="811"/>
      <c r="Q47" s="881"/>
      <c r="R47" s="881"/>
      <c r="S47" s="811"/>
      <c r="T47" s="881"/>
      <c r="U47" s="881"/>
      <c r="V47" s="811"/>
      <c r="W47" s="879"/>
      <c r="X47" s="879"/>
      <c r="Y47" s="811"/>
      <c r="Z47" s="879"/>
      <c r="AA47" s="879"/>
      <c r="AB47" s="811"/>
      <c r="AC47" s="881"/>
      <c r="AD47" s="881"/>
      <c r="AE47" s="811"/>
      <c r="AF47" s="548"/>
      <c r="AG47" s="811"/>
      <c r="AH47" s="811"/>
    </row>
    <row r="48" spans="1:36" s="577" customFormat="1" ht="18.75" x14ac:dyDescent="0.3">
      <c r="A48" s="873">
        <v>2018</v>
      </c>
      <c r="B48" s="881"/>
      <c r="C48" s="881">
        <v>0.59</v>
      </c>
      <c r="D48" s="811"/>
      <c r="E48" s="881"/>
      <c r="F48" s="881">
        <v>1.55</v>
      </c>
      <c r="G48" s="811"/>
      <c r="H48" s="816"/>
      <c r="I48" s="811"/>
      <c r="J48" s="811"/>
      <c r="K48" s="881"/>
      <c r="L48" s="881">
        <v>4.3</v>
      </c>
      <c r="M48" s="811"/>
      <c r="N48" s="881"/>
      <c r="O48" s="881"/>
      <c r="P48" s="811"/>
      <c r="Q48" s="881"/>
      <c r="R48" s="881">
        <v>3</v>
      </c>
      <c r="S48" s="811"/>
      <c r="T48" s="881"/>
      <c r="U48" s="881">
        <v>3.9</v>
      </c>
      <c r="V48" s="811"/>
      <c r="W48" s="879"/>
      <c r="X48" s="879"/>
      <c r="Y48" s="811"/>
      <c r="Z48" s="879"/>
      <c r="AA48" s="879">
        <v>2.1130300921210501</v>
      </c>
      <c r="AB48" s="811"/>
      <c r="AC48" s="881"/>
      <c r="AD48" s="881"/>
      <c r="AE48" s="811"/>
      <c r="AF48" s="548"/>
      <c r="AG48" s="811"/>
      <c r="AH48" s="811"/>
    </row>
    <row r="49" spans="1:34" s="577" customFormat="1" ht="18.75" x14ac:dyDescent="0.3">
      <c r="A49" s="873">
        <v>2017</v>
      </c>
      <c r="B49" s="881"/>
      <c r="C49" s="881">
        <v>4.1500000000000004</v>
      </c>
      <c r="D49" s="811"/>
      <c r="E49" s="881"/>
      <c r="F49" s="881">
        <v>5.43</v>
      </c>
      <c r="G49" s="810"/>
      <c r="H49" s="820"/>
      <c r="I49" s="810"/>
      <c r="J49" s="810"/>
      <c r="K49" s="881"/>
      <c r="L49" s="881">
        <v>4.47</v>
      </c>
      <c r="M49" s="810"/>
      <c r="N49" s="881"/>
      <c r="O49" s="881"/>
      <c r="P49" s="810"/>
      <c r="Q49" s="881"/>
      <c r="R49" s="881">
        <v>5.6</v>
      </c>
      <c r="S49" s="810"/>
      <c r="T49" s="881"/>
      <c r="U49" s="881">
        <v>4.82</v>
      </c>
      <c r="V49" s="810"/>
      <c r="W49" s="879"/>
      <c r="X49" s="879"/>
      <c r="Y49" s="810"/>
      <c r="Z49" s="879"/>
      <c r="AA49" s="879">
        <v>7.7392028099042101</v>
      </c>
      <c r="AB49" s="810"/>
      <c r="AC49" s="881"/>
      <c r="AD49" s="881"/>
      <c r="AE49" s="811"/>
      <c r="AF49" s="548"/>
      <c r="AG49" s="811"/>
      <c r="AH49" s="811"/>
    </row>
    <row r="50" spans="1:34" s="577" customFormat="1" ht="18.75" x14ac:dyDescent="0.3">
      <c r="A50" s="873">
        <v>2016</v>
      </c>
      <c r="B50" s="881"/>
      <c r="C50" s="881">
        <v>4.18</v>
      </c>
      <c r="D50" s="811"/>
      <c r="E50" s="881"/>
      <c r="F50" s="881">
        <v>4.3499999999999996</v>
      </c>
      <c r="G50" s="810"/>
      <c r="H50" s="820"/>
      <c r="I50" s="810"/>
      <c r="J50" s="810"/>
      <c r="K50" s="881"/>
      <c r="L50" s="881">
        <v>4.87</v>
      </c>
      <c r="M50" s="810"/>
      <c r="N50" s="881"/>
      <c r="O50" s="881">
        <v>5.83</v>
      </c>
      <c r="P50" s="810"/>
      <c r="Q50" s="881"/>
      <c r="R50" s="881">
        <v>5.83</v>
      </c>
      <c r="S50" s="810"/>
      <c r="T50" s="881"/>
      <c r="U50" s="881">
        <v>4.42</v>
      </c>
      <c r="V50" s="810"/>
      <c r="W50" s="879"/>
      <c r="X50" s="879"/>
      <c r="Y50" s="810"/>
      <c r="Z50" s="879"/>
      <c r="AA50" s="879">
        <v>4.6399999999999997</v>
      </c>
      <c r="AB50" s="810"/>
      <c r="AC50" s="881"/>
      <c r="AD50" s="881"/>
      <c r="AE50" s="811"/>
      <c r="AF50" s="548"/>
      <c r="AG50" s="811"/>
      <c r="AH50" s="811"/>
    </row>
    <row r="51" spans="1:34" s="577" customFormat="1" ht="18.75" x14ac:dyDescent="0.3">
      <c r="A51" s="873">
        <v>2015</v>
      </c>
      <c r="B51" s="881"/>
      <c r="C51" s="881">
        <v>0.69</v>
      </c>
      <c r="D51" s="811"/>
      <c r="E51" s="881"/>
      <c r="F51" s="881">
        <v>4.34</v>
      </c>
      <c r="G51" s="810"/>
      <c r="H51" s="820"/>
      <c r="I51" s="810"/>
      <c r="J51" s="810"/>
      <c r="K51" s="881"/>
      <c r="L51" s="881">
        <v>5.4189999999999996</v>
      </c>
      <c r="M51" s="810"/>
      <c r="N51" s="881"/>
      <c r="O51" s="881">
        <v>3.95</v>
      </c>
      <c r="P51" s="810"/>
      <c r="Q51" s="881"/>
      <c r="R51" s="881">
        <v>4.7</v>
      </c>
      <c r="S51" s="810"/>
      <c r="T51" s="881"/>
      <c r="U51" s="881">
        <v>3.55</v>
      </c>
      <c r="V51" s="810"/>
      <c r="W51" s="879"/>
      <c r="X51" s="879"/>
      <c r="Y51" s="810"/>
      <c r="Z51" s="879"/>
      <c r="AA51" s="879">
        <v>3.6594227914219499</v>
      </c>
      <c r="AB51" s="810"/>
      <c r="AC51" s="881"/>
      <c r="AD51" s="881">
        <v>4.7699999999999996</v>
      </c>
      <c r="AE51" s="811"/>
      <c r="AF51" s="548"/>
      <c r="AG51" s="811"/>
      <c r="AH51" s="811"/>
    </row>
    <row r="52" spans="1:34" s="577" customFormat="1" ht="18.75" x14ac:dyDescent="0.3">
      <c r="A52" s="948">
        <v>2014</v>
      </c>
      <c r="B52" s="949"/>
      <c r="C52" s="949">
        <v>6.81</v>
      </c>
      <c r="D52" s="824"/>
      <c r="E52" s="949"/>
      <c r="F52" s="949">
        <v>5.87</v>
      </c>
      <c r="G52" s="825"/>
      <c r="H52" s="826"/>
      <c r="I52" s="825"/>
      <c r="J52" s="825"/>
      <c r="K52" s="949"/>
      <c r="L52" s="949">
        <v>4.625</v>
      </c>
      <c r="M52" s="825"/>
      <c r="N52" s="949"/>
      <c r="O52" s="949">
        <v>6.94</v>
      </c>
      <c r="P52" s="825"/>
      <c r="Q52" s="949"/>
      <c r="R52" s="949">
        <v>6.1</v>
      </c>
      <c r="S52" s="825"/>
      <c r="T52" s="949"/>
      <c r="U52" s="949">
        <v>5.1100000000000003</v>
      </c>
      <c r="V52" s="825"/>
      <c r="W52" s="950"/>
      <c r="X52" s="950"/>
      <c r="Y52" s="825"/>
      <c r="Z52" s="950"/>
      <c r="AA52" s="950">
        <v>6.9696881004068096</v>
      </c>
      <c r="AB52" s="825"/>
      <c r="AC52" s="949"/>
      <c r="AD52" s="949">
        <v>6.41</v>
      </c>
      <c r="AE52" s="824"/>
      <c r="AF52" s="751"/>
      <c r="AG52" s="824"/>
      <c r="AH52" s="824"/>
    </row>
    <row r="53" spans="1:34" s="577" customFormat="1" ht="18.75" x14ac:dyDescent="0.3">
      <c r="A53" s="875" t="s">
        <v>261</v>
      </c>
      <c r="E53" s="875"/>
      <c r="F53" s="875"/>
      <c r="Q53" s="875"/>
      <c r="R53" s="875"/>
    </row>
    <row r="54" spans="1:34" s="577" customFormat="1" ht="18.75" x14ac:dyDescent="0.3"/>
    <row r="55" spans="1:34" s="577" customFormat="1" ht="18.75" x14ac:dyDescent="0.3"/>
    <row r="56" spans="1:34" s="577" customFormat="1" ht="18.75" x14ac:dyDescent="0.3"/>
    <row r="57" spans="1:34" s="577" customFormat="1" ht="18.75" x14ac:dyDescent="0.3"/>
    <row r="58" spans="1:34" s="577" customFormat="1" ht="18.75" x14ac:dyDescent="0.3"/>
    <row r="59" spans="1:34" s="577" customFormat="1" ht="18.75" x14ac:dyDescent="0.3"/>
  </sheetData>
  <protectedRanges>
    <protectedRange sqref="X10" name="Område1_6_1"/>
  </protectedRanges>
  <mergeCells count="30">
    <mergeCell ref="AN6:AP6"/>
    <mergeCell ref="AQ6:AS6"/>
    <mergeCell ref="AT6:AV6"/>
    <mergeCell ref="AW6:AY6"/>
    <mergeCell ref="W6:Y6"/>
    <mergeCell ref="Z6:AB6"/>
    <mergeCell ref="AC6:AE6"/>
    <mergeCell ref="AF6:AH6"/>
    <mergeCell ref="AK6:AM6"/>
    <mergeCell ref="AQ5:AS5"/>
    <mergeCell ref="AT5:AV5"/>
    <mergeCell ref="AW5:AY5"/>
    <mergeCell ref="B6:D6"/>
    <mergeCell ref="E6:G6"/>
    <mergeCell ref="H6:J6"/>
    <mergeCell ref="K6:M6"/>
    <mergeCell ref="N6:P6"/>
    <mergeCell ref="Q6:S6"/>
    <mergeCell ref="T6:V6"/>
    <mergeCell ref="Z5:AB5"/>
    <mergeCell ref="AC5:AE5"/>
    <mergeCell ref="AF5:AH5"/>
    <mergeCell ref="AK5:AM5"/>
    <mergeCell ref="AN5:AP5"/>
    <mergeCell ref="W5:Y5"/>
    <mergeCell ref="B5:D5"/>
    <mergeCell ref="E5:G5"/>
    <mergeCell ref="H5:J5"/>
    <mergeCell ref="K5:M5"/>
    <mergeCell ref="Q5:S5"/>
  </mergeCells>
  <hyperlinks>
    <hyperlink ref="B1" location="Innhold!A1" display="Tilbake" xr:uid="{00000000-0004-0000-25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72" man="1"/>
    <brk id="19" min="1" max="72" man="1"/>
    <brk id="25" min="1" max="72" man="1"/>
    <brk id="3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topLeftCell="B1" zoomScale="90" zoomScaleNormal="90" workbookViewId="0">
      <selection activeCell="C17" sqref="C17"/>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8"/>
      <c r="D2" s="328"/>
      <c r="E2" s="328"/>
    </row>
    <row r="3" spans="1:17" x14ac:dyDescent="0.2">
      <c r="A3" s="43" t="s">
        <v>51</v>
      </c>
    </row>
    <row r="4" spans="1:17" x14ac:dyDescent="0.2">
      <c r="C4" s="328"/>
      <c r="D4" s="328"/>
      <c r="E4" s="328"/>
      <c r="F4" s="328"/>
      <c r="G4" s="328"/>
      <c r="H4" s="328"/>
      <c r="I4" s="328"/>
      <c r="J4" s="328"/>
      <c r="K4" s="328"/>
    </row>
    <row r="6" spans="1:17" ht="15.75" x14ac:dyDescent="0.25">
      <c r="C6" s="335" t="s">
        <v>16</v>
      </c>
      <c r="D6" s="3"/>
      <c r="E6" s="335"/>
    </row>
    <row r="7" spans="1:17" ht="18.75" customHeight="1" x14ac:dyDescent="0.2">
      <c r="C7" s="3"/>
      <c r="D7" s="3"/>
      <c r="E7" s="50"/>
    </row>
    <row r="8" spans="1:17" ht="15.75" x14ac:dyDescent="0.25">
      <c r="B8" s="329">
        <v>1</v>
      </c>
      <c r="C8" s="330" t="s">
        <v>358</v>
      </c>
      <c r="E8" s="339"/>
    </row>
    <row r="9" spans="1:17" ht="31.5" x14ac:dyDescent="0.2">
      <c r="B9" s="329">
        <v>2</v>
      </c>
      <c r="C9" s="332" t="s">
        <v>284</v>
      </c>
      <c r="E9" s="8"/>
      <c r="Q9" s="3"/>
    </row>
    <row r="10" spans="1:17" ht="47.25" x14ac:dyDescent="0.2">
      <c r="B10" s="329">
        <v>3</v>
      </c>
      <c r="C10" s="330" t="s">
        <v>285</v>
      </c>
      <c r="E10" s="8"/>
    </row>
    <row r="11" spans="1:17" ht="47.25" x14ac:dyDescent="0.2">
      <c r="B11" s="329">
        <v>4</v>
      </c>
      <c r="C11" s="332" t="s">
        <v>286</v>
      </c>
      <c r="E11" s="8"/>
    </row>
    <row r="12" spans="1:17" ht="31.5" x14ac:dyDescent="0.2">
      <c r="B12" s="329">
        <v>5</v>
      </c>
      <c r="C12" s="330" t="s">
        <v>21</v>
      </c>
      <c r="E12" s="3"/>
    </row>
    <row r="13" spans="1:17" ht="15.75" x14ac:dyDescent="0.2">
      <c r="B13" s="329">
        <v>6</v>
      </c>
      <c r="C13" s="330" t="s">
        <v>359</v>
      </c>
      <c r="E13" s="3"/>
    </row>
    <row r="14" spans="1:17" ht="15.75" x14ac:dyDescent="0.2">
      <c r="B14" s="329">
        <v>7</v>
      </c>
      <c r="C14" s="330" t="s">
        <v>17</v>
      </c>
    </row>
    <row r="15" spans="1:17" ht="18.75" customHeight="1" x14ac:dyDescent="0.2">
      <c r="B15" s="329">
        <v>8</v>
      </c>
      <c r="C15" s="330" t="s">
        <v>18</v>
      </c>
    </row>
    <row r="16" spans="1:17" ht="18.75" customHeight="1" x14ac:dyDescent="0.2">
      <c r="B16" s="329">
        <v>9</v>
      </c>
      <c r="C16" s="330" t="s">
        <v>22</v>
      </c>
    </row>
    <row r="17" spans="2:9" ht="63" x14ac:dyDescent="0.25">
      <c r="B17" s="329">
        <v>10</v>
      </c>
      <c r="C17" s="330" t="s">
        <v>368</v>
      </c>
      <c r="E17" s="335"/>
    </row>
    <row r="18" spans="2:9" ht="15.75" x14ac:dyDescent="0.2">
      <c r="B18" s="329">
        <v>11</v>
      </c>
      <c r="C18" s="330" t="s">
        <v>19</v>
      </c>
      <c r="E18" s="8"/>
    </row>
    <row r="19" spans="2:9" ht="15.75" x14ac:dyDescent="0.2">
      <c r="B19" s="329">
        <v>12</v>
      </c>
      <c r="C19" s="330" t="s">
        <v>288</v>
      </c>
      <c r="E19" s="8"/>
    </row>
    <row r="20" spans="2:9" ht="15.75" x14ac:dyDescent="0.2">
      <c r="B20" s="329">
        <v>13</v>
      </c>
      <c r="C20" s="330" t="s">
        <v>20</v>
      </c>
      <c r="E20" s="3"/>
    </row>
    <row r="21" spans="2:9" ht="47.25" x14ac:dyDescent="0.2">
      <c r="B21" s="329">
        <v>14</v>
      </c>
      <c r="C21" s="330" t="s">
        <v>289</v>
      </c>
      <c r="E21" s="340"/>
    </row>
    <row r="22" spans="2:9" ht="31.5" x14ac:dyDescent="0.2">
      <c r="B22" s="329">
        <v>15</v>
      </c>
      <c r="C22" s="332" t="s">
        <v>347</v>
      </c>
      <c r="E22" s="3"/>
    </row>
    <row r="23" spans="2:9" ht="15.75" x14ac:dyDescent="0.25">
      <c r="B23" s="329">
        <v>16</v>
      </c>
      <c r="C23" s="334" t="s">
        <v>287</v>
      </c>
      <c r="D23" s="333"/>
      <c r="E23" s="328"/>
      <c r="F23" s="333"/>
      <c r="G23" s="2"/>
      <c r="H23" s="2"/>
      <c r="I23" s="2"/>
    </row>
    <row r="24" spans="2:9" ht="18.75" customHeight="1" x14ac:dyDescent="0.25">
      <c r="B24" s="331">
        <v>17</v>
      </c>
      <c r="C24" s="334" t="s">
        <v>290</v>
      </c>
    </row>
    <row r="25" spans="2:9" ht="18.75" customHeight="1" x14ac:dyDescent="0.25">
      <c r="B25" s="331"/>
      <c r="C25" s="337"/>
    </row>
    <row r="26" spans="2:9" ht="18.75" customHeight="1" x14ac:dyDescent="0.25">
      <c r="B26" s="331"/>
      <c r="C26" s="351"/>
    </row>
    <row r="27" spans="2:9" ht="18.75" customHeight="1" x14ac:dyDescent="0.2">
      <c r="C27" s="337"/>
    </row>
    <row r="28" spans="2:9" ht="18.75" customHeight="1" x14ac:dyDescent="0.2">
      <c r="C28" s="337"/>
    </row>
    <row r="29" spans="2:9" ht="18.75" customHeight="1" x14ac:dyDescent="0.2">
      <c r="C29" s="337"/>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8"/>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8"/>
      <c r="E50" s="328"/>
      <c r="F50" s="328"/>
      <c r="G50" s="328"/>
      <c r="H50" s="328"/>
      <c r="I50" s="328"/>
      <c r="J50" s="328"/>
      <c r="K50" s="328"/>
      <c r="L50" s="328"/>
      <c r="M50" s="328"/>
      <c r="N50" s="328"/>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0"/>
  <sheetViews>
    <sheetView showGridLines="0" showZeros="0" zoomScale="70" zoomScaleNormal="70" workbookViewId="0">
      <pane ySplit="7" topLeftCell="A8" activePane="bottomLeft" state="frozen"/>
      <selection activeCell="J44" sqref="J44"/>
      <selection pane="bottomLeft"/>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7" hidden="1" customWidth="1"/>
    <col min="13" max="13" width="13.85546875" style="187" hidden="1" customWidth="1"/>
    <col min="14" max="15" width="15.7109375" style="187" hidden="1" customWidth="1"/>
    <col min="16" max="16" width="11.42578125" style="87" hidden="1" customWidth="1"/>
    <col min="17" max="19" width="11.42578125" style="87" customWidth="1"/>
    <col min="20" max="16384" width="11.42578125" style="87"/>
  </cols>
  <sheetData>
    <row r="1" spans="1:17" ht="20.25" x14ac:dyDescent="0.3">
      <c r="A1" s="80" t="s">
        <v>79</v>
      </c>
      <c r="B1" s="73" t="s">
        <v>52</v>
      </c>
      <c r="C1" s="74"/>
      <c r="D1" s="74"/>
      <c r="E1" s="74"/>
      <c r="F1" s="74"/>
      <c r="G1" s="74"/>
      <c r="H1" s="74"/>
      <c r="I1" s="74"/>
      <c r="J1" s="74"/>
      <c r="K1" s="74"/>
    </row>
    <row r="2" spans="1:17" ht="20.25" x14ac:dyDescent="0.3">
      <c r="A2" s="80" t="s">
        <v>80</v>
      </c>
      <c r="B2" s="74"/>
      <c r="C2" s="74"/>
      <c r="D2" s="74"/>
      <c r="E2" s="74"/>
      <c r="F2" s="74"/>
      <c r="G2" s="74"/>
      <c r="H2" s="74"/>
      <c r="I2" s="74"/>
      <c r="J2" s="74"/>
      <c r="K2" s="74"/>
    </row>
    <row r="3" spans="1:17" ht="18.75" x14ac:dyDescent="0.3">
      <c r="A3" s="956" t="s">
        <v>81</v>
      </c>
      <c r="B3" s="956"/>
      <c r="C3" s="74"/>
      <c r="D3" s="74"/>
      <c r="E3" s="74"/>
      <c r="F3" s="74"/>
      <c r="G3" s="74"/>
      <c r="H3" s="74"/>
      <c r="I3" s="74"/>
      <c r="J3" s="74"/>
      <c r="K3" s="74"/>
    </row>
    <row r="4" spans="1:17" ht="18.75" x14ac:dyDescent="0.3">
      <c r="A4" s="82" t="s">
        <v>371</v>
      </c>
      <c r="B4" s="83"/>
      <c r="C4" s="84"/>
      <c r="D4" s="84"/>
      <c r="E4" s="85"/>
      <c r="F4" s="86"/>
      <c r="G4" s="83"/>
      <c r="H4" s="84"/>
      <c r="I4" s="84"/>
      <c r="J4" s="85"/>
      <c r="K4" s="112"/>
      <c r="L4" s="210"/>
      <c r="M4" s="211"/>
      <c r="N4" s="212"/>
      <c r="O4" s="211"/>
    </row>
    <row r="5" spans="1:17" ht="22.5" x14ac:dyDescent="0.3">
      <c r="A5" s="88"/>
      <c r="B5" s="957" t="s">
        <v>82</v>
      </c>
      <c r="C5" s="958"/>
      <c r="D5" s="958"/>
      <c r="E5" s="959"/>
      <c r="F5" s="90"/>
      <c r="G5" s="957" t="s">
        <v>486</v>
      </c>
      <c r="H5" s="958"/>
      <c r="I5" s="958"/>
      <c r="J5" s="959"/>
      <c r="K5" s="89"/>
      <c r="L5" s="960" t="s">
        <v>144</v>
      </c>
      <c r="M5" s="955"/>
      <c r="N5" s="954" t="s">
        <v>145</v>
      </c>
      <c r="O5" s="955"/>
    </row>
    <row r="6" spans="1:17" ht="18.75" x14ac:dyDescent="0.3">
      <c r="A6" s="91"/>
      <c r="B6" s="92"/>
      <c r="C6" s="93"/>
      <c r="D6" s="93" t="s">
        <v>83</v>
      </c>
      <c r="E6" s="93" t="s">
        <v>29</v>
      </c>
      <c r="F6" s="95"/>
      <c r="G6" s="92"/>
      <c r="H6" s="93"/>
      <c r="I6" s="93" t="s">
        <v>83</v>
      </c>
      <c r="J6" s="94" t="s">
        <v>29</v>
      </c>
      <c r="K6" s="100"/>
      <c r="L6" s="213"/>
      <c r="M6" s="214"/>
      <c r="N6" s="215"/>
      <c r="O6" s="214"/>
      <c r="Q6" s="951"/>
    </row>
    <row r="7" spans="1:17" ht="15.75" x14ac:dyDescent="0.25">
      <c r="A7" s="96" t="s">
        <v>84</v>
      </c>
      <c r="B7" s="97">
        <v>2017</v>
      </c>
      <c r="C7" s="97">
        <v>2018</v>
      </c>
      <c r="D7" s="98" t="s">
        <v>85</v>
      </c>
      <c r="E7" s="99" t="s">
        <v>30</v>
      </c>
      <c r="F7" s="95"/>
      <c r="G7" s="97">
        <v>2017</v>
      </c>
      <c r="H7" s="97">
        <v>2018</v>
      </c>
      <c r="I7" s="98" t="s">
        <v>85</v>
      </c>
      <c r="J7" s="99" t="s">
        <v>30</v>
      </c>
      <c r="K7" s="100"/>
      <c r="L7" s="216">
        <v>2015</v>
      </c>
      <c r="M7" s="217">
        <v>2016</v>
      </c>
      <c r="N7" s="218">
        <v>2015</v>
      </c>
      <c r="O7" s="217">
        <v>2016</v>
      </c>
      <c r="P7" s="87" t="s">
        <v>148</v>
      </c>
    </row>
    <row r="8" spans="1:17" ht="18.75" x14ac:dyDescent="0.3">
      <c r="A8" s="101" t="s">
        <v>0</v>
      </c>
      <c r="B8" s="129"/>
      <c r="C8" s="103"/>
      <c r="D8" s="104"/>
      <c r="E8" s="405"/>
      <c r="F8" s="176"/>
      <c r="G8" s="129"/>
      <c r="H8" s="129"/>
      <c r="I8" s="103"/>
      <c r="J8" s="405"/>
      <c r="K8" s="139"/>
      <c r="L8" s="219" t="s">
        <v>0</v>
      </c>
      <c r="M8" s="220"/>
      <c r="N8" s="221"/>
      <c r="O8" s="220"/>
      <c r="P8" s="87" t="s">
        <v>156</v>
      </c>
    </row>
    <row r="9" spans="1:17" ht="18.75" x14ac:dyDescent="0.3">
      <c r="A9" s="192" t="s">
        <v>86</v>
      </c>
      <c r="B9" s="176">
        <f>'ACE European Group'!B7+'ACE European Group'!B22+'ACE European Group'!B36+'ACE European Group'!B47+'ACE European Group'!B66+'ACE European Group'!B134</f>
        <v>0</v>
      </c>
      <c r="C9" s="176">
        <f>'ACE European Group'!C7+'ACE European Group'!C22+'ACE European Group'!C36+'ACE European Group'!C47+'ACE European Group'!C66+'ACE European Group'!C134</f>
        <v>0</v>
      </c>
      <c r="D9" s="104"/>
      <c r="E9" s="405">
        <f>100/C$31*C9</f>
        <v>0</v>
      </c>
      <c r="F9" s="103"/>
      <c r="G9" s="176">
        <f>'ACE European Group'!B10+'ACE European Group'!B29+'ACE European Group'!B37+'ACE European Group'!B87+'ACE European Group'!B135</f>
        <v>0</v>
      </c>
      <c r="H9" s="176">
        <f>'ACE European Group'!C10+'ACE European Group'!C29+'ACE European Group'!C37+'ACE European Group'!C87+'ACE European Group'!C135</f>
        <v>0</v>
      </c>
      <c r="I9" s="104"/>
      <c r="J9" s="405">
        <f t="shared" ref="J9" si="0">100/H$31*H9</f>
        <v>0</v>
      </c>
      <c r="K9" s="206" t="s">
        <v>152</v>
      </c>
      <c r="L9" s="222">
        <f t="shared" ref="L9:L30" ca="1" si="1">INDIRECT("'" &amp; $A9 &amp; "'!" &amp; $P$7)</f>
        <v>0</v>
      </c>
      <c r="M9" s="220">
        <f t="shared" ref="M9:M30" ca="1" si="2">INDIRECT("'" &amp; $A9 &amp; "'!" &amp; $P$8)</f>
        <v>0</v>
      </c>
      <c r="N9" s="222">
        <f t="shared" ref="N9:N30" ca="1" si="3">INDIRECT("'" &amp; $A9 &amp; "'!" &amp; $P$9)</f>
        <v>0</v>
      </c>
      <c r="O9" s="220">
        <f t="shared" ref="O9:O30" ca="1" si="4">INDIRECT("'" &amp; $A9 &amp; "'!" &amp; $P$10)</f>
        <v>0</v>
      </c>
      <c r="P9" s="87" t="s">
        <v>160</v>
      </c>
    </row>
    <row r="10" spans="1:17" ht="18.75" x14ac:dyDescent="0.3">
      <c r="A10" s="192" t="s">
        <v>87</v>
      </c>
      <c r="B10" s="176">
        <f>'Danica Pensjonsforsikring'!B7+'Danica Pensjonsforsikring'!B22+'Danica Pensjonsforsikring'!B36+'Danica Pensjonsforsikring'!B47+'Danica Pensjonsforsikring'!B66+'Danica Pensjonsforsikring'!B134</f>
        <v>397773.73200000002</v>
      </c>
      <c r="C10" s="176">
        <f>'Danica Pensjonsforsikring'!C7+'Danica Pensjonsforsikring'!C22+'Danica Pensjonsforsikring'!C36+'Danica Pensjonsforsikring'!C47+'Danica Pensjonsforsikring'!C66+'Danica Pensjonsforsikring'!C134</f>
        <v>415883.79300000001</v>
      </c>
      <c r="D10" s="104">
        <f t="shared" ref="D10:D31" si="5">IF(B10=0, "    ---- ", IF(ABS(ROUND(100/B10*C10-100,1))&lt;999,ROUND(100/B10*C10-100,1),IF(ROUND(100/B10*C10-100,1)&gt;999,999,-999)))</f>
        <v>4.5999999999999996</v>
      </c>
      <c r="E10" s="405">
        <f t="shared" ref="E10:E30" si="6">100/C$31*C10</f>
        <v>0.66245826360061988</v>
      </c>
      <c r="F10" s="103"/>
      <c r="G10" s="176">
        <f>'Danica Pensjonsforsikring'!B10+'Danica Pensjonsforsikring'!B29+'Danica Pensjonsforsikring'!B37+'Danica Pensjonsforsikring'!B87+'Danica Pensjonsforsikring'!B135</f>
        <v>1023334.365</v>
      </c>
      <c r="H10" s="176">
        <f>'Danica Pensjonsforsikring'!C10+'Danica Pensjonsforsikring'!C29+'Danica Pensjonsforsikring'!C37+'Danica Pensjonsforsikring'!C87+'Danica Pensjonsforsikring'!C135</f>
        <v>1144794.7290000001</v>
      </c>
      <c r="I10" s="104">
        <f t="shared" ref="I10:I31" si="7">IF(G10=0, "    ---- ", IF(ABS(ROUND(100/G10*H10-100,1))&lt;999,ROUND(100/G10*H10-100,1),IF(ROUND(100/G10*H10-100,1)&gt;999,999,-999)))</f>
        <v>11.9</v>
      </c>
      <c r="J10" s="405">
        <f t="shared" ref="J10:J30" si="8">100/H$31*H10</f>
        <v>0.11337951005444047</v>
      </c>
      <c r="K10" s="207" t="s">
        <v>153</v>
      </c>
      <c r="L10" s="222">
        <f t="shared" ca="1" si="1"/>
        <v>0</v>
      </c>
      <c r="M10" s="220">
        <f t="shared" ca="1" si="2"/>
        <v>0</v>
      </c>
      <c r="N10" s="222">
        <f t="shared" ca="1" si="3"/>
        <v>0</v>
      </c>
      <c r="O10" s="220">
        <f t="shared" ca="1" si="4"/>
        <v>0</v>
      </c>
      <c r="P10" s="87" t="s">
        <v>165</v>
      </c>
    </row>
    <row r="11" spans="1:17" ht="18.75" x14ac:dyDescent="0.3">
      <c r="A11" s="192" t="s">
        <v>88</v>
      </c>
      <c r="B11" s="176">
        <f>'DNB Livsforsikring'!B7+'DNB Livsforsikring'!B22+'DNB Livsforsikring'!B36+'DNB Livsforsikring'!B47+'DNB Livsforsikring'!B66+'DNB Livsforsikring'!B134</f>
        <v>4920017.8059999999</v>
      </c>
      <c r="C11" s="176">
        <f>'DNB Livsforsikring'!C7+'DNB Livsforsikring'!C22+'DNB Livsforsikring'!C36+'DNB Livsforsikring'!C47+'DNB Livsforsikring'!C66+'DNB Livsforsikring'!C134</f>
        <v>4564526.0001369994</v>
      </c>
      <c r="D11" s="104">
        <f t="shared" si="5"/>
        <v>-7.2</v>
      </c>
      <c r="E11" s="405">
        <f t="shared" si="6"/>
        <v>7.2708002069478086</v>
      </c>
      <c r="F11" s="103"/>
      <c r="G11" s="176">
        <f>'DNB Livsforsikring'!B10+'DNB Livsforsikring'!B29+'DNB Livsforsikring'!B37+'DNB Livsforsikring'!B87+'DNB Livsforsikring'!B135</f>
        <v>202997288</v>
      </c>
      <c r="H11" s="176">
        <f>'DNB Livsforsikring'!C10+'DNB Livsforsikring'!C29+'DNB Livsforsikring'!C37+'DNB Livsforsikring'!C87+'DNB Livsforsikring'!C135</f>
        <v>200300987.28</v>
      </c>
      <c r="I11" s="104">
        <f t="shared" si="7"/>
        <v>-1.3</v>
      </c>
      <c r="J11" s="405">
        <f t="shared" si="8"/>
        <v>19.837641828648838</v>
      </c>
      <c r="K11" s="87" t="s">
        <v>146</v>
      </c>
      <c r="L11" s="222">
        <f t="shared" ca="1" si="1"/>
        <v>0</v>
      </c>
      <c r="M11" s="220">
        <f t="shared" ca="1" si="2"/>
        <v>0</v>
      </c>
      <c r="N11" s="222">
        <f t="shared" ca="1" si="3"/>
        <v>0</v>
      </c>
      <c r="O11" s="220">
        <f t="shared" ca="1" si="4"/>
        <v>0</v>
      </c>
    </row>
    <row r="12" spans="1:17" ht="18.75" x14ac:dyDescent="0.3">
      <c r="A12" s="192" t="s">
        <v>89</v>
      </c>
      <c r="B12" s="176">
        <f>'Eika Forsikring AS'!B7+'Eika Forsikring AS'!B22+'Eika Forsikring AS'!B36+'Eika Forsikring AS'!B47+'Eika Forsikring AS'!B66+'Eika Forsikring AS'!B134</f>
        <v>267318</v>
      </c>
      <c r="C12" s="176">
        <f>'Eika Forsikring AS'!C7+'Eika Forsikring AS'!C22+'Eika Forsikring AS'!C36+'Eika Forsikring AS'!C47+'Eika Forsikring AS'!C66+'Eika Forsikring AS'!C134</f>
        <v>293648</v>
      </c>
      <c r="D12" s="104">
        <f t="shared" si="5"/>
        <v>9.8000000000000007</v>
      </c>
      <c r="E12" s="405">
        <f t="shared" si="6"/>
        <v>0.46774975958198695</v>
      </c>
      <c r="F12" s="103"/>
      <c r="G12" s="176">
        <f>'Eika Forsikring AS'!B10+'Eika Forsikring AS'!B29+'Eika Forsikring AS'!B37+'Eika Forsikring AS'!B87+'Eika Forsikring AS'!B135</f>
        <v>422298</v>
      </c>
      <c r="H12" s="176">
        <f>'Eika Forsikring AS'!C10+'Eika Forsikring AS'!C29+'Eika Forsikring AS'!C37+'Eika Forsikring AS'!C87+'Eika Forsikring AS'!C135</f>
        <v>459894</v>
      </c>
      <c r="I12" s="104">
        <f t="shared" si="7"/>
        <v>8.9</v>
      </c>
      <c r="J12" s="405">
        <f t="shared" si="8"/>
        <v>4.5547516140753336E-2</v>
      </c>
      <c r="K12" s="87" t="s">
        <v>154</v>
      </c>
      <c r="L12" s="222">
        <f t="shared" ca="1" si="1"/>
        <v>0</v>
      </c>
      <c r="M12" s="220">
        <f t="shared" ca="1" si="2"/>
        <v>0</v>
      </c>
      <c r="N12" s="222">
        <f t="shared" ca="1" si="3"/>
        <v>0</v>
      </c>
      <c r="O12" s="220">
        <f t="shared" ca="1" si="4"/>
        <v>0</v>
      </c>
    </row>
    <row r="13" spans="1:17" ht="18.75" x14ac:dyDescent="0.3">
      <c r="A13" s="192" t="s">
        <v>90</v>
      </c>
      <c r="B13" s="177">
        <f>'Frende Livsforsikring'!B7+'Frende Livsforsikring'!B22+'Frende Livsforsikring'!B36+'Frende Livsforsikring'!B47+'Frende Livsforsikring'!B66+'Frende Livsforsikring'!B134</f>
        <v>439365.6</v>
      </c>
      <c r="C13" s="177">
        <f>'Frende Livsforsikring'!C7+'Frende Livsforsikring'!C22+'Frende Livsforsikring'!C36+'Frende Livsforsikring'!C47+'Frende Livsforsikring'!C66+'Frende Livsforsikring'!C134</f>
        <v>461969</v>
      </c>
      <c r="D13" s="104">
        <f t="shared" si="5"/>
        <v>5.0999999999999996</v>
      </c>
      <c r="E13" s="405">
        <f t="shared" si="6"/>
        <v>0.73586705403861408</v>
      </c>
      <c r="F13" s="103"/>
      <c r="G13" s="176">
        <f>'Frende Livsforsikring'!B10+'Frende Livsforsikring'!B29+'Frende Livsforsikring'!B37+'Frende Livsforsikring'!B87+'Frende Livsforsikring'!B135</f>
        <v>676350.32000000007</v>
      </c>
      <c r="H13" s="176">
        <f>'Frende Livsforsikring'!C10+'Frende Livsforsikring'!C29+'Frende Livsforsikring'!C37+'Frende Livsforsikring'!C87+'Frende Livsforsikring'!C135</f>
        <v>771394</v>
      </c>
      <c r="I13" s="104">
        <f t="shared" si="7"/>
        <v>14.1</v>
      </c>
      <c r="J13" s="405">
        <f t="shared" si="8"/>
        <v>7.6398214949271528E-2</v>
      </c>
      <c r="K13" s="87" t="s">
        <v>147</v>
      </c>
      <c r="L13" s="222">
        <f t="shared" ca="1" si="1"/>
        <v>0</v>
      </c>
      <c r="M13" s="220">
        <f t="shared" ca="1" si="2"/>
        <v>0</v>
      </c>
      <c r="N13" s="222">
        <f t="shared" ca="1" si="3"/>
        <v>0</v>
      </c>
      <c r="O13" s="220">
        <f t="shared" ca="1" si="4"/>
        <v>0</v>
      </c>
    </row>
    <row r="14" spans="1:17" ht="18.75" x14ac:dyDescent="0.3">
      <c r="A14" s="192" t="s">
        <v>91</v>
      </c>
      <c r="B14" s="176">
        <f>'Frende Skadeforsikring'!B7+'Frende Skadeforsikring'!B22+'Frende Skadeforsikring'!B36+'Frende Skadeforsikring'!B47+'Frende Skadeforsikring'!B66+'Frende Skadeforsikring'!B134</f>
        <v>5631</v>
      </c>
      <c r="C14" s="176">
        <f>'Frende Skadeforsikring'!C7+'Frende Skadeforsikring'!C22+'Frende Skadeforsikring'!C36+'Frende Skadeforsikring'!C47+'Frende Skadeforsikring'!C66+'Frende Skadeforsikring'!C134</f>
        <v>7955</v>
      </c>
      <c r="D14" s="104">
        <f t="shared" si="5"/>
        <v>41.3</v>
      </c>
      <c r="E14" s="405">
        <f t="shared" si="6"/>
        <v>1.2671461537196596E-2</v>
      </c>
      <c r="F14" s="103"/>
      <c r="G14" s="176">
        <f>'Frende Skadeforsikring'!B10+'Frende Skadeforsikring'!B29+'Frende Skadeforsikring'!B37+'Frende Skadeforsikring'!B87+'Frende Skadeforsikring'!B135</f>
        <v>0</v>
      </c>
      <c r="H14" s="176">
        <f>'Frende Skadeforsikring'!C10+'Frende Skadeforsikring'!C29+'Frende Skadeforsikring'!C37+'Frende Skadeforsikring'!C87+'Frende Skadeforsikring'!C135</f>
        <v>0</v>
      </c>
      <c r="I14" s="104"/>
      <c r="J14" s="405">
        <f t="shared" si="8"/>
        <v>0</v>
      </c>
      <c r="K14" s="87" t="s">
        <v>155</v>
      </c>
      <c r="L14" s="222">
        <f t="shared" ca="1" si="1"/>
        <v>0</v>
      </c>
      <c r="M14" s="220">
        <f t="shared" ca="1" si="2"/>
        <v>0</v>
      </c>
      <c r="N14" s="222">
        <f t="shared" ca="1" si="3"/>
        <v>0</v>
      </c>
      <c r="O14" s="220">
        <f t="shared" ca="1" si="4"/>
        <v>0</v>
      </c>
    </row>
    <row r="15" spans="1:17" ht="18.75" x14ac:dyDescent="0.3">
      <c r="A15" s="192" t="s">
        <v>92</v>
      </c>
      <c r="B15" s="176">
        <f>'Gjensidige Forsikring'!B7+'Gjensidige Forsikring'!B22+'Gjensidige Forsikring'!B36+'Gjensidige Forsikring'!B47+'Gjensidige Forsikring'!B66+'Gjensidige Forsikring'!B134</f>
        <v>1528867</v>
      </c>
      <c r="C15" s="176">
        <f>'Gjensidige Forsikring'!C7+'Gjensidige Forsikring'!C22+'Gjensidige Forsikring'!C36+'Gjensidige Forsikring'!C47+'Gjensidige Forsikring'!C66+'Gjensidige Forsikring'!C134</f>
        <v>1560358</v>
      </c>
      <c r="D15" s="104">
        <f t="shared" si="5"/>
        <v>2.1</v>
      </c>
      <c r="E15" s="405">
        <f t="shared" si="6"/>
        <v>2.4854828889072289</v>
      </c>
      <c r="F15" s="103"/>
      <c r="G15" s="176">
        <f>'Gjensidige Forsikring'!B10+'Gjensidige Forsikring'!B29+'Gjensidige Forsikring'!B37+'Gjensidige Forsikring'!B87+'Gjensidige Forsikring'!B135</f>
        <v>1200643</v>
      </c>
      <c r="H15" s="176">
        <f>'Gjensidige Forsikring'!C10+'Gjensidige Forsikring'!C29+'Gjensidige Forsikring'!C37+'Gjensidige Forsikring'!C87+'Gjensidige Forsikring'!C135</f>
        <v>1236175</v>
      </c>
      <c r="I15" s="104">
        <f t="shared" si="7"/>
        <v>3</v>
      </c>
      <c r="J15" s="405">
        <f t="shared" si="8"/>
        <v>0.12242973547229526</v>
      </c>
      <c r="K15" s="87" t="s">
        <v>148</v>
      </c>
      <c r="L15" s="222">
        <f t="shared" ca="1" si="1"/>
        <v>0</v>
      </c>
      <c r="M15" s="220">
        <f t="shared" ca="1" si="2"/>
        <v>0</v>
      </c>
      <c r="N15" s="222">
        <f t="shared" ca="1" si="3"/>
        <v>0</v>
      </c>
      <c r="O15" s="220">
        <f t="shared" ca="1" si="4"/>
        <v>0</v>
      </c>
    </row>
    <row r="16" spans="1:17" ht="18.75" x14ac:dyDescent="0.3">
      <c r="A16" s="192" t="s">
        <v>93</v>
      </c>
      <c r="B16" s="176">
        <f>'Gjensidige Pensjon'!B7+'Gjensidige Pensjon'!B22+'Gjensidige Pensjon'!B36+'Gjensidige Pensjon'!B47+'Gjensidige Pensjon'!B66+'Gjensidige Pensjon'!B134</f>
        <v>523633</v>
      </c>
      <c r="C16" s="176">
        <f>'Gjensidige Pensjon'!C7+'Gjensidige Pensjon'!C22+'Gjensidige Pensjon'!C36+'Gjensidige Pensjon'!C47+'Gjensidige Pensjon'!C66+'Gjensidige Pensjon'!C134</f>
        <v>591422</v>
      </c>
      <c r="D16" s="104">
        <f t="shared" si="5"/>
        <v>12.9</v>
      </c>
      <c r="E16" s="405">
        <f t="shared" si="6"/>
        <v>0.94207179450055134</v>
      </c>
      <c r="F16" s="103"/>
      <c r="G16" s="176">
        <f>'Gjensidige Pensjon'!B10+'Gjensidige Pensjon'!B29+'Gjensidige Pensjon'!B37+'Gjensidige Pensjon'!B87+'Gjensidige Pensjon'!B135</f>
        <v>6018363</v>
      </c>
      <c r="H16" s="176">
        <f>'Gjensidige Pensjon'!C10+'Gjensidige Pensjon'!C29+'Gjensidige Pensjon'!C37+'Gjensidige Pensjon'!C87+'Gjensidige Pensjon'!C135</f>
        <v>6586379</v>
      </c>
      <c r="I16" s="104">
        <f t="shared" si="7"/>
        <v>9.4</v>
      </c>
      <c r="J16" s="405">
        <f t="shared" si="8"/>
        <v>0.65230945350802316</v>
      </c>
      <c r="K16" s="87" t="s">
        <v>156</v>
      </c>
      <c r="L16" s="222">
        <f t="shared" ca="1" si="1"/>
        <v>0</v>
      </c>
      <c r="M16" s="220">
        <f t="shared" ca="1" si="2"/>
        <v>0</v>
      </c>
      <c r="N16" s="222">
        <f t="shared" ca="1" si="3"/>
        <v>0</v>
      </c>
      <c r="O16" s="220">
        <f t="shared" ca="1" si="4"/>
        <v>0</v>
      </c>
    </row>
    <row r="17" spans="1:21" ht="18.75" x14ac:dyDescent="0.3">
      <c r="A17" s="192" t="s">
        <v>94</v>
      </c>
      <c r="B17" s="176">
        <f>'Handelsbanken Liv'!B7+'Handelsbanken Liv'!B22+'Handelsbanken Liv'!B36+'Handelsbanken Liv'!B47+'Handelsbanken Liv'!B66+'Handelsbanken Liv'!B134</f>
        <v>37362</v>
      </c>
      <c r="C17" s="176">
        <f>'Handelsbanken Liv'!C7+'Handelsbanken Liv'!C22+'Handelsbanken Liv'!C36+'Handelsbanken Liv'!C47+'Handelsbanken Liv'!C66+'Handelsbanken Liv'!C134</f>
        <v>35563</v>
      </c>
      <c r="D17" s="104">
        <f t="shared" si="5"/>
        <v>-4.8</v>
      </c>
      <c r="E17" s="405">
        <f t="shared" si="6"/>
        <v>5.6648043576030496E-2</v>
      </c>
      <c r="F17" s="103"/>
      <c r="G17" s="176">
        <f>'Handelsbanken Liv'!B10+'Handelsbanken Liv'!B29+'Handelsbanken Liv'!B37+'Handelsbanken Liv'!B87+'Handelsbanken Liv'!B135</f>
        <v>26374</v>
      </c>
      <c r="H17" s="176">
        <f>'Handelsbanken Liv'!C10+'Handelsbanken Liv'!C29+'Handelsbanken Liv'!C37+'Handelsbanken Liv'!C87+'Handelsbanken Liv'!C135</f>
        <v>23055</v>
      </c>
      <c r="I17" s="104">
        <f t="shared" si="7"/>
        <v>-12.6</v>
      </c>
      <c r="J17" s="405">
        <f t="shared" si="8"/>
        <v>2.2833478684763622E-3</v>
      </c>
      <c r="K17" s="139"/>
      <c r="L17" s="222">
        <f t="shared" ca="1" si="1"/>
        <v>0</v>
      </c>
      <c r="M17" s="220">
        <f t="shared" ca="1" si="2"/>
        <v>0</v>
      </c>
      <c r="N17" s="222">
        <f t="shared" ca="1" si="3"/>
        <v>0</v>
      </c>
      <c r="O17" s="220">
        <f t="shared" ca="1" si="4"/>
        <v>0</v>
      </c>
    </row>
    <row r="18" spans="1:21" ht="18.75" x14ac:dyDescent="0.3">
      <c r="A18" s="192" t="s">
        <v>95</v>
      </c>
      <c r="B18" s="176">
        <f>'If Skadeforsikring NUF'!B7+'If Skadeforsikring NUF'!B22+'If Skadeforsikring NUF'!B36+'If Skadeforsikring NUF'!B47+'If Skadeforsikring NUF'!B66+'If Skadeforsikring NUF'!B134</f>
        <v>436905</v>
      </c>
      <c r="C18" s="176">
        <f>'If Skadeforsikring NUF'!C7+'If Skadeforsikring NUF'!C22+'If Skadeforsikring NUF'!C36+'If Skadeforsikring NUF'!C47+'If Skadeforsikring NUF'!C66+'If Skadeforsikring NUF'!C134</f>
        <v>447566</v>
      </c>
      <c r="D18" s="104">
        <f t="shared" si="5"/>
        <v>2.4</v>
      </c>
      <c r="E18" s="405">
        <f t="shared" si="6"/>
        <v>0.7129246202837124</v>
      </c>
      <c r="F18" s="103"/>
      <c r="G18" s="176">
        <f>'If Skadeforsikring NUF'!B10+'If Skadeforsikring NUF'!B29+'If Skadeforsikring NUF'!B37+'If Skadeforsikring NUF'!B87+'If Skadeforsikring NUF'!B135</f>
        <v>416284</v>
      </c>
      <c r="H18" s="176">
        <f>'If Skadeforsikring NUF'!C10+'If Skadeforsikring NUF'!C29+'If Skadeforsikring NUF'!C37+'If Skadeforsikring NUF'!C87+'If Skadeforsikring NUF'!C135</f>
        <v>453992</v>
      </c>
      <c r="I18" s="104">
        <f t="shared" si="7"/>
        <v>9.1</v>
      </c>
      <c r="J18" s="405">
        <f t="shared" si="8"/>
        <v>4.496298700955631E-2</v>
      </c>
      <c r="K18" s="139"/>
      <c r="L18" s="222">
        <f t="shared" ca="1" si="1"/>
        <v>0</v>
      </c>
      <c r="M18" s="220">
        <f t="shared" ca="1" si="2"/>
        <v>0</v>
      </c>
      <c r="N18" s="222">
        <f t="shared" ca="1" si="3"/>
        <v>0</v>
      </c>
      <c r="O18" s="220">
        <f t="shared" ca="1" si="4"/>
        <v>0</v>
      </c>
    </row>
    <row r="19" spans="1:21" ht="18.75" x14ac:dyDescent="0.3">
      <c r="A19" s="192" t="s">
        <v>64</v>
      </c>
      <c r="B19" s="176">
        <f>KLP!B7+KLP!B22+KLP!B36+KLP!B47+KLP!B66+KLP!B134</f>
        <v>31992253.779960003</v>
      </c>
      <c r="C19" s="176">
        <f>KLP!C7+KLP!C22+KLP!C36+KLP!C47+KLP!C66+KLP!C134</f>
        <v>38575507.412819996</v>
      </c>
      <c r="D19" s="104">
        <f t="shared" si="5"/>
        <v>20.6</v>
      </c>
      <c r="E19" s="405">
        <f t="shared" si="6"/>
        <v>61.446644683770053</v>
      </c>
      <c r="F19" s="103"/>
      <c r="G19" s="176">
        <f>KLP!B10+KLP!B29+KLP!B37+KLP!B87+KLP!B135</f>
        <v>444493649.38739997</v>
      </c>
      <c r="H19" s="176">
        <f>KLP!C10+KLP!C29+KLP!C37+KLP!C87+KLP!C135</f>
        <v>471726467.24905998</v>
      </c>
      <c r="I19" s="104">
        <f t="shared" si="7"/>
        <v>6.1</v>
      </c>
      <c r="J19" s="405">
        <f t="shared" si="8"/>
        <v>46.719393775624617</v>
      </c>
      <c r="K19" s="139"/>
      <c r="L19" s="222">
        <f t="shared" ca="1" si="1"/>
        <v>0</v>
      </c>
      <c r="M19" s="220">
        <f t="shared" ca="1" si="2"/>
        <v>0</v>
      </c>
      <c r="N19" s="222">
        <f t="shared" ca="1" si="3"/>
        <v>0</v>
      </c>
      <c r="O19" s="220">
        <f t="shared" ca="1" si="4"/>
        <v>0</v>
      </c>
    </row>
    <row r="20" spans="1:21" ht="18.75" x14ac:dyDescent="0.3">
      <c r="A20" s="108" t="s">
        <v>96</v>
      </c>
      <c r="B20" s="176">
        <f>'KLP Bedriftspensjon AS'!B7+'KLP Bedriftspensjon AS'!B22+'KLP Bedriftspensjon AS'!B36+'KLP Bedriftspensjon AS'!B47+'KLP Bedriftspensjon AS'!B66+'KLP Bedriftspensjon AS'!B134</f>
        <v>97233</v>
      </c>
      <c r="C20" s="176">
        <f>'KLP Bedriftspensjon AS'!C7+'KLP Bedriftspensjon AS'!C22+'KLP Bedriftspensjon AS'!C36+'KLP Bedriftspensjon AS'!C47+'KLP Bedriftspensjon AS'!C66+'KLP Bedriftspensjon AS'!C134</f>
        <v>89195</v>
      </c>
      <c r="D20" s="104">
        <f t="shared" si="5"/>
        <v>-8.3000000000000007</v>
      </c>
      <c r="E20" s="405">
        <f t="shared" si="6"/>
        <v>0.14207806559525463</v>
      </c>
      <c r="F20" s="103"/>
      <c r="G20" s="176">
        <f>'KLP Bedriftspensjon AS'!B10+'KLP Bedriftspensjon AS'!B29+'KLP Bedriftspensjon AS'!B37+'KLP Bedriftspensjon AS'!B87+'KLP Bedriftspensjon AS'!B135</f>
        <v>1613262</v>
      </c>
      <c r="H20" s="176">
        <f>'KLP Bedriftspensjon AS'!C10+'KLP Bedriftspensjon AS'!C29+'KLP Bedriftspensjon AS'!C37+'KLP Bedriftspensjon AS'!C87+'KLP Bedriftspensjon AS'!C135</f>
        <v>1675894</v>
      </c>
      <c r="I20" s="104">
        <f t="shared" si="7"/>
        <v>3.9</v>
      </c>
      <c r="J20" s="405">
        <f t="shared" si="8"/>
        <v>0.16597913652970395</v>
      </c>
      <c r="K20" s="139"/>
      <c r="L20" s="222">
        <f t="shared" ca="1" si="1"/>
        <v>0</v>
      </c>
      <c r="M20" s="220">
        <f t="shared" ca="1" si="2"/>
        <v>0</v>
      </c>
      <c r="N20" s="222">
        <f t="shared" ca="1" si="3"/>
        <v>0</v>
      </c>
      <c r="O20" s="220">
        <f t="shared" ca="1" si="4"/>
        <v>0</v>
      </c>
    </row>
    <row r="21" spans="1:21" ht="18.75" x14ac:dyDescent="0.3">
      <c r="A21" s="108" t="s">
        <v>97</v>
      </c>
      <c r="B21" s="176">
        <f>'KLP Skadeforsikring AS'!B7+'KLP Skadeforsikring AS'!B22+'KLP Skadeforsikring AS'!B36+'KLP Skadeforsikring AS'!B47+'KLP Skadeforsikring AS'!B66+'KLP Skadeforsikring AS'!B134</f>
        <v>142740</v>
      </c>
      <c r="C21" s="176">
        <f>'KLP Skadeforsikring AS'!C7+'KLP Skadeforsikring AS'!C22+'KLP Skadeforsikring AS'!C36+'KLP Skadeforsikring AS'!C47+'KLP Skadeforsikring AS'!C66+'KLP Skadeforsikring AS'!C134</f>
        <v>134230.552</v>
      </c>
      <c r="D21" s="104">
        <f t="shared" si="5"/>
        <v>-6</v>
      </c>
      <c r="E21" s="405">
        <f t="shared" si="6"/>
        <v>0.21381486823188783</v>
      </c>
      <c r="F21" s="103"/>
      <c r="G21" s="176">
        <f>'KLP Skadeforsikring AS'!B10+'KLP Skadeforsikring AS'!B29+'KLP Skadeforsikring AS'!B37+'KLP Skadeforsikring AS'!B87+'KLP Skadeforsikring AS'!B135</f>
        <v>9767</v>
      </c>
      <c r="H21" s="176">
        <f>'KLP Skadeforsikring AS'!C10+'KLP Skadeforsikring AS'!C29+'KLP Skadeforsikring AS'!C37+'KLP Skadeforsikring AS'!C87+'KLP Skadeforsikring AS'!C135</f>
        <v>22247</v>
      </c>
      <c r="I21" s="104">
        <f t="shared" si="7"/>
        <v>127.8</v>
      </c>
      <c r="J21" s="405">
        <f t="shared" si="8"/>
        <v>2.2033242259810728E-3</v>
      </c>
      <c r="K21" s="139"/>
      <c r="L21" s="222">
        <f t="shared" ca="1" si="1"/>
        <v>0</v>
      </c>
      <c r="M21" s="220">
        <f t="shared" ca="1" si="2"/>
        <v>0</v>
      </c>
      <c r="N21" s="222">
        <f t="shared" ca="1" si="3"/>
        <v>0</v>
      </c>
      <c r="O21" s="220">
        <f t="shared" ca="1" si="4"/>
        <v>0</v>
      </c>
    </row>
    <row r="22" spans="1:21" ht="18.75" x14ac:dyDescent="0.3">
      <c r="A22" s="108" t="s">
        <v>502</v>
      </c>
      <c r="B22" s="176">
        <f>'Landkreditt Forsikring'!B7+'Landkreditt Forsikring'!B22+'Landkreditt Forsikring'!B36+'Landkreditt Forsikring'!B47+'Landkreditt Forsikring'!B66+'Landkreditt Forsikring'!B134</f>
        <v>79056</v>
      </c>
      <c r="C22" s="176">
        <f>'Landkreditt Forsikring'!C7+'Landkreditt Forsikring'!C22+'Landkreditt Forsikring'!C36+'Landkreditt Forsikring'!C47+'Landkreditt Forsikring'!C66+'Landkreditt Forsikring'!C134</f>
        <v>75514</v>
      </c>
      <c r="D22" s="104">
        <f t="shared" si="5"/>
        <v>-4.5</v>
      </c>
      <c r="E22" s="405">
        <f t="shared" si="6"/>
        <v>0.12028570037961833</v>
      </c>
      <c r="F22" s="103"/>
      <c r="G22" s="176">
        <f>'Landkreditt Forsikring'!B10+'Landkreditt Forsikring'!B29+'Landkreditt Forsikring'!B37+'Landkreditt Forsikring'!B87+'Landkreditt Forsikring'!B135</f>
        <v>0</v>
      </c>
      <c r="H22" s="176">
        <f>'Landkreditt Forsikring'!C10+'Landkreditt Forsikring'!C29+'Landkreditt Forsikring'!C37+'Landkreditt Forsikring'!C87+'Landkreditt Forsikring'!C135</f>
        <v>0</v>
      </c>
      <c r="I22" s="104"/>
      <c r="J22" s="405">
        <f t="shared" si="8"/>
        <v>0</v>
      </c>
      <c r="K22" s="139"/>
      <c r="L22" s="222">
        <f t="shared" ca="1" si="1"/>
        <v>0</v>
      </c>
      <c r="M22" s="220">
        <f t="shared" ca="1" si="2"/>
        <v>0</v>
      </c>
      <c r="N22" s="222">
        <f t="shared" ca="1" si="3"/>
        <v>0</v>
      </c>
      <c r="O22" s="220">
        <f t="shared" ca="1" si="4"/>
        <v>0</v>
      </c>
    </row>
    <row r="23" spans="1:21" ht="18.75" x14ac:dyDescent="0.3">
      <c r="A23" s="192" t="s">
        <v>98</v>
      </c>
      <c r="B23" s="176">
        <f>'NEMI Forsikring'!B7+'NEMI Forsikring'!B22+'NEMI Forsikring'!B36+'NEMI Forsikring'!B47+'NEMI Forsikring'!B66+'NEMI Forsikring'!B134</f>
        <v>1147</v>
      </c>
      <c r="C23" s="176">
        <f>'NEMI Forsikring'!C7+'NEMI Forsikring'!C22+'NEMI Forsikring'!C36+'NEMI Forsikring'!C47+'NEMI Forsikring'!C66+'NEMI Forsikring'!C134</f>
        <v>1788</v>
      </c>
      <c r="D23" s="104">
        <f t="shared" si="5"/>
        <v>55.9</v>
      </c>
      <c r="E23" s="405">
        <f t="shared" si="6"/>
        <v>2.8480921720311146E-3</v>
      </c>
      <c r="F23" s="103"/>
      <c r="G23" s="176">
        <f>'NEMI Forsikring'!B10+'NEMI Forsikring'!B29+'NEMI Forsikring'!B37+'NEMI Forsikring'!B87+'NEMI Forsikring'!B135</f>
        <v>0</v>
      </c>
      <c r="H23" s="176">
        <f>'NEMI Forsikring'!C10+'NEMI Forsikring'!C29+'NEMI Forsikring'!C37+'NEMI Forsikring'!C87+'NEMI Forsikring'!C135</f>
        <v>0</v>
      </c>
      <c r="I23" s="104"/>
      <c r="J23" s="405">
        <f t="shared" si="8"/>
        <v>0</v>
      </c>
      <c r="K23" s="139"/>
      <c r="L23" s="222">
        <f t="shared" ca="1" si="1"/>
        <v>0</v>
      </c>
      <c r="M23" s="220">
        <f t="shared" ca="1" si="2"/>
        <v>0</v>
      </c>
      <c r="N23" s="222">
        <f t="shared" ca="1" si="3"/>
        <v>0</v>
      </c>
      <c r="O23" s="220">
        <f t="shared" ca="1" si="4"/>
        <v>0</v>
      </c>
    </row>
    <row r="24" spans="1:21" ht="18.75" x14ac:dyDescent="0.3">
      <c r="A24" s="108" t="s">
        <v>99</v>
      </c>
      <c r="B24" s="176">
        <f>'Nordea Liv '!B7+'Nordea Liv '!B22+'Nordea Liv '!B36+'Nordea Liv '!B47+'Nordea Liv '!B66+'Nordea Liv '!B134</f>
        <v>1689290.3465455561</v>
      </c>
      <c r="C24" s="176">
        <f>'Nordea Liv '!C7+'Nordea Liv '!C22+'Nordea Liv '!C36+'Nordea Liv '!C47+'Nordea Liv '!C66+'Nordea Liv '!C134</f>
        <v>1546969.242586259</v>
      </c>
      <c r="D24" s="104">
        <f t="shared" si="5"/>
        <v>-8.4</v>
      </c>
      <c r="E24" s="405">
        <f t="shared" si="6"/>
        <v>2.4641560347778673</v>
      </c>
      <c r="F24" s="103"/>
      <c r="G24" s="177">
        <f>'Nordea Liv '!B10+'Nordea Liv '!B29+'Nordea Liv '!B37+'Nordea Liv '!B87+'Nordea Liv '!B135</f>
        <v>49563121.552480593</v>
      </c>
      <c r="H24" s="177">
        <f>'Nordea Liv '!C10+'Nordea Liv '!C29+'Nordea Liv '!C37+'Nordea Liv '!C87+'Nordea Liv '!C135</f>
        <v>50050246.091799468</v>
      </c>
      <c r="I24" s="104">
        <f t="shared" si="7"/>
        <v>1</v>
      </c>
      <c r="J24" s="405">
        <f t="shared" si="8"/>
        <v>4.9569344060042377</v>
      </c>
      <c r="K24" s="139"/>
      <c r="L24" s="222">
        <f t="shared" ca="1" si="1"/>
        <v>0</v>
      </c>
      <c r="M24" s="220">
        <f t="shared" ca="1" si="2"/>
        <v>0</v>
      </c>
      <c r="N24" s="222">
        <f t="shared" ca="1" si="3"/>
        <v>0</v>
      </c>
      <c r="O24" s="220">
        <f t="shared" ca="1" si="4"/>
        <v>0</v>
      </c>
    </row>
    <row r="25" spans="1:21" ht="18.75" x14ac:dyDescent="0.3">
      <c r="A25" s="108" t="s">
        <v>100</v>
      </c>
      <c r="B25" s="176">
        <f>'Oslo Pensjonsforsikring'!B7+'Oslo Pensjonsforsikring'!B22+'Oslo Pensjonsforsikring'!B36+'Oslo Pensjonsforsikring'!B47+'Oslo Pensjonsforsikring'!B66+'Oslo Pensjonsforsikring'!B134</f>
        <v>4149293</v>
      </c>
      <c r="C25" s="176">
        <f>'Oslo Pensjonsforsikring'!C7+'Oslo Pensjonsforsikring'!C22+'Oslo Pensjonsforsikring'!C36+'Oslo Pensjonsforsikring'!C47+'Oslo Pensjonsforsikring'!C66+'Oslo Pensjonsforsikring'!C134</f>
        <v>4832000</v>
      </c>
      <c r="D25" s="104">
        <f t="shared" si="5"/>
        <v>16.5</v>
      </c>
      <c r="E25" s="405">
        <f t="shared" si="6"/>
        <v>7.6968575924241298</v>
      </c>
      <c r="F25" s="103"/>
      <c r="G25" s="176">
        <f>'Oslo Pensjonsforsikring'!B10+'Oslo Pensjonsforsikring'!B29+'Oslo Pensjonsforsikring'!B37+'Oslo Pensjonsforsikring'!B87+'Oslo Pensjonsforsikring'!B135</f>
        <v>70125745</v>
      </c>
      <c r="H25" s="176">
        <f>'Oslo Pensjonsforsikring'!C10+'Oslo Pensjonsforsikring'!C29+'Oslo Pensjonsforsikring'!C37+'Oslo Pensjonsforsikring'!C87+'Oslo Pensjonsforsikring'!C135</f>
        <v>74694000</v>
      </c>
      <c r="I25" s="104">
        <f t="shared" si="7"/>
        <v>6.5</v>
      </c>
      <c r="J25" s="405">
        <f t="shared" si="8"/>
        <v>7.3976311293850969</v>
      </c>
      <c r="K25" s="139"/>
      <c r="L25" s="222">
        <f t="shared" ca="1" si="1"/>
        <v>0</v>
      </c>
      <c r="M25" s="220">
        <f t="shared" ca="1" si="2"/>
        <v>0</v>
      </c>
      <c r="N25" s="222">
        <f t="shared" ca="1" si="3"/>
        <v>0</v>
      </c>
      <c r="O25" s="220">
        <f t="shared" ca="1" si="4"/>
        <v>0</v>
      </c>
    </row>
    <row r="26" spans="1:21" ht="18.75" x14ac:dyDescent="0.3">
      <c r="A26" s="108" t="s">
        <v>455</v>
      </c>
      <c r="B26" s="176">
        <f>'Protector Forsikring'!B7+'Protector Forsikring'!B22+'Protector Forsikring'!B36+'Protector Forsikring'!B47+'Protector Forsikring'!B66+'Protector Forsikring'!B134</f>
        <v>0</v>
      </c>
      <c r="C26" s="176">
        <f>'Protector Forsikring'!C7+'Protector Forsikring'!C22+'Protector Forsikring'!C36+'Protector Forsikring'!C47+'Protector Forsikring'!C66+'Protector Forsikring'!C134</f>
        <v>322909.72977305338</v>
      </c>
      <c r="D26" s="104" t="str">
        <f t="shared" si="5"/>
        <v xml:space="preserve">    ---- </v>
      </c>
      <c r="E26" s="405">
        <f t="shared" si="6"/>
        <v>0.51436055572668671</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0</v>
      </c>
      <c r="I26" s="104"/>
      <c r="J26" s="405">
        <f t="shared" si="8"/>
        <v>0</v>
      </c>
      <c r="K26" s="139"/>
      <c r="L26" s="222">
        <f t="shared" ca="1" si="1"/>
        <v>0</v>
      </c>
      <c r="M26" s="220">
        <f t="shared" ca="1" si="2"/>
        <v>0</v>
      </c>
      <c r="N26" s="222">
        <f t="shared" ca="1" si="3"/>
        <v>0</v>
      </c>
      <c r="O26" s="220">
        <f t="shared" ca="1" si="4"/>
        <v>0</v>
      </c>
    </row>
    <row r="27" spans="1:21" ht="18.75" x14ac:dyDescent="0.3">
      <c r="A27" s="192" t="s">
        <v>70</v>
      </c>
      <c r="B27" s="176">
        <f>'Sparebank 1'!B7+'Sparebank 1'!B22+'Sparebank 1'!B36+'Sparebank 1'!B47+'Sparebank 1'!B66+'Sparebank 1'!B134</f>
        <v>2772100.5251799999</v>
      </c>
      <c r="C27" s="176">
        <f>'Sparebank 1'!C7+'Sparebank 1'!C22+'Sparebank 1'!C36+'Sparebank 1'!C47+'Sparebank 1'!C66+'Sparebank 1'!C134</f>
        <v>2769109.2606799998</v>
      </c>
      <c r="D27" s="104">
        <f t="shared" si="5"/>
        <v>-0.1</v>
      </c>
      <c r="E27" s="405">
        <f t="shared" si="6"/>
        <v>4.4108939646764957</v>
      </c>
      <c r="F27" s="103"/>
      <c r="G27" s="176">
        <f>'Sparebank 1'!B10+'Sparebank 1'!B29+'Sparebank 1'!B37+'Sparebank 1'!B87+'Sparebank 1'!B135</f>
        <v>18676728.652520001</v>
      </c>
      <c r="H27" s="176">
        <f>'Sparebank 1'!C10+'Sparebank 1'!C29+'Sparebank 1'!C37+'Sparebank 1'!C87+'Sparebank 1'!C135</f>
        <v>19767915.11112</v>
      </c>
      <c r="I27" s="104">
        <f t="shared" si="7"/>
        <v>5.8</v>
      </c>
      <c r="J27" s="405">
        <f t="shared" si="8"/>
        <v>1.9577977372889839</v>
      </c>
      <c r="K27" s="139"/>
      <c r="L27" s="222">
        <f t="shared" ca="1" si="1"/>
        <v>0</v>
      </c>
      <c r="M27" s="220">
        <f t="shared" ca="1" si="2"/>
        <v>0</v>
      </c>
      <c r="N27" s="222">
        <f t="shared" ca="1" si="3"/>
        <v>0</v>
      </c>
      <c r="O27" s="220">
        <f t="shared" ca="1" si="4"/>
        <v>0</v>
      </c>
    </row>
    <row r="28" spans="1:21" ht="18.75" x14ac:dyDescent="0.3">
      <c r="A28" s="192" t="s">
        <v>101</v>
      </c>
      <c r="B28" s="176">
        <f>'Storebrand Livsforsikring'!B7+'Storebrand Livsforsikring'!B22+'Storebrand Livsforsikring'!B36+'Storebrand Livsforsikring'!B47+'Storebrand Livsforsikring'!B66+'Storebrand Livsforsikring'!B134</f>
        <v>5689454.449</v>
      </c>
      <c r="C28" s="176">
        <f>'Storebrand Livsforsikring'!C7+'Storebrand Livsforsikring'!C22+'Storebrand Livsforsikring'!C36+'Storebrand Livsforsikring'!C47+'Storebrand Livsforsikring'!C66+'Storebrand Livsforsikring'!C134</f>
        <v>5505079.2280000001</v>
      </c>
      <c r="D28" s="104">
        <f t="shared" si="5"/>
        <v>-3.2</v>
      </c>
      <c r="E28" s="405">
        <f t="shared" si="6"/>
        <v>8.769000590423877</v>
      </c>
      <c r="F28" s="103"/>
      <c r="G28" s="176">
        <f>'Storebrand Livsforsikring'!B10+'Storebrand Livsforsikring'!B29+'Storebrand Livsforsikring'!B37+'Storebrand Livsforsikring'!B87+'Storebrand Livsforsikring'!B135</f>
        <v>178778748.09999999</v>
      </c>
      <c r="H28" s="176">
        <f>'Storebrand Livsforsikring'!C10+'Storebrand Livsforsikring'!C29+'Storebrand Livsforsikring'!C37+'Storebrand Livsforsikring'!C87+'Storebrand Livsforsikring'!C135</f>
        <v>180788161.222</v>
      </c>
      <c r="I28" s="104">
        <f t="shared" si="7"/>
        <v>1.1000000000000001</v>
      </c>
      <c r="J28" s="405">
        <f t="shared" si="8"/>
        <v>17.905107897289724</v>
      </c>
      <c r="K28" s="139"/>
      <c r="L28" s="222">
        <f t="shared" ca="1" si="1"/>
        <v>0</v>
      </c>
      <c r="M28" s="220">
        <f t="shared" ca="1" si="2"/>
        <v>0</v>
      </c>
      <c r="N28" s="222">
        <f t="shared" ca="1" si="3"/>
        <v>0</v>
      </c>
      <c r="O28" s="220">
        <f t="shared" ca="1" si="4"/>
        <v>0</v>
      </c>
    </row>
    <row r="29" spans="1:21" ht="18.75" x14ac:dyDescent="0.3">
      <c r="A29" s="192" t="s">
        <v>102</v>
      </c>
      <c r="B29" s="176">
        <f>'Telenor Forsikring'!B7+'Telenor Forsikring'!B22+'Telenor Forsikring'!B36+'Telenor Forsikring'!B47+'Telenor Forsikring'!B66+'Telenor Forsikring'!B134</f>
        <v>31971</v>
      </c>
      <c r="C29" s="176">
        <f>'Telenor Forsikring'!C7+'Telenor Forsikring'!C22+'Telenor Forsikring'!C36+'Telenor Forsikring'!C47+'Telenor Forsikring'!C66+'Telenor Forsikring'!C134</f>
        <v>22616</v>
      </c>
      <c r="D29" s="104">
        <f t="shared" si="5"/>
        <v>-29.3</v>
      </c>
      <c r="E29" s="405">
        <f t="shared" si="6"/>
        <v>3.6024861612223534E-2</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4"/>
      <c r="J29" s="405">
        <f t="shared" si="8"/>
        <v>0</v>
      </c>
      <c r="K29" s="206"/>
      <c r="L29" s="222">
        <f t="shared" ca="1" si="1"/>
        <v>0</v>
      </c>
      <c r="M29" s="220">
        <f t="shared" ca="1" si="2"/>
        <v>0</v>
      </c>
      <c r="N29" s="222">
        <f t="shared" ca="1" si="3"/>
        <v>0</v>
      </c>
      <c r="O29" s="220">
        <f t="shared" ca="1" si="4"/>
        <v>0</v>
      </c>
    </row>
    <row r="30" spans="1:21" ht="18.75" x14ac:dyDescent="0.3">
      <c r="A30" s="192" t="s">
        <v>103</v>
      </c>
      <c r="B30" s="176">
        <f>'Tryg Forsikring'!B7+'Tryg Forsikring'!B22+'Tryg Forsikring'!B36+'Tryg Forsikring'!B47+'Tryg Forsikring'!B66+'Tryg Forsikring'!B134</f>
        <v>512595.94180000003</v>
      </c>
      <c r="C30" s="176">
        <f>'Tryg Forsikring'!C7+'Tryg Forsikring'!C22+'Tryg Forsikring'!C36+'Tryg Forsikring'!C47+'Tryg Forsikring'!C66+'Tryg Forsikring'!C134</f>
        <v>525057.89627999999</v>
      </c>
      <c r="D30" s="104">
        <f t="shared" si="5"/>
        <v>2.4</v>
      </c>
      <c r="E30" s="405">
        <f t="shared" si="6"/>
        <v>0.83636089723612572</v>
      </c>
      <c r="F30" s="103"/>
      <c r="G30" s="176">
        <f>'Tryg Forsikring'!B10+'Tryg Forsikring'!B29+'Tryg Forsikring'!B37+'Tryg Forsikring'!B87+'Tryg Forsikring'!B135</f>
        <v>0</v>
      </c>
      <c r="H30" s="176">
        <f>'Tryg Forsikring'!C10+'Tryg Forsikring'!C29+'Tryg Forsikring'!C37+'Tryg Forsikring'!C87+'Tryg Forsikring'!C135</f>
        <v>0</v>
      </c>
      <c r="I30" s="104"/>
      <c r="J30" s="405">
        <f t="shared" si="8"/>
        <v>0</v>
      </c>
      <c r="K30" s="206"/>
      <c r="L30" s="222">
        <f t="shared" ca="1" si="1"/>
        <v>0</v>
      </c>
      <c r="M30" s="220">
        <f t="shared" ca="1" si="2"/>
        <v>0</v>
      </c>
      <c r="N30" s="222">
        <f t="shared" ca="1" si="3"/>
        <v>0</v>
      </c>
      <c r="O30" s="220">
        <f t="shared" ca="1" si="4"/>
        <v>0</v>
      </c>
    </row>
    <row r="31" spans="1:21" s="111" customFormat="1" ht="18.75" x14ac:dyDescent="0.3">
      <c r="A31" s="137" t="s">
        <v>104</v>
      </c>
      <c r="B31" s="178">
        <f>SUM(B9:B30)</f>
        <v>55714008.180485554</v>
      </c>
      <c r="C31" s="241">
        <f>SUM(C9:C30)</f>
        <v>62778867.115276307</v>
      </c>
      <c r="D31" s="104">
        <f t="shared" si="5"/>
        <v>12.7</v>
      </c>
      <c r="E31" s="406">
        <f>SUM(E9:E30)</f>
        <v>99.999999999999986</v>
      </c>
      <c r="F31" s="109"/>
      <c r="G31" s="178">
        <f>SUM(G9:G30)</f>
        <v>976041956.37740052</v>
      </c>
      <c r="H31" s="178">
        <f>SUM(H9:H30)</f>
        <v>1009701601.6829795</v>
      </c>
      <c r="I31" s="104">
        <f t="shared" si="7"/>
        <v>3.4</v>
      </c>
      <c r="J31" s="406">
        <f>SUM(J9:J30)</f>
        <v>100</v>
      </c>
      <c r="K31" s="208"/>
      <c r="L31" s="222">
        <f ca="1">SUM(L9:L30)</f>
        <v>0</v>
      </c>
      <c r="M31" s="220">
        <f ca="1">SUM(M9:M30)</f>
        <v>0</v>
      </c>
      <c r="N31" s="222">
        <f ca="1">SUM(N9:N30)</f>
        <v>0</v>
      </c>
      <c r="O31" s="220">
        <f ca="1">SUM(O9:O30)</f>
        <v>0</v>
      </c>
      <c r="U31" s="204"/>
    </row>
    <row r="32" spans="1:21" ht="18.75" x14ac:dyDescent="0.3">
      <c r="A32" s="86"/>
      <c r="B32" s="176"/>
      <c r="C32" s="139"/>
      <c r="D32" s="104"/>
      <c r="E32" s="405"/>
      <c r="F32" s="103"/>
      <c r="G32" s="176"/>
      <c r="H32" s="103"/>
      <c r="I32" s="104"/>
      <c r="J32" s="405"/>
      <c r="K32" s="206"/>
      <c r="L32" s="219" t="s">
        <v>1</v>
      </c>
      <c r="M32" s="220"/>
      <c r="N32" s="222"/>
      <c r="O32" s="220"/>
    </row>
    <row r="33" spans="1:20" ht="18.75" x14ac:dyDescent="0.3">
      <c r="A33" s="101" t="s">
        <v>1</v>
      </c>
      <c r="B33" s="176"/>
      <c r="C33" s="139"/>
      <c r="D33" s="104"/>
      <c r="E33" s="405"/>
      <c r="F33" s="103"/>
      <c r="G33" s="176"/>
      <c r="H33" s="103"/>
      <c r="I33" s="104"/>
      <c r="J33" s="405"/>
      <c r="K33" s="206"/>
      <c r="L33" s="223">
        <v>2015</v>
      </c>
      <c r="M33" s="224">
        <v>2016</v>
      </c>
      <c r="N33" s="223">
        <v>2015</v>
      </c>
      <c r="O33" s="224">
        <v>2016</v>
      </c>
      <c r="P33" s="87" t="s">
        <v>161</v>
      </c>
    </row>
    <row r="34" spans="1:20" ht="18.75" x14ac:dyDescent="0.3">
      <c r="A34" s="107" t="s">
        <v>87</v>
      </c>
      <c r="B34" s="130">
        <f>'Danica Pensjonsforsikring'!F7+'Danica Pensjonsforsikring'!F22+'Danica Pensjonsforsikring'!F66+'Danica Pensjonsforsikring'!F134</f>
        <v>1774297.267</v>
      </c>
      <c r="C34" s="130">
        <f>'Danica Pensjonsforsikring'!G7+'Danica Pensjonsforsikring'!G22+'Danica Pensjonsforsikring'!G66+'Danica Pensjonsforsikring'!G134</f>
        <v>1858117.182</v>
      </c>
      <c r="D34" s="104">
        <f t="shared" ref="D34:D44" si="9">IF(B34=0, "    ---- ", IF(ABS(ROUND(100/B34*C34-100,1))&lt;999,ROUND(100/B34*C34-100,1),IF(ROUND(100/B34*C34-100,1)&gt;999,999,-999)))</f>
        <v>4.7</v>
      </c>
      <c r="E34" s="405">
        <f t="shared" ref="E34:E43" si="10">100/C$44*C34</f>
        <v>4.9456506362045332</v>
      </c>
      <c r="F34" s="103"/>
      <c r="G34" s="176">
        <f>'Danica Pensjonsforsikring'!F10+'Danica Pensjonsforsikring'!F29+'Danica Pensjonsforsikring'!F87+'Danica Pensjonsforsikring'!F135</f>
        <v>16948728.280999999</v>
      </c>
      <c r="H34" s="176">
        <f>'Danica Pensjonsforsikring'!G10+'Danica Pensjonsforsikring'!G29+'Danica Pensjonsforsikring'!G87+'Danica Pensjonsforsikring'!G135</f>
        <v>16857045.754999999</v>
      </c>
      <c r="I34" s="104">
        <f t="shared" ref="I34:I44" si="11">IF(G34=0, "    ---- ", IF(ABS(ROUND(100/G34*H34-100,1))&lt;999,ROUND(100/G34*H34-100,1),IF(ROUND(100/G34*H34-100,1)&gt;999,999,-999)))</f>
        <v>-0.5</v>
      </c>
      <c r="J34" s="405">
        <f t="shared" ref="J34:J43" si="12">100/H$44*H34</f>
        <v>5.4464918652972374</v>
      </c>
      <c r="K34" s="206" t="s">
        <v>149</v>
      </c>
      <c r="L34" s="222">
        <f t="shared" ref="L34:L43" ca="1" si="13">INDIRECT("'" &amp; $A34 &amp; "'!" &amp; $P$33)</f>
        <v>0</v>
      </c>
      <c r="M34" s="220">
        <f t="shared" ref="M34:M43" ca="1" si="14">INDIRECT("'" &amp; $A34 &amp; "'!" &amp; $P$34)</f>
        <v>0</v>
      </c>
      <c r="N34" s="222">
        <f t="shared" ref="N34:N43" ca="1" si="15">INDIRECT("'" &amp; $A34 &amp; "'!" &amp; $P$35)</f>
        <v>0</v>
      </c>
      <c r="O34" s="220">
        <f t="shared" ref="O34:O43" ca="1" si="16">INDIRECT("'"&amp;$A34&amp;"'!"&amp;$P$36)</f>
        <v>0</v>
      </c>
      <c r="P34" s="87" t="s">
        <v>163</v>
      </c>
    </row>
    <row r="35" spans="1:20" ht="18.75" x14ac:dyDescent="0.3">
      <c r="A35" s="86" t="s">
        <v>88</v>
      </c>
      <c r="B35" s="130">
        <f>'DNB Livsforsikring'!F7+'DNB Livsforsikring'!F22+'DNB Livsforsikring'!F66+'DNB Livsforsikring'!F134</f>
        <v>8571932</v>
      </c>
      <c r="C35" s="130">
        <f>'DNB Livsforsikring'!G7+'DNB Livsforsikring'!G22+'DNB Livsforsikring'!G66+'DNB Livsforsikring'!G134</f>
        <v>8751380.8939999994</v>
      </c>
      <c r="D35" s="104">
        <f t="shared" si="9"/>
        <v>2.1</v>
      </c>
      <c r="E35" s="405">
        <f t="shared" si="10"/>
        <v>23.29308017026845</v>
      </c>
      <c r="F35" s="103"/>
      <c r="G35" s="176">
        <f>'DNB Livsforsikring'!F10+'DNB Livsforsikring'!F29+'DNB Livsforsikring'!F87+'DNB Livsforsikring'!F135</f>
        <v>75206078.714000002</v>
      </c>
      <c r="H35" s="176">
        <f>'DNB Livsforsikring'!G10+'DNB Livsforsikring'!G29+'DNB Livsforsikring'!G87+'DNB Livsforsikring'!G135</f>
        <v>77241342.397</v>
      </c>
      <c r="I35" s="104">
        <f t="shared" si="11"/>
        <v>2.7</v>
      </c>
      <c r="J35" s="405">
        <f t="shared" si="12"/>
        <v>24.956587835393172</v>
      </c>
      <c r="K35" s="87" t="s">
        <v>157</v>
      </c>
      <c r="L35" s="222">
        <f t="shared" ca="1" si="13"/>
        <v>0</v>
      </c>
      <c r="M35" s="220">
        <f t="shared" ca="1" si="14"/>
        <v>0</v>
      </c>
      <c r="N35" s="222">
        <f t="shared" ca="1" si="15"/>
        <v>0</v>
      </c>
      <c r="O35" s="220">
        <f t="shared" ca="1" si="16"/>
        <v>0</v>
      </c>
      <c r="P35" s="87" t="s">
        <v>162</v>
      </c>
    </row>
    <row r="36" spans="1:20" ht="18.75" x14ac:dyDescent="0.3">
      <c r="A36" s="107" t="s">
        <v>90</v>
      </c>
      <c r="B36" s="130">
        <f>'Frende Livsforsikring'!F7+'Frende Livsforsikring'!F22+'Frende Livsforsikring'!F66+'Frende Livsforsikring'!F134</f>
        <v>368028</v>
      </c>
      <c r="C36" s="130">
        <f>'Frende Livsforsikring'!G7+'Frende Livsforsikring'!G22+'Frende Livsforsikring'!G66+'Frende Livsforsikring'!G134</f>
        <v>383502.5</v>
      </c>
      <c r="D36" s="104">
        <f t="shared" si="9"/>
        <v>4.2</v>
      </c>
      <c r="E36" s="405">
        <f t="shared" si="10"/>
        <v>1.0207479923680234</v>
      </c>
      <c r="F36" s="103"/>
      <c r="G36" s="176">
        <f>'Frende Livsforsikring'!F10+'Frende Livsforsikring'!F29+'Frende Livsforsikring'!F87+'Frende Livsforsikring'!F135</f>
        <v>3250729.1</v>
      </c>
      <c r="H36" s="176">
        <f>'Frende Livsforsikring'!G10+'Frende Livsforsikring'!G29+'Frende Livsforsikring'!G87+'Frende Livsforsikring'!G135</f>
        <v>3320888.7749999999</v>
      </c>
      <c r="I36" s="104">
        <f t="shared" si="11"/>
        <v>2.2000000000000002</v>
      </c>
      <c r="J36" s="405">
        <f t="shared" si="12"/>
        <v>1.0729752983692016</v>
      </c>
      <c r="K36" s="87" t="s">
        <v>150</v>
      </c>
      <c r="L36" s="222">
        <f t="shared" ca="1" si="13"/>
        <v>0</v>
      </c>
      <c r="M36" s="220">
        <f t="shared" ca="1" si="14"/>
        <v>0</v>
      </c>
      <c r="N36" s="222">
        <f t="shared" ca="1" si="15"/>
        <v>0</v>
      </c>
      <c r="O36" s="220">
        <f t="shared" ca="1" si="16"/>
        <v>0</v>
      </c>
      <c r="P36" s="87" t="s">
        <v>164</v>
      </c>
    </row>
    <row r="37" spans="1:20" ht="18.75" x14ac:dyDescent="0.3">
      <c r="A37" s="107" t="s">
        <v>93</v>
      </c>
      <c r="B37" s="130">
        <f>'Gjensidige Pensjon'!F7+'Gjensidige Pensjon'!F22+'Gjensidige Pensjon'!F66+'Gjensidige Pensjon'!F134</f>
        <v>2571137</v>
      </c>
      <c r="C37" s="130">
        <f>'Gjensidige Pensjon'!G7+'Gjensidige Pensjon'!G22+'Gjensidige Pensjon'!G66+'Gjensidige Pensjon'!G134</f>
        <v>2849928</v>
      </c>
      <c r="D37" s="104">
        <f t="shared" si="9"/>
        <v>10.8</v>
      </c>
      <c r="E37" s="405">
        <f t="shared" si="10"/>
        <v>7.5855001842058813</v>
      </c>
      <c r="F37" s="103"/>
      <c r="G37" s="176">
        <f>'Gjensidige Pensjon'!F10+'Gjensidige Pensjon'!F29+'Gjensidige Pensjon'!F87+'Gjensidige Pensjon'!F135</f>
        <v>22680593</v>
      </c>
      <c r="H37" s="176">
        <f>'Gjensidige Pensjon'!G10+'Gjensidige Pensjon'!G29+'Gjensidige Pensjon'!G87+'Gjensidige Pensjon'!G135</f>
        <v>24101780</v>
      </c>
      <c r="I37" s="104">
        <f t="shared" si="11"/>
        <v>6.3</v>
      </c>
      <c r="J37" s="405">
        <f t="shared" si="12"/>
        <v>7.7872570684722362</v>
      </c>
      <c r="K37" s="87" t="s">
        <v>158</v>
      </c>
      <c r="L37" s="222">
        <f t="shared" ca="1" si="13"/>
        <v>0</v>
      </c>
      <c r="M37" s="220">
        <f t="shared" ca="1" si="14"/>
        <v>0</v>
      </c>
      <c r="N37" s="222">
        <f t="shared" ca="1" si="15"/>
        <v>0</v>
      </c>
      <c r="O37" s="220">
        <f t="shared" ca="1" si="16"/>
        <v>0</v>
      </c>
    </row>
    <row r="38" spans="1:20" ht="18.75" x14ac:dyDescent="0.3">
      <c r="A38" s="107" t="s">
        <v>64</v>
      </c>
      <c r="B38" s="130">
        <f>KLP!F7+KLP!F22+KLP!F66+KLP!F134</f>
        <v>130226.34600000001</v>
      </c>
      <c r="C38" s="130">
        <f>KLP!G7+KLP!G22+KLP!G66+KLP!G134</f>
        <v>148957.79199999999</v>
      </c>
      <c r="D38" s="104">
        <f t="shared" si="9"/>
        <v>14.4</v>
      </c>
      <c r="E38" s="405">
        <f t="shared" si="10"/>
        <v>0.39647294902008096</v>
      </c>
      <c r="F38" s="103"/>
      <c r="G38" s="176">
        <f>KLP!F10+KLP!F29+KLP!F87+KLP!F135</f>
        <v>2373955.5961500001</v>
      </c>
      <c r="H38" s="176">
        <f>KLP!G10+KLP!G29+KLP!G87+KLP!G135</f>
        <v>2418695.24015</v>
      </c>
      <c r="I38" s="104">
        <f t="shared" si="11"/>
        <v>1.9</v>
      </c>
      <c r="J38" s="405">
        <f t="shared" si="12"/>
        <v>0.78147761722736819</v>
      </c>
      <c r="K38" s="87" t="s">
        <v>151</v>
      </c>
      <c r="L38" s="222">
        <f t="shared" ca="1" si="13"/>
        <v>0</v>
      </c>
      <c r="M38" s="220">
        <f t="shared" ca="1" si="14"/>
        <v>0</v>
      </c>
      <c r="N38" s="222">
        <f t="shared" ca="1" si="15"/>
        <v>0</v>
      </c>
      <c r="O38" s="220">
        <f t="shared" ca="1" si="16"/>
        <v>0</v>
      </c>
    </row>
    <row r="39" spans="1:20" ht="18.75" x14ac:dyDescent="0.3">
      <c r="A39" s="107" t="s">
        <v>96</v>
      </c>
      <c r="B39" s="130">
        <f>'KLP Bedriftspensjon AS'!F7+'KLP Bedriftspensjon AS'!F22+'KLP Bedriftspensjon AS'!F66+'KLP Bedriftspensjon AS'!F134</f>
        <v>356633</v>
      </c>
      <c r="C39" s="130">
        <f>'KLP Bedriftspensjon AS'!G7+'KLP Bedriftspensjon AS'!G22+'KLP Bedriftspensjon AS'!G66+'KLP Bedriftspensjon AS'!G134</f>
        <v>432767</v>
      </c>
      <c r="D39" s="104">
        <f t="shared" si="9"/>
        <v>21.3</v>
      </c>
      <c r="E39" s="405">
        <f t="shared" si="10"/>
        <v>1.1518726642280881</v>
      </c>
      <c r="F39" s="103"/>
      <c r="G39" s="176">
        <f>'KLP Bedriftspensjon AS'!F10+'KLP Bedriftspensjon AS'!F29+'KLP Bedriftspensjon AS'!F87+'KLP Bedriftspensjon AS'!F135</f>
        <v>2683785</v>
      </c>
      <c r="H39" s="176">
        <f>'KLP Bedriftspensjon AS'!G10+'KLP Bedriftspensjon AS'!G29+'KLP Bedriftspensjon AS'!G87+'KLP Bedriftspensjon AS'!G135</f>
        <v>3376787</v>
      </c>
      <c r="I39" s="104">
        <f t="shared" si="11"/>
        <v>25.8</v>
      </c>
      <c r="J39" s="405">
        <f t="shared" si="12"/>
        <v>1.0910359498126345</v>
      </c>
      <c r="K39" s="87" t="s">
        <v>159</v>
      </c>
      <c r="L39" s="222">
        <f t="shared" ca="1" si="13"/>
        <v>0</v>
      </c>
      <c r="M39" s="220">
        <f t="shared" ca="1" si="14"/>
        <v>0</v>
      </c>
      <c r="N39" s="222">
        <f t="shared" ca="1" si="15"/>
        <v>0</v>
      </c>
      <c r="O39" s="220">
        <f t="shared" ca="1" si="16"/>
        <v>0</v>
      </c>
    </row>
    <row r="40" spans="1:20" ht="18.75" x14ac:dyDescent="0.3">
      <c r="A40" s="107" t="s">
        <v>99</v>
      </c>
      <c r="B40" s="130">
        <f>'Nordea Liv '!F7+'Nordea Liv '!F22+'Nordea Liv '!F66+'Nordea Liv '!F134</f>
        <v>9386463.9326900002</v>
      </c>
      <c r="C40" s="130">
        <f>'Nordea Liv '!G7+'Nordea Liv '!G22+'Nordea Liv '!G66+'Nordea Liv '!G134</f>
        <v>8182157.7377977194</v>
      </c>
      <c r="D40" s="104">
        <f t="shared" si="9"/>
        <v>-12.8</v>
      </c>
      <c r="E40" s="405">
        <f t="shared" si="10"/>
        <v>21.778009489105049</v>
      </c>
      <c r="F40" s="103"/>
      <c r="G40" s="176">
        <f>'Nordea Liv '!F10+'Nordea Liv '!F29+'Nordea Liv '!F87+'Nordea Liv '!F135</f>
        <v>58646139.999999985</v>
      </c>
      <c r="H40" s="176">
        <f>'Nordea Liv '!G10+'Nordea Liv '!G29+'Nordea Liv '!G87+'Nordea Liv '!G135</f>
        <v>59037750.000000045</v>
      </c>
      <c r="I40" s="104">
        <f t="shared" si="11"/>
        <v>0.7</v>
      </c>
      <c r="J40" s="405">
        <f t="shared" si="12"/>
        <v>19.075028317169814</v>
      </c>
      <c r="K40" s="206"/>
      <c r="L40" s="222">
        <f t="shared" ca="1" si="13"/>
        <v>0</v>
      </c>
      <c r="M40" s="220">
        <f t="shared" ca="1" si="14"/>
        <v>0</v>
      </c>
      <c r="N40" s="222">
        <f t="shared" ca="1" si="15"/>
        <v>0</v>
      </c>
      <c r="O40" s="220">
        <f t="shared" ca="1" si="16"/>
        <v>0</v>
      </c>
    </row>
    <row r="41" spans="1:20" ht="18.75" x14ac:dyDescent="0.3">
      <c r="A41" s="107" t="s">
        <v>74</v>
      </c>
      <c r="B41" s="130">
        <f>'SHB Liv'!F7+'SHB Liv'!F22+'SHB Liv'!F66+'SHB Liv'!F134</f>
        <v>169062.91999999998</v>
      </c>
      <c r="C41" s="130">
        <f>'SHB Liv'!G7+'SHB Liv'!G22+'SHB Liv'!G66+'SHB Liv'!G134</f>
        <v>153887</v>
      </c>
      <c r="D41" s="104">
        <f t="shared" si="9"/>
        <v>-9</v>
      </c>
      <c r="E41" s="405">
        <f t="shared" si="10"/>
        <v>0.40959275702645487</v>
      </c>
      <c r="F41" s="103"/>
      <c r="G41" s="176">
        <f>'SHB Liv'!F10+'SHB Liv'!F29+'SHB Liv'!F87+'SHB Liv'!F135</f>
        <v>2082187</v>
      </c>
      <c r="H41" s="176">
        <f>'SHB Liv'!G10+'SHB Liv'!G29+'SHB Liv'!G87+'SHB Liv'!G135</f>
        <v>2076510</v>
      </c>
      <c r="I41" s="104">
        <f t="shared" si="11"/>
        <v>-0.3</v>
      </c>
      <c r="J41" s="405">
        <f t="shared" si="12"/>
        <v>0.67091796436832807</v>
      </c>
      <c r="K41" s="206"/>
      <c r="L41" s="222">
        <f t="shared" ca="1" si="13"/>
        <v>0</v>
      </c>
      <c r="M41" s="220">
        <f t="shared" ca="1" si="14"/>
        <v>0</v>
      </c>
      <c r="N41" s="222">
        <f t="shared" ca="1" si="15"/>
        <v>0</v>
      </c>
      <c r="O41" s="220">
        <f t="shared" ca="1" si="16"/>
        <v>0</v>
      </c>
    </row>
    <row r="42" spans="1:20" ht="18.75" x14ac:dyDescent="0.3">
      <c r="A42" s="86" t="s">
        <v>70</v>
      </c>
      <c r="B42" s="130">
        <f>'Sparebank 1'!F7+'Sparebank 1'!F22+'Sparebank 1'!F66+'Sparebank 1'!F134</f>
        <v>3137901.4883699999</v>
      </c>
      <c r="C42" s="130">
        <f>'Sparebank 1'!G7+'Sparebank 1'!G22+'Sparebank 1'!G66+'Sparebank 1'!G134</f>
        <v>3902966.4111699997</v>
      </c>
      <c r="D42" s="104">
        <f t="shared" si="9"/>
        <v>24.4</v>
      </c>
      <c r="E42" s="405">
        <f t="shared" si="10"/>
        <v>10.388315926184591</v>
      </c>
      <c r="F42" s="103"/>
      <c r="G42" s="176">
        <f>'Sparebank 1'!F10+'Sparebank 1'!F29+'Sparebank 1'!F87+'Sparebank 1'!F135</f>
        <v>24894504.285070002</v>
      </c>
      <c r="H42" s="176">
        <f>'Sparebank 1'!G10+'Sparebank 1'!G29+'Sparebank 1'!G87+'Sparebank 1'!G135</f>
        <v>27670397.0995</v>
      </c>
      <c r="I42" s="104">
        <f t="shared" si="11"/>
        <v>11.2</v>
      </c>
      <c r="J42" s="405">
        <f t="shared" si="12"/>
        <v>8.940273100182436</v>
      </c>
      <c r="K42" s="139"/>
      <c r="L42" s="222">
        <f t="shared" ca="1" si="13"/>
        <v>0</v>
      </c>
      <c r="M42" s="220">
        <f t="shared" ca="1" si="14"/>
        <v>0</v>
      </c>
      <c r="N42" s="222">
        <f t="shared" ca="1" si="15"/>
        <v>0</v>
      </c>
      <c r="O42" s="220">
        <f t="shared" ca="1" si="16"/>
        <v>0</v>
      </c>
    </row>
    <row r="43" spans="1:20" ht="18.75" x14ac:dyDescent="0.3">
      <c r="A43" s="86" t="s">
        <v>101</v>
      </c>
      <c r="B43" s="130">
        <f>'Storebrand Livsforsikring'!F7+'Storebrand Livsforsikring'!F22+'Storebrand Livsforsikring'!F66+'Storebrand Livsforsikring'!F134</f>
        <v>10339332.776999999</v>
      </c>
      <c r="C43" s="130">
        <f>'Storebrand Livsforsikring'!G7+'Storebrand Livsforsikring'!G22+'Storebrand Livsforsikring'!G66+'Storebrand Livsforsikring'!G134</f>
        <v>10907068.207210001</v>
      </c>
      <c r="D43" s="104">
        <f t="shared" si="9"/>
        <v>5.5</v>
      </c>
      <c r="E43" s="405">
        <f t="shared" si="10"/>
        <v>29.030757231388851</v>
      </c>
      <c r="F43" s="103"/>
      <c r="G43" s="176">
        <f>'Storebrand Livsforsikring'!F10+'Storebrand Livsforsikring'!F29+'Storebrand Livsforsikring'!F87+'Storebrand Livsforsikring'!F135</f>
        <v>80323761.414470002</v>
      </c>
      <c r="H43" s="176">
        <f>'Storebrand Livsforsikring'!G10+'Storebrand Livsforsikring'!G29+'Storebrand Livsforsikring'!G87+'Storebrand Livsforsikring'!G135</f>
        <v>93401620.811000004</v>
      </c>
      <c r="I43" s="104">
        <f t="shared" si="11"/>
        <v>16.3</v>
      </c>
      <c r="J43" s="405">
        <f t="shared" si="12"/>
        <v>30.177954983707565</v>
      </c>
      <c r="K43" s="139"/>
      <c r="L43" s="222">
        <f t="shared" ca="1" si="13"/>
        <v>0</v>
      </c>
      <c r="M43" s="220">
        <f t="shared" ca="1" si="14"/>
        <v>0</v>
      </c>
      <c r="N43" s="222">
        <f t="shared" ca="1" si="15"/>
        <v>0</v>
      </c>
      <c r="O43" s="220">
        <f t="shared" ca="1" si="16"/>
        <v>0</v>
      </c>
    </row>
    <row r="44" spans="1:20" s="111" customFormat="1" ht="18.75" x14ac:dyDescent="0.3">
      <c r="A44" s="101" t="s">
        <v>105</v>
      </c>
      <c r="B44" s="241">
        <f>SUM(B34:B43)</f>
        <v>36805014.731059998</v>
      </c>
      <c r="C44" s="241">
        <f>SUM(C34:C43)</f>
        <v>37570732.724177718</v>
      </c>
      <c r="D44" s="104">
        <f t="shared" si="9"/>
        <v>2.1</v>
      </c>
      <c r="E44" s="406">
        <f>SUM(E34:E43)</f>
        <v>100</v>
      </c>
      <c r="F44" s="109"/>
      <c r="G44" s="178">
        <f>SUM(G34:G43)</f>
        <v>289090462.39068997</v>
      </c>
      <c r="H44" s="178">
        <f>SUM(H34:H43)</f>
        <v>309502817.07765007</v>
      </c>
      <c r="I44" s="104">
        <f t="shared" si="11"/>
        <v>7.1</v>
      </c>
      <c r="J44" s="406">
        <f>SUM(J34:J43)</f>
        <v>99.999999999999986</v>
      </c>
      <c r="K44" s="139"/>
      <c r="L44" s="222">
        <f ca="1">SUM(L34:L43)</f>
        <v>0</v>
      </c>
      <c r="M44" s="220">
        <f ca="1">SUM(M34:M43)</f>
        <v>0</v>
      </c>
      <c r="N44" s="222">
        <f ca="1">SUM(N34:N43)</f>
        <v>0</v>
      </c>
      <c r="O44" s="220">
        <f ca="1">SUM(O34:O43)</f>
        <v>0</v>
      </c>
    </row>
    <row r="45" spans="1:20" ht="18.75" x14ac:dyDescent="0.3">
      <c r="A45" s="101"/>
      <c r="B45" s="130"/>
      <c r="C45" s="109"/>
      <c r="D45" s="110"/>
      <c r="E45" s="405"/>
      <c r="F45" s="109"/>
      <c r="G45" s="178"/>
      <c r="H45" s="109"/>
      <c r="I45" s="110"/>
      <c r="J45" s="406"/>
      <c r="K45" s="139"/>
      <c r="L45" s="219" t="s">
        <v>106</v>
      </c>
      <c r="M45" s="225"/>
      <c r="N45" s="226"/>
      <c r="O45" s="225"/>
    </row>
    <row r="46" spans="1:20" ht="18.75" x14ac:dyDescent="0.3">
      <c r="A46" s="86"/>
      <c r="B46" s="130"/>
      <c r="C46" s="103"/>
      <c r="D46" s="104"/>
      <c r="E46" s="405"/>
      <c r="F46" s="103"/>
      <c r="G46" s="176"/>
      <c r="H46" s="103"/>
      <c r="I46" s="104"/>
      <c r="J46" s="405"/>
      <c r="K46" s="139"/>
      <c r="L46" s="223">
        <v>2015</v>
      </c>
      <c r="M46" s="224">
        <v>2016</v>
      </c>
      <c r="N46" s="223">
        <v>2015</v>
      </c>
      <c r="O46" s="224">
        <v>2016</v>
      </c>
    </row>
    <row r="47" spans="1:20" ht="18.75" x14ac:dyDescent="0.3">
      <c r="A47" s="101" t="s">
        <v>106</v>
      </c>
      <c r="B47" s="130"/>
      <c r="C47" s="103"/>
      <c r="D47" s="104"/>
      <c r="E47" s="405"/>
      <c r="F47" s="103"/>
      <c r="G47" s="176"/>
      <c r="H47" s="103"/>
      <c r="I47" s="104"/>
      <c r="J47" s="405"/>
      <c r="K47" s="139"/>
      <c r="L47" s="222"/>
      <c r="M47" s="220"/>
      <c r="N47" s="222"/>
      <c r="O47" s="220"/>
      <c r="P47" s="206"/>
      <c r="Q47" s="206"/>
      <c r="R47" s="206"/>
      <c r="S47" s="182"/>
      <c r="T47" s="139"/>
    </row>
    <row r="48" spans="1:20" ht="18.75" x14ac:dyDescent="0.3">
      <c r="A48" s="86" t="s">
        <v>86</v>
      </c>
      <c r="B48" s="130">
        <f>B9</f>
        <v>0</v>
      </c>
      <c r="C48" s="180">
        <f>C9</f>
        <v>0</v>
      </c>
      <c r="D48" s="104"/>
      <c r="E48" s="405">
        <f t="shared" ref="E48:E70" si="17">100/C$71*C48</f>
        <v>0</v>
      </c>
      <c r="F48" s="103"/>
      <c r="G48" s="176">
        <f>G9</f>
        <v>0</v>
      </c>
      <c r="H48" s="176">
        <f>H9</f>
        <v>0</v>
      </c>
      <c r="I48" s="104"/>
      <c r="J48" s="405">
        <f t="shared" ref="J48:J70" si="18">100/H$71*H48</f>
        <v>0</v>
      </c>
      <c r="K48" s="139"/>
      <c r="L48" s="222">
        <f ca="1">L9</f>
        <v>0</v>
      </c>
      <c r="M48" s="227">
        <f ca="1">M9</f>
        <v>0</v>
      </c>
      <c r="N48" s="222">
        <f ca="1">N9</f>
        <v>0</v>
      </c>
      <c r="O48" s="227">
        <f ca="1">O9</f>
        <v>0</v>
      </c>
      <c r="P48" s="206"/>
      <c r="Q48" s="206"/>
      <c r="R48" s="206"/>
      <c r="S48" s="182"/>
      <c r="T48" s="139"/>
    </row>
    <row r="49" spans="1:20" ht="18.75" x14ac:dyDescent="0.3">
      <c r="A49" s="107" t="s">
        <v>87</v>
      </c>
      <c r="B49" s="130">
        <f>B10+B34</f>
        <v>2172070.9989999998</v>
      </c>
      <c r="C49" s="103">
        <f>C10+C34</f>
        <v>2274000.9750000001</v>
      </c>
      <c r="D49" s="104">
        <f t="shared" ref="D49:D70" si="19">IF(B49=0, "    ---- ", IF(ABS(ROUND(100/B49*C49-100,1))&lt;999,ROUND(100/B49*C49-100,1),IF(ROUND(100/B49*C49-100,1)&gt;999,999,-999)))</f>
        <v>4.7</v>
      </c>
      <c r="E49" s="405">
        <f t="shared" si="17"/>
        <v>2.2660787672677301</v>
      </c>
      <c r="F49" s="103"/>
      <c r="G49" s="176">
        <f>G10+G34</f>
        <v>17972062.645999998</v>
      </c>
      <c r="H49" s="176">
        <f>H10+H34</f>
        <v>18001840.483999997</v>
      </c>
      <c r="I49" s="104">
        <f t="shared" ref="I49:I68" si="20">IF(G49=0, "    ---- ", IF(ABS(ROUND(100/G49*H49-100,1))&lt;999,ROUND(100/G49*H49-100,1),IF(ROUND(100/G49*H49-100,1)&gt;999,999,-999)))</f>
        <v>0.2</v>
      </c>
      <c r="J49" s="405">
        <f t="shared" si="18"/>
        <v>1.3645982554328027</v>
      </c>
      <c r="K49" s="139"/>
      <c r="L49" s="222">
        <f ca="1">L10+L34</f>
        <v>0</v>
      </c>
      <c r="M49" s="220">
        <f ca="1">M10+M34</f>
        <v>0</v>
      </c>
      <c r="N49" s="222">
        <f ca="1">N10+N34</f>
        <v>0</v>
      </c>
      <c r="O49" s="220">
        <f ca="1">O10+O34</f>
        <v>0</v>
      </c>
      <c r="P49" s="206"/>
      <c r="Q49" s="206"/>
      <c r="R49" s="206"/>
      <c r="S49" s="182"/>
      <c r="T49" s="139"/>
    </row>
    <row r="50" spans="1:20" ht="18.75" x14ac:dyDescent="0.3">
      <c r="A50" s="86" t="s">
        <v>88</v>
      </c>
      <c r="B50" s="130">
        <f>B11+B35</f>
        <v>13491949.806</v>
      </c>
      <c r="C50" s="103">
        <f>+C11+C35</f>
        <v>13315906.894136999</v>
      </c>
      <c r="D50" s="104">
        <f t="shared" si="19"/>
        <v>-1.3</v>
      </c>
      <c r="E50" s="405">
        <f t="shared" si="17"/>
        <v>13.269516685109529</v>
      </c>
      <c r="F50" s="103"/>
      <c r="G50" s="176">
        <f>+G11+G35</f>
        <v>278203366.71399999</v>
      </c>
      <c r="H50" s="176">
        <f>+H11+H35</f>
        <v>277542329.67699999</v>
      </c>
      <c r="I50" s="104">
        <f t="shared" si="20"/>
        <v>-0.2</v>
      </c>
      <c r="J50" s="405">
        <f t="shared" si="18"/>
        <v>21.03861431405349</v>
      </c>
      <c r="K50" s="139"/>
      <c r="L50" s="222">
        <f ca="1">L11+L35</f>
        <v>0</v>
      </c>
      <c r="M50" s="220">
        <f ca="1">+M11+M35</f>
        <v>0</v>
      </c>
      <c r="N50" s="222">
        <f ca="1">+N11+N35</f>
        <v>0</v>
      </c>
      <c r="O50" s="220">
        <f ca="1">+O11+O35</f>
        <v>0</v>
      </c>
      <c r="P50" s="206"/>
      <c r="Q50" s="206"/>
      <c r="R50" s="206"/>
      <c r="S50" s="182"/>
      <c r="T50" s="139"/>
    </row>
    <row r="51" spans="1:20" ht="18.75" x14ac:dyDescent="0.3">
      <c r="A51" s="86" t="s">
        <v>89</v>
      </c>
      <c r="B51" s="130">
        <f>B12</f>
        <v>267318</v>
      </c>
      <c r="C51" s="103">
        <f>C12</f>
        <v>293648</v>
      </c>
      <c r="D51" s="104">
        <f t="shared" si="19"/>
        <v>9.8000000000000007</v>
      </c>
      <c r="E51" s="405">
        <f t="shared" si="17"/>
        <v>0.29262498352738586</v>
      </c>
      <c r="F51" s="103"/>
      <c r="G51" s="176">
        <f>G12</f>
        <v>422298</v>
      </c>
      <c r="H51" s="176">
        <f>H12</f>
        <v>459894</v>
      </c>
      <c r="I51" s="104">
        <f t="shared" si="20"/>
        <v>8.9</v>
      </c>
      <c r="J51" s="405">
        <f t="shared" si="18"/>
        <v>3.4861466006311792E-2</v>
      </c>
      <c r="K51" s="139"/>
      <c r="L51" s="222">
        <f ca="1">L12</f>
        <v>0</v>
      </c>
      <c r="M51" s="220">
        <f ca="1">M12</f>
        <v>0</v>
      </c>
      <c r="N51" s="222">
        <f ca="1">N12</f>
        <v>0</v>
      </c>
      <c r="O51" s="220">
        <f ca="1">+O12+O36</f>
        <v>0</v>
      </c>
      <c r="P51" s="206"/>
      <c r="Q51" s="206"/>
      <c r="R51" s="206"/>
      <c r="S51" s="182"/>
      <c r="T51" s="139"/>
    </row>
    <row r="52" spans="1:20" ht="18.75" x14ac:dyDescent="0.3">
      <c r="A52" s="107" t="s">
        <v>90</v>
      </c>
      <c r="B52" s="130">
        <f>B13+B36</f>
        <v>807393.6</v>
      </c>
      <c r="C52" s="105">
        <f>C13+C36</f>
        <v>845471.5</v>
      </c>
      <c r="D52" s="106">
        <f t="shared" si="19"/>
        <v>4.7</v>
      </c>
      <c r="E52" s="407">
        <f t="shared" si="17"/>
        <v>0.84252603035053608</v>
      </c>
      <c r="F52" s="105"/>
      <c r="G52" s="177">
        <f>G13+G36</f>
        <v>3927079.42</v>
      </c>
      <c r="H52" s="177">
        <f>H13+H36</f>
        <v>4092282.7749999999</v>
      </c>
      <c r="I52" s="104">
        <f t="shared" si="20"/>
        <v>4.2</v>
      </c>
      <c r="J52" s="405">
        <f t="shared" si="18"/>
        <v>0.31020838899589426</v>
      </c>
      <c r="K52" s="139"/>
      <c r="L52" s="222">
        <f ca="1">L13+L36</f>
        <v>0</v>
      </c>
      <c r="M52" s="220">
        <f ca="1">M13+M36</f>
        <v>0</v>
      </c>
      <c r="N52" s="222">
        <f ca="1">N13+N36</f>
        <v>0</v>
      </c>
      <c r="O52" s="220">
        <f ca="1">O13+O36</f>
        <v>0</v>
      </c>
      <c r="P52" s="209"/>
      <c r="Q52" s="209"/>
      <c r="R52" s="209"/>
      <c r="S52" s="182"/>
      <c r="T52" s="139"/>
    </row>
    <row r="53" spans="1:20" ht="18.75" x14ac:dyDescent="0.3">
      <c r="A53" s="107" t="s">
        <v>91</v>
      </c>
      <c r="B53" s="130">
        <f>B14</f>
        <v>5631</v>
      </c>
      <c r="C53" s="105">
        <f>C14</f>
        <v>7955</v>
      </c>
      <c r="D53" s="106">
        <f t="shared" si="19"/>
        <v>41.3</v>
      </c>
      <c r="E53" s="407">
        <f t="shared" si="17"/>
        <v>7.9272862201014635E-3</v>
      </c>
      <c r="F53" s="105"/>
      <c r="G53" s="177">
        <f>G14</f>
        <v>0</v>
      </c>
      <c r="H53" s="177">
        <f>H14</f>
        <v>0</v>
      </c>
      <c r="I53" s="104"/>
      <c r="J53" s="405">
        <f t="shared" si="18"/>
        <v>0</v>
      </c>
      <c r="K53" s="139"/>
      <c r="L53" s="222">
        <f ca="1">L14</f>
        <v>0</v>
      </c>
      <c r="M53" s="220">
        <f ca="1">M14</f>
        <v>0</v>
      </c>
      <c r="N53" s="222">
        <f ca="1">N14</f>
        <v>0</v>
      </c>
      <c r="O53" s="220">
        <f ca="1">O14</f>
        <v>0</v>
      </c>
      <c r="P53" s="209"/>
      <c r="Q53" s="209"/>
      <c r="R53" s="209"/>
      <c r="S53" s="182"/>
      <c r="T53" s="139"/>
    </row>
    <row r="54" spans="1:20" ht="18.75" x14ac:dyDescent="0.3">
      <c r="A54" s="86" t="s">
        <v>92</v>
      </c>
      <c r="B54" s="103">
        <f>B15</f>
        <v>1528867</v>
      </c>
      <c r="C54" s="103">
        <f>+C15</f>
        <v>1560358</v>
      </c>
      <c r="D54" s="104">
        <f t="shared" si="19"/>
        <v>2.1</v>
      </c>
      <c r="E54" s="405">
        <f t="shared" si="17"/>
        <v>1.5549219952011413</v>
      </c>
      <c r="F54" s="103"/>
      <c r="G54" s="176">
        <f>+G15</f>
        <v>1200643</v>
      </c>
      <c r="H54" s="176">
        <f>+H15</f>
        <v>1236175</v>
      </c>
      <c r="I54" s="104">
        <f t="shared" si="20"/>
        <v>3</v>
      </c>
      <c r="J54" s="405">
        <f t="shared" si="18"/>
        <v>9.3706099101863657E-2</v>
      </c>
      <c r="K54" s="139"/>
      <c r="L54" s="222">
        <f ca="1">L15</f>
        <v>0</v>
      </c>
      <c r="M54" s="220">
        <f ca="1">+M15</f>
        <v>0</v>
      </c>
      <c r="N54" s="222">
        <f ca="1">+N15</f>
        <v>0</v>
      </c>
      <c r="O54" s="220">
        <f ca="1">+O15</f>
        <v>0</v>
      </c>
      <c r="P54" s="206"/>
      <c r="Q54" s="206"/>
      <c r="R54" s="206"/>
      <c r="S54" s="182"/>
      <c r="T54" s="139"/>
    </row>
    <row r="55" spans="1:20" ht="18.75" x14ac:dyDescent="0.3">
      <c r="A55" s="86" t="s">
        <v>93</v>
      </c>
      <c r="B55" s="103">
        <f>B16+B37</f>
        <v>3094770</v>
      </c>
      <c r="C55" s="103">
        <f>C16+C37</f>
        <v>3441350</v>
      </c>
      <c r="D55" s="104">
        <f t="shared" si="19"/>
        <v>11.2</v>
      </c>
      <c r="E55" s="405">
        <f t="shared" si="17"/>
        <v>3.4293609595909706</v>
      </c>
      <c r="F55" s="103"/>
      <c r="G55" s="176">
        <f>G16+G37</f>
        <v>28698956</v>
      </c>
      <c r="H55" s="176">
        <f>H16+H37</f>
        <v>30688159</v>
      </c>
      <c r="I55" s="104">
        <f t="shared" si="20"/>
        <v>6.9</v>
      </c>
      <c r="J55" s="405">
        <f t="shared" si="18"/>
        <v>2.3262625991528294</v>
      </c>
      <c r="K55" s="139"/>
      <c r="L55" s="222">
        <f ca="1">L16+L37</f>
        <v>0</v>
      </c>
      <c r="M55" s="220">
        <f ca="1">M16+M37</f>
        <v>0</v>
      </c>
      <c r="N55" s="222">
        <f ca="1">N16+N37</f>
        <v>0</v>
      </c>
      <c r="O55" s="220">
        <f ca="1">O16+O37</f>
        <v>0</v>
      </c>
      <c r="P55" s="206"/>
      <c r="Q55" s="206"/>
      <c r="R55" s="206"/>
      <c r="S55" s="182"/>
      <c r="T55" s="139"/>
    </row>
    <row r="56" spans="1:20" ht="18.75" x14ac:dyDescent="0.3">
      <c r="A56" s="86" t="s">
        <v>94</v>
      </c>
      <c r="B56" s="103">
        <f>B17</f>
        <v>37362</v>
      </c>
      <c r="C56" s="103">
        <f>+C17</f>
        <v>35563</v>
      </c>
      <c r="D56" s="104">
        <f t="shared" si="19"/>
        <v>-4.8</v>
      </c>
      <c r="E56" s="405">
        <f t="shared" si="17"/>
        <v>3.5439104946004822E-2</v>
      </c>
      <c r="F56" s="103"/>
      <c r="G56" s="176">
        <f>+G17</f>
        <v>26374</v>
      </c>
      <c r="H56" s="176">
        <f>+H17</f>
        <v>23055</v>
      </c>
      <c r="I56" s="104">
        <f t="shared" si="20"/>
        <v>-12.6</v>
      </c>
      <c r="J56" s="405">
        <f t="shared" si="18"/>
        <v>1.7476442370970668E-3</v>
      </c>
      <c r="K56" s="139"/>
      <c r="L56" s="222">
        <f ca="1">L17</f>
        <v>0</v>
      </c>
      <c r="M56" s="220">
        <f t="shared" ref="M56:O57" ca="1" si="21">+M17</f>
        <v>0</v>
      </c>
      <c r="N56" s="222">
        <f t="shared" ca="1" si="21"/>
        <v>0</v>
      </c>
      <c r="O56" s="220">
        <f t="shared" ca="1" si="21"/>
        <v>0</v>
      </c>
      <c r="P56" s="206"/>
      <c r="Q56" s="206"/>
      <c r="R56" s="206"/>
      <c r="S56" s="182"/>
      <c r="T56" s="139"/>
    </row>
    <row r="57" spans="1:20" ht="18.75" x14ac:dyDescent="0.3">
      <c r="A57" s="86" t="s">
        <v>95</v>
      </c>
      <c r="B57" s="103">
        <f>B18</f>
        <v>436905</v>
      </c>
      <c r="C57" s="103">
        <f>+C18</f>
        <v>447566</v>
      </c>
      <c r="D57" s="104">
        <f t="shared" si="19"/>
        <v>2.4</v>
      </c>
      <c r="E57" s="405">
        <f t="shared" si="17"/>
        <v>0.44600676107931259</v>
      </c>
      <c r="F57" s="103"/>
      <c r="G57" s="176">
        <f>+G18</f>
        <v>416284</v>
      </c>
      <c r="H57" s="176">
        <f>+H18</f>
        <v>453992</v>
      </c>
      <c r="I57" s="104">
        <f t="shared" si="20"/>
        <v>9.1</v>
      </c>
      <c r="J57" s="405">
        <f t="shared" si="18"/>
        <v>3.4414075145876015E-2</v>
      </c>
      <c r="K57" s="139"/>
      <c r="L57" s="222">
        <f ca="1">L18</f>
        <v>0</v>
      </c>
      <c r="M57" s="220">
        <f t="shared" ca="1" si="21"/>
        <v>0</v>
      </c>
      <c r="N57" s="222">
        <f t="shared" ca="1" si="21"/>
        <v>0</v>
      </c>
      <c r="O57" s="220">
        <f t="shared" ca="1" si="21"/>
        <v>0</v>
      </c>
      <c r="P57" s="206"/>
      <c r="Q57" s="206"/>
      <c r="R57" s="206"/>
      <c r="S57" s="182"/>
      <c r="T57" s="139"/>
    </row>
    <row r="58" spans="1:20" ht="18.75" x14ac:dyDescent="0.3">
      <c r="A58" s="86" t="s">
        <v>64</v>
      </c>
      <c r="B58" s="105">
        <f>B19+B38</f>
        <v>32122480.125960004</v>
      </c>
      <c r="C58" s="105">
        <f>C19+C38</f>
        <v>38724465.20482</v>
      </c>
      <c r="D58" s="106">
        <f t="shared" si="19"/>
        <v>20.6</v>
      </c>
      <c r="E58" s="407">
        <f t="shared" si="17"/>
        <v>38.58955617837438</v>
      </c>
      <c r="F58" s="105"/>
      <c r="G58" s="177">
        <f>G19+G38</f>
        <v>446867604.98354995</v>
      </c>
      <c r="H58" s="177">
        <f>H19+H38</f>
        <v>474145162.48920995</v>
      </c>
      <c r="I58" s="104">
        <f t="shared" si="20"/>
        <v>6.1</v>
      </c>
      <c r="J58" s="405">
        <f t="shared" si="18"/>
        <v>35.941750629872914</v>
      </c>
      <c r="K58" s="139"/>
      <c r="L58" s="222">
        <f ca="1">L19+L38</f>
        <v>0</v>
      </c>
      <c r="M58" s="220">
        <f ca="1">M19+M38</f>
        <v>0</v>
      </c>
      <c r="N58" s="222">
        <f ca="1">N19+N38</f>
        <v>0</v>
      </c>
      <c r="O58" s="220">
        <f ca="1">O19+O38</f>
        <v>0</v>
      </c>
      <c r="P58" s="209"/>
      <c r="Q58" s="209"/>
      <c r="R58" s="209"/>
      <c r="S58" s="182"/>
      <c r="T58" s="139"/>
    </row>
    <row r="59" spans="1:20" ht="18.75" x14ac:dyDescent="0.3">
      <c r="A59" s="86" t="s">
        <v>96</v>
      </c>
      <c r="B59" s="103">
        <f>B20+B39</f>
        <v>453866</v>
      </c>
      <c r="C59" s="103">
        <f>+C20+C39</f>
        <v>521962</v>
      </c>
      <c r="D59" s="104">
        <f t="shared" si="19"/>
        <v>15</v>
      </c>
      <c r="E59" s="405">
        <f t="shared" si="17"/>
        <v>0.52014357888329354</v>
      </c>
      <c r="F59" s="103"/>
      <c r="G59" s="176">
        <f>G20+G39</f>
        <v>4297047</v>
      </c>
      <c r="H59" s="176">
        <f>H20+H39</f>
        <v>5052681</v>
      </c>
      <c r="I59" s="104">
        <f t="shared" si="20"/>
        <v>17.600000000000001</v>
      </c>
      <c r="J59" s="405">
        <f t="shared" si="18"/>
        <v>0.38300970858988698</v>
      </c>
      <c r="K59" s="139"/>
      <c r="L59" s="222">
        <f ca="1">L20+L39</f>
        <v>0</v>
      </c>
      <c r="M59" s="220">
        <f ca="1">+M20+M39</f>
        <v>0</v>
      </c>
      <c r="N59" s="222">
        <f ca="1">N20+N39</f>
        <v>0</v>
      </c>
      <c r="O59" s="220">
        <f ca="1">O20+O39</f>
        <v>0</v>
      </c>
      <c r="P59" s="206"/>
      <c r="Q59" s="206"/>
      <c r="R59" s="206"/>
      <c r="S59" s="182"/>
      <c r="T59" s="139"/>
    </row>
    <row r="60" spans="1:20" ht="18.75" x14ac:dyDescent="0.3">
      <c r="A60" s="86" t="s">
        <v>97</v>
      </c>
      <c r="B60" s="103">
        <f t="shared" ref="B60:C62" si="22">B21</f>
        <v>142740</v>
      </c>
      <c r="C60" s="103">
        <f t="shared" si="22"/>
        <v>134230.552</v>
      </c>
      <c r="D60" s="104">
        <f t="shared" si="19"/>
        <v>-6</v>
      </c>
      <c r="E60" s="405">
        <f t="shared" si="17"/>
        <v>0.13376291705672066</v>
      </c>
      <c r="F60" s="103"/>
      <c r="G60" s="176">
        <f t="shared" ref="G60:H62" si="23">G21</f>
        <v>9767</v>
      </c>
      <c r="H60" s="176">
        <f t="shared" si="23"/>
        <v>22247</v>
      </c>
      <c r="I60" s="104">
        <f t="shared" si="20"/>
        <v>127.8</v>
      </c>
      <c r="J60" s="405">
        <f t="shared" si="18"/>
        <v>1.686395200290542E-3</v>
      </c>
      <c r="K60" s="139"/>
      <c r="L60" s="222">
        <f t="shared" ref="L60:O62" ca="1" si="24">L21</f>
        <v>0</v>
      </c>
      <c r="M60" s="220">
        <f t="shared" ca="1" si="24"/>
        <v>0</v>
      </c>
      <c r="N60" s="222">
        <f t="shared" ca="1" si="24"/>
        <v>0</v>
      </c>
      <c r="O60" s="220">
        <f t="shared" ca="1" si="24"/>
        <v>0</v>
      </c>
      <c r="P60" s="206"/>
      <c r="Q60" s="206"/>
      <c r="R60" s="206"/>
      <c r="S60" s="182"/>
      <c r="T60" s="139"/>
    </row>
    <row r="61" spans="1:20" ht="18.75" x14ac:dyDescent="0.3">
      <c r="A61" s="86" t="s">
        <v>502</v>
      </c>
      <c r="B61" s="103">
        <f t="shared" si="22"/>
        <v>79056</v>
      </c>
      <c r="C61" s="103">
        <f t="shared" si="22"/>
        <v>75514</v>
      </c>
      <c r="D61" s="104">
        <f t="shared" si="19"/>
        <v>-4.5</v>
      </c>
      <c r="E61" s="405">
        <f t="shared" si="17"/>
        <v>7.5250922894373587E-2</v>
      </c>
      <c r="F61" s="103"/>
      <c r="G61" s="176">
        <f t="shared" si="23"/>
        <v>0</v>
      </c>
      <c r="H61" s="176">
        <f t="shared" si="23"/>
        <v>0</v>
      </c>
      <c r="I61" s="104"/>
      <c r="J61" s="405">
        <f t="shared" si="18"/>
        <v>0</v>
      </c>
      <c r="K61" s="139"/>
      <c r="L61" s="222">
        <f t="shared" ca="1" si="24"/>
        <v>0</v>
      </c>
      <c r="M61" s="220">
        <f t="shared" ca="1" si="24"/>
        <v>0</v>
      </c>
      <c r="N61" s="222">
        <f t="shared" ca="1" si="24"/>
        <v>0</v>
      </c>
      <c r="O61" s="220">
        <f t="shared" ca="1" si="24"/>
        <v>0</v>
      </c>
      <c r="P61" s="206"/>
      <c r="Q61" s="206"/>
      <c r="R61" s="206"/>
      <c r="S61" s="182"/>
      <c r="T61" s="139"/>
    </row>
    <row r="62" spans="1:20" ht="18.75" x14ac:dyDescent="0.3">
      <c r="A62" s="86" t="s">
        <v>98</v>
      </c>
      <c r="B62" s="103">
        <f t="shared" si="22"/>
        <v>1147</v>
      </c>
      <c r="C62" s="103">
        <f t="shared" si="22"/>
        <v>1788</v>
      </c>
      <c r="D62" s="104">
        <f t="shared" si="19"/>
        <v>55.9</v>
      </c>
      <c r="E62" s="405">
        <f t="shared" si="17"/>
        <v>1.7817709316833962E-3</v>
      </c>
      <c r="F62" s="103"/>
      <c r="G62" s="176">
        <f t="shared" si="23"/>
        <v>0</v>
      </c>
      <c r="H62" s="176">
        <f t="shared" si="23"/>
        <v>0</v>
      </c>
      <c r="I62" s="104"/>
      <c r="J62" s="405">
        <f t="shared" si="18"/>
        <v>0</v>
      </c>
      <c r="K62" s="139"/>
      <c r="L62" s="222">
        <f t="shared" ca="1" si="24"/>
        <v>0</v>
      </c>
      <c r="M62" s="220">
        <f t="shared" ca="1" si="24"/>
        <v>0</v>
      </c>
      <c r="N62" s="222">
        <f t="shared" ca="1" si="24"/>
        <v>0</v>
      </c>
      <c r="O62" s="220">
        <f t="shared" ca="1" si="24"/>
        <v>0</v>
      </c>
      <c r="P62" s="206"/>
      <c r="Q62" s="206"/>
      <c r="R62" s="206"/>
      <c r="S62" s="182"/>
      <c r="T62" s="139"/>
    </row>
    <row r="63" spans="1:20" ht="18.75" x14ac:dyDescent="0.3">
      <c r="A63" s="107" t="s">
        <v>68</v>
      </c>
      <c r="B63" s="103">
        <f>B24+B40</f>
        <v>11075754.279235557</v>
      </c>
      <c r="C63" s="103">
        <f>+C24+C40</f>
        <v>9729126.9803839792</v>
      </c>
      <c r="D63" s="104">
        <f t="shared" si="19"/>
        <v>-12.2</v>
      </c>
      <c r="E63" s="405">
        <f t="shared" si="17"/>
        <v>9.6952324632577351</v>
      </c>
      <c r="F63" s="103"/>
      <c r="G63" s="176">
        <f>+G24+G40</f>
        <v>108209261.55248058</v>
      </c>
      <c r="H63" s="176">
        <f>+H24+H40</f>
        <v>109087996.09179951</v>
      </c>
      <c r="I63" s="104">
        <f t="shared" si="20"/>
        <v>0.8</v>
      </c>
      <c r="J63" s="405">
        <f t="shared" si="18"/>
        <v>8.2692260987334958</v>
      </c>
      <c r="K63" s="139"/>
      <c r="L63" s="222">
        <f ca="1">L24+L40</f>
        <v>0</v>
      </c>
      <c r="M63" s="220">
        <f ca="1">+M24+M40</f>
        <v>0</v>
      </c>
      <c r="N63" s="222">
        <f ca="1">+N24+N40</f>
        <v>0</v>
      </c>
      <c r="O63" s="220">
        <f ca="1">+O24+O40</f>
        <v>0</v>
      </c>
      <c r="P63" s="206"/>
      <c r="Q63" s="206"/>
      <c r="R63" s="206"/>
      <c r="S63" s="182"/>
      <c r="T63" s="139"/>
    </row>
    <row r="64" spans="1:20" ht="18.75" customHeight="1" x14ac:dyDescent="0.3">
      <c r="A64" s="107" t="s">
        <v>100</v>
      </c>
      <c r="B64" s="103">
        <f>B25</f>
        <v>4149293</v>
      </c>
      <c r="C64" s="103">
        <f>C25</f>
        <v>4832000</v>
      </c>
      <c r="D64" s="104">
        <f t="shared" si="19"/>
        <v>16.5</v>
      </c>
      <c r="E64" s="405">
        <f t="shared" si="17"/>
        <v>4.8151661867417062</v>
      </c>
      <c r="F64" s="103"/>
      <c r="G64" s="176">
        <f>G25</f>
        <v>70125745</v>
      </c>
      <c r="H64" s="176">
        <f>H25</f>
        <v>74694000</v>
      </c>
      <c r="I64" s="104">
        <f t="shared" si="20"/>
        <v>6.5</v>
      </c>
      <c r="J64" s="405">
        <f t="shared" si="18"/>
        <v>5.6620489544883235</v>
      </c>
      <c r="K64" s="139"/>
      <c r="L64" s="222">
        <f ca="1">L25</f>
        <v>0</v>
      </c>
      <c r="M64" s="220">
        <f ca="1">M25</f>
        <v>0</v>
      </c>
      <c r="N64" s="222">
        <f ca="1">N25</f>
        <v>0</v>
      </c>
      <c r="O64" s="220">
        <f ca="1">O25</f>
        <v>0</v>
      </c>
      <c r="P64" s="206"/>
      <c r="Q64" s="206"/>
      <c r="R64" s="206"/>
      <c r="S64" s="182"/>
      <c r="T64" s="139"/>
    </row>
    <row r="65" spans="1:240" ht="18.75" customHeight="1" x14ac:dyDescent="0.3">
      <c r="A65" s="107" t="s">
        <v>455</v>
      </c>
      <c r="B65" s="103">
        <f>B26</f>
        <v>0</v>
      </c>
      <c r="C65" s="103">
        <f>C26</f>
        <v>322909.72977305338</v>
      </c>
      <c r="D65" s="104" t="str">
        <f t="shared" ref="D65" si="25">IF(B65=0, "    ---- ", IF(ABS(ROUND(100/B65*C65-100,1))&lt;999,ROUND(100/B65*C65-100,1),IF(ROUND(100/B65*C65-100,1)&gt;999,999,-999)))</f>
        <v xml:space="preserve">    ---- </v>
      </c>
      <c r="E65" s="405">
        <f t="shared" si="17"/>
        <v>0.32178477073118961</v>
      </c>
      <c r="F65" s="103"/>
      <c r="G65" s="176">
        <f>G26</f>
        <v>0</v>
      </c>
      <c r="H65" s="176">
        <f>H26</f>
        <v>0</v>
      </c>
      <c r="I65" s="104"/>
      <c r="J65" s="405">
        <f t="shared" si="18"/>
        <v>0</v>
      </c>
      <c r="K65" s="139"/>
      <c r="L65" s="222"/>
      <c r="M65" s="220"/>
      <c r="N65" s="222"/>
      <c r="O65" s="220"/>
      <c r="P65" s="206"/>
      <c r="Q65" s="206"/>
      <c r="R65" s="206"/>
      <c r="S65" s="182"/>
      <c r="T65" s="139"/>
    </row>
    <row r="66" spans="1:240" ht="18.75" customHeight="1" x14ac:dyDescent="0.3">
      <c r="A66" s="107" t="s">
        <v>74</v>
      </c>
      <c r="B66" s="103">
        <f>B41</f>
        <v>169062.91999999998</v>
      </c>
      <c r="C66" s="103">
        <f>C41</f>
        <v>153887</v>
      </c>
      <c r="D66" s="104">
        <f t="shared" si="19"/>
        <v>-9</v>
      </c>
      <c r="E66" s="405">
        <f t="shared" si="17"/>
        <v>0.15335088555031476</v>
      </c>
      <c r="F66" s="103"/>
      <c r="G66" s="176">
        <f>G41</f>
        <v>2082187</v>
      </c>
      <c r="H66" s="176">
        <f>H41</f>
        <v>2076510</v>
      </c>
      <c r="I66" s="104">
        <f t="shared" si="20"/>
        <v>-0.3</v>
      </c>
      <c r="J66" s="405">
        <f t="shared" si="18"/>
        <v>0.15740623442960008</v>
      </c>
      <c r="K66" s="139"/>
      <c r="L66" s="222">
        <f ca="1">L41</f>
        <v>0</v>
      </c>
      <c r="M66" s="220">
        <f ca="1">M41</f>
        <v>0</v>
      </c>
      <c r="N66" s="222">
        <f ca="1">N41</f>
        <v>0</v>
      </c>
      <c r="O66" s="220">
        <f ca="1">O41</f>
        <v>0</v>
      </c>
      <c r="P66" s="206"/>
      <c r="Q66" s="206"/>
      <c r="R66" s="206"/>
      <c r="S66" s="182"/>
      <c r="T66" s="139"/>
    </row>
    <row r="67" spans="1:240" ht="18.75" customHeight="1" x14ac:dyDescent="0.3">
      <c r="A67" s="86" t="s">
        <v>70</v>
      </c>
      <c r="B67" s="103">
        <f>B27+B42</f>
        <v>5910002.0135500003</v>
      </c>
      <c r="C67" s="103">
        <f>+C27+C42</f>
        <v>6672075.6718499996</v>
      </c>
      <c r="D67" s="104">
        <f t="shared" si="19"/>
        <v>12.9</v>
      </c>
      <c r="E67" s="405">
        <f t="shared" si="17"/>
        <v>6.6488313680616864</v>
      </c>
      <c r="F67" s="103"/>
      <c r="G67" s="176">
        <f>+G27+G42</f>
        <v>43571232.937590003</v>
      </c>
      <c r="H67" s="176">
        <f>+H27+H42</f>
        <v>47438312.210620001</v>
      </c>
      <c r="I67" s="104">
        <f t="shared" si="20"/>
        <v>8.9</v>
      </c>
      <c r="J67" s="405">
        <f t="shared" si="18"/>
        <v>3.5959788745392087</v>
      </c>
      <c r="K67" s="139"/>
      <c r="L67" s="222">
        <f ca="1">L27+L42</f>
        <v>0</v>
      </c>
      <c r="M67" s="220">
        <f t="shared" ref="M67:O68" ca="1" si="26">+M27+M42</f>
        <v>0</v>
      </c>
      <c r="N67" s="222">
        <f t="shared" ca="1" si="26"/>
        <v>0</v>
      </c>
      <c r="O67" s="220">
        <f t="shared" ca="1" si="26"/>
        <v>0</v>
      </c>
      <c r="P67" s="206"/>
      <c r="Q67" s="206"/>
      <c r="R67" s="206"/>
      <c r="S67" s="182"/>
      <c r="T67" s="139"/>
    </row>
    <row r="68" spans="1:240" ht="18.75" customHeight="1" x14ac:dyDescent="0.3">
      <c r="A68" s="86" t="s">
        <v>101</v>
      </c>
      <c r="B68" s="103">
        <f>B43+B28</f>
        <v>16028787.226</v>
      </c>
      <c r="C68" s="103">
        <f>+C28+C43</f>
        <v>16412147.435210001</v>
      </c>
      <c r="D68" s="104">
        <f t="shared" si="19"/>
        <v>2.4</v>
      </c>
      <c r="E68" s="405">
        <f t="shared" si="17"/>
        <v>16.354970484652899</v>
      </c>
      <c r="F68" s="103"/>
      <c r="G68" s="176">
        <f>+G28+G43</f>
        <v>259102509.51446998</v>
      </c>
      <c r="H68" s="176">
        <f>+H28+H43</f>
        <v>274189782.03299999</v>
      </c>
      <c r="I68" s="104">
        <f t="shared" si="20"/>
        <v>5.8</v>
      </c>
      <c r="J68" s="405">
        <f t="shared" si="18"/>
        <v>20.784480262020097</v>
      </c>
      <c r="K68" s="139"/>
      <c r="L68" s="222">
        <f ca="1">L43+L28</f>
        <v>0</v>
      </c>
      <c r="M68" s="220">
        <f t="shared" ca="1" si="26"/>
        <v>0</v>
      </c>
      <c r="N68" s="222">
        <f t="shared" ca="1" si="26"/>
        <v>0</v>
      </c>
      <c r="O68" s="220">
        <f t="shared" ca="1" si="26"/>
        <v>0</v>
      </c>
      <c r="P68" s="206"/>
      <c r="Q68" s="206"/>
      <c r="R68" s="206"/>
      <c r="S68" s="182"/>
      <c r="T68" s="139"/>
    </row>
    <row r="69" spans="1:240" ht="18.75" customHeight="1" x14ac:dyDescent="0.3">
      <c r="A69" s="86" t="s">
        <v>102</v>
      </c>
      <c r="B69" s="103">
        <f>B29</f>
        <v>31971</v>
      </c>
      <c r="C69" s="103">
        <f>+C29</f>
        <v>22616</v>
      </c>
      <c r="D69" s="104">
        <f t="shared" si="19"/>
        <v>-29.3</v>
      </c>
      <c r="E69" s="405">
        <f t="shared" si="17"/>
        <v>2.2537209950196695E-2</v>
      </c>
      <c r="F69" s="103"/>
      <c r="G69" s="176"/>
      <c r="H69" s="176">
        <f>+H29</f>
        <v>0</v>
      </c>
      <c r="I69" s="104"/>
      <c r="J69" s="405">
        <f t="shared" si="18"/>
        <v>0</v>
      </c>
      <c r="K69" s="139"/>
      <c r="L69" s="222">
        <f ca="1">L29</f>
        <v>0</v>
      </c>
      <c r="M69" s="220">
        <f t="shared" ref="M69:O70" ca="1" si="27">+M29</f>
        <v>0</v>
      </c>
      <c r="N69" s="222">
        <f t="shared" ca="1" si="27"/>
        <v>0</v>
      </c>
      <c r="O69" s="220">
        <f t="shared" ca="1" si="27"/>
        <v>0</v>
      </c>
      <c r="P69" s="206"/>
      <c r="Q69" s="206"/>
      <c r="R69" s="206"/>
      <c r="S69" s="182"/>
      <c r="T69" s="139"/>
    </row>
    <row r="70" spans="1:240" ht="18.75" customHeight="1" x14ac:dyDescent="0.3">
      <c r="A70" s="86" t="s">
        <v>103</v>
      </c>
      <c r="B70" s="103">
        <f>B30</f>
        <v>512595.94180000003</v>
      </c>
      <c r="C70" s="103">
        <f>+C30</f>
        <v>525057.89627999999</v>
      </c>
      <c r="D70" s="104">
        <f t="shared" si="19"/>
        <v>2.4</v>
      </c>
      <c r="E70" s="405">
        <f t="shared" si="17"/>
        <v>0.52322868962110713</v>
      </c>
      <c r="F70" s="103"/>
      <c r="G70" s="176">
        <f>+G30</f>
        <v>0</v>
      </c>
      <c r="H70" s="176">
        <f>+H30</f>
        <v>0</v>
      </c>
      <c r="I70" s="104"/>
      <c r="J70" s="405">
        <f t="shared" si="18"/>
        <v>0</v>
      </c>
      <c r="K70" s="139"/>
      <c r="L70" s="222">
        <f ca="1">L30</f>
        <v>0</v>
      </c>
      <c r="M70" s="220">
        <f t="shared" ca="1" si="27"/>
        <v>0</v>
      </c>
      <c r="N70" s="222">
        <f t="shared" ca="1" si="27"/>
        <v>0</v>
      </c>
      <c r="O70" s="220">
        <f t="shared" ca="1" si="27"/>
        <v>0</v>
      </c>
      <c r="P70" s="206"/>
      <c r="Q70" s="206"/>
      <c r="R70" s="206"/>
      <c r="S70" s="182"/>
      <c r="T70" s="139"/>
    </row>
    <row r="71" spans="1:240" s="111" customFormat="1" ht="18.75" customHeight="1" x14ac:dyDescent="0.3">
      <c r="A71" s="113" t="s">
        <v>2</v>
      </c>
      <c r="B71" s="114">
        <f>SUM(B48:B70)</f>
        <v>92519022.91154556</v>
      </c>
      <c r="C71" s="114">
        <f>SUM(C48:C70)</f>
        <v>100349599.83945404</v>
      </c>
      <c r="D71" s="115">
        <f>IF(B71=0, "    ---- ", IF(ABS(ROUND(100/B71*C71-100,1))&lt;999,ROUND(100/B71*C71-100,1),IF(ROUND(100/B71*C71-100,1)&gt;999,999,-999)))</f>
        <v>8.5</v>
      </c>
      <c r="E71" s="408">
        <f>SUM(E48:E70)</f>
        <v>100</v>
      </c>
      <c r="F71" s="109"/>
      <c r="G71" s="181">
        <f>SUM(G48:G70)</f>
        <v>1265132418.7680907</v>
      </c>
      <c r="H71" s="181">
        <f>SUM(H48:H70)</f>
        <v>1319204418.7606297</v>
      </c>
      <c r="I71" s="115">
        <f>IF(G71=0, "    ---- ", IF(ABS(ROUND(100/G71*H71-100,1))&lt;999,ROUND(100/G71*H71-100,1),IF(ROUND(100/G71*H71-100,1)&gt;999,999,-999)))</f>
        <v>4.3</v>
      </c>
      <c r="J71" s="408">
        <f>SUM(J48:J70)</f>
        <v>99.999999999999986</v>
      </c>
      <c r="K71" s="179"/>
      <c r="L71" s="228">
        <f ca="1">SUM(L48:L70)</f>
        <v>0</v>
      </c>
      <c r="M71" s="229">
        <f ca="1">SUM(M48:M70)</f>
        <v>0</v>
      </c>
      <c r="N71" s="228">
        <f ca="1">SUM(N48:N70)</f>
        <v>0</v>
      </c>
      <c r="O71" s="229">
        <f ca="1">SUM(O48:O70)</f>
        <v>0</v>
      </c>
      <c r="P71" s="208"/>
      <c r="Q71" s="208"/>
      <c r="R71" s="208"/>
      <c r="S71" s="138"/>
      <c r="T71" s="179"/>
    </row>
    <row r="72" spans="1:240" ht="18.75" customHeight="1" x14ac:dyDescent="0.3">
      <c r="A72" s="112" t="s">
        <v>107</v>
      </c>
      <c r="B72" s="112"/>
      <c r="C72" s="112"/>
      <c r="D72" s="112"/>
      <c r="E72" s="112"/>
      <c r="F72" s="112"/>
      <c r="G72" s="112"/>
      <c r="H72" s="112"/>
      <c r="I72" s="112"/>
      <c r="J72" s="112"/>
      <c r="K72" s="112"/>
      <c r="L72" s="185"/>
      <c r="M72" s="185"/>
      <c r="N72" s="185"/>
      <c r="O72" s="185"/>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c r="ID72" s="112"/>
      <c r="IE72" s="112"/>
      <c r="IF72" s="112"/>
    </row>
    <row r="73" spans="1:240" ht="18.75" customHeight="1" x14ac:dyDescent="0.3">
      <c r="A73" s="74"/>
      <c r="B73" s="74"/>
      <c r="C73" s="74"/>
      <c r="D73" s="74"/>
      <c r="E73" s="74"/>
      <c r="F73" s="74"/>
      <c r="G73" s="74"/>
      <c r="H73" s="74"/>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7"/>
      <c r="C75" s="77"/>
      <c r="D75" s="74"/>
      <c r="E75" s="74"/>
      <c r="F75" s="74"/>
      <c r="G75" s="77"/>
      <c r="H75" s="77"/>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112"/>
      <c r="B97" s="112"/>
      <c r="C97" s="112"/>
      <c r="D97" s="112"/>
      <c r="E97" s="112"/>
      <c r="F97" s="112"/>
      <c r="G97" s="112"/>
      <c r="H97" s="112"/>
      <c r="I97" s="112"/>
      <c r="J97" s="112"/>
      <c r="K97" s="112"/>
    </row>
    <row r="98" spans="1:11" ht="18.75" x14ac:dyDescent="0.3">
      <c r="A98" s="116"/>
      <c r="B98" s="117"/>
      <c r="C98" s="117"/>
      <c r="D98" s="117"/>
      <c r="E98" s="74"/>
      <c r="F98" s="74"/>
      <c r="G98" s="74"/>
      <c r="H98" s="74"/>
      <c r="I98" s="74"/>
      <c r="J98" s="75"/>
      <c r="K98" s="75"/>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2" width="16.7109375" style="81" customWidth="1"/>
    <col min="3"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79</v>
      </c>
      <c r="B1" s="73" t="s">
        <v>52</v>
      </c>
      <c r="C1" s="74"/>
      <c r="D1" s="74"/>
      <c r="E1" s="74"/>
      <c r="F1" s="74"/>
      <c r="G1" s="74"/>
      <c r="H1" s="74"/>
      <c r="I1" s="74"/>
      <c r="J1" s="74"/>
      <c r="K1" s="74"/>
      <c r="L1" s="74"/>
      <c r="M1" s="74"/>
    </row>
    <row r="2" spans="1:13" ht="20.25" x14ac:dyDescent="0.3">
      <c r="A2" s="80" t="s">
        <v>108</v>
      </c>
      <c r="B2" s="73"/>
      <c r="C2" s="74"/>
      <c r="D2" s="74"/>
      <c r="E2" s="74"/>
      <c r="F2" s="74"/>
      <c r="G2" s="74"/>
      <c r="H2" s="74"/>
      <c r="I2" s="74"/>
      <c r="J2" s="74"/>
      <c r="K2" s="74"/>
      <c r="L2" s="74"/>
      <c r="M2" s="74"/>
    </row>
    <row r="3" spans="1:13" ht="18.75" x14ac:dyDescent="0.3">
      <c r="A3" s="75" t="s">
        <v>109</v>
      </c>
      <c r="B3" s="74"/>
      <c r="C3" s="74"/>
      <c r="D3" s="74"/>
      <c r="E3" s="74"/>
      <c r="F3" s="74"/>
      <c r="G3" s="74"/>
      <c r="H3" s="74"/>
      <c r="I3" s="74"/>
      <c r="J3" s="74"/>
      <c r="K3" s="74"/>
      <c r="L3" s="74"/>
      <c r="M3" s="74"/>
    </row>
    <row r="4" spans="1:13" ht="18.75" x14ac:dyDescent="0.3">
      <c r="A4" s="82" t="s">
        <v>371</v>
      </c>
      <c r="B4" s="102"/>
      <c r="C4" s="118"/>
      <c r="D4" s="119"/>
      <c r="E4" s="112"/>
      <c r="F4" s="83"/>
      <c r="G4" s="84"/>
      <c r="H4" s="85"/>
      <c r="I4" s="112"/>
      <c r="J4" s="83"/>
      <c r="K4" s="84"/>
      <c r="L4" s="85"/>
      <c r="M4" s="74"/>
    </row>
    <row r="5" spans="1:13" ht="18.75" x14ac:dyDescent="0.3">
      <c r="A5" s="120"/>
      <c r="B5" s="957" t="s">
        <v>0</v>
      </c>
      <c r="C5" s="958"/>
      <c r="D5" s="959"/>
      <c r="E5" s="89"/>
      <c r="F5" s="957" t="s">
        <v>1</v>
      </c>
      <c r="G5" s="958"/>
      <c r="H5" s="959"/>
      <c r="I5" s="121"/>
      <c r="J5" s="957" t="s">
        <v>110</v>
      </c>
      <c r="K5" s="958"/>
      <c r="L5" s="959"/>
      <c r="M5" s="74"/>
    </row>
    <row r="6" spans="1:13" ht="18.75" x14ac:dyDescent="0.3">
      <c r="A6" s="122"/>
      <c r="B6" s="123"/>
      <c r="C6" s="124"/>
      <c r="D6" s="94" t="s">
        <v>111</v>
      </c>
      <c r="E6" s="100"/>
      <c r="F6" s="123"/>
      <c r="G6" s="124"/>
      <c r="H6" s="94" t="s">
        <v>111</v>
      </c>
      <c r="I6" s="125"/>
      <c r="J6" s="123"/>
      <c r="K6" s="124"/>
      <c r="L6" s="94" t="s">
        <v>111</v>
      </c>
      <c r="M6" s="74"/>
    </row>
    <row r="7" spans="1:13" ht="18.75" x14ac:dyDescent="0.3">
      <c r="A7" s="126" t="s">
        <v>112</v>
      </c>
      <c r="B7" s="127">
        <v>2017</v>
      </c>
      <c r="C7" s="184">
        <v>2018</v>
      </c>
      <c r="D7" s="99" t="s">
        <v>85</v>
      </c>
      <c r="E7" s="100"/>
      <c r="F7" s="127">
        <v>2017</v>
      </c>
      <c r="G7" s="184">
        <v>2018</v>
      </c>
      <c r="H7" s="99" t="s">
        <v>85</v>
      </c>
      <c r="I7" s="128"/>
      <c r="J7" s="127">
        <v>2017</v>
      </c>
      <c r="K7" s="184">
        <v>2018</v>
      </c>
      <c r="L7" s="99" t="s">
        <v>85</v>
      </c>
      <c r="M7" s="74"/>
    </row>
    <row r="8" spans="1:13" ht="22.5" x14ac:dyDescent="0.3">
      <c r="A8" s="191" t="s">
        <v>113</v>
      </c>
      <c r="B8" s="231"/>
      <c r="C8" s="200"/>
      <c r="D8" s="200"/>
      <c r="E8" s="182"/>
      <c r="F8" s="200"/>
      <c r="G8" s="200"/>
      <c r="H8" s="200"/>
      <c r="I8" s="201"/>
      <c r="J8" s="200"/>
      <c r="K8" s="200"/>
      <c r="L8" s="200"/>
      <c r="M8" s="74"/>
    </row>
    <row r="9" spans="1:13" ht="18.75" x14ac:dyDescent="0.3">
      <c r="A9" s="192" t="s">
        <v>114</v>
      </c>
      <c r="B9" s="104">
        <f>'Skjema total MA'!B7</f>
        <v>4565810.9270592416</v>
      </c>
      <c r="C9" s="104">
        <f>'Skjema total MA'!C7</f>
        <v>4548818.24551873</v>
      </c>
      <c r="D9" s="232">
        <f>IF(B9=0, "    ---- ", IF(ABS(ROUND(100/B9*C9-100,1))&lt;999,ROUND(100/B9*C9-100,1),IF(ROUND(100/B9*C9-100,1)&gt;999,999,-999)))</f>
        <v>-0.4</v>
      </c>
      <c r="E9" s="182"/>
      <c r="F9" s="195">
        <f>'Skjema total MA'!E7</f>
        <v>8807598.1100199986</v>
      </c>
      <c r="G9" s="195">
        <f>'Skjema total MA'!F7</f>
        <v>7194932.5101800002</v>
      </c>
      <c r="H9" s="232">
        <f>IF(F9=0, "    ---- ", IF(ABS(ROUND(100/F9*G9-100,1))&lt;999,ROUND(100/F9*G9-100,1),IF(ROUND(100/F9*G9-100,1)&gt;999,999,-999)))</f>
        <v>-18.3</v>
      </c>
      <c r="I9" s="182"/>
      <c r="J9" s="195">
        <f t="shared" ref="J9:K60" si="0">SUM(B9+F9)</f>
        <v>13373409.037079241</v>
      </c>
      <c r="K9" s="195">
        <f t="shared" si="0"/>
        <v>11743750.755698729</v>
      </c>
      <c r="L9" s="230">
        <f>IF(J9=0, "    ---- ", IF(ABS(ROUND(100/J9*K9-100,1))&lt;999,ROUND(100/J9*K9-100,1),IF(ROUND(100/J9*K9-100,1)&gt;999,999,-999)))</f>
        <v>-12.2</v>
      </c>
      <c r="M9" s="74"/>
    </row>
    <row r="10" spans="1:13" ht="18.75" x14ac:dyDescent="0.3">
      <c r="A10" s="192" t="s">
        <v>115</v>
      </c>
      <c r="B10" s="104">
        <f>'Skjema total MA'!B22</f>
        <v>1674027.4261463138</v>
      </c>
      <c r="C10" s="104">
        <f>'Skjema total MA'!C22</f>
        <v>1581549.7813167991</v>
      </c>
      <c r="D10" s="232">
        <f t="shared" ref="D10:D17" si="1">IF(B10=0, "    ---- ", IF(ABS(ROUND(100/B10*C10-100,1))&lt;999,ROUND(100/B10*C10-100,1),IF(ROUND(100/B10*C10-100,1)&gt;999,999,-999)))</f>
        <v>-5.5</v>
      </c>
      <c r="E10" s="182"/>
      <c r="F10" s="195">
        <f>'Skjema total MA'!E22</f>
        <v>1160340.67075</v>
      </c>
      <c r="G10" s="195">
        <f>'Skjema total MA'!F22</f>
        <v>1272183.97545</v>
      </c>
      <c r="H10" s="232">
        <f t="shared" ref="H10:H57" si="2">IF(F10=0, "    ---- ", IF(ABS(ROUND(100/F10*G10-100,1))&lt;999,ROUND(100/F10*G10-100,1),IF(ROUND(100/F10*G10-100,1)&gt;999,999,-999)))</f>
        <v>9.6</v>
      </c>
      <c r="I10" s="182"/>
      <c r="J10" s="195">
        <f t="shared" si="0"/>
        <v>2834368.0968963141</v>
      </c>
      <c r="K10" s="195">
        <f t="shared" si="0"/>
        <v>2853733.7567667989</v>
      </c>
      <c r="L10" s="230">
        <f t="shared" ref="L10:L60" si="3">IF(J10=0, "    ---- ", IF(ABS(ROUND(100/J10*K10-100,1))&lt;999,ROUND(100/J10*K10-100,1),IF(ROUND(100/J10*K10-100,1)&gt;999,999,-999)))</f>
        <v>0.7</v>
      </c>
      <c r="M10" s="74"/>
    </row>
    <row r="11" spans="1:13" ht="18.75" x14ac:dyDescent="0.3">
      <c r="A11" s="192" t="s">
        <v>116</v>
      </c>
      <c r="B11" s="104">
        <f>'Skjema total MA'!B47</f>
        <v>3808584.1414100002</v>
      </c>
      <c r="C11" s="104">
        <f>'Skjema total MA'!C47</f>
        <v>4197749.6637307834</v>
      </c>
      <c r="D11" s="232">
        <f t="shared" si="1"/>
        <v>10.199999999999999</v>
      </c>
      <c r="E11" s="182"/>
      <c r="F11" s="195"/>
      <c r="G11" s="195"/>
      <c r="H11" s="232"/>
      <c r="I11" s="182"/>
      <c r="J11" s="195">
        <f t="shared" si="0"/>
        <v>3808584.1414100002</v>
      </c>
      <c r="K11" s="195">
        <f t="shared" si="0"/>
        <v>4197749.6637307834</v>
      </c>
      <c r="L11" s="230">
        <f t="shared" si="3"/>
        <v>10.199999999999999</v>
      </c>
      <c r="M11" s="74"/>
    </row>
    <row r="12" spans="1:13" ht="18.75" x14ac:dyDescent="0.3">
      <c r="A12" s="192" t="s">
        <v>117</v>
      </c>
      <c r="B12" s="104">
        <f>'Skjema total MA'!B66</f>
        <v>9363848.7994400002</v>
      </c>
      <c r="C12" s="104">
        <f>'Skjema total MA'!C66</f>
        <v>8827978.527449999</v>
      </c>
      <c r="D12" s="232">
        <f t="shared" si="1"/>
        <v>-5.7</v>
      </c>
      <c r="E12" s="182"/>
      <c r="F12" s="195">
        <f>'Skjema total MA'!E66</f>
        <v>26706849.604289997</v>
      </c>
      <c r="G12" s="195">
        <f>'Skjema total MA'!F66</f>
        <v>28954658.446547724</v>
      </c>
      <c r="H12" s="232">
        <f t="shared" si="2"/>
        <v>8.4</v>
      </c>
      <c r="I12" s="182"/>
      <c r="J12" s="195">
        <f t="shared" si="0"/>
        <v>36070698.403729998</v>
      </c>
      <c r="K12" s="195">
        <f t="shared" si="0"/>
        <v>37782636.973997727</v>
      </c>
      <c r="L12" s="230">
        <f t="shared" si="3"/>
        <v>4.7</v>
      </c>
      <c r="M12" s="74"/>
    </row>
    <row r="13" spans="1:13" ht="18.75" x14ac:dyDescent="0.3">
      <c r="A13" s="192" t="s">
        <v>118</v>
      </c>
      <c r="B13" s="104">
        <f>'Skjema total MA'!B68</f>
        <v>159180.18598000001</v>
      </c>
      <c r="C13" s="104">
        <f>'Skjema total MA'!C68</f>
        <v>149078.27249</v>
      </c>
      <c r="D13" s="232">
        <f t="shared" si="1"/>
        <v>-6.3</v>
      </c>
      <c r="E13" s="182"/>
      <c r="F13" s="195">
        <f>'Skjema total MA'!E68</f>
        <v>26409193.016629998</v>
      </c>
      <c r="G13" s="195">
        <f>'Skjema total MA'!F68</f>
        <v>28548246.69539772</v>
      </c>
      <c r="H13" s="232">
        <f t="shared" si="2"/>
        <v>8.1</v>
      </c>
      <c r="I13" s="182"/>
      <c r="J13" s="195">
        <f t="shared" si="0"/>
        <v>26568373.202609997</v>
      </c>
      <c r="K13" s="195">
        <f t="shared" si="0"/>
        <v>28697324.967887718</v>
      </c>
      <c r="L13" s="230">
        <f t="shared" si="3"/>
        <v>8</v>
      </c>
      <c r="M13" s="74"/>
    </row>
    <row r="14" spans="1:13" s="133" customFormat="1" ht="18.75" x14ac:dyDescent="0.3">
      <c r="A14" s="193" t="s">
        <v>119</v>
      </c>
      <c r="B14" s="131">
        <f>'Skjema total MA'!B75</f>
        <v>268370.77656999999</v>
      </c>
      <c r="C14" s="131">
        <f>'Skjema total MA'!C75</f>
        <v>322673.74612999998</v>
      </c>
      <c r="D14" s="232">
        <f t="shared" si="1"/>
        <v>20.2</v>
      </c>
      <c r="E14" s="183"/>
      <c r="F14" s="196">
        <f>'Skjema total MA'!E75</f>
        <v>297656.58766000002</v>
      </c>
      <c r="G14" s="196">
        <f>'Skjema total MA'!F75</f>
        <v>406411.75115000003</v>
      </c>
      <c r="H14" s="232">
        <f t="shared" si="2"/>
        <v>36.5</v>
      </c>
      <c r="I14" s="183"/>
      <c r="J14" s="195">
        <f t="shared" si="0"/>
        <v>566027.36422999995</v>
      </c>
      <c r="K14" s="195">
        <f t="shared" si="0"/>
        <v>729085.49728000001</v>
      </c>
      <c r="L14" s="230">
        <f t="shared" si="3"/>
        <v>28.8</v>
      </c>
      <c r="M14" s="132"/>
    </row>
    <row r="15" spans="1:13" ht="22.5" x14ac:dyDescent="0.3">
      <c r="A15" s="192" t="s">
        <v>360</v>
      </c>
      <c r="B15" s="104">
        <f>'Skjema total MA'!B134</f>
        <v>36286197.788429998</v>
      </c>
      <c r="C15" s="104">
        <f>'Skjema total MA'!C134</f>
        <v>43607514.193259999</v>
      </c>
      <c r="D15" s="232">
        <f t="shared" si="1"/>
        <v>20.2</v>
      </c>
      <c r="E15" s="182"/>
      <c r="F15" s="195">
        <f>'Skjema total MA'!E134</f>
        <v>130226.34600000001</v>
      </c>
      <c r="G15" s="195">
        <f>'Skjema total MA'!F134</f>
        <v>148957.79199999999</v>
      </c>
      <c r="H15" s="232">
        <f t="shared" si="2"/>
        <v>14.4</v>
      </c>
      <c r="I15" s="182"/>
      <c r="J15" s="195">
        <f t="shared" si="0"/>
        <v>36416424.134429999</v>
      </c>
      <c r="K15" s="195">
        <f t="shared" si="0"/>
        <v>43756471.985260002</v>
      </c>
      <c r="L15" s="230">
        <f t="shared" si="3"/>
        <v>20.2</v>
      </c>
      <c r="M15" s="74"/>
    </row>
    <row r="16" spans="1:13" ht="18.75" x14ac:dyDescent="0.3">
      <c r="A16" s="192" t="s">
        <v>120</v>
      </c>
      <c r="B16" s="104">
        <f>'Skjema total MA'!B36</f>
        <v>15539.098</v>
      </c>
      <c r="C16" s="104">
        <f>'Skjema total MA'!C36</f>
        <v>15256.704</v>
      </c>
      <c r="D16" s="232">
        <f t="shared" si="1"/>
        <v>-1.8</v>
      </c>
      <c r="E16" s="182"/>
      <c r="F16" s="195">
        <f>'Skjema total MA'!E36</f>
        <v>0</v>
      </c>
      <c r="G16" s="195">
        <f>'Skjema total MA'!F36</f>
        <v>0</v>
      </c>
      <c r="H16" s="232"/>
      <c r="I16" s="182"/>
      <c r="J16" s="195">
        <f t="shared" si="0"/>
        <v>15539.098</v>
      </c>
      <c r="K16" s="195">
        <f t="shared" si="0"/>
        <v>15256.704</v>
      </c>
      <c r="L16" s="230">
        <f t="shared" si="3"/>
        <v>-1.8</v>
      </c>
      <c r="M16" s="74"/>
    </row>
    <row r="17" spans="1:23" s="135" customFormat="1" ht="18.75" customHeight="1" x14ac:dyDescent="0.3">
      <c r="A17" s="137" t="s">
        <v>121</v>
      </c>
      <c r="B17" s="110">
        <f>'Tabel 1.1'!B31</f>
        <v>55714008.180485554</v>
      </c>
      <c r="C17" s="197">
        <f>'Tabel 1.1'!C31</f>
        <v>62778867.115276307</v>
      </c>
      <c r="D17" s="232">
        <f t="shared" si="1"/>
        <v>12.7</v>
      </c>
      <c r="E17" s="138"/>
      <c r="F17" s="197">
        <f>'Tabel 1.1'!B44</f>
        <v>36805014.731059998</v>
      </c>
      <c r="G17" s="197">
        <f>'Tabel 1.1'!C44</f>
        <v>37570732.724177718</v>
      </c>
      <c r="H17" s="232">
        <f t="shared" si="2"/>
        <v>2.1</v>
      </c>
      <c r="I17" s="138"/>
      <c r="J17" s="197">
        <f t="shared" si="0"/>
        <v>92519022.911545545</v>
      </c>
      <c r="K17" s="197">
        <f t="shared" si="0"/>
        <v>100349599.83945403</v>
      </c>
      <c r="L17" s="230">
        <f t="shared" si="3"/>
        <v>8.5</v>
      </c>
      <c r="M17" s="75"/>
      <c r="N17" s="134"/>
      <c r="O17" s="134"/>
      <c r="Q17" s="136"/>
      <c r="R17" s="136"/>
      <c r="S17" s="136"/>
      <c r="T17" s="136"/>
      <c r="U17" s="136"/>
      <c r="V17" s="136"/>
      <c r="W17" s="136"/>
    </row>
    <row r="18" spans="1:23" ht="18.75" customHeight="1" x14ac:dyDescent="0.3">
      <c r="A18" s="137"/>
      <c r="B18" s="104"/>
      <c r="C18" s="195"/>
      <c r="D18" s="195"/>
      <c r="E18" s="182"/>
      <c r="F18" s="195"/>
      <c r="G18" s="195"/>
      <c r="H18" s="232"/>
      <c r="I18" s="182"/>
      <c r="J18" s="195"/>
      <c r="K18" s="195"/>
      <c r="L18" s="230"/>
      <c r="M18" s="74"/>
    </row>
    <row r="19" spans="1:23" ht="18.75" customHeight="1" x14ac:dyDescent="0.3">
      <c r="A19" s="191" t="s">
        <v>361</v>
      </c>
      <c r="B19" s="199"/>
      <c r="C19" s="202"/>
      <c r="D19" s="195"/>
      <c r="E19" s="182"/>
      <c r="F19" s="202"/>
      <c r="G19" s="202"/>
      <c r="H19" s="232"/>
      <c r="I19" s="182"/>
      <c r="J19" s="195"/>
      <c r="K19" s="195"/>
      <c r="L19" s="230"/>
      <c r="M19" s="74"/>
    </row>
    <row r="20" spans="1:23" ht="18.75" customHeight="1" x14ac:dyDescent="0.3">
      <c r="A20" s="192" t="s">
        <v>114</v>
      </c>
      <c r="B20" s="104">
        <f>'Skjema total MA'!B10</f>
        <v>23857419.490009896</v>
      </c>
      <c r="C20" s="104">
        <f>'Skjema total MA'!C10</f>
        <v>22460268.525717266</v>
      </c>
      <c r="D20" s="232">
        <f>IF(B20=0, "    ---- ", IF(ABS(ROUND(100/B20*C20-100,1))&lt;999,ROUND(100/B20*C20-100,1),IF(ROUND(100/B20*C20-100,1)&gt;999,999,-999)))</f>
        <v>-5.9</v>
      </c>
      <c r="E20" s="182"/>
      <c r="F20" s="195">
        <f>'Skjema total MA'!E10</f>
        <v>42280226.7167724</v>
      </c>
      <c r="G20" s="195">
        <f>'Skjema total MA'!F10</f>
        <v>41671357.724664405</v>
      </c>
      <c r="H20" s="232">
        <f t="shared" si="2"/>
        <v>-1.4</v>
      </c>
      <c r="I20" s="182"/>
      <c r="J20" s="195">
        <f t="shared" si="0"/>
        <v>66137646.206782296</v>
      </c>
      <c r="K20" s="195">
        <f t="shared" si="0"/>
        <v>64131626.250381671</v>
      </c>
      <c r="L20" s="230">
        <f t="shared" si="3"/>
        <v>-3</v>
      </c>
      <c r="M20" s="74"/>
    </row>
    <row r="21" spans="1:23" ht="18.75" customHeight="1" x14ac:dyDescent="0.3">
      <c r="A21" s="192" t="s">
        <v>115</v>
      </c>
      <c r="B21" s="104">
        <f>'Skjema total MA'!B29</f>
        <v>49526631.157240003</v>
      </c>
      <c r="C21" s="104">
        <f>'Skjema total MA'!C29</f>
        <v>47908918.416100003</v>
      </c>
      <c r="D21" s="232">
        <f t="shared" ref="D21:D27" si="4">IF(B21=0, "    ---- ", IF(ABS(ROUND(100/B21*C21-100,1))&lt;999,ROUND(100/B21*C21-100,1),IF(ROUND(100/B21*C21-100,1)&gt;999,999,-999)))</f>
        <v>-3.3</v>
      </c>
      <c r="E21" s="182"/>
      <c r="F21" s="195">
        <f>'Skjema total MA'!E29</f>
        <v>20710688.607039999</v>
      </c>
      <c r="G21" s="195">
        <f>'Skjema total MA'!F29</f>
        <v>19102638.233150002</v>
      </c>
      <c r="H21" s="232">
        <f t="shared" si="2"/>
        <v>-7.8</v>
      </c>
      <c r="I21" s="182"/>
      <c r="J21" s="195">
        <f t="shared" si="0"/>
        <v>70237319.764280006</v>
      </c>
      <c r="K21" s="195">
        <f t="shared" si="0"/>
        <v>67011556.649250001</v>
      </c>
      <c r="L21" s="230">
        <f t="shared" si="3"/>
        <v>-4.5999999999999996</v>
      </c>
      <c r="M21" s="74"/>
    </row>
    <row r="22" spans="1:23" ht="18.75" x14ac:dyDescent="0.3">
      <c r="A22" s="192" t="s">
        <v>117</v>
      </c>
      <c r="B22" s="104">
        <f>'Skjema total MA'!B87</f>
        <v>381365364.22175068</v>
      </c>
      <c r="C22" s="104">
        <f>'Skjema total MA'!C87</f>
        <v>386300595.53110218</v>
      </c>
      <c r="D22" s="232">
        <f t="shared" si="4"/>
        <v>1.3</v>
      </c>
      <c r="E22" s="182"/>
      <c r="F22" s="195">
        <f>'Skjema total MA'!E87</f>
        <v>223725591.47072756</v>
      </c>
      <c r="G22" s="195">
        <f>'Skjema total MA'!F87</f>
        <v>246310125.87968564</v>
      </c>
      <c r="H22" s="232">
        <f t="shared" si="2"/>
        <v>10.1</v>
      </c>
      <c r="I22" s="182"/>
      <c r="J22" s="195">
        <f t="shared" si="0"/>
        <v>605090955.69247818</v>
      </c>
      <c r="K22" s="195">
        <f t="shared" si="0"/>
        <v>632610721.41078782</v>
      </c>
      <c r="L22" s="230">
        <f t="shared" si="3"/>
        <v>4.5</v>
      </c>
      <c r="M22" s="74"/>
    </row>
    <row r="23" spans="1:23" ht="22.5" x14ac:dyDescent="0.3">
      <c r="A23" s="192" t="s">
        <v>122</v>
      </c>
      <c r="B23" s="104">
        <f>'Skjema total MA'!B89</f>
        <v>2514737.3594</v>
      </c>
      <c r="C23" s="104">
        <f>'Skjema total MA'!C89</f>
        <v>2719861.9205399998</v>
      </c>
      <c r="D23" s="232">
        <f t="shared" si="4"/>
        <v>8.1999999999999993</v>
      </c>
      <c r="E23" s="182"/>
      <c r="F23" s="195">
        <f>'Skjema total MA'!E89</f>
        <v>223026656.68964756</v>
      </c>
      <c r="G23" s="195">
        <f>'Skjema total MA'!F89</f>
        <v>245299127.69542563</v>
      </c>
      <c r="H23" s="232">
        <f t="shared" si="2"/>
        <v>10</v>
      </c>
      <c r="I23" s="182"/>
      <c r="J23" s="195">
        <f t="shared" si="0"/>
        <v>225541394.04904756</v>
      </c>
      <c r="K23" s="195">
        <f t="shared" si="0"/>
        <v>248018989.61596563</v>
      </c>
      <c r="L23" s="230">
        <f t="shared" si="3"/>
        <v>10</v>
      </c>
      <c r="M23" s="74"/>
    </row>
    <row r="24" spans="1:23" ht="18.75" x14ac:dyDescent="0.3">
      <c r="A24" s="193" t="s">
        <v>119</v>
      </c>
      <c r="B24" s="104">
        <f>'Skjema total MA'!B96</f>
        <v>473381.06141999998</v>
      </c>
      <c r="C24" s="104">
        <f>'Skjema total MA'!C96</f>
        <v>839685.03784</v>
      </c>
      <c r="D24" s="232">
        <f t="shared" si="4"/>
        <v>77.400000000000006</v>
      </c>
      <c r="E24" s="182"/>
      <c r="F24" s="195">
        <f>'Skjema total MA'!E96</f>
        <v>698934.78107999999</v>
      </c>
      <c r="G24" s="195">
        <f>'Skjema total MA'!F96</f>
        <v>1010998.18426</v>
      </c>
      <c r="H24" s="232">
        <f t="shared" si="2"/>
        <v>44.6</v>
      </c>
      <c r="I24" s="182"/>
      <c r="J24" s="195">
        <f t="shared" si="0"/>
        <v>1172315.8425</v>
      </c>
      <c r="K24" s="195">
        <f t="shared" si="0"/>
        <v>1850683.2220999999</v>
      </c>
      <c r="L24" s="230">
        <f t="shared" si="3"/>
        <v>57.9</v>
      </c>
      <c r="M24" s="74"/>
    </row>
    <row r="25" spans="1:23" ht="22.5" x14ac:dyDescent="0.3">
      <c r="A25" s="192" t="s">
        <v>360</v>
      </c>
      <c r="B25" s="104">
        <f>'Skjema total MA'!B135</f>
        <v>517363092.28539997</v>
      </c>
      <c r="C25" s="104">
        <f>'Skjema total MA'!C135</f>
        <v>549293662.85705996</v>
      </c>
      <c r="D25" s="232">
        <f t="shared" si="4"/>
        <v>6.2</v>
      </c>
      <c r="E25" s="182"/>
      <c r="F25" s="195">
        <f>'Skjema total MA'!E135</f>
        <v>2373955.5961500001</v>
      </c>
      <c r="G25" s="195">
        <f>'Skjema total MA'!F135</f>
        <v>2418695.24015</v>
      </c>
      <c r="H25" s="232">
        <f t="shared" si="2"/>
        <v>1.9</v>
      </c>
      <c r="I25" s="182"/>
      <c r="J25" s="195">
        <f t="shared" si="0"/>
        <v>519737047.88154995</v>
      </c>
      <c r="K25" s="195">
        <f t="shared" si="0"/>
        <v>551712358.09720993</v>
      </c>
      <c r="L25" s="230">
        <f t="shared" si="3"/>
        <v>6.2</v>
      </c>
      <c r="M25" s="74"/>
    </row>
    <row r="26" spans="1:23" ht="18.75" x14ac:dyDescent="0.3">
      <c r="A26" s="192" t="s">
        <v>120</v>
      </c>
      <c r="B26" s="104">
        <f>'Skjema total MA'!B37</f>
        <v>3929449.2230000002</v>
      </c>
      <c r="C26" s="104">
        <f>'Skjema total MA'!C37</f>
        <v>3738156.3530000001</v>
      </c>
      <c r="D26" s="232">
        <f t="shared" si="4"/>
        <v>-4.9000000000000004</v>
      </c>
      <c r="E26" s="182"/>
      <c r="F26" s="195">
        <f>'Skjema total MA'!E37</f>
        <v>0</v>
      </c>
      <c r="G26" s="195">
        <f>'Skjema total MA'!F37</f>
        <v>0</v>
      </c>
      <c r="H26" s="232"/>
      <c r="I26" s="182"/>
      <c r="J26" s="195">
        <f t="shared" si="0"/>
        <v>3929449.2230000002</v>
      </c>
      <c r="K26" s="195">
        <f t="shared" si="0"/>
        <v>3738156.3530000001</v>
      </c>
      <c r="L26" s="230">
        <f t="shared" si="3"/>
        <v>-4.9000000000000004</v>
      </c>
      <c r="M26" s="74"/>
    </row>
    <row r="27" spans="1:23" s="135" customFormat="1" ht="18.75" x14ac:dyDescent="0.3">
      <c r="A27" s="137" t="s">
        <v>123</v>
      </c>
      <c r="B27" s="110">
        <f>'Tabel 1.1'!G31</f>
        <v>976041956.37740052</v>
      </c>
      <c r="C27" s="197">
        <f>'Tabel 1.1'!H31</f>
        <v>1009701601.6829795</v>
      </c>
      <c r="D27" s="232">
        <f t="shared" si="4"/>
        <v>3.4</v>
      </c>
      <c r="E27" s="138"/>
      <c r="F27" s="197">
        <f>'Tabel 1.1'!G44</f>
        <v>289090462.39068997</v>
      </c>
      <c r="G27" s="197">
        <f>'Tabel 1.1'!H44</f>
        <v>309502817.07765007</v>
      </c>
      <c r="H27" s="232">
        <f t="shared" si="2"/>
        <v>7.1</v>
      </c>
      <c r="I27" s="138"/>
      <c r="J27" s="197">
        <f t="shared" si="0"/>
        <v>1265132418.7680905</v>
      </c>
      <c r="K27" s="197">
        <f t="shared" si="0"/>
        <v>1319204418.7606297</v>
      </c>
      <c r="L27" s="230">
        <f t="shared" si="3"/>
        <v>4.3</v>
      </c>
      <c r="M27" s="75"/>
      <c r="N27" s="134"/>
      <c r="O27" s="134"/>
    </row>
    <row r="28" spans="1:23" ht="18.75" x14ac:dyDescent="0.3">
      <c r="A28" s="137"/>
      <c r="B28" s="104"/>
      <c r="C28" s="195"/>
      <c r="D28" s="232"/>
      <c r="E28" s="182"/>
      <c r="F28" s="195"/>
      <c r="G28" s="195"/>
      <c r="H28" s="232"/>
      <c r="I28" s="182"/>
      <c r="J28" s="195">
        <f t="shared" si="0"/>
        <v>0</v>
      </c>
      <c r="K28" s="195">
        <f t="shared" si="0"/>
        <v>0</v>
      </c>
      <c r="L28" s="230"/>
      <c r="M28" s="74"/>
    </row>
    <row r="29" spans="1:23" ht="22.5" x14ac:dyDescent="0.3">
      <c r="A29" s="191" t="s">
        <v>362</v>
      </c>
      <c r="B29" s="199"/>
      <c r="C29" s="202"/>
      <c r="D29" s="195"/>
      <c r="E29" s="182"/>
      <c r="F29" s="195"/>
      <c r="G29" s="195"/>
      <c r="H29" s="232"/>
      <c r="I29" s="182"/>
      <c r="J29" s="195"/>
      <c r="K29" s="195"/>
      <c r="L29" s="230"/>
      <c r="M29" s="74"/>
    </row>
    <row r="30" spans="1:23" ht="18.75" x14ac:dyDescent="0.3">
      <c r="A30" s="192" t="s">
        <v>114</v>
      </c>
      <c r="B30" s="104">
        <f>'Skjema total MA'!B11</f>
        <v>95526</v>
      </c>
      <c r="C30" s="104">
        <f>'Skjema total MA'!C11</f>
        <v>25116</v>
      </c>
      <c r="D30" s="232">
        <f>IF(B30=0, "    ---- ", IF(ABS(ROUND(100/B30*C30-100,1))&lt;999,ROUND(100/B30*C30-100,1),IF(ROUND(100/B30*C30-100,1)&gt;999,999,-999)))</f>
        <v>-73.7</v>
      </c>
      <c r="E30" s="182"/>
      <c r="F30" s="195">
        <f>'Skjema total MA'!E11</f>
        <v>264162.92132000002</v>
      </c>
      <c r="G30" s="195">
        <f>'Skjema total MA'!F11</f>
        <v>291117.74226000003</v>
      </c>
      <c r="H30" s="232">
        <f t="shared" si="2"/>
        <v>10.199999999999999</v>
      </c>
      <c r="I30" s="182"/>
      <c r="J30" s="195">
        <f t="shared" si="0"/>
        <v>359688.92132000002</v>
      </c>
      <c r="K30" s="195">
        <f t="shared" si="0"/>
        <v>316233.74226000003</v>
      </c>
      <c r="L30" s="230">
        <f t="shared" si="3"/>
        <v>-12.1</v>
      </c>
      <c r="M30" s="74"/>
    </row>
    <row r="31" spans="1:23" ht="18.75" x14ac:dyDescent="0.3">
      <c r="A31" s="192" t="s">
        <v>115</v>
      </c>
      <c r="B31" s="104">
        <f>'Skjema total MA'!B34</f>
        <v>40930.623200000002</v>
      </c>
      <c r="C31" s="104">
        <f>'Skjema total MA'!C34</f>
        <v>28123.286410000001</v>
      </c>
      <c r="D31" s="232">
        <f t="shared" ref="D31:D38" si="5">IF(B31=0, "    ---- ", IF(ABS(ROUND(100/B31*C31-100,1))&lt;999,ROUND(100/B31*C31-100,1),IF(ROUND(100/B31*C31-100,1)&gt;999,999,-999)))</f>
        <v>-31.3</v>
      </c>
      <c r="E31" s="182"/>
      <c r="F31" s="195">
        <f>'Skjema total MA'!E34</f>
        <v>18121.116519999996</v>
      </c>
      <c r="G31" s="195">
        <f>'Skjema total MA'!F34</f>
        <v>75875.299440000003</v>
      </c>
      <c r="H31" s="232">
        <f t="shared" si="2"/>
        <v>318.7</v>
      </c>
      <c r="I31" s="182"/>
      <c r="J31" s="195">
        <f t="shared" si="0"/>
        <v>59051.739719999998</v>
      </c>
      <c r="K31" s="195">
        <f t="shared" si="0"/>
        <v>103998.58585</v>
      </c>
      <c r="L31" s="230">
        <f t="shared" si="3"/>
        <v>76.099999999999994</v>
      </c>
      <c r="M31" s="74"/>
    </row>
    <row r="32" spans="1:23" ht="18.75" x14ac:dyDescent="0.3">
      <c r="A32" s="192" t="s">
        <v>117</v>
      </c>
      <c r="B32" s="104">
        <f>'Skjema total MA'!B111</f>
        <v>550777.30860999995</v>
      </c>
      <c r="C32" s="104">
        <f>'Skjema total MA'!C111</f>
        <v>539848.83570000005</v>
      </c>
      <c r="D32" s="232">
        <f t="shared" si="5"/>
        <v>-2</v>
      </c>
      <c r="E32" s="182"/>
      <c r="F32" s="195">
        <f>'Skjema total MA'!E111</f>
        <v>9597634.8014000002</v>
      </c>
      <c r="G32" s="195">
        <f>'Skjema total MA'!F111</f>
        <v>12496971.152389999</v>
      </c>
      <c r="H32" s="232">
        <f t="shared" si="2"/>
        <v>30.2</v>
      </c>
      <c r="I32" s="182"/>
      <c r="J32" s="195">
        <f t="shared" si="0"/>
        <v>10148412.11001</v>
      </c>
      <c r="K32" s="195">
        <f t="shared" si="0"/>
        <v>13036819.988089999</v>
      </c>
      <c r="L32" s="230">
        <f t="shared" si="3"/>
        <v>28.5</v>
      </c>
      <c r="M32" s="74"/>
    </row>
    <row r="33" spans="1:15" ht="22.5" x14ac:dyDescent="0.3">
      <c r="A33" s="192" t="s">
        <v>360</v>
      </c>
      <c r="B33" s="104">
        <f>'Skjema total MA'!B136</f>
        <v>272334.42499999999</v>
      </c>
      <c r="C33" s="104">
        <f>'Skjema total MA'!C136</f>
        <v>318088.91600000003</v>
      </c>
      <c r="D33" s="232">
        <f t="shared" si="5"/>
        <v>16.8</v>
      </c>
      <c r="E33" s="182"/>
      <c r="F33" s="195">
        <f>'Skjema total MA'!E136</f>
        <v>25235.127</v>
      </c>
      <c r="G33" s="195">
        <f>'Skjema total MA'!F136</f>
        <v>-10.804</v>
      </c>
      <c r="H33" s="232">
        <f t="shared" si="2"/>
        <v>-100</v>
      </c>
      <c r="I33" s="182"/>
      <c r="J33" s="195">
        <f t="shared" si="0"/>
        <v>297569.55199999997</v>
      </c>
      <c r="K33" s="195">
        <f t="shared" si="0"/>
        <v>318078.11200000002</v>
      </c>
      <c r="L33" s="230">
        <f t="shared" si="3"/>
        <v>6.9</v>
      </c>
      <c r="M33" s="74"/>
    </row>
    <row r="34" spans="1:15" ht="18.75" x14ac:dyDescent="0.3">
      <c r="A34" s="192" t="s">
        <v>120</v>
      </c>
      <c r="B34" s="104">
        <f>'Skjema total MA'!B38</f>
        <v>0</v>
      </c>
      <c r="C34" s="104">
        <f>'Skjema total MA'!C38</f>
        <v>611</v>
      </c>
      <c r="D34" s="232" t="str">
        <f t="shared" si="5"/>
        <v xml:space="preserve">    ---- </v>
      </c>
      <c r="E34" s="182"/>
      <c r="F34" s="195">
        <f>'Skjema total MA'!E38</f>
        <v>0</v>
      </c>
      <c r="G34" s="195">
        <f>'Skjema total MA'!F38</f>
        <v>0</v>
      </c>
      <c r="H34" s="232"/>
      <c r="I34" s="182"/>
      <c r="J34" s="195">
        <f t="shared" si="0"/>
        <v>0</v>
      </c>
      <c r="K34" s="195">
        <f t="shared" si="0"/>
        <v>611</v>
      </c>
      <c r="L34" s="230" t="str">
        <f t="shared" si="3"/>
        <v xml:space="preserve">    ---- </v>
      </c>
      <c r="M34" s="74"/>
    </row>
    <row r="35" spans="1:15" s="135" customFormat="1" ht="18.75" x14ac:dyDescent="0.3">
      <c r="A35" s="137" t="s">
        <v>124</v>
      </c>
      <c r="B35" s="110">
        <f>SUM(B30:B34)</f>
        <v>959568.35681000003</v>
      </c>
      <c r="C35" s="197">
        <f>SUM(C30:C34)</f>
        <v>911788.03811000008</v>
      </c>
      <c r="D35" s="232">
        <f t="shared" si="5"/>
        <v>-5</v>
      </c>
      <c r="E35" s="138"/>
      <c r="F35" s="197">
        <f>SUM(F30:F34)</f>
        <v>9905153.96624</v>
      </c>
      <c r="G35" s="197">
        <f>SUM(G30:G34)</f>
        <v>12863953.39009</v>
      </c>
      <c r="H35" s="232">
        <f t="shared" si="2"/>
        <v>29.9</v>
      </c>
      <c r="I35" s="138"/>
      <c r="J35" s="197">
        <f t="shared" si="0"/>
        <v>10864722.32305</v>
      </c>
      <c r="K35" s="197">
        <f t="shared" si="0"/>
        <v>13775741.428199999</v>
      </c>
      <c r="L35" s="230">
        <f t="shared" si="3"/>
        <v>26.8</v>
      </c>
      <c r="M35" s="75"/>
    </row>
    <row r="36" spans="1:15" ht="18.75" x14ac:dyDescent="0.3">
      <c r="A36" s="137"/>
      <c r="B36" s="110"/>
      <c r="C36" s="197"/>
      <c r="D36" s="232"/>
      <c r="E36" s="138"/>
      <c r="F36" s="197"/>
      <c r="G36" s="197"/>
      <c r="H36" s="232"/>
      <c r="I36" s="138"/>
      <c r="J36" s="195"/>
      <c r="K36" s="195"/>
      <c r="L36" s="230"/>
      <c r="M36" s="74"/>
    </row>
    <row r="37" spans="1:15" ht="22.5" x14ac:dyDescent="0.3">
      <c r="A37" s="137" t="s">
        <v>363</v>
      </c>
      <c r="B37" s="110"/>
      <c r="C37" s="197"/>
      <c r="D37" s="195"/>
      <c r="E37" s="138"/>
      <c r="F37" s="197"/>
      <c r="G37" s="197"/>
      <c r="H37" s="232"/>
      <c r="I37" s="138"/>
      <c r="J37" s="195"/>
      <c r="K37" s="195"/>
      <c r="L37" s="230"/>
      <c r="M37" s="74"/>
    </row>
    <row r="38" spans="1:15" s="135" customFormat="1" ht="18.75" x14ac:dyDescent="0.3">
      <c r="A38" s="137" t="s">
        <v>116</v>
      </c>
      <c r="B38" s="110">
        <f>'Skjema total MA'!B53</f>
        <v>163173.12299999999</v>
      </c>
      <c r="C38" s="110">
        <f>'Skjema total MA'!C53</f>
        <v>112803.67199999999</v>
      </c>
      <c r="D38" s="232">
        <f t="shared" si="5"/>
        <v>-30.9</v>
      </c>
      <c r="E38" s="138"/>
      <c r="F38" s="197"/>
      <c r="G38" s="197"/>
      <c r="H38" s="232"/>
      <c r="I38" s="138"/>
      <c r="J38" s="197">
        <f t="shared" si="0"/>
        <v>163173.12299999999</v>
      </c>
      <c r="K38" s="197">
        <f t="shared" si="0"/>
        <v>112803.67199999999</v>
      </c>
      <c r="L38" s="230">
        <f t="shared" si="3"/>
        <v>-30.9</v>
      </c>
      <c r="M38" s="75"/>
    </row>
    <row r="39" spans="1:15" ht="18.75" x14ac:dyDescent="0.3">
      <c r="A39" s="137"/>
      <c r="B39" s="110"/>
      <c r="C39" s="197"/>
      <c r="D39" s="195"/>
      <c r="E39" s="138"/>
      <c r="F39" s="197"/>
      <c r="G39" s="197"/>
      <c r="H39" s="232"/>
      <c r="I39" s="138"/>
      <c r="J39" s="195"/>
      <c r="K39" s="195"/>
      <c r="L39" s="230"/>
      <c r="M39" s="74"/>
    </row>
    <row r="40" spans="1:15" ht="22.5" x14ac:dyDescent="0.3">
      <c r="A40" s="191" t="s">
        <v>364</v>
      </c>
      <c r="B40" s="199"/>
      <c r="C40" s="202"/>
      <c r="D40" s="195"/>
      <c r="E40" s="182"/>
      <c r="F40" s="195"/>
      <c r="G40" s="195"/>
      <c r="H40" s="232"/>
      <c r="I40" s="182"/>
      <c r="J40" s="195"/>
      <c r="K40" s="195"/>
      <c r="L40" s="230"/>
      <c r="M40" s="74"/>
    </row>
    <row r="41" spans="1:15" ht="18.75" x14ac:dyDescent="0.3">
      <c r="A41" s="192" t="s">
        <v>114</v>
      </c>
      <c r="B41" s="104">
        <f>'Skjema total MA'!B12</f>
        <v>28875</v>
      </c>
      <c r="C41" s="104">
        <f>'Skjema total MA'!C12</f>
        <v>2765</v>
      </c>
      <c r="D41" s="232">
        <f>IF(B41=0, "    ---- ", IF(ABS(ROUND(100/B41*C41-100,1))&lt;999,ROUND(100/B41*C41-100,1),IF(ROUND(100/B41*C41-100,1)&gt;999,999,-999)))</f>
        <v>-90.4</v>
      </c>
      <c r="E41" s="182"/>
      <c r="F41" s="195">
        <f>'Skjema total MA'!E12</f>
        <v>179438.89640999999</v>
      </c>
      <c r="G41" s="195">
        <f>'Skjema total MA'!F12</f>
        <v>245162.99463999999</v>
      </c>
      <c r="H41" s="232">
        <f t="shared" si="2"/>
        <v>36.6</v>
      </c>
      <c r="I41" s="182"/>
      <c r="J41" s="195">
        <f t="shared" si="0"/>
        <v>208313.89640999999</v>
      </c>
      <c r="K41" s="195">
        <f t="shared" si="0"/>
        <v>247927.99463999999</v>
      </c>
      <c r="L41" s="230">
        <f t="shared" si="3"/>
        <v>19</v>
      </c>
      <c r="M41" s="74"/>
    </row>
    <row r="42" spans="1:15" ht="18.75" x14ac:dyDescent="0.3">
      <c r="A42" s="192" t="s">
        <v>115</v>
      </c>
      <c r="B42" s="104">
        <f>'Skjema total MA'!B35</f>
        <v>-65636.979730000006</v>
      </c>
      <c r="C42" s="104">
        <f>'Skjema total MA'!C35</f>
        <v>-29295.694759999998</v>
      </c>
      <c r="D42" s="232">
        <f t="shared" ref="D42:D46" si="6">IF(B42=0, "    ---- ", IF(ABS(ROUND(100/B42*C42-100,1))&lt;999,ROUND(100/B42*C42-100,1),IF(ROUND(100/B42*C42-100,1)&gt;999,999,-999)))</f>
        <v>-55.4</v>
      </c>
      <c r="E42" s="182"/>
      <c r="F42" s="195">
        <f>'Skjema total MA'!E35</f>
        <v>91902.427899999981</v>
      </c>
      <c r="G42" s="195">
        <f>'Skjema total MA'!F35</f>
        <v>114569.91455</v>
      </c>
      <c r="H42" s="232">
        <f t="shared" si="2"/>
        <v>24.7</v>
      </c>
      <c r="I42" s="182"/>
      <c r="J42" s="195">
        <f t="shared" si="0"/>
        <v>26265.448169999974</v>
      </c>
      <c r="K42" s="195">
        <f t="shared" si="0"/>
        <v>85274.219790000003</v>
      </c>
      <c r="L42" s="230">
        <f t="shared" si="3"/>
        <v>224.7</v>
      </c>
      <c r="M42" s="74"/>
    </row>
    <row r="43" spans="1:15" ht="18.75" x14ac:dyDescent="0.3">
      <c r="A43" s="192" t="s">
        <v>117</v>
      </c>
      <c r="B43" s="104">
        <f>'Skjema total MA'!B119</f>
        <v>448876.83178999997</v>
      </c>
      <c r="C43" s="104">
        <f>'Skjema total MA'!C119</f>
        <v>600803.36812</v>
      </c>
      <c r="D43" s="232">
        <f t="shared" si="6"/>
        <v>33.799999999999997</v>
      </c>
      <c r="E43" s="182"/>
      <c r="F43" s="195">
        <f>'Skjema total MA'!E119</f>
        <v>9752651.3782299999</v>
      </c>
      <c r="G43" s="195">
        <f>'Skjema total MA'!F119</f>
        <v>12756287.872939998</v>
      </c>
      <c r="H43" s="232">
        <f t="shared" si="2"/>
        <v>30.8</v>
      </c>
      <c r="I43" s="182"/>
      <c r="J43" s="195">
        <f t="shared" si="0"/>
        <v>10201528.21002</v>
      </c>
      <c r="K43" s="195">
        <f t="shared" si="0"/>
        <v>13357091.241059998</v>
      </c>
      <c r="L43" s="230">
        <f t="shared" si="3"/>
        <v>30.9</v>
      </c>
      <c r="M43" s="74"/>
    </row>
    <row r="44" spans="1:15" ht="22.5" x14ac:dyDescent="0.3">
      <c r="A44" s="192" t="s">
        <v>360</v>
      </c>
      <c r="B44" s="104">
        <f>'Skjema total MA'!B137</f>
        <v>387479.37900000002</v>
      </c>
      <c r="C44" s="104">
        <f>'Skjema total MA'!C137</f>
        <v>496739.50099999999</v>
      </c>
      <c r="D44" s="232">
        <f t="shared" si="6"/>
        <v>28.2</v>
      </c>
      <c r="E44" s="182"/>
      <c r="F44" s="195">
        <f>'Skjema total MA'!E137</f>
        <v>0</v>
      </c>
      <c r="G44" s="195">
        <f>'Skjema total MA'!F137</f>
        <v>0</v>
      </c>
      <c r="H44" s="232"/>
      <c r="I44" s="182"/>
      <c r="J44" s="195">
        <f t="shared" si="0"/>
        <v>387479.37900000002</v>
      </c>
      <c r="K44" s="195">
        <f t="shared" si="0"/>
        <v>496739.50099999999</v>
      </c>
      <c r="L44" s="230">
        <f t="shared" si="3"/>
        <v>28.2</v>
      </c>
      <c r="M44" s="74"/>
    </row>
    <row r="45" spans="1:15" ht="18.75" x14ac:dyDescent="0.3">
      <c r="A45" s="192" t="s">
        <v>120</v>
      </c>
      <c r="B45" s="104">
        <f>'Skjema total MA'!B39</f>
        <v>5</v>
      </c>
      <c r="C45" s="104">
        <f>'Skjema total MA'!C39</f>
        <v>0</v>
      </c>
      <c r="D45" s="232">
        <f t="shared" si="6"/>
        <v>-100</v>
      </c>
      <c r="E45" s="182"/>
      <c r="F45" s="195"/>
      <c r="G45" s="195"/>
      <c r="H45" s="232"/>
      <c r="I45" s="182"/>
      <c r="J45" s="195">
        <f t="shared" si="0"/>
        <v>5</v>
      </c>
      <c r="K45" s="195">
        <f t="shared" si="0"/>
        <v>0</v>
      </c>
      <c r="L45" s="230">
        <f t="shared" si="3"/>
        <v>-100</v>
      </c>
      <c r="M45" s="74"/>
    </row>
    <row r="46" spans="1:15" s="135" customFormat="1" ht="18.75" x14ac:dyDescent="0.3">
      <c r="A46" s="137" t="s">
        <v>125</v>
      </c>
      <c r="B46" s="110">
        <f>SUM(B41:B45)</f>
        <v>799599.2310599999</v>
      </c>
      <c r="C46" s="197">
        <f>SUM(C41:C45)</f>
        <v>1071012.1743600001</v>
      </c>
      <c r="D46" s="232">
        <f t="shared" si="6"/>
        <v>33.9</v>
      </c>
      <c r="E46" s="138"/>
      <c r="F46" s="197">
        <f>SUM(F41:F45)</f>
        <v>10023992.702539999</v>
      </c>
      <c r="G46" s="271">
        <f>SUM(G41:G45)</f>
        <v>13116020.782129997</v>
      </c>
      <c r="H46" s="232">
        <f t="shared" si="2"/>
        <v>30.8</v>
      </c>
      <c r="I46" s="138"/>
      <c r="J46" s="197">
        <f t="shared" si="0"/>
        <v>10823591.933599999</v>
      </c>
      <c r="K46" s="197">
        <f t="shared" si="0"/>
        <v>14187032.956489997</v>
      </c>
      <c r="L46" s="230">
        <f t="shared" si="3"/>
        <v>31.1</v>
      </c>
      <c r="M46" s="75"/>
      <c r="N46" s="134"/>
      <c r="O46" s="134"/>
    </row>
    <row r="47" spans="1:15" ht="18.75" x14ac:dyDescent="0.3">
      <c r="A47" s="137"/>
      <c r="B47" s="110"/>
      <c r="C47" s="197"/>
      <c r="D47" s="195"/>
      <c r="E47" s="138"/>
      <c r="F47" s="197"/>
      <c r="G47" s="197"/>
      <c r="H47" s="232"/>
      <c r="I47" s="138"/>
      <c r="J47" s="195"/>
      <c r="K47" s="195"/>
      <c r="L47" s="230"/>
      <c r="M47" s="74"/>
    </row>
    <row r="48" spans="1:15" ht="22.5" x14ac:dyDescent="0.3">
      <c r="A48" s="137" t="s">
        <v>365</v>
      </c>
      <c r="B48" s="110"/>
      <c r="C48" s="197"/>
      <c r="D48" s="195"/>
      <c r="E48" s="138"/>
      <c r="F48" s="197"/>
      <c r="G48" s="197"/>
      <c r="H48" s="232"/>
      <c r="I48" s="138"/>
      <c r="J48" s="195"/>
      <c r="K48" s="195"/>
      <c r="L48" s="230"/>
      <c r="M48" s="74"/>
    </row>
    <row r="49" spans="1:15" s="135" customFormat="1" ht="18.75" x14ac:dyDescent="0.3">
      <c r="A49" s="137" t="s">
        <v>116</v>
      </c>
      <c r="B49" s="110">
        <f>'Skjema total MA'!B56</f>
        <v>207953.58600000001</v>
      </c>
      <c r="C49" s="110">
        <f>'Skjema total MA'!C56</f>
        <v>119459.16899999999</v>
      </c>
      <c r="D49" s="232">
        <f t="shared" ref="D49" si="7">IF(B49=0, "    ---- ", IF(ABS(ROUND(100/B49*C49-100,1))&lt;999,ROUND(100/B49*C49-100,1),IF(ROUND(100/B49*C49-100,1)&gt;999,999,-999)))</f>
        <v>-42.6</v>
      </c>
      <c r="E49" s="138"/>
      <c r="F49" s="197"/>
      <c r="G49" s="197"/>
      <c r="H49" s="232"/>
      <c r="I49" s="138"/>
      <c r="J49" s="197">
        <f>SUM(B49+F49)</f>
        <v>207953.58600000001</v>
      </c>
      <c r="K49" s="197">
        <f>SUM(C49+G49)</f>
        <v>119459.16899999999</v>
      </c>
      <c r="L49" s="230">
        <f t="shared" si="3"/>
        <v>-42.6</v>
      </c>
      <c r="M49" s="75"/>
    </row>
    <row r="50" spans="1:15" ht="18.75" x14ac:dyDescent="0.3">
      <c r="A50" s="137"/>
      <c r="B50" s="104"/>
      <c r="C50" s="195"/>
      <c r="D50" s="195"/>
      <c r="E50" s="182"/>
      <c r="F50" s="195"/>
      <c r="G50" s="195"/>
      <c r="H50" s="232"/>
      <c r="I50" s="182"/>
      <c r="J50" s="195"/>
      <c r="K50" s="195"/>
      <c r="L50" s="230"/>
      <c r="M50" s="74"/>
    </row>
    <row r="51" spans="1:15" ht="21.75" x14ac:dyDescent="0.3">
      <c r="A51" s="191" t="s">
        <v>366</v>
      </c>
      <c r="B51" s="104"/>
      <c r="C51" s="195"/>
      <c r="D51" s="195"/>
      <c r="E51" s="182"/>
      <c r="F51" s="195"/>
      <c r="G51" s="195"/>
      <c r="H51" s="232"/>
      <c r="I51" s="182"/>
      <c r="J51" s="195"/>
      <c r="K51" s="195"/>
      <c r="L51" s="230"/>
      <c r="M51" s="74"/>
    </row>
    <row r="52" spans="1:15" ht="18.75" x14ac:dyDescent="0.3">
      <c r="A52" s="192" t="s">
        <v>114</v>
      </c>
      <c r="B52" s="104">
        <f>B30-B41</f>
        <v>66651</v>
      </c>
      <c r="C52" s="195">
        <f>C30-C41</f>
        <v>22351</v>
      </c>
      <c r="D52" s="232">
        <f>IF(B52=0, "    ---- ", IF(ABS(ROUND(100/B52*C52-100,1))&lt;999,ROUND(100/B52*C52-100,1),IF(ROUND(100/B52*C52-100,1)&gt;999,999,-999)))</f>
        <v>-66.5</v>
      </c>
      <c r="E52" s="182"/>
      <c r="F52" s="195">
        <f>F30-F41</f>
        <v>84724.024910000036</v>
      </c>
      <c r="G52" s="195">
        <f>G30-G41</f>
        <v>45954.747620000038</v>
      </c>
      <c r="H52" s="232">
        <f t="shared" si="2"/>
        <v>-45.8</v>
      </c>
      <c r="I52" s="182"/>
      <c r="J52" s="195">
        <f t="shared" si="0"/>
        <v>151375.02491000004</v>
      </c>
      <c r="K52" s="195">
        <f t="shared" si="0"/>
        <v>68305.747620000038</v>
      </c>
      <c r="L52" s="230">
        <f t="shared" si="3"/>
        <v>-54.9</v>
      </c>
      <c r="M52" s="74"/>
    </row>
    <row r="53" spans="1:15" ht="18.75" x14ac:dyDescent="0.3">
      <c r="A53" s="192" t="s">
        <v>115</v>
      </c>
      <c r="B53" s="104">
        <f t="shared" ref="B53:C56" si="8">B31-B42</f>
        <v>106567.60293000001</v>
      </c>
      <c r="C53" s="195">
        <f t="shared" si="8"/>
        <v>57418.981169999999</v>
      </c>
      <c r="D53" s="232">
        <f t="shared" ref="D53:D60" si="9">IF(B53=0, "    ---- ", IF(ABS(ROUND(100/B53*C53-100,1))&lt;999,ROUND(100/B53*C53-100,1),IF(ROUND(100/B53*C53-100,1)&gt;999,999,-999)))</f>
        <v>-46.1</v>
      </c>
      <c r="E53" s="182"/>
      <c r="F53" s="195">
        <f t="shared" ref="F53:G56" si="10">F31-F42</f>
        <v>-73781.311379999985</v>
      </c>
      <c r="G53" s="195">
        <f t="shared" si="10"/>
        <v>-38694.615109999999</v>
      </c>
      <c r="H53" s="232">
        <f t="shared" si="2"/>
        <v>-47.6</v>
      </c>
      <c r="I53" s="182"/>
      <c r="J53" s="195">
        <f t="shared" si="0"/>
        <v>32786.291550000024</v>
      </c>
      <c r="K53" s="195">
        <f t="shared" si="0"/>
        <v>18724.36606</v>
      </c>
      <c r="L53" s="230">
        <f t="shared" si="3"/>
        <v>-42.9</v>
      </c>
      <c r="M53" s="74"/>
    </row>
    <row r="54" spans="1:15" ht="18.75" x14ac:dyDescent="0.3">
      <c r="A54" s="192" t="s">
        <v>117</v>
      </c>
      <c r="B54" s="104">
        <f t="shared" si="8"/>
        <v>101900.47681999998</v>
      </c>
      <c r="C54" s="195">
        <f t="shared" si="8"/>
        <v>-60954.532419999945</v>
      </c>
      <c r="D54" s="232">
        <f t="shared" si="9"/>
        <v>-159.80000000000001</v>
      </c>
      <c r="E54" s="182"/>
      <c r="F54" s="195">
        <f t="shared" si="10"/>
        <v>-155016.57682999969</v>
      </c>
      <c r="G54" s="195">
        <f t="shared" si="10"/>
        <v>-259316.7205499988</v>
      </c>
      <c r="H54" s="232">
        <f t="shared" si="2"/>
        <v>67.3</v>
      </c>
      <c r="I54" s="182"/>
      <c r="J54" s="195">
        <f t="shared" si="0"/>
        <v>-53116.100009999704</v>
      </c>
      <c r="K54" s="195">
        <f t="shared" si="0"/>
        <v>-320271.25296999875</v>
      </c>
      <c r="L54" s="230">
        <f t="shared" si="3"/>
        <v>503</v>
      </c>
      <c r="M54" s="74"/>
    </row>
    <row r="55" spans="1:15" ht="22.5" x14ac:dyDescent="0.3">
      <c r="A55" s="192" t="s">
        <v>360</v>
      </c>
      <c r="B55" s="104">
        <f t="shared" si="8"/>
        <v>-115144.95400000003</v>
      </c>
      <c r="C55" s="195">
        <f t="shared" si="8"/>
        <v>-178650.58499999996</v>
      </c>
      <c r="D55" s="232">
        <f t="shared" si="9"/>
        <v>55.2</v>
      </c>
      <c r="E55" s="182"/>
      <c r="F55" s="195">
        <f t="shared" si="10"/>
        <v>25235.127</v>
      </c>
      <c r="G55" s="195">
        <f t="shared" si="10"/>
        <v>-10.804</v>
      </c>
      <c r="H55" s="232">
        <f t="shared" si="2"/>
        <v>-100</v>
      </c>
      <c r="I55" s="182"/>
      <c r="J55" s="195">
        <f t="shared" si="0"/>
        <v>-89909.827000000019</v>
      </c>
      <c r="K55" s="195">
        <f t="shared" si="0"/>
        <v>-178661.38899999997</v>
      </c>
      <c r="L55" s="230">
        <f t="shared" si="3"/>
        <v>98.7</v>
      </c>
      <c r="M55" s="74"/>
    </row>
    <row r="56" spans="1:15" ht="18.75" x14ac:dyDescent="0.3">
      <c r="A56" s="192" t="s">
        <v>120</v>
      </c>
      <c r="B56" s="104">
        <f t="shared" si="8"/>
        <v>-5</v>
      </c>
      <c r="C56" s="195">
        <f t="shared" si="8"/>
        <v>611</v>
      </c>
      <c r="D56" s="232">
        <f t="shared" si="9"/>
        <v>-999</v>
      </c>
      <c r="E56" s="182"/>
      <c r="F56" s="195">
        <f t="shared" si="10"/>
        <v>0</v>
      </c>
      <c r="G56" s="195">
        <f t="shared" si="10"/>
        <v>0</v>
      </c>
      <c r="H56" s="232"/>
      <c r="I56" s="182"/>
      <c r="J56" s="195">
        <f t="shared" si="0"/>
        <v>-5</v>
      </c>
      <c r="K56" s="195">
        <f t="shared" si="0"/>
        <v>611</v>
      </c>
      <c r="L56" s="230">
        <f t="shared" si="3"/>
        <v>-999</v>
      </c>
      <c r="M56" s="74"/>
    </row>
    <row r="57" spans="1:15" s="135" customFormat="1" ht="18.75" x14ac:dyDescent="0.3">
      <c r="A57" s="137" t="s">
        <v>126</v>
      </c>
      <c r="B57" s="110">
        <f>SUM(B52:B56)</f>
        <v>159969.12574999995</v>
      </c>
      <c r="C57" s="197">
        <f>SUM(C52:C56)</f>
        <v>-159224.13624999992</v>
      </c>
      <c r="D57" s="232">
        <f>IF(B57=0, "    ---- ", IF(ABS(ROUND(100/B57*C57-100,1))&lt;999,ROUND(100/B57*C57-100,1),IF(ROUND(100/B57*C57-100,1)&gt;999,999,-999)))</f>
        <v>-199.5</v>
      </c>
      <c r="E57" s="138"/>
      <c r="F57" s="197">
        <f>SUM(F52:F56)</f>
        <v>-118838.73629999961</v>
      </c>
      <c r="G57" s="271">
        <f>SUM(G52:G56)</f>
        <v>-252067.39203999878</v>
      </c>
      <c r="H57" s="232">
        <f t="shared" si="2"/>
        <v>112.1</v>
      </c>
      <c r="I57" s="138"/>
      <c r="J57" s="197">
        <f t="shared" si="0"/>
        <v>41130.389450000337</v>
      </c>
      <c r="K57" s="195">
        <f t="shared" si="0"/>
        <v>-411291.52828999871</v>
      </c>
      <c r="L57" s="230">
        <f t="shared" si="3"/>
        <v>-999</v>
      </c>
      <c r="M57" s="75"/>
      <c r="N57" s="134"/>
      <c r="O57" s="134"/>
    </row>
    <row r="58" spans="1:15" ht="18.75" x14ac:dyDescent="0.3">
      <c r="A58" s="137"/>
      <c r="B58" s="110"/>
      <c r="C58" s="197"/>
      <c r="D58" s="232"/>
      <c r="E58" s="138"/>
      <c r="F58" s="197"/>
      <c r="G58" s="197"/>
      <c r="H58" s="232"/>
      <c r="I58" s="138"/>
      <c r="J58" s="197"/>
      <c r="K58" s="195"/>
      <c r="L58" s="230"/>
      <c r="M58" s="74"/>
    </row>
    <row r="59" spans="1:15" ht="22.5" x14ac:dyDescent="0.3">
      <c r="A59" s="137" t="s">
        <v>367</v>
      </c>
      <c r="B59" s="110"/>
      <c r="C59" s="197"/>
      <c r="D59" s="232"/>
      <c r="E59" s="138"/>
      <c r="F59" s="197"/>
      <c r="G59" s="197"/>
      <c r="H59" s="232"/>
      <c r="I59" s="138"/>
      <c r="J59" s="197"/>
      <c r="K59" s="195"/>
      <c r="L59" s="230"/>
      <c r="M59" s="74"/>
    </row>
    <row r="60" spans="1:15" s="135" customFormat="1" ht="18.75" x14ac:dyDescent="0.3">
      <c r="A60" s="137" t="s">
        <v>116</v>
      </c>
      <c r="B60" s="110">
        <f>B38-B49</f>
        <v>-44780.463000000018</v>
      </c>
      <c r="C60" s="197">
        <f>C38-C49</f>
        <v>-6655.497000000003</v>
      </c>
      <c r="D60" s="232">
        <f t="shared" si="9"/>
        <v>-85.1</v>
      </c>
      <c r="E60" s="138"/>
      <c r="F60" s="197">
        <f>F38-F49</f>
        <v>0</v>
      </c>
      <c r="G60" s="197">
        <f>G38-G49</f>
        <v>0</v>
      </c>
      <c r="H60" s="232"/>
      <c r="I60" s="138"/>
      <c r="J60" s="197">
        <f t="shared" si="0"/>
        <v>-44780.463000000018</v>
      </c>
      <c r="K60" s="195">
        <f t="shared" si="0"/>
        <v>-6655.497000000003</v>
      </c>
      <c r="L60" s="230">
        <f t="shared" si="3"/>
        <v>-85.1</v>
      </c>
      <c r="M60" s="75"/>
    </row>
    <row r="61" spans="1:15" s="135" customFormat="1" ht="18.75" x14ac:dyDescent="0.3">
      <c r="A61" s="194"/>
      <c r="B61" s="115"/>
      <c r="C61" s="198"/>
      <c r="D61" s="203"/>
      <c r="E61" s="138"/>
      <c r="F61" s="198"/>
      <c r="G61" s="198"/>
      <c r="H61" s="203"/>
      <c r="I61" s="138"/>
      <c r="J61" s="203"/>
      <c r="K61" s="203"/>
      <c r="L61" s="203"/>
      <c r="M61" s="75"/>
    </row>
    <row r="62" spans="1:15" ht="18.75" x14ac:dyDescent="0.3">
      <c r="A62" s="112" t="s">
        <v>127</v>
      </c>
      <c r="C62" s="139"/>
      <c r="D62" s="139"/>
      <c r="E62" s="139"/>
      <c r="F62" s="139"/>
      <c r="G62" s="112"/>
      <c r="H62" s="74"/>
      <c r="I62" s="112"/>
      <c r="J62" s="112"/>
      <c r="K62" s="112"/>
      <c r="L62" s="74"/>
      <c r="M62" s="74"/>
    </row>
    <row r="63" spans="1:15" ht="18.75" x14ac:dyDescent="0.3">
      <c r="A63" s="112" t="s">
        <v>128</v>
      </c>
      <c r="C63" s="139"/>
      <c r="D63" s="139"/>
      <c r="E63" s="139"/>
      <c r="F63" s="139"/>
      <c r="G63" s="74"/>
      <c r="H63" s="74"/>
      <c r="I63" s="74"/>
      <c r="J63" s="74"/>
      <c r="K63" s="74"/>
      <c r="L63" s="74"/>
      <c r="M63" s="74"/>
    </row>
    <row r="64" spans="1:15" ht="18.75" x14ac:dyDescent="0.3">
      <c r="A64" s="112" t="s">
        <v>107</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79</v>
      </c>
      <c r="B1" s="73" t="s">
        <v>52</v>
      </c>
      <c r="C1" s="80"/>
      <c r="D1" s="80"/>
      <c r="E1" s="80"/>
      <c r="F1" s="74"/>
      <c r="G1" s="74"/>
      <c r="H1" s="74"/>
      <c r="I1" s="74"/>
      <c r="J1" s="74"/>
    </row>
    <row r="2" spans="1:10" ht="20.100000000000001" customHeight="1" x14ac:dyDescent="0.3">
      <c r="A2" s="80" t="s">
        <v>166</v>
      </c>
      <c r="B2" s="80"/>
      <c r="C2" s="80"/>
      <c r="D2" s="80"/>
      <c r="E2" s="80"/>
      <c r="F2" s="74"/>
      <c r="G2" s="74"/>
      <c r="H2" s="74"/>
      <c r="I2" s="74"/>
      <c r="J2" s="74"/>
    </row>
    <row r="3" spans="1:10" ht="20.100000000000001" customHeight="1" x14ac:dyDescent="0.3">
      <c r="A3" s="75"/>
      <c r="B3" s="75"/>
      <c r="C3" s="75"/>
      <c r="D3" s="75"/>
      <c r="E3" s="255"/>
      <c r="F3" s="74"/>
      <c r="G3" s="74"/>
      <c r="H3" s="74"/>
      <c r="I3" s="74"/>
      <c r="J3" s="74"/>
    </row>
    <row r="4" spans="1:10" ht="20.100000000000001" customHeight="1" x14ac:dyDescent="0.3">
      <c r="A4" s="256"/>
      <c r="B4" s="961" t="s">
        <v>167</v>
      </c>
      <c r="C4" s="961"/>
      <c r="D4" s="962"/>
      <c r="E4" s="89"/>
      <c r="F4" s="963" t="s">
        <v>167</v>
      </c>
      <c r="G4" s="961"/>
      <c r="H4" s="962"/>
      <c r="I4" s="74"/>
      <c r="J4" s="74"/>
    </row>
    <row r="5" spans="1:10" ht="18.75" customHeight="1" x14ac:dyDescent="0.3">
      <c r="A5" s="257" t="s">
        <v>371</v>
      </c>
      <c r="B5" s="964" t="s">
        <v>168</v>
      </c>
      <c r="C5" s="965"/>
      <c r="D5" s="966"/>
      <c r="E5" s="258"/>
      <c r="F5" s="967" t="s">
        <v>169</v>
      </c>
      <c r="G5" s="968"/>
      <c r="H5" s="969"/>
      <c r="I5" s="112"/>
      <c r="J5" s="74"/>
    </row>
    <row r="6" spans="1:10" ht="18.75" customHeight="1" x14ac:dyDescent="0.3">
      <c r="A6" s="122"/>
      <c r="B6" s="120"/>
      <c r="C6" s="191"/>
      <c r="D6" s="259" t="s">
        <v>83</v>
      </c>
      <c r="E6" s="259"/>
      <c r="F6" s="123"/>
      <c r="G6" s="124"/>
      <c r="H6" s="94" t="s">
        <v>83</v>
      </c>
      <c r="I6" s="100"/>
      <c r="J6" s="74"/>
    </row>
    <row r="7" spans="1:10" ht="18.75" customHeight="1" x14ac:dyDescent="0.3">
      <c r="A7" s="126"/>
      <c r="B7" s="127">
        <v>2017</v>
      </c>
      <c r="C7" s="184">
        <v>2018</v>
      </c>
      <c r="D7" s="260" t="s">
        <v>85</v>
      </c>
      <c r="E7" s="259"/>
      <c r="F7" s="127">
        <v>2017</v>
      </c>
      <c r="G7" s="184">
        <v>2018</v>
      </c>
      <c r="H7" s="261" t="s">
        <v>85</v>
      </c>
      <c r="I7" s="100"/>
      <c r="J7" s="74"/>
    </row>
    <row r="8" spans="1:10" ht="18.75" customHeight="1" x14ac:dyDescent="0.3">
      <c r="A8" s="101" t="s">
        <v>170</v>
      </c>
      <c r="B8" s="109">
        <f>SUM(B9:B14)</f>
        <v>133436.26208108998</v>
      </c>
      <c r="C8" s="109">
        <f>SUM(C9:C14)</f>
        <v>142127.82435168</v>
      </c>
      <c r="D8" s="262">
        <f t="shared" ref="D8:D38" si="0">IF(B8=0, "    ---- ", IF(ABS(ROUND(100/B8*C8-100,1))&lt;999,ROUND(100/B8*C8-100,1),IF(ROUND(100/B8*C8-100,1)&gt;999,999,-999)))</f>
        <v>6.5</v>
      </c>
      <c r="E8" s="263"/>
      <c r="F8" s="262">
        <f>SUM(F9:F14)</f>
        <v>99.971786997595316</v>
      </c>
      <c r="G8" s="262">
        <f>SUM(G9:G14)</f>
        <v>100</v>
      </c>
      <c r="H8" s="263">
        <f t="shared" ref="H8:H38" si="1">IF(F8=0, "    ---- ", IF(ABS(ROUND(100/F8*G8-100,1))&lt;999,ROUND(100/F8*G8-100,1),IF(ROUND(100/F8*G8-100,1)&gt;999,999,-999)))</f>
        <v>0</v>
      </c>
      <c r="I8" s="104"/>
      <c r="J8" s="74"/>
    </row>
    <row r="9" spans="1:10" ht="18.75" customHeight="1" x14ac:dyDescent="0.3">
      <c r="A9" s="86" t="s">
        <v>171</v>
      </c>
      <c r="B9" s="106">
        <f>'Tabell 6'!AO21</f>
        <v>3265.7424000000001</v>
      </c>
      <c r="C9" s="106">
        <f>'Tabell 6'!AP21</f>
        <v>3770.69460845</v>
      </c>
      <c r="D9" s="264">
        <f t="shared" si="0"/>
        <v>15.5</v>
      </c>
      <c r="E9" s="264"/>
      <c r="F9" s="264">
        <f>'Tabell 6'!AO21/'Tabell 6'!AO29*100</f>
        <v>2.4467269879263451</v>
      </c>
      <c r="G9" s="264">
        <f>'Tabell 6'!AP21/'Tabell 6'!AP29*100</f>
        <v>2.6530305558747047</v>
      </c>
      <c r="H9" s="265">
        <f t="shared" si="1"/>
        <v>8.4</v>
      </c>
      <c r="I9" s="104"/>
      <c r="J9" s="77"/>
    </row>
    <row r="10" spans="1:10" ht="18.75" customHeight="1" x14ac:dyDescent="0.3">
      <c r="A10" s="86" t="s">
        <v>172</v>
      </c>
      <c r="B10" s="105">
        <f>'Tabell 6'!AO18+'Tabell 6'!AO22</f>
        <v>75057.587584330002</v>
      </c>
      <c r="C10" s="105">
        <f>'Tabell 6'!AP18+'Tabell 6'!AP22</f>
        <v>71156.442989439995</v>
      </c>
      <c r="D10" s="264">
        <f t="shared" si="0"/>
        <v>-5.2</v>
      </c>
      <c r="E10" s="264"/>
      <c r="F10" s="264">
        <f>('Tabell 6'!AO18+'Tabell 6'!AO22)/'Tabell 6'!AO29*100</f>
        <v>56.233898053693878</v>
      </c>
      <c r="G10" s="264">
        <f>('Tabell 6'!AP18+'Tabell 6'!AP22)/'Tabell 6'!AP29*100</f>
        <v>50.06510394007794</v>
      </c>
      <c r="H10" s="265">
        <f t="shared" si="1"/>
        <v>-11</v>
      </c>
      <c r="I10" s="104"/>
      <c r="J10" s="74"/>
    </row>
    <row r="11" spans="1:10" ht="18.75" customHeight="1" x14ac:dyDescent="0.3">
      <c r="A11" s="86" t="s">
        <v>173</v>
      </c>
      <c r="B11" s="105">
        <f>'Tabell 6'!AO14</f>
        <v>1004.34397575</v>
      </c>
      <c r="C11" s="105">
        <f>'Tabell 6'!AP14</f>
        <v>924.26844574999996</v>
      </c>
      <c r="D11" s="264">
        <f t="shared" si="0"/>
        <v>-8</v>
      </c>
      <c r="E11" s="264"/>
      <c r="F11" s="264">
        <f>'Tabell 6'!AO14/'Tabell 6'!AO29*100</f>
        <v>0.75246458833641239</v>
      </c>
      <c r="G11" s="264">
        <f>'Tabell 6'!AP14/'Tabell 6'!AP29*100</f>
        <v>0.65030788303843812</v>
      </c>
      <c r="H11" s="265">
        <f t="shared" si="1"/>
        <v>-13.6</v>
      </c>
      <c r="I11" s="104"/>
      <c r="J11" s="74"/>
    </row>
    <row r="12" spans="1:10" ht="18.75" customHeight="1" x14ac:dyDescent="0.3">
      <c r="A12" s="108" t="s">
        <v>174</v>
      </c>
      <c r="B12" s="105">
        <f>'Tabell 6'!AO15</f>
        <v>21857.80718372</v>
      </c>
      <c r="C12" s="105">
        <f>'Tabell 6'!AP15</f>
        <v>23165.276184959999</v>
      </c>
      <c r="D12" s="266">
        <f t="shared" si="0"/>
        <v>6</v>
      </c>
      <c r="E12" s="266"/>
      <c r="F12" s="264">
        <f>'Tabell 6'!AO15/'Tabell 6'!AO29*100</f>
        <v>16.376088552880979</v>
      </c>
      <c r="G12" s="264">
        <f>'Tabell 6'!AP15/'Tabell 6'!AP29*100</f>
        <v>16.298902970357172</v>
      </c>
      <c r="H12" s="265">
        <f t="shared" si="1"/>
        <v>-0.5</v>
      </c>
      <c r="I12" s="104"/>
      <c r="J12" s="74"/>
    </row>
    <row r="13" spans="1:10" ht="18.75" customHeight="1" x14ac:dyDescent="0.3">
      <c r="A13" s="86" t="s">
        <v>175</v>
      </c>
      <c r="B13" s="105">
        <f>'Tabell 6'!AO19+'Tabell 6'!AO23</f>
        <v>20913.090886800001</v>
      </c>
      <c r="C13" s="105">
        <f>'Tabell 6'!AP19+'Tabell 6'!AP23</f>
        <v>28476.789221570001</v>
      </c>
      <c r="D13" s="264">
        <f t="shared" si="0"/>
        <v>36.200000000000003</v>
      </c>
      <c r="E13" s="264"/>
      <c r="F13" s="264">
        <f>('Tabell 6'!AO19+'Tabell 6'!AO23)/'Tabell 6'!AO29*100</f>
        <v>15.668297620072563</v>
      </c>
      <c r="G13" s="264">
        <f>('Tabell 6'!AP19+'Tabell 6'!AP23)/'Tabell 6'!AP29*100</f>
        <v>20.036041043664508</v>
      </c>
      <c r="H13" s="265">
        <f t="shared" si="1"/>
        <v>27.9</v>
      </c>
      <c r="I13" s="104"/>
      <c r="J13" s="74"/>
    </row>
    <row r="14" spans="1:10" ht="18.75" customHeight="1" x14ac:dyDescent="0.3">
      <c r="A14" s="86" t="s">
        <v>176</v>
      </c>
      <c r="B14" s="176">
        <f>'Tabell 6'!AO17-'Tabell 6'!AO18+'Tabell 6'!AO24+'Tabell 6'!AO25+'Tabell 6'!AO26+'Tabell 6'!AO28</f>
        <v>11337.69005048999</v>
      </c>
      <c r="C14" s="176">
        <f>'Tabell 6'!AP17-'Tabell 6'!AP18+'Tabell 6'!AP24+'Tabell 6'!AP25+'Tabell 6'!AP26+'Tabell 6'!AP28</f>
        <v>14634.352901510001</v>
      </c>
      <c r="D14" s="264">
        <f t="shared" si="0"/>
        <v>29.1</v>
      </c>
      <c r="E14" s="264"/>
      <c r="F14" s="264">
        <f>('Tabell 6'!AO17-'Tabell 6'!AO18+'Tabell 6'!AO24+'Tabell 6'!AO25+'Tabell 6'!AO26+'Tabell 6'!AO28)/'Tabell 6'!AO29*100</f>
        <v>8.4943111946851229</v>
      </c>
      <c r="G14" s="264">
        <f>('Tabell 6'!AP17-'Tabell 6'!AP18+'Tabell 6'!AP24+'Tabell 6'!AP25+'Tabell 6'!AP26+'Tabell 6'!AP28)/'Tabell 6'!AP29*100</f>
        <v>10.296613606987236</v>
      </c>
      <c r="H14" s="265">
        <f t="shared" si="1"/>
        <v>21.2</v>
      </c>
      <c r="I14" s="104"/>
      <c r="J14" s="74"/>
    </row>
    <row r="15" spans="1:10" ht="18.75" customHeight="1" x14ac:dyDescent="0.3">
      <c r="A15" s="192"/>
      <c r="B15" s="103"/>
      <c r="C15" s="176"/>
      <c r="D15" s="265"/>
      <c r="E15" s="265"/>
      <c r="F15" s="265"/>
      <c r="G15" s="264"/>
      <c r="H15" s="265"/>
      <c r="I15" s="104"/>
      <c r="J15" s="74"/>
    </row>
    <row r="16" spans="1:10" s="135" customFormat="1" ht="18.75" customHeight="1" x14ac:dyDescent="0.3">
      <c r="A16" s="101" t="s">
        <v>177</v>
      </c>
      <c r="B16" s="109">
        <f>SUM(B17:B22)</f>
        <v>1058614.63020019</v>
      </c>
      <c r="C16" s="109">
        <f>SUM(C17:C22)</f>
        <v>1079781.55743076</v>
      </c>
      <c r="D16" s="262">
        <f t="shared" si="0"/>
        <v>2</v>
      </c>
      <c r="E16" s="262"/>
      <c r="F16" s="262">
        <f>SUM(F17:F22)</f>
        <v>100.00000000000001</v>
      </c>
      <c r="G16" s="262">
        <f>SUM(G17:G22)</f>
        <v>100.00000000000001</v>
      </c>
      <c r="H16" s="263">
        <f t="shared" si="1"/>
        <v>0</v>
      </c>
      <c r="I16" s="110"/>
      <c r="J16" s="75"/>
    </row>
    <row r="17" spans="1:10" ht="18.75" customHeight="1" x14ac:dyDescent="0.3">
      <c r="A17" s="86" t="s">
        <v>171</v>
      </c>
      <c r="B17" s="103">
        <f>'Tabell 6'!AO40</f>
        <v>179371.96141687001</v>
      </c>
      <c r="C17" s="103">
        <f>'Tabell 6'!AP40</f>
        <v>172891.75472512</v>
      </c>
      <c r="D17" s="264">
        <f t="shared" si="0"/>
        <v>-3.6</v>
      </c>
      <c r="E17" s="264"/>
      <c r="F17" s="264">
        <f>'Tabell 6'!AO40/('Tabell 6'!AO45+'Tabell 6'!AO46)*100</f>
        <v>16.944028194939055</v>
      </c>
      <c r="G17" s="264">
        <f>'Tabell 6'!AP40/('Tabell 6'!AP45+'Tabell 6'!AP46)*100</f>
        <v>16.011734367504843</v>
      </c>
      <c r="H17" s="265">
        <f t="shared" si="1"/>
        <v>-5.5</v>
      </c>
      <c r="I17" s="104"/>
      <c r="J17" s="74"/>
    </row>
    <row r="18" spans="1:10" ht="18.75" customHeight="1" x14ac:dyDescent="0.3">
      <c r="A18" s="86" t="s">
        <v>172</v>
      </c>
      <c r="B18" s="103">
        <f>'Tabell 6'!AO37+'Tabell 6'!AO41</f>
        <v>364063.08385856001</v>
      </c>
      <c r="C18" s="103">
        <f>'Tabell 6'!AP37+'Tabell 6'!AP41</f>
        <v>350794.85998292</v>
      </c>
      <c r="D18" s="264">
        <f t="shared" si="0"/>
        <v>-3.6</v>
      </c>
      <c r="E18" s="264"/>
      <c r="F18" s="264">
        <f>('Tabell 6'!AO37+'Tabell 6'!AO41)/('Tabell 6'!AO45+'Tabell 6'!AO46)*100</f>
        <v>34.39052073082663</v>
      </c>
      <c r="G18" s="264">
        <f>('Tabell 6'!AP37+'Tabell 6'!AP41)/('Tabell 6'!AP45+'Tabell 6'!AP46)*100</f>
        <v>32.487576544426624</v>
      </c>
      <c r="H18" s="265">
        <f t="shared" si="1"/>
        <v>-5.5</v>
      </c>
      <c r="I18" s="104"/>
      <c r="J18" s="74"/>
    </row>
    <row r="19" spans="1:10" ht="18.75" customHeight="1" x14ac:dyDescent="0.3">
      <c r="A19" s="86" t="s">
        <v>173</v>
      </c>
      <c r="B19" s="103">
        <f>'Tabell 6'!AO33</f>
        <v>34.563001970000002</v>
      </c>
      <c r="C19" s="103">
        <f>'Tabell 6'!AP33</f>
        <v>33.44200197</v>
      </c>
      <c r="D19" s="264">
        <f t="shared" si="0"/>
        <v>-3.2</v>
      </c>
      <c r="E19" s="264"/>
      <c r="F19" s="264">
        <f>'Tabell 6'!AO33/('Tabell 6'!AO45+'Tabell 6'!AO46)*100</f>
        <v>3.2649276690483622E-3</v>
      </c>
      <c r="G19" s="264">
        <f>'Tabell 6'!AP33/('Tabell 6'!AP45+'Tabell 6'!AP46)*100</f>
        <v>3.0971080900448183E-3</v>
      </c>
      <c r="H19" s="265">
        <f t="shared" si="1"/>
        <v>-5.0999999999999996</v>
      </c>
      <c r="I19" s="104"/>
      <c r="J19" s="74"/>
    </row>
    <row r="20" spans="1:10" ht="18.75" customHeight="1" x14ac:dyDescent="0.3">
      <c r="A20" s="108" t="s">
        <v>174</v>
      </c>
      <c r="B20" s="105">
        <f>'Tabell 6'!AO34</f>
        <v>123332.04750257001</v>
      </c>
      <c r="C20" s="105">
        <f>'Tabell 6'!AP34</f>
        <v>136604.63461572002</v>
      </c>
      <c r="D20" s="266">
        <f t="shared" si="0"/>
        <v>10.8</v>
      </c>
      <c r="E20" s="266"/>
      <c r="F20" s="264">
        <f>'Tabell 6'!AO34/('Tabell 6'!AO45+'Tabell 6'!AO46)*100</f>
        <v>11.650325244347627</v>
      </c>
      <c r="G20" s="264">
        <f>'Tabell 6'!AP34/('Tabell 6'!AP45+'Tabell 6'!AP46)*100</f>
        <v>12.651136118749621</v>
      </c>
      <c r="H20" s="265">
        <f t="shared" si="1"/>
        <v>8.6</v>
      </c>
      <c r="I20" s="104"/>
      <c r="J20" s="74"/>
    </row>
    <row r="21" spans="1:10" ht="18.75" customHeight="1" x14ac:dyDescent="0.3">
      <c r="A21" s="86" t="s">
        <v>175</v>
      </c>
      <c r="B21" s="103">
        <f>'Tabell 6'!AO38+'Tabell 6'!AO42</f>
        <v>382211.17671282002</v>
      </c>
      <c r="C21" s="103">
        <f>'Tabell 6'!AP38+'Tabell 6'!AP42</f>
        <v>410710.30426259991</v>
      </c>
      <c r="D21" s="264">
        <f t="shared" si="0"/>
        <v>7.5</v>
      </c>
      <c r="E21" s="264"/>
      <c r="F21" s="264">
        <f>('Tabell 6'!AO38+'Tabell 6'!AO42)/('Tabell 6'!AO45+'Tabell 6'!AO46)*100</f>
        <v>36.104845503650537</v>
      </c>
      <c r="G21" s="264">
        <f>('Tabell 6'!AP38+'Tabell 6'!AP42)/('Tabell 6'!AP45+'Tabell 6'!AP46)*100</f>
        <v>38.036425185835462</v>
      </c>
      <c r="H21" s="265">
        <f t="shared" si="1"/>
        <v>5.3</v>
      </c>
      <c r="I21" s="104"/>
      <c r="J21" s="74"/>
    </row>
    <row r="22" spans="1:10" ht="18.75" customHeight="1" x14ac:dyDescent="0.3">
      <c r="A22" s="192" t="s">
        <v>176</v>
      </c>
      <c r="B22" s="103">
        <f>'Tabell 6'!AO36-'Tabell 6'!AO37+'Tabell 6'!AO43+'Tabell 6'!AO44+'Tabell 6'!AO46</f>
        <v>9601.7977074000119</v>
      </c>
      <c r="C22" s="103">
        <f>'Tabell 6'!AP36-'Tabell 6'!AP37+'Tabell 6'!AP43+'Tabell 6'!AP44+'Tabell 6'!AP46</f>
        <v>8746.5618424300064</v>
      </c>
      <c r="D22" s="264">
        <f t="shared" si="0"/>
        <v>-8.9</v>
      </c>
      <c r="E22" s="264"/>
      <c r="F22" s="265">
        <f>('Tabell 6'!AO36-'Tabell 6'!AO37+'Tabell 6'!AO43+'Tabell 6'!AO44+'Tabell 6'!AO46)/('Tabell 6'!AO45+'Tabell 6'!AO46)*100</f>
        <v>0.907015398567112</v>
      </c>
      <c r="G22" s="265">
        <f>('Tabell 6'!AP36-'Tabell 6'!AP37+'Tabell 6'!AP43+'Tabell 6'!AP44+'Tabell 6'!AP46)/('Tabell 6'!AP45+'Tabell 6'!AP46)*100</f>
        <v>0.81003067539342311</v>
      </c>
      <c r="H22" s="265">
        <f t="shared" si="1"/>
        <v>-10.7</v>
      </c>
      <c r="I22" s="104"/>
      <c r="J22" s="74"/>
    </row>
    <row r="23" spans="1:10" ht="18.75" customHeight="1" x14ac:dyDescent="0.3">
      <c r="A23" s="86"/>
      <c r="B23" s="176"/>
      <c r="C23" s="176"/>
      <c r="D23" s="265"/>
      <c r="E23" s="264"/>
      <c r="F23" s="264"/>
      <c r="G23" s="265"/>
      <c r="H23" s="265"/>
      <c r="I23" s="182"/>
      <c r="J23" s="74"/>
    </row>
    <row r="24" spans="1:10" ht="18.75" customHeight="1" x14ac:dyDescent="0.3">
      <c r="A24" s="137" t="s">
        <v>178</v>
      </c>
      <c r="B24" s="109">
        <f>SUM(B25:B30)</f>
        <v>289604.44365590997</v>
      </c>
      <c r="C24" s="109">
        <f>SUM(C25:C30)</f>
        <v>311664.26819542999</v>
      </c>
      <c r="D24" s="262">
        <f t="shared" si="0"/>
        <v>7.6</v>
      </c>
      <c r="E24" s="262"/>
      <c r="F24" s="263">
        <f>SUM(F25:F30)</f>
        <v>100</v>
      </c>
      <c r="G24" s="263">
        <f>SUM(G25:G30)</f>
        <v>100.00000000000001</v>
      </c>
      <c r="H24" s="265">
        <f t="shared" si="1"/>
        <v>0</v>
      </c>
      <c r="I24" s="182"/>
      <c r="J24" s="74"/>
    </row>
    <row r="25" spans="1:10" ht="18.75" customHeight="1" x14ac:dyDescent="0.3">
      <c r="A25" s="192" t="s">
        <v>171</v>
      </c>
      <c r="B25" s="103">
        <f>'Tabell 6'!AO55</f>
        <v>172389.51900171</v>
      </c>
      <c r="C25" s="103">
        <f>'Tabell 6'!AP55</f>
        <v>167297.26133842999</v>
      </c>
      <c r="D25" s="264">
        <f t="shared" si="0"/>
        <v>-3</v>
      </c>
      <c r="E25" s="264"/>
      <c r="F25" s="264">
        <f>'Tabell 6'!AO55/('Tabell 6'!AO60+'Tabell 6'!AO61)*100</f>
        <v>59.525854239492439</v>
      </c>
      <c r="G25" s="264">
        <f>'Tabell 6'!AP55/('Tabell 6'!AP60+'Tabell 6'!AP61)*100</f>
        <v>53.678678761315609</v>
      </c>
      <c r="H25" s="265">
        <f t="shared" si="1"/>
        <v>-9.8000000000000007</v>
      </c>
      <c r="I25" s="182"/>
      <c r="J25" s="74"/>
    </row>
    <row r="26" spans="1:10" ht="18.75" customHeight="1" x14ac:dyDescent="0.3">
      <c r="A26" s="192" t="s">
        <v>172</v>
      </c>
      <c r="B26" s="103">
        <f>'Tabell 6'!AO52+'Tabell 6'!AO56</f>
        <v>107894.53554860999</v>
      </c>
      <c r="C26" s="103">
        <f>'Tabell 6'!AP52+'Tabell 6'!AP56</f>
        <v>120844.04835926001</v>
      </c>
      <c r="D26" s="264">
        <f t="shared" si="0"/>
        <v>12</v>
      </c>
      <c r="E26" s="264"/>
      <c r="F26" s="264">
        <f>('Tabell 6'!AO52+'Tabell 6'!AO56)/('Tabell 6'!AO60+'Tabell 6'!AO61)*100</f>
        <v>37.255828738872374</v>
      </c>
      <c r="G26" s="264">
        <f>('Tabell 6'!AP52+'Tabell 6'!AP56)/('Tabell 6'!AP60+'Tabell 6'!AP61)*100</f>
        <v>38.773789840895198</v>
      </c>
      <c r="H26" s="265">
        <f t="shared" si="1"/>
        <v>4.0999999999999996</v>
      </c>
      <c r="I26" s="182"/>
      <c r="J26" s="74"/>
    </row>
    <row r="27" spans="1:10" ht="18.75" customHeight="1" x14ac:dyDescent="0.3">
      <c r="A27" s="192" t="s">
        <v>173</v>
      </c>
      <c r="B27" s="103">
        <f>'Tabell 6'!AO48</f>
        <v>0</v>
      </c>
      <c r="C27" s="103">
        <f>'Tabell 6'!AP48</f>
        <v>0</v>
      </c>
      <c r="D27" s="264" t="str">
        <f t="shared" si="0"/>
        <v xml:space="preserve">    ---- </v>
      </c>
      <c r="E27" s="264"/>
      <c r="F27" s="264">
        <f>'Tabell 6'!AO48/('Tabell 6'!AO60+'Tabell 6'!AO61)*100</f>
        <v>0</v>
      </c>
      <c r="G27" s="264">
        <f>'Tabell 6'!AP48/('Tabell 6'!AP60+'Tabell 6'!AP61)*100</f>
        <v>0</v>
      </c>
      <c r="H27" s="265" t="str">
        <f t="shared" si="1"/>
        <v xml:space="preserve">    ---- </v>
      </c>
      <c r="I27" s="182"/>
      <c r="J27" s="74"/>
    </row>
    <row r="28" spans="1:10" ht="18.75" customHeight="1" x14ac:dyDescent="0.3">
      <c r="A28" s="108" t="s">
        <v>174</v>
      </c>
      <c r="B28" s="105">
        <f>'Tabell 6'!AO49</f>
        <v>4174.6167578799996</v>
      </c>
      <c r="C28" s="105">
        <f>'Tabell 6'!AP49</f>
        <v>17083.813439879999</v>
      </c>
      <c r="D28" s="266">
        <f t="shared" si="0"/>
        <v>309.2</v>
      </c>
      <c r="E28" s="266"/>
      <c r="F28" s="264">
        <f>'Tabell 6'!AO49/('Tabell 6'!AO60+'Tabell 6'!AO61)*100</f>
        <v>1.441489193045677</v>
      </c>
      <c r="G28" s="264">
        <f>'Tabell 6'!AP49/('Tabell 6'!AP60+'Tabell 6'!AP61)*100</f>
        <v>5.4814796507784278</v>
      </c>
      <c r="H28" s="265">
        <f t="shared" si="1"/>
        <v>280.3</v>
      </c>
      <c r="I28" s="182"/>
      <c r="J28" s="74"/>
    </row>
    <row r="29" spans="1:10" ht="18.75" customHeight="1" x14ac:dyDescent="0.3">
      <c r="A29" s="192" t="s">
        <v>175</v>
      </c>
      <c r="B29" s="103">
        <f>'Tabell 6'!AO53+'Tabell 6'!AO57</f>
        <v>2638.18313833</v>
      </c>
      <c r="C29" s="103">
        <f>'Tabell 6'!AP53+'Tabell 6'!AP57</f>
        <v>3824.7219787200002</v>
      </c>
      <c r="D29" s="264">
        <f t="shared" si="0"/>
        <v>45</v>
      </c>
      <c r="E29" s="264"/>
      <c r="F29" s="264">
        <f>('Tabell 6'!AO53+'Tabell 6'!AO57)/('Tabell 6'!AO60+'Tabell 6'!AO61)*100</f>
        <v>0.91096086269467769</v>
      </c>
      <c r="G29" s="264">
        <f>('Tabell 6'!AP53+'Tabell 6'!AP57)/('Tabell 6'!AP60+'Tabell 6'!AP61)*100</f>
        <v>1.2271929666065207</v>
      </c>
      <c r="H29" s="265">
        <f t="shared" si="1"/>
        <v>34.700000000000003</v>
      </c>
      <c r="I29" s="182"/>
      <c r="J29" s="74"/>
    </row>
    <row r="30" spans="1:10" ht="18.75" customHeight="1" x14ac:dyDescent="0.3">
      <c r="A30" s="86" t="s">
        <v>176</v>
      </c>
      <c r="B30" s="103">
        <f>'Tabell 6'!AO51-'Tabell 6'!AO52+'Tabell 6'!AO58+'Tabell 6'!AO59+'Tabell 6'!AO61</f>
        <v>2507.5892093799998</v>
      </c>
      <c r="C30" s="103">
        <f>'Tabell 6'!AP51-'Tabell 6'!AP52+'Tabell 6'!AP58+'Tabell 6'!AP59+'Tabell 6'!AP61</f>
        <v>2614.42307914</v>
      </c>
      <c r="D30" s="265">
        <f t="shared" si="0"/>
        <v>4.3</v>
      </c>
      <c r="E30" s="265"/>
      <c r="F30" s="265">
        <f>('Tabell 6'!AO51-'Tabell 6'!AO52+'Tabell 6'!AO58+'Tabell 6'!AO59+'Tabell 6'!AO61)/('Tabell 6'!AO60+'Tabell 6'!AO61)*100</f>
        <v>0.86586696589481937</v>
      </c>
      <c r="G30" s="265">
        <f>('Tabell 6'!AP51-'Tabell 6'!AP52+'Tabell 6'!AP58+'Tabell 6'!AP59+'Tabell 6'!AP61)/('Tabell 6'!AP60+'Tabell 6'!AP61)*100</f>
        <v>0.83885878040424522</v>
      </c>
      <c r="H30" s="265">
        <f t="shared" si="1"/>
        <v>-3.1</v>
      </c>
      <c r="I30" s="182"/>
      <c r="J30" s="74"/>
    </row>
    <row r="31" spans="1:10" ht="18.75" customHeight="1" x14ac:dyDescent="0.3">
      <c r="A31" s="192"/>
      <c r="B31" s="176"/>
      <c r="C31" s="176"/>
      <c r="D31" s="264"/>
      <c r="E31" s="264"/>
      <c r="F31" s="264"/>
      <c r="G31" s="265"/>
      <c r="H31" s="265"/>
      <c r="I31" s="182"/>
      <c r="J31" s="74"/>
    </row>
    <row r="32" spans="1:10" ht="18.75" customHeight="1" x14ac:dyDescent="0.3">
      <c r="A32" s="137" t="s">
        <v>2</v>
      </c>
      <c r="B32" s="109">
        <f>SUM(B33:B38)</f>
        <v>1481655.3359371903</v>
      </c>
      <c r="C32" s="109">
        <f>SUM(C33:C38)</f>
        <v>1533573.6499778698</v>
      </c>
      <c r="D32" s="262">
        <f t="shared" si="0"/>
        <v>3.5</v>
      </c>
      <c r="E32" s="262"/>
      <c r="F32" s="262">
        <f>SUM(F33:F38)</f>
        <v>99.999999999999986</v>
      </c>
      <c r="G32" s="262">
        <f>SUM(G33:G38)</f>
        <v>100.00000000000001</v>
      </c>
      <c r="H32" s="263">
        <f t="shared" si="1"/>
        <v>0</v>
      </c>
      <c r="I32" s="182"/>
      <c r="J32" s="74"/>
    </row>
    <row r="33" spans="1:10" ht="18.75" customHeight="1" x14ac:dyDescent="0.3">
      <c r="A33" s="192" t="s">
        <v>171</v>
      </c>
      <c r="B33" s="103">
        <f t="shared" ref="B33:C38" si="2">B9+B17+B25</f>
        <v>355027.22281857999</v>
      </c>
      <c r="C33" s="103">
        <f t="shared" si="2"/>
        <v>343959.71067199996</v>
      </c>
      <c r="D33" s="264">
        <f t="shared" si="0"/>
        <v>-3.1</v>
      </c>
      <c r="E33" s="264"/>
      <c r="F33" s="264">
        <f>B33/B32*100</f>
        <v>23.961525613108588</v>
      </c>
      <c r="G33" s="264">
        <f>C33/C32*100</f>
        <v>22.428639842433618</v>
      </c>
      <c r="H33" s="265">
        <f t="shared" si="1"/>
        <v>-6.4</v>
      </c>
      <c r="I33" s="182"/>
      <c r="J33" s="74"/>
    </row>
    <row r="34" spans="1:10" ht="18.75" customHeight="1" x14ac:dyDescent="0.3">
      <c r="A34" s="192" t="s">
        <v>172</v>
      </c>
      <c r="B34" s="103">
        <f t="shared" si="2"/>
        <v>547015.20699149999</v>
      </c>
      <c r="C34" s="103">
        <f t="shared" si="2"/>
        <v>542795.35133162001</v>
      </c>
      <c r="D34" s="264">
        <f t="shared" si="0"/>
        <v>-0.8</v>
      </c>
      <c r="E34" s="264"/>
      <c r="F34" s="264">
        <f>B34/B32*100</f>
        <v>36.91919393962813</v>
      </c>
      <c r="G34" s="264">
        <f>C34/C32*100</f>
        <v>35.39414956298009</v>
      </c>
      <c r="H34" s="265">
        <f t="shared" si="1"/>
        <v>-4.0999999999999996</v>
      </c>
      <c r="I34" s="182"/>
      <c r="J34" s="74"/>
    </row>
    <row r="35" spans="1:10" ht="18.75" customHeight="1" x14ac:dyDescent="0.3">
      <c r="A35" s="192" t="s">
        <v>173</v>
      </c>
      <c r="B35" s="103">
        <f t="shared" si="2"/>
        <v>1038.90697772</v>
      </c>
      <c r="C35" s="103">
        <f t="shared" si="2"/>
        <v>957.71044771999993</v>
      </c>
      <c r="D35" s="264">
        <f t="shared" si="0"/>
        <v>-7.8</v>
      </c>
      <c r="E35" s="264"/>
      <c r="F35" s="264">
        <f>B35/B32*100</f>
        <v>7.0117992526437398E-2</v>
      </c>
      <c r="G35" s="264">
        <f>C35/C32*100</f>
        <v>6.2449589410578363E-2</v>
      </c>
      <c r="H35" s="265">
        <f t="shared" si="1"/>
        <v>-10.9</v>
      </c>
      <c r="I35" s="182"/>
      <c r="J35" s="74"/>
    </row>
    <row r="36" spans="1:10" ht="18.75" customHeight="1" x14ac:dyDescent="0.3">
      <c r="A36" s="108" t="s">
        <v>174</v>
      </c>
      <c r="B36" s="105">
        <f t="shared" si="2"/>
        <v>149364.47144417002</v>
      </c>
      <c r="C36" s="105">
        <f t="shared" si="2"/>
        <v>176853.72424056003</v>
      </c>
      <c r="D36" s="266">
        <f t="shared" si="0"/>
        <v>18.399999999999999</v>
      </c>
      <c r="E36" s="266"/>
      <c r="F36" s="264">
        <f>B36/B32*100</f>
        <v>10.080918808940989</v>
      </c>
      <c r="G36" s="264">
        <f>C36/C32*100</f>
        <v>11.532131126738655</v>
      </c>
      <c r="H36" s="265">
        <f t="shared" si="1"/>
        <v>14.4</v>
      </c>
      <c r="I36" s="182"/>
      <c r="J36" s="74"/>
    </row>
    <row r="37" spans="1:10" ht="18.75" customHeight="1" x14ac:dyDescent="0.3">
      <c r="A37" s="192" t="s">
        <v>175</v>
      </c>
      <c r="B37" s="103">
        <f t="shared" si="2"/>
        <v>405762.45073795004</v>
      </c>
      <c r="C37" s="103">
        <f t="shared" si="2"/>
        <v>443011.81546288991</v>
      </c>
      <c r="D37" s="264">
        <f t="shared" si="0"/>
        <v>9.1999999999999993</v>
      </c>
      <c r="E37" s="264"/>
      <c r="F37" s="264">
        <f>B37/B32*100</f>
        <v>27.385751658721187</v>
      </c>
      <c r="G37" s="264">
        <f>C37/C32*100</f>
        <v>28.887547426840747</v>
      </c>
      <c r="H37" s="265">
        <f t="shared" si="1"/>
        <v>5.5</v>
      </c>
      <c r="I37" s="182"/>
      <c r="J37" s="74"/>
    </row>
    <row r="38" spans="1:10" ht="18.75" customHeight="1" x14ac:dyDescent="0.3">
      <c r="A38" s="267" t="s">
        <v>176</v>
      </c>
      <c r="B38" s="268">
        <f t="shared" si="2"/>
        <v>23447.076967270001</v>
      </c>
      <c r="C38" s="268">
        <f t="shared" si="2"/>
        <v>25995.337823080008</v>
      </c>
      <c r="D38" s="269">
        <f t="shared" si="0"/>
        <v>10.9</v>
      </c>
      <c r="E38" s="264"/>
      <c r="F38" s="269">
        <f>B38/B32*100</f>
        <v>1.5824919870746486</v>
      </c>
      <c r="G38" s="269">
        <f>C38/C32*100</f>
        <v>1.6950824515963179</v>
      </c>
      <c r="H38" s="270">
        <f t="shared" si="1"/>
        <v>7.1</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179</v>
      </c>
      <c r="B40" s="112"/>
      <c r="C40" s="112"/>
      <c r="D40" s="112"/>
      <c r="E40" s="112"/>
      <c r="F40" s="182"/>
      <c r="G40" s="182"/>
      <c r="H40" s="182"/>
      <c r="I40" s="182"/>
      <c r="J40" s="74"/>
    </row>
    <row r="41" spans="1:10" ht="18.75" x14ac:dyDescent="0.3">
      <c r="A41" s="112" t="s">
        <v>107</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2" sqref="A2"/>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48">
        <v>4</v>
      </c>
      <c r="B1" s="4"/>
      <c r="C1" s="4"/>
      <c r="D1" s="4"/>
      <c r="E1" s="4"/>
      <c r="F1" s="4"/>
      <c r="G1" s="4"/>
      <c r="H1" s="4"/>
      <c r="I1" s="4"/>
      <c r="J1" s="4"/>
    </row>
    <row r="2" spans="1:10" ht="15.75" customHeight="1" x14ac:dyDescent="0.25">
      <c r="A2" s="165" t="s">
        <v>28</v>
      </c>
      <c r="B2" s="973"/>
      <c r="C2" s="973"/>
      <c r="D2" s="973"/>
      <c r="E2" s="973"/>
      <c r="F2" s="973"/>
      <c r="G2" s="973"/>
      <c r="H2" s="973"/>
      <c r="I2" s="973"/>
      <c r="J2" s="973"/>
    </row>
    <row r="3" spans="1:10" ht="15.75" customHeight="1" x14ac:dyDescent="0.25">
      <c r="A3" s="163"/>
      <c r="B3" s="294"/>
      <c r="C3" s="294"/>
      <c r="D3" s="294"/>
      <c r="E3" s="294"/>
      <c r="F3" s="294"/>
      <c r="G3" s="294"/>
      <c r="H3" s="294"/>
      <c r="I3" s="294"/>
      <c r="J3" s="294"/>
    </row>
    <row r="4" spans="1:10" ht="15.75" customHeight="1" x14ac:dyDescent="0.2">
      <c r="A4" s="144"/>
      <c r="B4" s="970" t="s">
        <v>0</v>
      </c>
      <c r="C4" s="971"/>
      <c r="D4" s="971"/>
      <c r="E4" s="970" t="s">
        <v>1</v>
      </c>
      <c r="F4" s="971"/>
      <c r="G4" s="971"/>
      <c r="H4" s="970" t="s">
        <v>2</v>
      </c>
      <c r="I4" s="971"/>
      <c r="J4" s="972"/>
    </row>
    <row r="5" spans="1:10" ht="15.75" customHeight="1" x14ac:dyDescent="0.2">
      <c r="A5" s="158"/>
      <c r="B5" s="20" t="s">
        <v>500</v>
      </c>
      <c r="C5" s="20" t="s">
        <v>501</v>
      </c>
      <c r="D5" s="248" t="s">
        <v>3</v>
      </c>
      <c r="E5" s="20" t="s">
        <v>500</v>
      </c>
      <c r="F5" s="20" t="s">
        <v>501</v>
      </c>
      <c r="G5" s="248" t="s">
        <v>3</v>
      </c>
      <c r="H5" s="20" t="s">
        <v>500</v>
      </c>
      <c r="I5" s="20" t="s">
        <v>501</v>
      </c>
      <c r="J5" s="248" t="s">
        <v>3</v>
      </c>
    </row>
    <row r="6" spans="1:10" ht="15.75" customHeight="1" x14ac:dyDescent="0.2">
      <c r="A6" s="944"/>
      <c r="B6" s="15"/>
      <c r="C6" s="15"/>
      <c r="D6" s="17" t="s">
        <v>4</v>
      </c>
      <c r="E6" s="16"/>
      <c r="F6" s="16"/>
      <c r="G6" s="15" t="s">
        <v>4</v>
      </c>
      <c r="H6" s="16"/>
      <c r="I6" s="16"/>
      <c r="J6" s="15" t="s">
        <v>4</v>
      </c>
    </row>
    <row r="7" spans="1:10" s="43" customFormat="1" ht="15.75" customHeight="1" x14ac:dyDescent="0.2">
      <c r="A7" s="14" t="s">
        <v>23</v>
      </c>
      <c r="B7" s="235">
        <f>'ACE European Group'!B7+'Danica Pensjonsforsikring'!B7+'DNB Livsforsikring'!B7+'Eika Forsikring AS'!B7+'Frende Livsforsikring'!B7+'Frende Skadeforsikring'!B7+'Gjensidige Forsikring'!B7+'Gjensidige Pensjon'!B7+'Handelsbanken Liv'!B7+'If Skadeforsikring NUF'!B7+KLP!B7+'KLP Bedriftspensjon AS'!B7+'KLP Skadeforsikring AS'!B7+'Landkreditt Forsikring'!B7+'NEMI Forsikring'!B7+'Nordea Liv '!B7+'Oslo Pensjonsforsikring'!B7+'Protector Forsikring'!B7+'SHB Liv'!B7+'Sparebank 1'!B7+'Storebrand Livsforsikring'!B7+'Telenor Forsikring'!B7+'Tryg Forsikring'!B7</f>
        <v>4565810.9270592416</v>
      </c>
      <c r="C7" s="235">
        <f>'ACE European Group'!C7+'Danica Pensjonsforsikring'!C7+'DNB Livsforsikring'!C7+'Eika Forsikring AS'!C7+'Frende Livsforsikring'!C7+'Frende Skadeforsikring'!C7+'Gjensidige Forsikring'!C7+'Gjensidige Pensjon'!C7+'Handelsbanken Liv'!C7+'If Skadeforsikring NUF'!C7+KLP!C7+'KLP Bedriftspensjon AS'!C7+'KLP Skadeforsikring AS'!C7+'Landkreditt Forsikring'!C7+'NEMI Forsikring'!C7+'Nordea Liv '!C7+'Oslo Pensjonsforsikring'!C7+'Protector Forsikring'!C7+'SHB Liv'!C7+'Sparebank 1'!C7+'Storebrand Livsforsikring'!C7+'Telenor Forsikring'!C7+'Tryg Forsikring'!C7</f>
        <v>4548818.24551873</v>
      </c>
      <c r="D7" s="160">
        <f t="shared" ref="D7:D12" si="0">IF(B7=0, "    ---- ", IF(ABS(ROUND(100/B7*C7-100,1))&lt;999,ROUND(100/B7*C7-100,1),IF(ROUND(100/B7*C7-100,1)&gt;999,999,-999)))</f>
        <v>-0.4</v>
      </c>
      <c r="E7" s="235">
        <f>'ACE European Group'!F7+'Danica Pensjonsforsikring'!F7+'DNB Livsforsikring'!F7+'Eika Forsikring AS'!F7+'Frende Livsforsikring'!F7+'Frende Skadeforsikring'!F7+'Gjensidige Forsikring'!F7+'Gjensidige Pensjon'!F7+'Handelsbanken Liv'!F7+'If Skadeforsikring NUF'!F7+KLP!F7+'KLP Bedriftspensjon AS'!F7+'KLP Skadeforsikring AS'!F7+'Landkreditt Forsikring'!F7+'NEMI Forsikring'!F7+'Nordea Liv '!F7+'Oslo Pensjonsforsikring'!F7+'Protector Forsikring'!F7+'SHB Liv'!F7+'Sparebank 1'!F7+'Storebrand Livsforsikring'!F7+'Telenor Forsikring'!F7+'Tryg Forsikring'!F7</f>
        <v>8807598.1100199986</v>
      </c>
      <c r="F7" s="235">
        <f>'ACE European Group'!G7+'Danica Pensjonsforsikring'!G7+'DNB Livsforsikring'!G7+'Eika Forsikring AS'!G7+'Frende Livsforsikring'!G7+'Frende Skadeforsikring'!G7+'Gjensidige Forsikring'!G7+'Gjensidige Pensjon'!G7+'Handelsbanken Liv'!G7+'If Skadeforsikring NUF'!G7+KLP!G7+'KLP Bedriftspensjon AS'!G7+'KLP Skadeforsikring AS'!G7+'Landkreditt Forsikring'!G7+'NEMI Forsikring'!G7+'Nordea Liv '!G7+'Oslo Pensjonsforsikring'!G7+'Protector Forsikring'!G7+'SHB Liv'!G7+'Sparebank 1'!G7+'Storebrand Livsforsikring'!G7+'Telenor Forsikring'!G7+'Tryg Forsikring'!G7</f>
        <v>7194932.5101800002</v>
      </c>
      <c r="G7" s="160">
        <f t="shared" ref="G7:G12" si="1">IF(E7=0, "    ---- ", IF(ABS(ROUND(100/E7*F7-100,1))&lt;999,ROUND(100/E7*F7-100,1),IF(ROUND(100/E7*F7-100,1)&gt;999,999,-999)))</f>
        <v>-18.3</v>
      </c>
      <c r="H7" s="274">
        <f t="shared" ref="H7:H12" si="2">B7+E7</f>
        <v>13373409.037079241</v>
      </c>
      <c r="I7" s="275">
        <f t="shared" ref="I7:I12" si="3">C7+F7</f>
        <v>11743750.755698729</v>
      </c>
      <c r="J7" s="171">
        <f t="shared" ref="J7:J12" si="4">IF(H7=0, "    ---- ", IF(ABS(ROUND(100/H7*I7-100,1))&lt;999,ROUND(100/H7*I7-100,1),IF(ROUND(100/H7*I7-100,1)&gt;999,999,-999)))</f>
        <v>-12.2</v>
      </c>
    </row>
    <row r="8" spans="1:10" ht="15.75" customHeight="1" x14ac:dyDescent="0.2">
      <c r="A8" s="21" t="s">
        <v>25</v>
      </c>
      <c r="B8" s="44">
        <f>'ACE European Group'!B8+'Danica Pensjonsforsikring'!B8+'DNB Livsforsikring'!B8+'Eika Forsikring AS'!B8+'Frende Livsforsikring'!B8+'Frende Skadeforsikring'!B8+'Gjensidige Forsikring'!B8+'Gjensidige Pensjon'!B8+'Handelsbanken Liv'!B8+'If Skadeforsikring NUF'!B8+KLP!B8+'KLP Bedriftspensjon AS'!B8+'KLP Skadeforsikring AS'!B8+'Landkreditt Forsikring'!B8+'NEMI Forsikring'!B8+'Nordea Liv '!B8+'Oslo Pensjonsforsikring'!B8+'Protector Forsikring'!B8+'SHB Liv'!B8+'Sparebank 1'!B8+'Storebrand Livsforsikring'!B8+'Telenor Forsikring'!B8+'Tryg Forsikring'!B8</f>
        <v>2498930.3182432712</v>
      </c>
      <c r="C8" s="44">
        <f>'ACE European Group'!C8+'Danica Pensjonsforsikring'!C8+'DNB Livsforsikring'!C8+'Eika Forsikring AS'!C8+'Frende Livsforsikring'!C8+'Frende Skadeforsikring'!C8+'Gjensidige Forsikring'!C8+'Gjensidige Pensjon'!C8+'Handelsbanken Liv'!C8+'If Skadeforsikring NUF'!C8+KLP!C8+'KLP Bedriftspensjon AS'!C8+'KLP Skadeforsikring AS'!C8+'Landkreditt Forsikring'!C8+'NEMI Forsikring'!C8+'Nordea Liv '!C8+'Oslo Pensjonsforsikring'!C8+'Protector Forsikring'!C8+'SHB Liv'!C8+'Sparebank 1'!C8+'Storebrand Livsforsikring'!C8+'Telenor Forsikring'!C8+'Tryg Forsikring'!C8</f>
        <v>2639319.623083082</v>
      </c>
      <c r="D8" s="166">
        <f t="shared" si="0"/>
        <v>5.6</v>
      </c>
      <c r="E8" s="186">
        <f>'ACE European Group'!F8+'Danica Pensjonsforsikring'!F8+'DNB Livsforsikring'!F8+'Eika Forsikring AS'!F8+'Frende Livsforsikring'!F8+'Frende Skadeforsikring'!F8+'Gjensidige Forsikring'!F8+'Gjensidige Pensjon'!F8+'Handelsbanken Liv'!F8+'If Skadeforsikring NUF'!F8+KLP!F8+'KLP Bedriftspensjon AS'!F8+'KLP Skadeforsikring AS'!F8+'Landkreditt Forsikring'!F8+'NEMI Forsikring'!F8+'Nordea Liv '!F8+'Oslo Pensjonsforsikring'!F8+'Protector Forsikring'!F8+'SHB Liv'!F8+'Sparebank 1'!F8+'Storebrand Livsforsikring'!F8+'Telenor Forsikring'!F8+'Tryg Forsikring'!F8</f>
        <v>0</v>
      </c>
      <c r="F8" s="186">
        <f>'ACE European Group'!G8+'Danica Pensjonsforsikring'!G8+'DNB Livsforsikring'!G8+'Eika Forsikring AS'!G8+'Frende Livsforsikring'!G8+'Frende Skadeforsikring'!G8+'Gjensidige Forsikring'!G8+'Gjensidige Pensjon'!G8+'Handelsbanken Liv'!G8+'If Skadeforsikring NUF'!G8+KLP!G8+'KLP Bedriftspensjon AS'!G8+'KLP Skadeforsikring AS'!G8+'Landkreditt Forsikring'!G8+'NEMI Forsikring'!G8+'Nordea Liv '!G8+'Oslo Pensjonsforsikring'!G8+'Protector Forsikring'!G8+'SHB Liv'!G8+'Sparebank 1'!G8+'Storebrand Livsforsikring'!G8+'Telenor Forsikring'!G8+'Tryg Forsikring'!G8</f>
        <v>0</v>
      </c>
      <c r="G8" s="175"/>
      <c r="H8" s="188">
        <f t="shared" si="2"/>
        <v>2498930.3182432712</v>
      </c>
      <c r="I8" s="189">
        <f t="shared" si="3"/>
        <v>2639319.623083082</v>
      </c>
      <c r="J8" s="171">
        <f t="shared" si="4"/>
        <v>5.6</v>
      </c>
    </row>
    <row r="9" spans="1:10" ht="15.75" customHeight="1" x14ac:dyDescent="0.2">
      <c r="A9" s="21" t="s">
        <v>24</v>
      </c>
      <c r="B9" s="44">
        <f>'ACE European Group'!B9+'Danica Pensjonsforsikring'!B9+'DNB Livsforsikring'!B9+'Eika Forsikring AS'!B9+'Frende Livsforsikring'!B9+'Frende Skadeforsikring'!B9+'Gjensidige Forsikring'!B9+'Gjensidige Pensjon'!B9+'Handelsbanken Liv'!B9+'If Skadeforsikring NUF'!B9+KLP!B9+'KLP Bedriftspensjon AS'!B9+'KLP Skadeforsikring AS'!B9+'Landkreditt Forsikring'!B9+'NEMI Forsikring'!B9+'Nordea Liv '!B9+'Oslo Pensjonsforsikring'!B9+'Protector Forsikring'!B9+'SHB Liv'!B9+'Sparebank 1'!B9+'Storebrand Livsforsikring'!B9+'Telenor Forsikring'!B9+'Tryg Forsikring'!B9</f>
        <v>973973.361856487</v>
      </c>
      <c r="C9" s="44">
        <f>'ACE European Group'!C9+'Danica Pensjonsforsikring'!C9+'DNB Livsforsikring'!C9+'Eika Forsikring AS'!C9+'Frende Livsforsikring'!C9+'Frende Skadeforsikring'!C9+'Gjensidige Forsikring'!C9+'Gjensidige Pensjon'!C9+'Handelsbanken Liv'!C9+'If Skadeforsikring NUF'!C9+KLP!C9+'KLP Bedriftspensjon AS'!C9+'KLP Skadeforsikring AS'!C9+'Landkreditt Forsikring'!C9+'NEMI Forsikring'!C9+'Nordea Liv '!C9+'Oslo Pensjonsforsikring'!C9+'Protector Forsikring'!C9+'SHB Liv'!C9+'Sparebank 1'!C9+'Storebrand Livsforsikring'!C9+'Telenor Forsikring'!C9+'Tryg Forsikring'!C9</f>
        <v>978646.56778636866</v>
      </c>
      <c r="D9" s="175">
        <f t="shared" si="0"/>
        <v>0.5</v>
      </c>
      <c r="E9" s="186">
        <f>'ACE European Group'!F9+'Danica Pensjonsforsikring'!F9+'DNB Livsforsikring'!F9+'Eika Forsikring AS'!F9+'Frende Livsforsikring'!F9+'Frende Skadeforsikring'!F9+'Gjensidige Forsikring'!F9+'Gjensidige Pensjon'!F9+'Handelsbanken Liv'!F9+'If Skadeforsikring NUF'!F9+KLP!F9+'KLP Bedriftspensjon AS'!F9+'KLP Skadeforsikring AS'!F9+'Landkreditt Forsikring'!F9+'NEMI Forsikring'!F9+'Nordea Liv '!F9+'Oslo Pensjonsforsikring'!F9+'Protector Forsikring'!F9+'SHB Liv'!F9+'Sparebank 1'!F9+'Storebrand Livsforsikring'!F9+'Telenor Forsikring'!F9+'Tryg Forsikring'!F9</f>
        <v>0</v>
      </c>
      <c r="F9" s="186">
        <f>'ACE European Group'!G9+'Danica Pensjonsforsikring'!G9+'DNB Livsforsikring'!G9+'Eika Forsikring AS'!G9+'Frende Livsforsikring'!G9+'Frende Skadeforsikring'!G9+'Gjensidige Forsikring'!G9+'Gjensidige Pensjon'!G9+'Handelsbanken Liv'!G9+'If Skadeforsikring NUF'!G9+KLP!G9+'KLP Bedriftspensjon AS'!G9+'KLP Skadeforsikring AS'!G9+'Landkreditt Forsikring'!G9+'NEMI Forsikring'!G9+'Nordea Liv '!G9+'Oslo Pensjonsforsikring'!G9+'Protector Forsikring'!G9+'SHB Liv'!G9+'Sparebank 1'!G9+'Storebrand Livsforsikring'!G9+'Telenor Forsikring'!G9+'Tryg Forsikring'!G9</f>
        <v>0</v>
      </c>
      <c r="G9" s="175"/>
      <c r="H9" s="188">
        <f t="shared" si="2"/>
        <v>973973.361856487</v>
      </c>
      <c r="I9" s="189">
        <f t="shared" si="3"/>
        <v>978646.56778636866</v>
      </c>
      <c r="J9" s="171">
        <f t="shared" si="4"/>
        <v>0.5</v>
      </c>
    </row>
    <row r="10" spans="1:10" s="43" customFormat="1" ht="15.75" customHeight="1" x14ac:dyDescent="0.2">
      <c r="A10" s="39" t="s">
        <v>456</v>
      </c>
      <c r="B10" s="235">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AS'!B10+'Landkreditt Forsikring'!B10+'NEMI Forsikring'!B10+'Nordea Liv '!B10+'Oslo Pensjonsforsikring'!B10+'Protector Forsikring'!B10+'SHB Liv'!B10+'Sparebank 1'!B10+'Storebrand Livsforsikring'!B10+'Telenor Forsikring'!B10+'Tryg Forsikring'!B10</f>
        <v>23857419.490009896</v>
      </c>
      <c r="C10" s="235">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AS'!C10+'Landkreditt Forsikring'!C10+'NEMI Forsikring'!C10+'Nordea Liv '!C10+'Oslo Pensjonsforsikring'!C10+'Protector Forsikring'!C10+'SHB Liv'!C10+'Sparebank 1'!C10+'Storebrand Livsforsikring'!C10+'Telenor Forsikring'!C10+'Tryg Forsikring'!C10</f>
        <v>22460268.525717266</v>
      </c>
      <c r="D10" s="160">
        <f t="shared" si="0"/>
        <v>-5.9</v>
      </c>
      <c r="E10" s="235">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AS'!F10+'Landkreditt Forsikring'!F10+'NEMI Forsikring'!F10+'Nordea Liv '!F10+'Oslo Pensjonsforsikring'!F10+'Protector Forsikring'!F10+'SHB Liv'!F10+'Sparebank 1'!F10+'Storebrand Livsforsikring'!F10+'Telenor Forsikring'!F10+'Tryg Forsikring'!F10</f>
        <v>42280226.7167724</v>
      </c>
      <c r="F10" s="235">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AS'!G10+'Landkreditt Forsikring'!G10+'NEMI Forsikring'!G10+'Nordea Liv '!G10+'Oslo Pensjonsforsikring'!G10+'Protector Forsikring'!G10+'SHB Liv'!G10+'Sparebank 1'!G10+'Storebrand Livsforsikring'!G10+'Telenor Forsikring'!G10+'Tryg Forsikring'!G10</f>
        <v>41671357.724664405</v>
      </c>
      <c r="G10" s="160">
        <f t="shared" si="1"/>
        <v>-1.4</v>
      </c>
      <c r="H10" s="274">
        <f t="shared" si="2"/>
        <v>66137646.206782296</v>
      </c>
      <c r="I10" s="275">
        <f t="shared" si="3"/>
        <v>64131626.250381671</v>
      </c>
      <c r="J10" s="171">
        <f t="shared" si="4"/>
        <v>-3</v>
      </c>
    </row>
    <row r="11" spans="1:10" s="43" customFormat="1" ht="15.75" customHeight="1" x14ac:dyDescent="0.2">
      <c r="A11" s="39" t="s">
        <v>457</v>
      </c>
      <c r="B11" s="235">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AS'!B11+'Landkreditt Forsikring'!B11+'NEMI Forsikring'!B11+'Nordea Liv '!B11+'Oslo Pensjonsforsikring'!B11+'Protector Forsikring'!B11+'SHB Liv'!B11+'Sparebank 1'!B11+'Storebrand Livsforsikring'!B11+'Telenor Forsikring'!B11+'Tryg Forsikring'!B11</f>
        <v>95526</v>
      </c>
      <c r="C11" s="235">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AS'!C11+'Landkreditt Forsikring'!C11+'NEMI Forsikring'!C11+'Nordea Liv '!C11+'Oslo Pensjonsforsikring'!C11+'Protector Forsikring'!C11+'SHB Liv'!C11+'Sparebank 1'!C11+'Storebrand Livsforsikring'!C11+'Telenor Forsikring'!C11+'Tryg Forsikring'!C11</f>
        <v>25116</v>
      </c>
      <c r="D11" s="171">
        <f t="shared" si="0"/>
        <v>-73.7</v>
      </c>
      <c r="E11" s="235">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AS'!F11+'Landkreditt Forsikring'!F11+'NEMI Forsikring'!F11+'Nordea Liv '!F11+'Oslo Pensjonsforsikring'!F11+'Protector Forsikring'!F11+'SHB Liv'!F11+'Sparebank 1'!F11+'Storebrand Livsforsikring'!F11+'Telenor Forsikring'!F11+'Tryg Forsikring'!F11</f>
        <v>264162.92132000002</v>
      </c>
      <c r="F11" s="235">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AS'!G11+'Landkreditt Forsikring'!G11+'NEMI Forsikring'!G11+'Nordea Liv '!G11+'Oslo Pensjonsforsikring'!G11+'Protector Forsikring'!G11+'SHB Liv'!G11+'Sparebank 1'!G11+'Storebrand Livsforsikring'!G11+'Telenor Forsikring'!G11+'Tryg Forsikring'!G11</f>
        <v>291117.74226000003</v>
      </c>
      <c r="G11" s="171">
        <f t="shared" si="1"/>
        <v>10.199999999999999</v>
      </c>
      <c r="H11" s="274">
        <f t="shared" si="2"/>
        <v>359688.92132000002</v>
      </c>
      <c r="I11" s="275">
        <f t="shared" si="3"/>
        <v>316233.74226000003</v>
      </c>
      <c r="J11" s="171">
        <f t="shared" si="4"/>
        <v>-12.1</v>
      </c>
    </row>
    <row r="12" spans="1:10" s="43" customFormat="1" ht="15.75" customHeight="1" x14ac:dyDescent="0.2">
      <c r="A12" s="835" t="s">
        <v>458</v>
      </c>
      <c r="B12" s="273">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AS'!B12+'Landkreditt Forsikring'!B12+'NEMI Forsikring'!B12+'Nordea Liv '!B12+'Oslo Pensjonsforsikring'!B12+'Protector Forsikring'!B12+'SHB Liv'!B12+'Sparebank 1'!B12+'Storebrand Livsforsikring'!B12+'Telenor Forsikring'!B12+'Tryg Forsikring'!B12</f>
        <v>28875</v>
      </c>
      <c r="C12" s="273">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AS'!C12+'Landkreditt Forsikring'!C12+'NEMI Forsikring'!C12+'Nordea Liv '!C12+'Oslo Pensjonsforsikring'!C12+'Protector Forsikring'!C12+'SHB Liv'!C12+'Sparebank 1'!C12+'Storebrand Livsforsikring'!C12+'Telenor Forsikring'!C12+'Tryg Forsikring'!C12</f>
        <v>2765</v>
      </c>
      <c r="D12" s="170">
        <f t="shared" si="0"/>
        <v>-90.4</v>
      </c>
      <c r="E12" s="273">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AS'!F12+'Landkreditt Forsikring'!F12+'NEMI Forsikring'!F12+'Nordea Liv '!F12+'Oslo Pensjonsforsikring'!F12+'Protector Forsikring'!F12+'SHB Liv'!F12+'Sparebank 1'!F12+'Storebrand Livsforsikring'!F12+'Telenor Forsikring'!F12+'Tryg Forsikring'!F12</f>
        <v>179438.89640999999</v>
      </c>
      <c r="F12" s="273">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AS'!G12+'Landkreditt Forsikring'!G12+'NEMI Forsikring'!G12+'Nordea Liv '!G12+'Oslo Pensjonsforsikring'!G12+'Protector Forsikring'!G12+'SHB Liv'!G12+'Sparebank 1'!G12+'Storebrand Livsforsikring'!G12+'Telenor Forsikring'!G12+'Tryg Forsikring'!G12</f>
        <v>245162.99463999999</v>
      </c>
      <c r="G12" s="169">
        <f t="shared" si="1"/>
        <v>36.6</v>
      </c>
      <c r="H12" s="276">
        <f t="shared" si="2"/>
        <v>208313.89640999999</v>
      </c>
      <c r="I12" s="277">
        <f t="shared" si="3"/>
        <v>247927.99463999999</v>
      </c>
      <c r="J12" s="169">
        <f t="shared" si="4"/>
        <v>19</v>
      </c>
    </row>
    <row r="13" spans="1:10" s="43" customFormat="1" ht="15.75" customHeight="1" x14ac:dyDescent="0.2">
      <c r="A13" s="168"/>
      <c r="B13" s="35"/>
      <c r="C13" s="5"/>
      <c r="D13" s="32"/>
      <c r="E13" s="35"/>
      <c r="F13" s="5"/>
      <c r="G13" s="32"/>
      <c r="H13" s="48"/>
      <c r="I13" s="48"/>
      <c r="J13" s="32"/>
    </row>
    <row r="14" spans="1:10" ht="15.75" customHeight="1" x14ac:dyDescent="0.2">
      <c r="A14" s="153" t="s">
        <v>282</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279</v>
      </c>
      <c r="B17" s="28"/>
      <c r="C17" s="28"/>
      <c r="D17" s="29"/>
      <c r="E17" s="28"/>
      <c r="F17" s="28"/>
      <c r="G17" s="28"/>
      <c r="H17" s="28"/>
      <c r="I17" s="28"/>
      <c r="J17" s="28"/>
    </row>
    <row r="18" spans="1:11" ht="15.75" customHeight="1" x14ac:dyDescent="0.25">
      <c r="A18" s="149"/>
      <c r="B18" s="973"/>
      <c r="C18" s="973"/>
      <c r="D18" s="973"/>
      <c r="E18" s="973"/>
      <c r="F18" s="973"/>
      <c r="G18" s="973"/>
      <c r="H18" s="973"/>
      <c r="I18" s="973"/>
      <c r="J18" s="973"/>
    </row>
    <row r="19" spans="1:11" ht="15.75" customHeight="1" x14ac:dyDescent="0.2">
      <c r="A19" s="144"/>
      <c r="B19" s="970" t="s">
        <v>0</v>
      </c>
      <c r="C19" s="971"/>
      <c r="D19" s="971"/>
      <c r="E19" s="970" t="s">
        <v>1</v>
      </c>
      <c r="F19" s="971"/>
      <c r="G19" s="972"/>
      <c r="H19" s="971" t="s">
        <v>2</v>
      </c>
      <c r="I19" s="971"/>
      <c r="J19" s="972"/>
    </row>
    <row r="20" spans="1:11" ht="15.75" customHeight="1" x14ac:dyDescent="0.2">
      <c r="A20" s="140" t="s">
        <v>5</v>
      </c>
      <c r="B20" s="20" t="s">
        <v>500</v>
      </c>
      <c r="C20" s="20" t="s">
        <v>501</v>
      </c>
      <c r="D20" s="248" t="s">
        <v>3</v>
      </c>
      <c r="E20" s="20" t="s">
        <v>500</v>
      </c>
      <c r="F20" s="20" t="s">
        <v>501</v>
      </c>
      <c r="G20" s="248" t="s">
        <v>3</v>
      </c>
      <c r="H20" s="20" t="s">
        <v>500</v>
      </c>
      <c r="I20" s="20" t="s">
        <v>501</v>
      </c>
      <c r="J20" s="248" t="s">
        <v>3</v>
      </c>
    </row>
    <row r="21" spans="1:11" ht="15.75" customHeight="1" x14ac:dyDescent="0.2">
      <c r="A21" s="943"/>
      <c r="B21" s="15"/>
      <c r="C21" s="15"/>
      <c r="D21" s="17" t="s">
        <v>4</v>
      </c>
      <c r="E21" s="16"/>
      <c r="F21" s="16"/>
      <c r="G21" s="15" t="s">
        <v>4</v>
      </c>
      <c r="H21" s="16"/>
      <c r="I21" s="16"/>
      <c r="J21" s="15" t="s">
        <v>4</v>
      </c>
    </row>
    <row r="22" spans="1:11" s="43" customFormat="1" ht="15.75" customHeight="1" x14ac:dyDescent="0.2">
      <c r="A22" s="14" t="s">
        <v>23</v>
      </c>
      <c r="B22" s="235">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AS'!B22+'Landkreditt Forsikring'!B22+'NEMI Forsikring'!B22+'Nordea Liv '!B22+'Oslo Pensjonsforsikring'!B22+'Protector Forsikring'!B22+'SHB Liv'!B22+'Sparebank 1'!B22+'Storebrand Livsforsikring'!B22+'Telenor Forsikring'!B22+'Tryg Forsikring'!B22</f>
        <v>1674027.4261463138</v>
      </c>
      <c r="C22" s="235">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AS'!C22+'Landkreditt Forsikring'!C22+'NEMI Forsikring'!C22+'Nordea Liv '!C22+'Oslo Pensjonsforsikring'!C22+'Protector Forsikring'!C22+'SHB Liv'!C22+'Sparebank 1'!C22+'Storebrand Livsforsikring'!C22+'Telenor Forsikring'!C22+'Tryg Forsikring'!C22</f>
        <v>1581549.7813167991</v>
      </c>
      <c r="D22" s="11">
        <f t="shared" ref="D22:D39" si="5">IF(B22=0, "    ---- ", IF(ABS(ROUND(100/B22*C22-100,1))&lt;999,ROUND(100/B22*C22-100,1),IF(ROUND(100/B22*C22-100,1)&gt;999,999,-999)))</f>
        <v>-5.5</v>
      </c>
      <c r="E22" s="235">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AS'!F22+'Landkreditt Forsikring'!F22+'NEMI Forsikring'!F22+'Nordea Liv '!F22+'Oslo Pensjonsforsikring'!F22+'Protector Forsikring'!F22+'SHB Liv'!F22+'Sparebank 1'!F22+'Storebrand Livsforsikring'!F22+'Telenor Forsikring'!F22+'Tryg Forsikring'!F22</f>
        <v>1160340.67075</v>
      </c>
      <c r="F22" s="305">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AS'!G22+'Landkreditt Forsikring'!G22+'NEMI Forsikring'!G22+'Nordea Liv '!G22+'Oslo Pensjonsforsikring'!G22+'Protector Forsikring'!G22+'SHB Liv'!G22+'Sparebank 1'!G22+'Storebrand Livsforsikring'!G22+'Telenor Forsikring'!G22+'Tryg Forsikring'!G22</f>
        <v>1272183.97545</v>
      </c>
      <c r="G22" s="347">
        <f t="shared" ref="G22:G35" si="6">IF(E22=0, "    ---- ", IF(ABS(ROUND(100/E22*F22-100,1))&lt;999,ROUND(100/E22*F22-100,1),IF(ROUND(100/E22*F22-100,1)&gt;999,999,-999)))</f>
        <v>9.6</v>
      </c>
      <c r="H22" s="305">
        <f>SUM(B22,E22)</f>
        <v>2834368.0968963141</v>
      </c>
      <c r="I22" s="235">
        <f t="shared" ref="I22:I39" si="7">SUM(C22,F22)</f>
        <v>2853733.7567667989</v>
      </c>
      <c r="J22" s="24">
        <f t="shared" ref="J22:J39" si="8">IF(H22=0, "    ---- ", IF(ABS(ROUND(100/H22*I22-100,1))&lt;999,ROUND(100/H22*I22-100,1),IF(ROUND(100/H22*I22-100,1)&gt;999,999,-999)))</f>
        <v>0.7</v>
      </c>
    </row>
    <row r="23" spans="1:11" ht="15.75" customHeight="1" x14ac:dyDescent="0.2">
      <c r="A23" s="836" t="s">
        <v>459</v>
      </c>
      <c r="B23" s="44">
        <f>'ACE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AS'!B23+'Landkreditt Forsikring'!B23+'NEMI Forsikring'!B23+'Nordea Liv '!B23+'Oslo Pensjonsforsikring'!B23+'Protector Forsikring'!B23+'SHB Liv'!B23+'Sparebank 1'!B23+'Storebrand Livsforsikring'!B23+'Telenor Forsikring'!B23+'Tryg Forsikring'!B23</f>
        <v>1604477.7553409641</v>
      </c>
      <c r="C23" s="44">
        <f>'ACE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AS'!C23+'Landkreditt Forsikring'!C23+'NEMI Forsikring'!C23+'Nordea Liv '!C23+'Oslo Pensjonsforsikring'!C23+'Protector Forsikring'!C23+'SHB Liv'!C23+'Sparebank 1'!C23+'Storebrand Livsforsikring'!C23+'Telenor Forsikring'!C23+'Tryg Forsikring'!C23</f>
        <v>1516923.2002935398</v>
      </c>
      <c r="D23" s="27">
        <f>IF($A$1=4,IF(B23=0, "    ---- ", IF(ABS(ROUND(100/B23*C23-100,1))&lt;999,ROUND(100/B23*C23-100,1),IF(ROUND(100/B23*C23-100,1)&gt;999,999,-999))),"")</f>
        <v>-5.5</v>
      </c>
      <c r="E23" s="44">
        <f>'ACE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AS'!F23+'Landkreditt Forsikring'!F23+'NEMI Forsikring'!F23+'Nordea Liv '!F23+'Oslo Pensjonsforsikring'!F23+'Protector Forsikring'!F23+'SHB Liv'!F23+'Sparebank 1'!F23+'Storebrand Livsforsikring'!F23+'Telenor Forsikring'!F23+'Tryg Forsikring'!F23</f>
        <v>153618.36035</v>
      </c>
      <c r="F23" s="44">
        <f>'ACE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AS'!G23+'Landkreditt Forsikring'!G23+'NEMI Forsikring'!G23+'Nordea Liv '!G23+'Oslo Pensjonsforsikring'!G23+'Protector Forsikring'!G23+'SHB Liv'!G23+'Sparebank 1'!G23+'Storebrand Livsforsikring'!G23+'Telenor Forsikring'!G23+'Tryg Forsikring'!G23</f>
        <v>166012.83633999998</v>
      </c>
      <c r="G23" s="166">
        <f>IF($A$1=4,IF(E23=0, "    ---- ", IF(ABS(ROUND(100/E23*F23-100,1))&lt;999,ROUND(100/E23*F23-100,1),IF(ROUND(100/E23*F23-100,1)&gt;999,999,-999))),"")</f>
        <v>8.1</v>
      </c>
      <c r="H23" s="233">
        <f t="shared" ref="H23:H39" si="9">SUM(B23,E23)</f>
        <v>1758096.115690964</v>
      </c>
      <c r="I23" s="44">
        <f t="shared" si="7"/>
        <v>1682936.0366335397</v>
      </c>
      <c r="J23" s="23">
        <f t="shared" si="8"/>
        <v>-4.3</v>
      </c>
    </row>
    <row r="24" spans="1:11" ht="15.75" customHeight="1" x14ac:dyDescent="0.2">
      <c r="A24" s="836" t="s">
        <v>460</v>
      </c>
      <c r="B24" s="44">
        <f>'ACE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AS'!B24+'Landkreditt Forsikring'!B24+'NEMI Forsikring'!B24+'Nordea Liv '!B24+'Oslo Pensjonsforsikring'!B24+'Protector Forsikring'!B24+'SHB Liv'!B24+'Sparebank 1'!B24+'Storebrand Livsforsikring'!B24+'Telenor Forsikring'!B24+'Tryg Forsikring'!B24</f>
        <v>17643.164805349988</v>
      </c>
      <c r="C24" s="44">
        <f>'ACE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AS'!C24+'Landkreditt Forsikring'!C24+'NEMI Forsikring'!C24+'Nordea Liv '!C24+'Oslo Pensjonsforsikring'!C24+'Protector Forsikring'!C24+'SHB Liv'!C24+'Sparebank 1'!C24+'Storebrand Livsforsikring'!C24+'Telenor Forsikring'!C24+'Tryg Forsikring'!C24</f>
        <v>15365.522023259389</v>
      </c>
      <c r="D24" s="27">
        <f t="shared" ref="D24:D27" si="10">IF($A$1=4,IF(B24=0, "    ---- ", IF(ABS(ROUND(100/B24*C24-100,1))&lt;999,ROUND(100/B24*C24-100,1),IF(ROUND(100/B24*C24-100,1)&gt;999,999,-999))),"")</f>
        <v>-12.9</v>
      </c>
      <c r="E24" s="44">
        <f>'ACE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AS'!F24+'Landkreditt Forsikring'!F24+'NEMI Forsikring'!F24+'Nordea Liv '!F24+'Oslo Pensjonsforsikring'!F24+'Protector Forsikring'!F24+'SHB Liv'!F24+'Sparebank 1'!F24+'Storebrand Livsforsikring'!F24+'Telenor Forsikring'!F24+'Tryg Forsikring'!F24</f>
        <v>815.0868099999999</v>
      </c>
      <c r="F24" s="44">
        <f>'ACE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AS'!G24+'Landkreditt Forsikring'!G24+'NEMI Forsikring'!G24+'Nordea Liv '!G24+'Oslo Pensjonsforsikring'!G24+'Protector Forsikring'!G24+'SHB Liv'!G24+'Sparebank 1'!G24+'Storebrand Livsforsikring'!G24+'Telenor Forsikring'!G24+'Tryg Forsikring'!G24</f>
        <v>100.75112000000001</v>
      </c>
      <c r="G24" s="166">
        <f t="shared" ref="G24:G25" si="11">IF($A$1=4,IF(E24=0, "    ---- ", IF(ABS(ROUND(100/E24*F24-100,1))&lt;999,ROUND(100/E24*F24-100,1),IF(ROUND(100/E24*F24-100,1)&gt;999,999,-999))),"")</f>
        <v>-87.6</v>
      </c>
      <c r="H24" s="233">
        <f t="shared" si="9"/>
        <v>18458.251615349989</v>
      </c>
      <c r="I24" s="44">
        <f t="shared" si="7"/>
        <v>15466.27314325939</v>
      </c>
      <c r="J24" s="11">
        <f t="shared" si="8"/>
        <v>-16.2</v>
      </c>
    </row>
    <row r="25" spans="1:11" ht="15.75" customHeight="1" x14ac:dyDescent="0.2">
      <c r="A25" s="836" t="s">
        <v>461</v>
      </c>
      <c r="B25" s="44">
        <f>'ACE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AS'!B25+'Landkreditt Forsikring'!B25+'NEMI Forsikring'!B25+'Nordea Liv '!B25+'Oslo Pensjonsforsikring'!B25+'Protector Forsikring'!B25+'SHB Liv'!B25+'Sparebank 1'!B25+'Storebrand Livsforsikring'!B25+'Telenor Forsikring'!B25+'Tryg Forsikring'!B25</f>
        <v>29527.506000000001</v>
      </c>
      <c r="C25" s="44">
        <f>'ACE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AS'!C25+'Landkreditt Forsikring'!C25+'NEMI Forsikring'!C25+'Nordea Liv '!C25+'Oslo Pensjonsforsikring'!C25+'Protector Forsikring'!C25+'SHB Liv'!C25+'Sparebank 1'!C25+'Storebrand Livsforsikring'!C25+'Telenor Forsikring'!C25+'Tryg Forsikring'!C25</f>
        <v>25122.45</v>
      </c>
      <c r="D25" s="27">
        <f t="shared" si="10"/>
        <v>-14.9</v>
      </c>
      <c r="E25" s="44">
        <f>'ACE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AS'!F25+'Landkreditt Forsikring'!F25+'NEMI Forsikring'!F25+'Nordea Liv '!F25+'Oslo Pensjonsforsikring'!F25+'Protector Forsikring'!F25+'SHB Liv'!F25+'Sparebank 1'!F25+'Storebrand Livsforsikring'!F25+'Telenor Forsikring'!F25+'Tryg Forsikring'!F25</f>
        <v>202819.43448</v>
      </c>
      <c r="F25" s="44">
        <f>'ACE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AS'!G25+'Landkreditt Forsikring'!G25+'NEMI Forsikring'!G25+'Nordea Liv '!G25+'Oslo Pensjonsforsikring'!G25+'Protector Forsikring'!G25+'SHB Liv'!G25+'Sparebank 1'!G25+'Storebrand Livsforsikring'!G25+'Telenor Forsikring'!G25+'Tryg Forsikring'!G25</f>
        <v>97367.05214</v>
      </c>
      <c r="G25" s="166">
        <f t="shared" si="11"/>
        <v>-52</v>
      </c>
      <c r="H25" s="233">
        <f t="shared" si="9"/>
        <v>232346.94047999999</v>
      </c>
      <c r="I25" s="44">
        <f t="shared" si="7"/>
        <v>122489.50214</v>
      </c>
      <c r="J25" s="27">
        <f t="shared" si="8"/>
        <v>-47.3</v>
      </c>
    </row>
    <row r="26" spans="1:11" ht="15.75" customHeight="1" x14ac:dyDescent="0.2">
      <c r="A26" s="836" t="s">
        <v>462</v>
      </c>
      <c r="B26" s="44">
        <f>'ACE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AS'!B26+'Landkreditt Forsikring'!B26+'NEMI Forsikring'!B26+'Nordea Liv '!B26+'Oslo Pensjonsforsikring'!B26+'Protector Forsikring'!B26+'SHB Liv'!B26+'Sparebank 1'!B26+'Storebrand Livsforsikring'!B26+'Telenor Forsikring'!B26+'Tryg Forsikring'!B26</f>
        <v>0</v>
      </c>
      <c r="C26" s="44">
        <f>'ACE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AS'!C26+'Landkreditt Forsikring'!C26+'NEMI Forsikring'!C26+'Nordea Liv '!C26+'Oslo Pensjonsforsikring'!C26+'Protector Forsikring'!C26+'SHB Liv'!C26+'Sparebank 1'!C26+'Storebrand Livsforsikring'!C26+'Telenor Forsikring'!C26+'Tryg Forsikring'!C26</f>
        <v>0</v>
      </c>
      <c r="D26" s="27"/>
      <c r="E26" s="44">
        <f>'ACE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AS'!F26+'Landkreditt Forsikring'!F26+'NEMI Forsikring'!F26+'Nordea Liv '!F26+'Oslo Pensjonsforsikring'!F26+'Protector Forsikring'!F26+'SHB Liv'!F26+'Sparebank 1'!F26+'Storebrand Livsforsikring'!F26+'Telenor Forsikring'!F26+'Tryg Forsikring'!F26</f>
        <v>803087.78911000001</v>
      </c>
      <c r="F26" s="44">
        <f>'ACE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AS'!G26+'Landkreditt Forsikring'!G26+'NEMI Forsikring'!G26+'Nordea Liv '!G26+'Oslo Pensjonsforsikring'!G26+'Protector Forsikring'!G26+'SHB Liv'!G26+'Sparebank 1'!G26+'Storebrand Livsforsikring'!G26+'Telenor Forsikring'!G26+'Tryg Forsikring'!G26</f>
        <v>1008703.3358500001</v>
      </c>
      <c r="G26" s="166">
        <f t="shared" ref="G26" si="12">IF($A$1=4,IF(E26=0, "    ---- ", IF(ABS(ROUND(100/E26*F26-100,1))&lt;999,ROUND(100/E26*F26-100,1),IF(ROUND(100/E26*F26-100,1)&gt;999,999,-999))),"")</f>
        <v>25.6</v>
      </c>
      <c r="H26" s="233">
        <f t="shared" ref="H26" si="13">SUM(B26,E26)</f>
        <v>803087.78911000001</v>
      </c>
      <c r="I26" s="44">
        <f t="shared" ref="I26" si="14">SUM(C26,F26)</f>
        <v>1008703.3358500001</v>
      </c>
      <c r="J26" s="27">
        <f t="shared" ref="J26" si="15">IF(H26=0, "    ---- ", IF(ABS(ROUND(100/H26*I26-100,1))&lt;999,ROUND(100/H26*I26-100,1),IF(ROUND(100/H26*I26-100,1)&gt;999,999,-999)))</f>
        <v>25.6</v>
      </c>
    </row>
    <row r="27" spans="1:11" ht="15.75" customHeight="1" x14ac:dyDescent="0.2">
      <c r="A27" s="834" t="s">
        <v>11</v>
      </c>
      <c r="B27" s="44">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AS'!B27+'Landkreditt Forsikring'!B27+'NEMI Forsikring'!B27+'Nordea Liv '!B27+'Oslo Pensjonsforsikring'!B27+'Protector Forsikring'!B27+'SHB Liv'!B27+'Sparebank 1'!B27+'Storebrand Livsforsikring'!B27+'Telenor Forsikring'!B27+'Tryg Forsikring'!B27</f>
        <v>73.589250000000007</v>
      </c>
      <c r="C27" s="44">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AS'!C27+'Landkreditt Forsikring'!C27+'NEMI Forsikring'!C27+'Nordea Liv '!C27+'Oslo Pensjonsforsikring'!C27+'Protector Forsikring'!C27+'SHB Liv'!C27+'Sparebank 1'!C27+'Storebrand Livsforsikring'!C27+'Telenor Forsikring'!C27+'Tryg Forsikring'!C27</f>
        <v>0</v>
      </c>
      <c r="D27" s="27">
        <f t="shared" si="10"/>
        <v>-100</v>
      </c>
      <c r="E27" s="44">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AS'!F27+'Landkreditt Forsikring'!F27+'NEMI Forsikring'!F27+'Nordea Liv '!F27+'Oslo Pensjonsforsikring'!F27+'Protector Forsikring'!F27+'SHB Liv'!F27+'Sparebank 1'!F27+'Storebrand Livsforsikring'!F27+'Telenor Forsikring'!F27+'Tryg Forsikring'!F27</f>
        <v>0</v>
      </c>
      <c r="F27" s="44">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AS'!G27+'Landkreditt Forsikring'!G27+'NEMI Forsikring'!G27+'Nordea Liv '!G27+'Oslo Pensjonsforsikring'!G27+'Protector Forsikring'!G27+'SHB Liv'!G27+'Sparebank 1'!G27+'Storebrand Livsforsikring'!G27+'Telenor Forsikring'!G27+'Tryg Forsikring'!G27</f>
        <v>0</v>
      </c>
      <c r="G27" s="166"/>
      <c r="H27" s="233">
        <f t="shared" si="9"/>
        <v>73.589250000000007</v>
      </c>
      <c r="I27" s="44">
        <f t="shared" si="7"/>
        <v>0</v>
      </c>
      <c r="J27" s="27">
        <f t="shared" si="8"/>
        <v>-100</v>
      </c>
    </row>
    <row r="28" spans="1:11" ht="15.75" customHeight="1" x14ac:dyDescent="0.2">
      <c r="A28" s="49" t="s">
        <v>283</v>
      </c>
      <c r="B28" s="44">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AS'!B28+'Landkreditt Forsikring'!B28+'NEMI Forsikring'!B28+'Nordea Liv '!B28+'Oslo Pensjonsforsikring'!B28+'Protector Forsikring'!B28+'SHB Liv'!B28+'Sparebank 1'!B28+'Storebrand Livsforsikring'!B28+'Telenor Forsikring'!B28+'Tryg Forsikring'!B28</f>
        <v>1658356.842841231</v>
      </c>
      <c r="C28" s="44">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AS'!C28+'Landkreditt Forsikring'!C28+'NEMI Forsikring'!C28+'Nordea Liv '!C28+'Oslo Pensjonsforsikring'!C28+'Protector Forsikring'!C28+'SHB Liv'!C28+'Sparebank 1'!C28+'Storebrand Livsforsikring'!C28+'Telenor Forsikring'!C28+'Tryg Forsikring'!C28</f>
        <v>1783131.8579628549</v>
      </c>
      <c r="D28" s="23">
        <f t="shared" si="5"/>
        <v>7.5</v>
      </c>
      <c r="E28" s="186"/>
      <c r="F28" s="186"/>
      <c r="G28" s="166"/>
      <c r="H28" s="233">
        <f t="shared" si="9"/>
        <v>1658356.842841231</v>
      </c>
      <c r="I28" s="44">
        <f t="shared" si="7"/>
        <v>1783131.8579628549</v>
      </c>
      <c r="J28" s="23">
        <f t="shared" si="8"/>
        <v>7.5</v>
      </c>
      <c r="K28" s="3"/>
    </row>
    <row r="29" spans="1:11" s="415" customFormat="1" ht="15.75" customHeight="1" x14ac:dyDescent="0.2">
      <c r="A29" s="39" t="s">
        <v>463</v>
      </c>
      <c r="B29" s="235">
        <f>'ACE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AS'!B29+'Landkreditt Forsikring'!B29+'NEMI Forsikring'!B29+'Nordea Liv '!B29+'Oslo Pensjonsforsikring'!B29+'Protector Forsikring'!B29+'SHB Liv'!B29+'Sparebank 1'!B29+'Storebrand Livsforsikring'!B29+'Telenor Forsikring'!B29+'Tryg Forsikring'!B29</f>
        <v>49526631.157240003</v>
      </c>
      <c r="C29" s="235">
        <f>'ACE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AS'!C29+'Landkreditt Forsikring'!C29+'NEMI Forsikring'!C29+'Nordea Liv '!C29+'Oslo Pensjonsforsikring'!C29+'Protector Forsikring'!C29+'SHB Liv'!C29+'Sparebank 1'!C29+'Storebrand Livsforsikring'!C29+'Telenor Forsikring'!C29+'Tryg Forsikring'!C29</f>
        <v>47908918.416100003</v>
      </c>
      <c r="D29" s="24">
        <f t="shared" si="5"/>
        <v>-3.3</v>
      </c>
      <c r="E29" s="305">
        <f>'ACE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AS'!F29+'Landkreditt Forsikring'!F29+'NEMI Forsikring'!F29+'Nordea Liv '!F29+'Oslo Pensjonsforsikring'!F29+'Protector Forsikring'!F29+'SHB Liv'!F29+'Sparebank 1'!F29+'Storebrand Livsforsikring'!F29+'Telenor Forsikring'!F29+'Tryg Forsikring'!F29</f>
        <v>20710688.607039999</v>
      </c>
      <c r="F29" s="305">
        <f>'ACE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AS'!G29+'Landkreditt Forsikring'!G29+'NEMI Forsikring'!G29+'Nordea Liv '!G29+'Oslo Pensjonsforsikring'!G29+'Protector Forsikring'!G29+'SHB Liv'!G29+'Sparebank 1'!G29+'Storebrand Livsforsikring'!G29+'Telenor Forsikring'!G29+'Tryg Forsikring'!G29</f>
        <v>19102638.233150002</v>
      </c>
      <c r="G29" s="171">
        <f t="shared" si="6"/>
        <v>-7.8</v>
      </c>
      <c r="H29" s="305">
        <f t="shared" si="9"/>
        <v>70237319.764280006</v>
      </c>
      <c r="I29" s="235">
        <f t="shared" si="7"/>
        <v>67011556.649250001</v>
      </c>
      <c r="J29" s="24">
        <f t="shared" si="8"/>
        <v>-4.5999999999999996</v>
      </c>
    </row>
    <row r="30" spans="1:11" s="3" customFormat="1" ht="15.75" customHeight="1" x14ac:dyDescent="0.2">
      <c r="A30" s="836" t="s">
        <v>459</v>
      </c>
      <c r="B30" s="44">
        <f>'ACE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AS'!B30+'Landkreditt Forsikring'!B30+'NEMI Forsikring'!B30+'Nordea Liv '!B30+'Oslo Pensjonsforsikring'!B30+'Protector Forsikring'!B30+'SHB Liv'!B30+'Sparebank 1'!B30+'Storebrand Livsforsikring'!B30+'Telenor Forsikring'!B30+'Tryg Forsikring'!B30</f>
        <v>12943929.242676949</v>
      </c>
      <c r="C30" s="44">
        <f>'ACE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AS'!C30+'Landkreditt Forsikring'!C30+'NEMI Forsikring'!C30+'Nordea Liv '!C30+'Oslo Pensjonsforsikring'!C30+'Protector Forsikring'!C30+'SHB Liv'!C30+'Sparebank 1'!C30+'Storebrand Livsforsikring'!C30+'Telenor Forsikring'!C30+'Tryg Forsikring'!C30</f>
        <v>12922234.56551753</v>
      </c>
      <c r="D30" s="27">
        <f t="shared" ref="D30:D32" si="16">IF($A$1=4,IF(B30=0, "    ---- ", IF(ABS(ROUND(100/B30*C30-100,1))&lt;999,ROUND(100/B30*C30-100,1),IF(ROUND(100/B30*C30-100,1)&gt;999,999,-999))),"")</f>
        <v>-0.2</v>
      </c>
      <c r="E30" s="44">
        <f>'ACE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AS'!F30+'Landkreditt Forsikring'!F30+'NEMI Forsikring'!F30+'Nordea Liv '!F30+'Oslo Pensjonsforsikring'!F30+'Protector Forsikring'!F30+'SHB Liv'!F30+'Sparebank 1'!F30+'Storebrand Livsforsikring'!F30+'Telenor Forsikring'!F30+'Tryg Forsikring'!F30</f>
        <v>4499742.2747</v>
      </c>
      <c r="F30" s="44">
        <f>'ACE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AS'!G30+'Landkreditt Forsikring'!G30+'NEMI Forsikring'!G30+'Nordea Liv '!G30+'Oslo Pensjonsforsikring'!G30+'Protector Forsikring'!G30+'SHB Liv'!G30+'Sparebank 1'!G30+'Storebrand Livsforsikring'!G30+'Telenor Forsikring'!G30+'Tryg Forsikring'!G30</f>
        <v>4035801.8258700003</v>
      </c>
      <c r="G30" s="166">
        <f t="shared" ref="G30:G32" si="17">IF($A$1=4,IF(E30=0, "    ---- ", IF(ABS(ROUND(100/E30*F30-100,1))&lt;999,ROUND(100/E30*F30-100,1),IF(ROUND(100/E30*F30-100,1)&gt;999,999,-999))),"")</f>
        <v>-10.3</v>
      </c>
      <c r="H30" s="233">
        <f t="shared" si="9"/>
        <v>17443671.517376948</v>
      </c>
      <c r="I30" s="44">
        <f t="shared" si="7"/>
        <v>16958036.39138753</v>
      </c>
      <c r="J30" s="23">
        <f t="shared" si="8"/>
        <v>-2.8</v>
      </c>
    </row>
    <row r="31" spans="1:11" s="3" customFormat="1" ht="15.75" customHeight="1" x14ac:dyDescent="0.2">
      <c r="A31" s="836" t="s">
        <v>460</v>
      </c>
      <c r="B31" s="44">
        <f>'ACE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AS'!B31+'Landkreditt Forsikring'!B31+'NEMI Forsikring'!B31+'Nordea Liv '!B31+'Oslo Pensjonsforsikring'!B31+'Protector Forsikring'!B31+'SHB Liv'!B31+'Sparebank 1'!B31+'Storebrand Livsforsikring'!B31+'Telenor Forsikring'!B31+'Tryg Forsikring'!B31</f>
        <v>35183239.628563046</v>
      </c>
      <c r="C31" s="44">
        <f>'ACE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AS'!C31+'Landkreditt Forsikring'!C31+'NEMI Forsikring'!C31+'Nordea Liv '!C31+'Oslo Pensjonsforsikring'!C31+'Protector Forsikring'!C31+'SHB Liv'!C31+'Sparebank 1'!C31+'Storebrand Livsforsikring'!C31+'Telenor Forsikring'!C31+'Tryg Forsikring'!C31</f>
        <v>33571963.877582468</v>
      </c>
      <c r="D31" s="27">
        <f t="shared" si="16"/>
        <v>-4.5999999999999996</v>
      </c>
      <c r="E31" s="44">
        <f>'ACE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AS'!F31+'Landkreditt Forsikring'!F31+'NEMI Forsikring'!F31+'Nordea Liv '!F31+'Oslo Pensjonsforsikring'!F31+'Protector Forsikring'!F31+'SHB Liv'!F31+'Sparebank 1'!F31+'Storebrand Livsforsikring'!F31+'Telenor Forsikring'!F31+'Tryg Forsikring'!F31</f>
        <v>11256688.44043</v>
      </c>
      <c r="F31" s="44">
        <f>'ACE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AS'!G31+'Landkreditt Forsikring'!G31+'NEMI Forsikring'!G31+'Nordea Liv '!G31+'Oslo Pensjonsforsikring'!G31+'Protector Forsikring'!G31+'SHB Liv'!G31+'Sparebank 1'!G31+'Storebrand Livsforsikring'!G31+'Telenor Forsikring'!G31+'Tryg Forsikring'!G31</f>
        <v>9333216.9242100008</v>
      </c>
      <c r="G31" s="166">
        <f t="shared" si="17"/>
        <v>-17.100000000000001</v>
      </c>
      <c r="H31" s="233">
        <f t="shared" si="9"/>
        <v>46439928.068993047</v>
      </c>
      <c r="I31" s="44">
        <f t="shared" si="7"/>
        <v>42905180.801792473</v>
      </c>
      <c r="J31" s="23">
        <f t="shared" si="8"/>
        <v>-7.6</v>
      </c>
    </row>
    <row r="32" spans="1:11" ht="15.75" customHeight="1" x14ac:dyDescent="0.2">
      <c r="A32" s="836" t="s">
        <v>461</v>
      </c>
      <c r="B32" s="44">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AS'!B32+'Landkreditt Forsikring'!B32+'NEMI Forsikring'!B32+'Nordea Liv '!B32+'Oslo Pensjonsforsikring'!B32+'Protector Forsikring'!B32+'SHB Liv'!B32+'Sparebank 1'!B32+'Storebrand Livsforsikring'!B32+'Telenor Forsikring'!B32+'Tryg Forsikring'!B32</f>
        <v>1317397.2859999998</v>
      </c>
      <c r="C32" s="44">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AS'!C32+'Landkreditt Forsikring'!C32+'NEMI Forsikring'!C32+'Nordea Liv '!C32+'Oslo Pensjonsforsikring'!C32+'Protector Forsikring'!C32+'SHB Liv'!C32+'Sparebank 1'!C32+'Storebrand Livsforsikring'!C32+'Telenor Forsikring'!C32+'Tryg Forsikring'!C32</f>
        <v>1289603.3599999999</v>
      </c>
      <c r="D32" s="27">
        <f t="shared" si="16"/>
        <v>-2.1</v>
      </c>
      <c r="E32" s="44">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AS'!F32+'Landkreditt Forsikring'!F32+'NEMI Forsikring'!F32+'Nordea Liv '!F32+'Oslo Pensjonsforsikring'!F32+'Protector Forsikring'!F32+'SHB Liv'!F32+'Sparebank 1'!F32+'Storebrand Livsforsikring'!F32+'Telenor Forsikring'!F32+'Tryg Forsikring'!F32</f>
        <v>4132011.9509399999</v>
      </c>
      <c r="F32" s="44">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AS'!G32+'Landkreditt Forsikring'!G32+'NEMI Forsikring'!G32+'Nordea Liv '!G32+'Oslo Pensjonsforsikring'!G32+'Protector Forsikring'!G32+'SHB Liv'!G32+'Sparebank 1'!G32+'Storebrand Livsforsikring'!G32+'Telenor Forsikring'!G32+'Tryg Forsikring'!G32</f>
        <v>3960669.0392399998</v>
      </c>
      <c r="G32" s="166">
        <f t="shared" si="17"/>
        <v>-4.0999999999999996</v>
      </c>
      <c r="H32" s="233">
        <f t="shared" si="9"/>
        <v>5449409.2369400002</v>
      </c>
      <c r="I32" s="44">
        <f t="shared" si="7"/>
        <v>5250272.3992400002</v>
      </c>
      <c r="J32" s="24">
        <f t="shared" si="8"/>
        <v>-3.7</v>
      </c>
    </row>
    <row r="33" spans="1:10" ht="15.75" customHeight="1" x14ac:dyDescent="0.2">
      <c r="A33" s="836" t="s">
        <v>462</v>
      </c>
      <c r="B33" s="44">
        <f>'ACE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AS'!B33+'Landkreditt Forsikring'!B33+'NEMI Forsikring'!B33+'Nordea Liv '!B33+'Oslo Pensjonsforsikring'!B33+'Protector Forsikring'!B33+'SHB Liv'!B33+'Sparebank 1'!B33+'Storebrand Livsforsikring'!B33+'Telenor Forsikring'!B33+'Tryg Forsikring'!B33</f>
        <v>0</v>
      </c>
      <c r="C33" s="44">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AS'!C33+'Landkreditt Forsikring'!C33+'NEMI Forsikring'!C33+'Nordea Liv '!C33+'Oslo Pensjonsforsikring'!C33+'Protector Forsikring'!C33+'SHB Liv'!C33+'Sparebank 1'!C33+'Storebrand Livsforsikring'!C33+'Telenor Forsikring'!C33+'Tryg Forsikring'!C33</f>
        <v>0</v>
      </c>
      <c r="D33" s="27"/>
      <c r="E33" s="44">
        <f>'ACE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AS'!F33+'Landkreditt Forsikring'!F33+'NEMI Forsikring'!F33+'Nordea Liv '!F33+'Oslo Pensjonsforsikring'!F33+'Protector Forsikring'!F33+'SHB Liv'!F33+'Sparebank 1'!F33+'Storebrand Livsforsikring'!F33+'Telenor Forsikring'!F33+'Tryg Forsikring'!F33</f>
        <v>822245.94097</v>
      </c>
      <c r="F33" s="44">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AS'!G33+'Landkreditt Forsikring'!G33+'NEMI Forsikring'!G33+'Nordea Liv '!G33+'Oslo Pensjonsforsikring'!G33+'Protector Forsikring'!G33+'SHB Liv'!G33+'Sparebank 1'!G33+'Storebrand Livsforsikring'!G33+'Telenor Forsikring'!G33+'Tryg Forsikring'!G33</f>
        <v>1772950.44383</v>
      </c>
      <c r="G33" s="166">
        <f t="shared" ref="G33" si="18">IF($A$1=4,IF(E33=0, "    ---- ", IF(ABS(ROUND(100/E33*F33-100,1))&lt;999,ROUND(100/E33*F33-100,1),IF(ROUND(100/E33*F33-100,1)&gt;999,999,-999))),"")</f>
        <v>115.6</v>
      </c>
      <c r="H33" s="233">
        <f t="shared" ref="H33" si="19">SUM(B33,E33)</f>
        <v>822245.94097</v>
      </c>
      <c r="I33" s="44">
        <f t="shared" ref="I33" si="20">SUM(C33,F33)</f>
        <v>1772950.44383</v>
      </c>
      <c r="J33" s="24">
        <f t="shared" ref="J33" si="21">IF(H33=0, "    ---- ", IF(ABS(ROUND(100/H33*I33-100,1))&lt;999,ROUND(100/H33*I33-100,1),IF(ROUND(100/H33*I33-100,1)&gt;999,999,-999)))</f>
        <v>115.6</v>
      </c>
    </row>
    <row r="34" spans="1:10" s="43" customFormat="1" ht="15.75" customHeight="1" x14ac:dyDescent="0.2">
      <c r="A34" s="39" t="s">
        <v>457</v>
      </c>
      <c r="B34" s="235">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AS'!B34+'Landkreditt Forsikring'!B34+'NEMI Forsikring'!B34+'Nordea Liv '!B34+'Oslo Pensjonsforsikring'!B34+'Protector Forsikring'!B34+'SHB Liv'!B34+'Sparebank 1'!B34+'Storebrand Livsforsikring'!B34+'Telenor Forsikring'!B34+'Tryg Forsikring'!B34</f>
        <v>40930.623200000002</v>
      </c>
      <c r="C34" s="235">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AS'!C34+'Landkreditt Forsikring'!C34+'NEMI Forsikring'!C34+'Nordea Liv '!C34+'Oslo Pensjonsforsikring'!C34+'Protector Forsikring'!C34+'SHB Liv'!C34+'Sparebank 1'!C34+'Storebrand Livsforsikring'!C34+'Telenor Forsikring'!C34+'Tryg Forsikring'!C34</f>
        <v>28123.286410000001</v>
      </c>
      <c r="D34" s="24">
        <f t="shared" si="5"/>
        <v>-31.3</v>
      </c>
      <c r="E34" s="305">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AS'!F34+'Landkreditt Forsikring'!F34+'NEMI Forsikring'!F34+'Nordea Liv '!F34+'Oslo Pensjonsforsikring'!F34+'Protector Forsikring'!F34+'SHB Liv'!F34+'Sparebank 1'!F34+'Storebrand Livsforsikring'!F34+'Telenor Forsikring'!F34+'Tryg Forsikring'!F34</f>
        <v>18121.116519999996</v>
      </c>
      <c r="F34" s="305">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AS'!G34+'Landkreditt Forsikring'!G34+'NEMI Forsikring'!G34+'Nordea Liv '!G34+'Oslo Pensjonsforsikring'!G34+'Protector Forsikring'!G34+'SHB Liv'!G34+'Sparebank 1'!G34+'Storebrand Livsforsikring'!G34+'Telenor Forsikring'!G34+'Tryg Forsikring'!G34</f>
        <v>75875.299440000003</v>
      </c>
      <c r="G34" s="171">
        <f t="shared" si="6"/>
        <v>318.7</v>
      </c>
      <c r="H34" s="305">
        <f t="shared" si="9"/>
        <v>59051.739719999998</v>
      </c>
      <c r="I34" s="235">
        <f t="shared" si="7"/>
        <v>103998.58585</v>
      </c>
      <c r="J34" s="24">
        <f t="shared" si="8"/>
        <v>76.099999999999994</v>
      </c>
    </row>
    <row r="35" spans="1:10" s="43" customFormat="1" ht="15.75" customHeight="1" x14ac:dyDescent="0.2">
      <c r="A35" s="39" t="s">
        <v>458</v>
      </c>
      <c r="B35" s="235">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AS'!B35+'Landkreditt Forsikring'!B35+'NEMI Forsikring'!B35+'Nordea Liv '!B35+'Oslo Pensjonsforsikring'!B35+'Protector Forsikring'!B35+'SHB Liv'!B35+'Sparebank 1'!B35+'Storebrand Livsforsikring'!B35+'Telenor Forsikring'!B35+'Tryg Forsikring'!B35</f>
        <v>-65636.979730000006</v>
      </c>
      <c r="C35" s="235">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AS'!C35+'Landkreditt Forsikring'!C35+'NEMI Forsikring'!C35+'Nordea Liv '!C35+'Oslo Pensjonsforsikring'!C35+'Protector Forsikring'!C35+'SHB Liv'!C35+'Sparebank 1'!C35+'Storebrand Livsforsikring'!C35+'Telenor Forsikring'!C35+'Tryg Forsikring'!C35</f>
        <v>-29295.694759999998</v>
      </c>
      <c r="D35" s="24">
        <f t="shared" si="5"/>
        <v>-55.4</v>
      </c>
      <c r="E35" s="305">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AS'!F35+'Landkreditt Forsikring'!F35+'NEMI Forsikring'!F35+'Nordea Liv '!F35+'Oslo Pensjonsforsikring'!F35+'Protector Forsikring'!F35+'SHB Liv'!F35+'Sparebank 1'!F35+'Storebrand Livsforsikring'!F35+'Telenor Forsikring'!F35+'Tryg Forsikring'!F35</f>
        <v>91902.427899999981</v>
      </c>
      <c r="F35" s="305">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AS'!G35+'Landkreditt Forsikring'!G35+'NEMI Forsikring'!G35+'Nordea Liv '!G35+'Oslo Pensjonsforsikring'!G35+'Protector Forsikring'!G35+'SHB Liv'!G35+'Sparebank 1'!G35+'Storebrand Livsforsikring'!G35+'Telenor Forsikring'!G35+'Tryg Forsikring'!G35</f>
        <v>114569.91455</v>
      </c>
      <c r="G35" s="171">
        <f t="shared" si="6"/>
        <v>24.7</v>
      </c>
      <c r="H35" s="305">
        <f t="shared" si="9"/>
        <v>26265.448169999974</v>
      </c>
      <c r="I35" s="235">
        <f t="shared" si="7"/>
        <v>85274.219790000003</v>
      </c>
      <c r="J35" s="24">
        <f t="shared" si="8"/>
        <v>224.7</v>
      </c>
    </row>
    <row r="36" spans="1:10" s="43" customFormat="1" ht="15.75" customHeight="1" x14ac:dyDescent="0.2">
      <c r="A36" s="12" t="s">
        <v>291</v>
      </c>
      <c r="B36" s="235">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AS'!B36+'Landkreditt Forsikring'!B36+'NEMI Forsikring'!B36+'Nordea Liv '!B36+'Oslo Pensjonsforsikring'!B36+'Protector Forsikring'!B36+'SHB Liv'!B36+'Sparebank 1'!B36+'Storebrand Livsforsikring'!B36+'Telenor Forsikring'!B36+'Tryg Forsikring'!B36</f>
        <v>15539.098</v>
      </c>
      <c r="C36" s="235">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AS'!C36+'Landkreditt Forsikring'!C36+'NEMI Forsikring'!C36+'Nordea Liv '!C36+'Oslo Pensjonsforsikring'!C36+'Protector Forsikring'!C36+'SHB Liv'!C36+'Sparebank 1'!C36+'Storebrand Livsforsikring'!C36+'Telenor Forsikring'!C36+'Tryg Forsikring'!C36</f>
        <v>15256.704</v>
      </c>
      <c r="D36" s="11">
        <f t="shared" si="5"/>
        <v>-1.8</v>
      </c>
      <c r="E36" s="316">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AS'!F36+'Landkreditt Forsikring'!F36+'NEMI Forsikring'!F36+'Nordea Liv '!F36+'Oslo Pensjonsforsikring'!F36+'Protector Forsikring'!F36+'SHB Liv'!F36+'Sparebank 1'!F36+'Storebrand Livsforsikring'!F36+'Telenor Forsikring'!F36+'Tryg Forsikring'!F36</f>
        <v>0</v>
      </c>
      <c r="F36" s="316">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AS'!G36+'Landkreditt Forsikring'!G36+'NEMI Forsikring'!G36+'Nordea Liv '!G36+'Oslo Pensjonsforsikring'!G36+'Protector Forsikring'!G36+'SHB Liv'!G36+'Sparebank 1'!G36+'Storebrand Livsforsikring'!G36+'Telenor Forsikring'!G36+'Tryg Forsikring'!G36</f>
        <v>0</v>
      </c>
      <c r="G36" s="171"/>
      <c r="H36" s="305">
        <f t="shared" si="9"/>
        <v>15539.098</v>
      </c>
      <c r="I36" s="235">
        <f t="shared" si="7"/>
        <v>15256.704</v>
      </c>
      <c r="J36" s="11">
        <f t="shared" si="8"/>
        <v>-1.8</v>
      </c>
    </row>
    <row r="37" spans="1:10" s="43" customFormat="1" ht="15.75" customHeight="1" x14ac:dyDescent="0.2">
      <c r="A37" s="837" t="s">
        <v>464</v>
      </c>
      <c r="B37" s="235">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AS'!B37+'Landkreditt Forsikring'!B37+'NEMI Forsikring'!B37+'Nordea Liv '!B37+'Oslo Pensjonsforsikring'!B37+'Protector Forsikring'!B37+'SHB Liv'!B37+'Sparebank 1'!B37+'Storebrand Livsforsikring'!B37+'Telenor Forsikring'!B37+'Tryg Forsikring'!B37</f>
        <v>3929449.2230000002</v>
      </c>
      <c r="C37" s="235">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AS'!C37+'Landkreditt Forsikring'!C37+'NEMI Forsikring'!C37+'Nordea Liv '!C37+'Oslo Pensjonsforsikring'!C37+'Protector Forsikring'!C37+'SHB Liv'!C37+'Sparebank 1'!C37+'Storebrand Livsforsikring'!C37+'Telenor Forsikring'!C37+'Tryg Forsikring'!C37</f>
        <v>3738156.3530000001</v>
      </c>
      <c r="D37" s="24">
        <f t="shared" si="5"/>
        <v>-4.9000000000000004</v>
      </c>
      <c r="E37" s="321">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AS'!F37+'Landkreditt Forsikring'!F37+'NEMI Forsikring'!F37+'Nordea Liv '!F37+'Oslo Pensjonsforsikring'!F37+'Protector Forsikring'!F37+'SHB Liv'!F37+'Sparebank 1'!F37+'Storebrand Livsforsikring'!F37+'Telenor Forsikring'!F37+'Tryg Forsikring'!F37</f>
        <v>0</v>
      </c>
      <c r="F37" s="321">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AS'!G37+'Landkreditt Forsikring'!G37+'NEMI Forsikring'!G37+'Nordea Liv '!G37+'Oslo Pensjonsforsikring'!G37+'Protector Forsikring'!G37+'SHB Liv'!G37+'Sparebank 1'!G37+'Storebrand Livsforsikring'!G37+'Telenor Forsikring'!G37+'Tryg Forsikring'!G37</f>
        <v>0</v>
      </c>
      <c r="G37" s="171"/>
      <c r="H37" s="305">
        <f t="shared" si="9"/>
        <v>3929449.2230000002</v>
      </c>
      <c r="I37" s="235">
        <f t="shared" si="7"/>
        <v>3738156.3530000001</v>
      </c>
      <c r="J37" s="24">
        <f t="shared" si="8"/>
        <v>-4.9000000000000004</v>
      </c>
    </row>
    <row r="38" spans="1:10" s="43" customFormat="1" ht="15.75" customHeight="1" x14ac:dyDescent="0.2">
      <c r="A38" s="837" t="s">
        <v>465</v>
      </c>
      <c r="B38" s="235">
        <f>'ACE European Group'!B38+'Danica Pensjonsforsikring'!B38+'DNB Livsforsikring'!B38+'Eika Forsikring AS'!B38+'Frende Livsforsikring'!B38+'Frende Skadeforsikring'!B38+'Gjensidige Forsikring'!B38+'Gjensidige Pensjon'!B38+'Handelsbanken Liv'!B38+'If Skadeforsikring NUF'!B38+KLP!B38+'KLP Bedriftspensjon AS'!B38+'KLP Skadeforsikring AS'!B38+'Landkreditt Forsikring'!B38+'NEMI Forsikring'!B38+'Nordea Liv '!B38+'Oslo Pensjonsforsikring'!B38+'Protector Forsikring'!B38+'SHB Liv'!B38+'Sparebank 1'!B38+'Storebrand Livsforsikring'!B38+'Telenor Forsikring'!B38+'Tryg Forsikring'!B38</f>
        <v>0</v>
      </c>
      <c r="C38" s="235">
        <f>'ACE European Group'!C38+'Danica Pensjonsforsikring'!C38+'DNB Livsforsikring'!C38+'Eika Forsikring AS'!C38+'Frende Livsforsikring'!C38+'Frende Skadeforsikring'!C38+'Gjensidige Forsikring'!C38+'Gjensidige Pensjon'!C38+'Handelsbanken Liv'!C38+'If Skadeforsikring NUF'!C38+KLP!C38+'KLP Bedriftspensjon AS'!C38+'KLP Skadeforsikring AS'!C38+'Landkreditt Forsikring'!C38+'NEMI Forsikring'!C38+'Nordea Liv '!C38+'Oslo Pensjonsforsikring'!C38+'Protector Forsikring'!C38+'SHB Liv'!C38+'Sparebank 1'!C38+'Storebrand Livsforsikring'!C38+'Telenor Forsikring'!C38+'Tryg Forsikring'!C38</f>
        <v>611</v>
      </c>
      <c r="D38" s="24" t="str">
        <f t="shared" si="5"/>
        <v xml:space="preserve">    ---- </v>
      </c>
      <c r="E38" s="316">
        <f>'ACE European Group'!F38+'Danica Pensjonsforsikring'!F38+'DNB Livsforsikring'!F38+'Eika Forsikring AS'!F38+'Frende Livsforsikring'!F38+'Frende Skadeforsikring'!F38+'Gjensidige Forsikring'!F38+'Gjensidige Pensjon'!F38+'Handelsbanken Liv'!F38+'If Skadeforsikring NUF'!F38+KLP!F38+'KLP Bedriftspensjon AS'!F38+'KLP Skadeforsikring AS'!F38+'Landkreditt Forsikring'!F38+'NEMI Forsikring'!F38+'Nordea Liv '!F38+'Oslo Pensjonsforsikring'!F38+'Protector Forsikring'!F38+'SHB Liv'!F38+'Sparebank 1'!F38+'Storebrand Livsforsikring'!F38+'Telenor Forsikring'!F38+'Tryg Forsikring'!F38</f>
        <v>0</v>
      </c>
      <c r="F38" s="322">
        <f>'ACE European Group'!G38+'Danica Pensjonsforsikring'!G38+'DNB Livsforsikring'!G38+'Eika Forsikring AS'!G38+'Frende Livsforsikring'!G38+'Frende Skadeforsikring'!G38+'Gjensidige Forsikring'!G38+'Gjensidige Pensjon'!G38+'Handelsbanken Liv'!G38+'If Skadeforsikring NUF'!G38+KLP!G38+'KLP Bedriftspensjon AS'!G38+'KLP Skadeforsikring AS'!G38+'Landkreditt Forsikring'!G38+'NEMI Forsikring'!G38+'Nordea Liv '!G38+'Oslo Pensjonsforsikring'!G38+'Protector Forsikring'!G38+'SHB Liv'!G38+'Sparebank 1'!G38+'Storebrand Livsforsikring'!G38+'Telenor Forsikring'!G38+'Tryg Forsikring'!G38</f>
        <v>0</v>
      </c>
      <c r="G38" s="171"/>
      <c r="H38" s="305">
        <f t="shared" si="9"/>
        <v>0</v>
      </c>
      <c r="I38" s="235">
        <f t="shared" si="7"/>
        <v>611</v>
      </c>
      <c r="J38" s="24" t="str">
        <f t="shared" si="8"/>
        <v xml:space="preserve">    ---- </v>
      </c>
    </row>
    <row r="39" spans="1:10" s="43" customFormat="1" ht="15.75" customHeight="1" x14ac:dyDescent="0.2">
      <c r="A39" s="838" t="s">
        <v>466</v>
      </c>
      <c r="B39" s="273">
        <f>'ACE European Group'!B39+'Danica Pensjonsforsikring'!B39+'DNB Livsforsikring'!B39+'Eika Forsikring AS'!B39+'Frende Livsforsikring'!B39+'Frende Skadeforsikring'!B39+'Gjensidige Forsikring'!B39+'Gjensidige Pensjon'!B39+'Handelsbanken Liv'!B39+'If Skadeforsikring NUF'!B39+KLP!B39+'KLP Bedriftspensjon AS'!B39+'KLP Skadeforsikring AS'!B39+'Landkreditt Forsikring'!B39+'NEMI Forsikring'!B39+'Nordea Liv '!B39+'Oslo Pensjonsforsikring'!B39+'Protector Forsikring'!B39+'SHB Liv'!B39+'Sparebank 1'!B39+'Storebrand Livsforsikring'!B39+'Telenor Forsikring'!B39+'Tryg Forsikring'!B39</f>
        <v>5</v>
      </c>
      <c r="C39" s="273">
        <f>'ACE European Group'!C39+'Danica Pensjonsforsikring'!C39+'DNB Livsforsikring'!C39+'Eika Forsikring AS'!C39+'Frende Livsforsikring'!C39+'Frende Skadeforsikring'!C39+'Gjensidige Forsikring'!C39+'Gjensidige Pensjon'!C39+'Handelsbanken Liv'!C39+'If Skadeforsikring NUF'!C39+KLP!C39+'KLP Bedriftspensjon AS'!C39+'KLP Skadeforsikring AS'!C39+'Landkreditt Forsikring'!C39+'NEMI Forsikring'!C39+'Nordea Liv '!C39+'Oslo Pensjonsforsikring'!C39+'Protector Forsikring'!C39+'SHB Liv'!C39+'Sparebank 1'!C39+'Storebrand Livsforsikring'!C39+'Telenor Forsikring'!C39+'Tryg Forsikring'!C39</f>
        <v>0</v>
      </c>
      <c r="D39" s="36">
        <f t="shared" si="5"/>
        <v>-100</v>
      </c>
      <c r="E39" s="323">
        <f>'ACE European Group'!F39+'Danica Pensjonsforsikring'!F39+'DNB Livsforsikring'!F39+'Eika Forsikring AS'!F39+'Frende Livsforsikring'!F39+'Frende Skadeforsikring'!F39+'Gjensidige Forsikring'!F39+'Gjensidige Pensjon'!F39+'Handelsbanken Liv'!F39+'If Skadeforsikring NUF'!F39+KLP!F39+'KLP Bedriftspensjon AS'!F39+'KLP Skadeforsikring AS'!F39+'Landkreditt Forsikring'!F39+'NEMI Forsikring'!F39+'Nordea Liv '!F39+'Oslo Pensjonsforsikring'!F39+'Protector Forsikring'!F39+'SHB Liv'!F39+'Sparebank 1'!F39+'Storebrand Livsforsikring'!F39+'Telenor Forsikring'!F39+'Tryg Forsikring'!F39</f>
        <v>0</v>
      </c>
      <c r="F39" s="323">
        <f>'ACE European Group'!G39+'Danica Pensjonsforsikring'!G39+'DNB Livsforsikring'!G39+'Eika Forsikring AS'!G39+'Frende Livsforsikring'!G39+'Frende Skadeforsikring'!G39+'Gjensidige Forsikring'!G39+'Gjensidige Pensjon'!G39+'Handelsbanken Liv'!G39+'If Skadeforsikring NUF'!G39+KLP!G39+'KLP Bedriftspensjon AS'!G39+'KLP Skadeforsikring AS'!G39+'Landkreditt Forsikring'!G39+'NEMI Forsikring'!G39+'Nordea Liv '!G39+'Oslo Pensjonsforsikring'!G39+'Protector Forsikring'!G39+'SHB Liv'!G39+'Sparebank 1'!G39+'Storebrand Livsforsikring'!G39+'Telenor Forsikring'!G39+'Tryg Forsikring'!G39</f>
        <v>0</v>
      </c>
      <c r="G39" s="169"/>
      <c r="H39" s="311">
        <f t="shared" si="9"/>
        <v>5</v>
      </c>
      <c r="I39" s="273">
        <f t="shared" si="7"/>
        <v>0</v>
      </c>
      <c r="J39" s="36">
        <f t="shared" si="8"/>
        <v>-100</v>
      </c>
    </row>
    <row r="40" spans="1:10" ht="15.75" customHeight="1" x14ac:dyDescent="0.2">
      <c r="A40" s="47"/>
    </row>
    <row r="41" spans="1:10" ht="15.75" customHeight="1" x14ac:dyDescent="0.2">
      <c r="A41" s="155"/>
    </row>
    <row r="42" spans="1:10" ht="15.75" customHeight="1" x14ac:dyDescent="0.25">
      <c r="A42" s="147" t="s">
        <v>280</v>
      </c>
      <c r="B42" s="973"/>
      <c r="C42" s="973"/>
      <c r="D42" s="973"/>
      <c r="E42" s="974"/>
      <c r="F42" s="974"/>
      <c r="G42" s="974"/>
      <c r="H42" s="974"/>
      <c r="I42" s="974"/>
      <c r="J42" s="974"/>
    </row>
    <row r="43" spans="1:10" ht="15.75" customHeight="1" x14ac:dyDescent="0.25">
      <c r="A43" s="163"/>
      <c r="B43" s="430"/>
      <c r="C43" s="430"/>
      <c r="D43" s="430"/>
      <c r="E43" s="295"/>
      <c r="F43" s="295"/>
      <c r="G43" s="295"/>
      <c r="H43" s="295"/>
      <c r="I43" s="295"/>
      <c r="J43" s="295"/>
    </row>
    <row r="44" spans="1:10" s="3" customFormat="1" ht="15.75" customHeight="1" x14ac:dyDescent="0.25">
      <c r="A44" s="246"/>
      <c r="B44" s="324" t="s">
        <v>0</v>
      </c>
      <c r="C44" s="325"/>
      <c r="D44" s="251"/>
      <c r="E44" s="42"/>
      <c r="F44" s="42"/>
      <c r="G44" s="40"/>
      <c r="H44" s="42"/>
      <c r="I44" s="42"/>
      <c r="J44" s="40"/>
    </row>
    <row r="45" spans="1:10" s="3" customFormat="1" ht="15.75" customHeight="1" x14ac:dyDescent="0.2">
      <c r="A45" s="140"/>
      <c r="B45" s="20" t="s">
        <v>500</v>
      </c>
      <c r="C45" s="20" t="s">
        <v>501</v>
      </c>
      <c r="D45" s="249" t="s">
        <v>3</v>
      </c>
      <c r="E45" s="42"/>
      <c r="F45" s="42"/>
      <c r="G45" s="40"/>
      <c r="H45" s="42"/>
      <c r="I45" s="42"/>
      <c r="J45" s="40"/>
    </row>
    <row r="46" spans="1:10" s="3" customFormat="1" ht="15.75" customHeight="1" x14ac:dyDescent="0.2">
      <c r="A46" s="943"/>
      <c r="B46" s="46"/>
      <c r="C46" s="250"/>
      <c r="D46" s="17" t="s">
        <v>4</v>
      </c>
      <c r="E46" s="40"/>
      <c r="F46" s="40"/>
      <c r="G46" s="40"/>
      <c r="H46" s="40"/>
      <c r="I46" s="40"/>
      <c r="J46" s="40"/>
    </row>
    <row r="47" spans="1:10" s="415" customFormat="1" ht="15.75" customHeight="1" x14ac:dyDescent="0.2">
      <c r="A47" s="14" t="s">
        <v>23</v>
      </c>
      <c r="B47" s="235">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AS'!B47+'Landkreditt Forsikring'!B47+'NEMI Forsikring'!B47+'Nordea Liv '!B47+'Oslo Pensjonsforsikring'!B47+'Protector Forsikring'!B47+'SHB Liv'!B47+'Sparebank 1'!B47+'Storebrand Livsforsikring'!B47+'Telenor Forsikring'!B47+'Tryg Forsikring'!B47</f>
        <v>3808584.1414100002</v>
      </c>
      <c r="C47" s="326">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AS'!C47+'Landkreditt Forsikring'!C47+'NEMI Forsikring'!C47+'Nordea Liv '!C47+'Oslo Pensjonsforsikring'!C47+'Protector Forsikring'!C47+'SHB Liv'!C47+'Sparebank 1'!C47+'Storebrand Livsforsikring'!C47+'Telenor Forsikring'!C47+'Tryg Forsikring'!C47</f>
        <v>4197749.6637307834</v>
      </c>
      <c r="D47" s="24">
        <f t="shared" ref="D47:D58" si="22">IF(B47=0, "    ---- ", IF(ABS(ROUND(100/B47*C47-100,1))&lt;999,ROUND(100/B47*C47-100,1),IF(ROUND(100/B47*C47-100,1)&gt;999,999,-999)))</f>
        <v>10.199999999999999</v>
      </c>
      <c r="E47" s="416"/>
      <c r="F47" s="417"/>
      <c r="G47" s="32"/>
      <c r="H47" s="418"/>
      <c r="I47" s="418"/>
      <c r="J47" s="32"/>
    </row>
    <row r="48" spans="1:10" s="3" customFormat="1" ht="15.75" customHeight="1" x14ac:dyDescent="0.2">
      <c r="A48" s="38" t="s">
        <v>467</v>
      </c>
      <c r="B48" s="44">
        <f>'ACE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AS'!B48+'Landkreditt Forsikring'!B48+'NEMI Forsikring'!B48+'Nordea Liv '!B48+'Oslo Pensjonsforsikring'!B48+'Protector Forsikring'!B48+'SHB Liv'!B48+'Sparebank 1'!B48+'Storebrand Livsforsikring'!B48+'Telenor Forsikring'!B48+'Tryg Forsikring'!B48</f>
        <v>2049158.0962799999</v>
      </c>
      <c r="C48" s="44">
        <f>'ACE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AS'!C48+'Landkreditt Forsikring'!C48+'NEMI Forsikring'!C48+'Nordea Liv '!C48+'Oslo Pensjonsforsikring'!C48+'Protector Forsikring'!C48+'SHB Liv'!C48+'Sparebank 1'!C48+'Storebrand Livsforsikring'!C48+'Telenor Forsikring'!C48+'Tryg Forsikring'!C48</f>
        <v>2338122.1711207828</v>
      </c>
      <c r="D48" s="24">
        <f t="shared" si="22"/>
        <v>14.1</v>
      </c>
      <c r="E48" s="35"/>
      <c r="F48" s="5"/>
      <c r="G48" s="34"/>
      <c r="H48" s="33"/>
      <c r="I48" s="33"/>
      <c r="J48" s="32"/>
    </row>
    <row r="49" spans="1:10" s="3" customFormat="1" ht="15.75" customHeight="1" x14ac:dyDescent="0.2">
      <c r="A49" s="38" t="s">
        <v>468</v>
      </c>
      <c r="B49" s="190">
        <f>'ACE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AS'!B49+'Landkreditt Forsikring'!B49+'NEMI Forsikring'!B49+'Nordea Liv '!B49+'Oslo Pensjonsforsikring'!B49+'Protector Forsikring'!B49+'SHB Liv'!B49+'Sparebank 1'!B49+'Storebrand Livsforsikring'!B49+'Telenor Forsikring'!B49+'Tryg Forsikring'!B49</f>
        <v>1759426.04513</v>
      </c>
      <c r="C49" s="190">
        <f>'ACE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AS'!C49+'Landkreditt Forsikring'!C49+'NEMI Forsikring'!C49+'Nordea Liv '!C49+'Oslo Pensjonsforsikring'!C49+'Protector Forsikring'!C49+'SHB Liv'!C49+'Sparebank 1'!C49+'Storebrand Livsforsikring'!C49+'Telenor Forsikring'!C49+'Tryg Forsikring'!C49</f>
        <v>1859627.4926099998</v>
      </c>
      <c r="D49" s="24">
        <f t="shared" si="22"/>
        <v>5.7</v>
      </c>
      <c r="E49" s="35"/>
      <c r="F49" s="5"/>
      <c r="G49" s="34"/>
      <c r="H49" s="37"/>
      <c r="I49" s="37"/>
      <c r="J49" s="32"/>
    </row>
    <row r="50" spans="1:10" s="3" customFormat="1" ht="15.75" customHeight="1" x14ac:dyDescent="0.2">
      <c r="A50" s="293" t="s">
        <v>6</v>
      </c>
      <c r="B50" s="44">
        <f>'ACE European Group'!B50+'Danica Pensjonsforsikring'!B50+'DNB Livsforsikring'!B50+'Eika Forsikring AS'!B50+'Frende Livsforsikring'!B50+'Frende Skadeforsikring'!B50+'Gjensidige Forsikring'!B50+'Gjensidige Pensjon'!B50+'Handelsbanken Liv'!B50+'If Skadeforsikring NUF'!B50+KLP!B50+'KLP Bedriftspensjon AS'!B50+'KLP Skadeforsikring AS'!B50+'Landkreditt Forsikring'!B50+'NEMI Forsikring'!B50+'Nordea Liv '!B50+'Oslo Pensjonsforsikring'!B50+'Protector Forsikring'!B50+'SHB Liv'!B50+'Sparebank 1'!B50+'Storebrand Livsforsikring'!B50+'Telenor Forsikring'!B50+'Tryg Forsikring'!B50</f>
        <v>2702.5501799999997</v>
      </c>
      <c r="C50" s="44">
        <f>'ACE European Group'!C50+'Danica Pensjonsforsikring'!C50+'DNB Livsforsikring'!C50+'Eika Forsikring AS'!C50+'Frende Livsforsikring'!C50+'Frende Skadeforsikring'!C50+'Gjensidige Forsikring'!C50+'Gjensidige Pensjon'!C50+'Handelsbanken Liv'!C50+'If Skadeforsikring NUF'!C50+KLP!C50+'KLP Bedriftspensjon AS'!C50+'KLP Skadeforsikring AS'!C50+'Landkreditt Forsikring'!C50+'NEMI Forsikring'!C50+'Nordea Liv '!C50+'Oslo Pensjonsforsikring'!C50+'Protector Forsikring'!C50+'SHB Liv'!C50+'Sparebank 1'!C50+'Storebrand Livsforsikring'!C50+'Telenor Forsikring'!C50+'Tryg Forsikring'!C50</f>
        <v>2252.8400799999999</v>
      </c>
      <c r="D50" s="27">
        <f t="shared" ref="D50:D52" si="23">IF($A$1=4,IF(B50=0, "    ---- ", IF(ABS(ROUND(100/B50*C50-100,1))&lt;999,ROUND(100/B50*C50-100,1),IF(ROUND(100/B50*C50-100,1)&gt;999,999,-999))),"")</f>
        <v>-16.600000000000001</v>
      </c>
      <c r="E50" s="35"/>
      <c r="F50" s="5"/>
      <c r="G50" s="34"/>
      <c r="H50" s="33"/>
      <c r="I50" s="33"/>
      <c r="J50" s="32"/>
    </row>
    <row r="51" spans="1:10" s="3" customFormat="1" ht="15.75" customHeight="1" x14ac:dyDescent="0.2">
      <c r="A51" s="293" t="s">
        <v>7</v>
      </c>
      <c r="B51" s="44">
        <f>'ACE European Group'!B51+'Danica Pensjonsforsikring'!B51+'DNB Livsforsikring'!B51+'Eika Forsikring AS'!B51+'Frende Livsforsikring'!B51+'Frende Skadeforsikring'!B51+'Gjensidige Forsikring'!B51+'Gjensidige Pensjon'!B51+'Handelsbanken Liv'!B51+'If Skadeforsikring NUF'!B51+KLP!B51+'KLP Bedriftspensjon AS'!B51+'KLP Skadeforsikring AS'!B51+'Landkreditt Forsikring'!B51+'NEMI Forsikring'!B51+'Nordea Liv '!B51+'Oslo Pensjonsforsikring'!B51+'Protector Forsikring'!B51+'SHB Liv'!B51+'Sparebank 1'!B51+'Storebrand Livsforsikring'!B51+'Telenor Forsikring'!B51+'Tryg Forsikring'!B51</f>
        <v>1476079.2936800001</v>
      </c>
      <c r="C51" s="44">
        <f>'ACE European Group'!C51+'Danica Pensjonsforsikring'!C51+'DNB Livsforsikring'!C51+'Eika Forsikring AS'!C51+'Frende Livsforsikring'!C51+'Frende Skadeforsikring'!C51+'Gjensidige Forsikring'!C51+'Gjensidige Pensjon'!C51+'Handelsbanken Liv'!C51+'If Skadeforsikring NUF'!C51+KLP!C51+'KLP Bedriftspensjon AS'!C51+'KLP Skadeforsikring AS'!C51+'Landkreditt Forsikring'!C51+'NEMI Forsikring'!C51+'Nordea Liv '!C51+'Oslo Pensjonsforsikring'!C51+'Protector Forsikring'!C51+'SHB Liv'!C51+'Sparebank 1'!C51+'Storebrand Livsforsikring'!C51+'Telenor Forsikring'!C51+'Tryg Forsikring'!C51</f>
        <v>1578851.34357</v>
      </c>
      <c r="D51" s="27">
        <f t="shared" si="23"/>
        <v>7</v>
      </c>
      <c r="E51" s="35"/>
      <c r="F51" s="5"/>
      <c r="G51" s="34"/>
      <c r="H51" s="33"/>
      <c r="I51" s="33"/>
      <c r="J51" s="32"/>
    </row>
    <row r="52" spans="1:10" s="3" customFormat="1" ht="15.75" customHeight="1" x14ac:dyDescent="0.2">
      <c r="A52" s="293" t="s">
        <v>8</v>
      </c>
      <c r="B52" s="44">
        <f>'ACE European Group'!B52+'Danica Pensjonsforsikring'!B52+'DNB Livsforsikring'!B52+'Eika Forsikring AS'!B52+'Frende Livsforsikring'!B52+'Frende Skadeforsikring'!B52+'Gjensidige Forsikring'!B52+'Gjensidige Pensjon'!B52+'Handelsbanken Liv'!B52+'If Skadeforsikring NUF'!B52+KLP!B52+'KLP Bedriftspensjon AS'!B52+'KLP Skadeforsikring AS'!B52+'Landkreditt Forsikring'!B52+'NEMI Forsikring'!B52+'Nordea Liv '!B52+'Oslo Pensjonsforsikring'!B52+'Protector Forsikring'!B52+'SHB Liv'!B52+'Sparebank 1'!B52+'Storebrand Livsforsikring'!B52+'Telenor Forsikring'!B52+'Tryg Forsikring'!B52</f>
        <v>280644.20127000002</v>
      </c>
      <c r="C52" s="44">
        <f>'ACE European Group'!C52+'Danica Pensjonsforsikring'!C52+'DNB Livsforsikring'!C52+'Eika Forsikring AS'!C52+'Frende Livsforsikring'!C52+'Frende Skadeforsikring'!C52+'Gjensidige Forsikring'!C52+'Gjensidige Pensjon'!C52+'Handelsbanken Liv'!C52+'If Skadeforsikring NUF'!C52+KLP!C52+'KLP Bedriftspensjon AS'!C52+'KLP Skadeforsikring AS'!C52+'Landkreditt Forsikring'!C52+'NEMI Forsikring'!C52+'Nordea Liv '!C52+'Oslo Pensjonsforsikring'!C52+'Protector Forsikring'!C52+'SHB Liv'!C52+'Sparebank 1'!C52+'Storebrand Livsforsikring'!C52+'Telenor Forsikring'!C52+'Tryg Forsikring'!C52</f>
        <v>278523.30895999999</v>
      </c>
      <c r="D52" s="27">
        <f t="shared" si="23"/>
        <v>-0.8</v>
      </c>
      <c r="E52" s="35"/>
      <c r="F52" s="5"/>
      <c r="G52" s="34"/>
      <c r="H52" s="33"/>
      <c r="I52" s="33"/>
      <c r="J52" s="32"/>
    </row>
    <row r="53" spans="1:10" s="415" customFormat="1" ht="15.75" customHeight="1" x14ac:dyDescent="0.2">
      <c r="A53" s="39" t="s">
        <v>469</v>
      </c>
      <c r="B53" s="235">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AS'!B53+'Landkreditt Forsikring'!B53+'NEMI Forsikring'!B53+'Nordea Liv '!B53+'Oslo Pensjonsforsikring'!B53+'Protector Forsikring'!B53+'SHB Liv'!B53+'Sparebank 1'!B53+'Storebrand Livsforsikring'!B53+'Telenor Forsikring'!B53+'Tryg Forsikring'!B53</f>
        <v>163173.12299999999</v>
      </c>
      <c r="C53" s="235">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AS'!C53+'Landkreditt Forsikring'!C53+'NEMI Forsikring'!C53+'Nordea Liv '!C53+'Oslo Pensjonsforsikring'!C53+'Protector Forsikring'!C53+'SHB Liv'!C53+'Sparebank 1'!C53+'Storebrand Livsforsikring'!C53+'Telenor Forsikring'!C53+'Tryg Forsikring'!C53</f>
        <v>112803.67199999999</v>
      </c>
      <c r="D53" s="24">
        <f t="shared" si="22"/>
        <v>-30.9</v>
      </c>
      <c r="E53" s="416"/>
      <c r="F53" s="417"/>
      <c r="G53" s="32"/>
      <c r="H53" s="173"/>
      <c r="I53" s="173"/>
      <c r="J53" s="32"/>
    </row>
    <row r="54" spans="1:10" s="3" customFormat="1" ht="15.75" customHeight="1" x14ac:dyDescent="0.2">
      <c r="A54" s="38" t="s">
        <v>467</v>
      </c>
      <c r="B54" s="44">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AS'!B54+'Landkreditt Forsikring'!B54+'NEMI Forsikring'!B54+'Nordea Liv '!B54+'Oslo Pensjonsforsikring'!B54+'Protector Forsikring'!B54+'SHB Liv'!B54+'Sparebank 1'!B54+'Storebrand Livsforsikring'!B54+'Telenor Forsikring'!B54+'Tryg Forsikring'!B54</f>
        <v>104384.20299999998</v>
      </c>
      <c r="C54" s="44">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AS'!C54+'Landkreditt Forsikring'!C54+'NEMI Forsikring'!C54+'Nordea Liv '!C54+'Oslo Pensjonsforsikring'!C54+'Protector Forsikring'!C54+'SHB Liv'!C54+'Sparebank 1'!C54+'Storebrand Livsforsikring'!C54+'Telenor Forsikring'!C54+'Tryg Forsikring'!C54</f>
        <v>112803.67199999999</v>
      </c>
      <c r="D54" s="24">
        <f t="shared" si="22"/>
        <v>8.1</v>
      </c>
      <c r="E54" s="35"/>
      <c r="F54" s="5"/>
      <c r="G54" s="34"/>
      <c r="H54" s="33"/>
      <c r="I54" s="33"/>
      <c r="J54" s="32"/>
    </row>
    <row r="55" spans="1:10" s="3" customFormat="1" ht="15.75" customHeight="1" x14ac:dyDescent="0.2">
      <c r="A55" s="38" t="s">
        <v>468</v>
      </c>
      <c r="B55" s="44">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AS'!B55+'Landkreditt Forsikring'!B55+'NEMI Forsikring'!B55+'Nordea Liv '!B55+'Oslo Pensjonsforsikring'!B55+'Protector Forsikring'!B55+'SHB Liv'!B55+'Sparebank 1'!B55+'Storebrand Livsforsikring'!B55+'Telenor Forsikring'!B55+'Tryg Forsikring'!B55</f>
        <v>58788.92</v>
      </c>
      <c r="C55" s="44">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AS'!C55+'Landkreditt Forsikring'!C55+'NEMI Forsikring'!C55+'Nordea Liv '!C55+'Oslo Pensjonsforsikring'!C55+'Protector Forsikring'!C55+'SHB Liv'!C55+'Sparebank 1'!C55+'Storebrand Livsforsikring'!C55+'Telenor Forsikring'!C55+'Tryg Forsikring'!C55</f>
        <v>0</v>
      </c>
      <c r="D55" s="24">
        <f t="shared" si="22"/>
        <v>-100</v>
      </c>
      <c r="E55" s="35"/>
      <c r="F55" s="5"/>
      <c r="G55" s="34"/>
      <c r="H55" s="33"/>
      <c r="I55" s="33"/>
      <c r="J55" s="32"/>
    </row>
    <row r="56" spans="1:10" s="415" customFormat="1" ht="15.75" customHeight="1" x14ac:dyDescent="0.2">
      <c r="A56" s="39" t="s">
        <v>470</v>
      </c>
      <c r="B56" s="235">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AS'!B56+'Landkreditt Forsikring'!B56+'NEMI Forsikring'!B56+'Nordea Liv '!B56+'Oslo Pensjonsforsikring'!B56+'Protector Forsikring'!B56+'SHB Liv'!B56+'Sparebank 1'!B56+'Storebrand Livsforsikring'!B56+'Telenor Forsikring'!B56+'Tryg Forsikring'!B56</f>
        <v>207953.58600000001</v>
      </c>
      <c r="C56" s="235">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AS'!C56+'Landkreditt Forsikring'!C56+'NEMI Forsikring'!C56+'Nordea Liv '!C56+'Oslo Pensjonsforsikring'!C56+'Protector Forsikring'!C56+'SHB Liv'!C56+'Sparebank 1'!C56+'Storebrand Livsforsikring'!C56+'Telenor Forsikring'!C56+'Tryg Forsikring'!C56</f>
        <v>119459.16899999999</v>
      </c>
      <c r="D56" s="24">
        <f t="shared" si="22"/>
        <v>-42.6</v>
      </c>
      <c r="E56" s="416"/>
      <c r="F56" s="417"/>
      <c r="G56" s="32"/>
      <c r="H56" s="173"/>
      <c r="I56" s="173"/>
      <c r="J56" s="32"/>
    </row>
    <row r="57" spans="1:10" s="3" customFormat="1" ht="15.75" customHeight="1" x14ac:dyDescent="0.2">
      <c r="A57" s="38" t="s">
        <v>467</v>
      </c>
      <c r="B57" s="44">
        <f>'ACE European Group'!B57+'Danica Pensjonsforsikring'!B57+'DNB Livsforsikring'!B57+'Eika Forsikring AS'!B57+'Frende Livsforsikring'!B57+'Frende Skadeforsikring'!B57+'Gjensidige Forsikring'!B57+'Gjensidige Pensjon'!B57+'Handelsbanken Liv'!B57+'If Skadeforsikring NUF'!B57+KLP!B57+'KLP Bedriftspensjon AS'!B57+'KLP Skadeforsikring AS'!B57+'Landkreditt Forsikring'!B57+'NEMI Forsikring'!B57+'Nordea Liv '!B57+'Oslo Pensjonsforsikring'!B57+'Protector Forsikring'!B57+'SHB Liv'!B57+'Sparebank 1'!B57+'Storebrand Livsforsikring'!B57+'Telenor Forsikring'!B57+'Tryg Forsikring'!B57</f>
        <v>148838.791</v>
      </c>
      <c r="C57" s="44">
        <f>'ACE European Group'!C57+'Danica Pensjonsforsikring'!C57+'DNB Livsforsikring'!C57+'Eika Forsikring AS'!C57+'Frende Livsforsikring'!C57+'Frende Skadeforsikring'!C57+'Gjensidige Forsikring'!C57+'Gjensidige Pensjon'!C57+'Handelsbanken Liv'!C57+'If Skadeforsikring NUF'!C57+KLP!C57+'KLP Bedriftspensjon AS'!C57+'KLP Skadeforsikring AS'!C57+'Landkreditt Forsikring'!C57+'NEMI Forsikring'!C57+'Nordea Liv '!C57+'Oslo Pensjonsforsikring'!C57+'Protector Forsikring'!C57+'SHB Liv'!C57+'Sparebank 1'!C57+'Storebrand Livsforsikring'!C57+'Telenor Forsikring'!C57+'Tryg Forsikring'!C57</f>
        <v>119459.16899999999</v>
      </c>
      <c r="D57" s="24">
        <f t="shared" si="22"/>
        <v>-19.7</v>
      </c>
      <c r="E57" s="35"/>
      <c r="F57" s="5"/>
      <c r="G57" s="34"/>
      <c r="H57" s="33"/>
      <c r="I57" s="33"/>
      <c r="J57" s="32"/>
    </row>
    <row r="58" spans="1:10" s="3" customFormat="1" ht="15.75" customHeight="1" x14ac:dyDescent="0.2">
      <c r="A58" s="38" t="s">
        <v>468</v>
      </c>
      <c r="B58" s="45">
        <f>'ACE European Group'!B58+'Danica Pensjonsforsikring'!B58+'DNB Livsforsikring'!B58+'Eika Forsikring AS'!B58+'Frende Livsforsikring'!B58+'Frende Skadeforsikring'!B58+'Gjensidige Forsikring'!B58+'Gjensidige Pensjon'!B58+'Handelsbanken Liv'!B58+'If Skadeforsikring NUF'!B58+KLP!B58+'KLP Bedriftspensjon AS'!B58+'KLP Skadeforsikring AS'!B58+'Landkreditt Forsikring'!B58+'NEMI Forsikring'!B58+'Nordea Liv '!B58+'Oslo Pensjonsforsikring'!B58+'Protector Forsikring'!B58+'SHB Liv'!B58+'Sparebank 1'!B58+'Storebrand Livsforsikring'!B58+'Telenor Forsikring'!B58+'Tryg Forsikring'!B58</f>
        <v>59114.794999999998</v>
      </c>
      <c r="C58" s="45">
        <f>'ACE European Group'!C58+'Danica Pensjonsforsikring'!C58+'DNB Livsforsikring'!C58+'Eika Forsikring AS'!C58+'Frende Livsforsikring'!C58+'Frende Skadeforsikring'!C58+'Gjensidige Forsikring'!C58+'Gjensidige Pensjon'!C58+'Handelsbanken Liv'!C58+'If Skadeforsikring NUF'!C58+KLP!C58+'KLP Bedriftspensjon AS'!C58+'KLP Skadeforsikring AS'!C58+'Landkreditt Forsikring'!C58+'NEMI Forsikring'!C58+'Nordea Liv '!C58+'Oslo Pensjonsforsikring'!C58+'Protector Forsikring'!C58+'SHB Liv'!C58+'Sparebank 1'!C58+'Storebrand Livsforsikring'!C58+'Telenor Forsikring'!C58+'Tryg Forsikring'!C58</f>
        <v>0</v>
      </c>
      <c r="D58" s="36">
        <f t="shared" si="22"/>
        <v>-100</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281</v>
      </c>
      <c r="C61" s="26"/>
      <c r="D61" s="25"/>
      <c r="E61" s="26"/>
      <c r="F61" s="26"/>
      <c r="G61" s="25"/>
      <c r="H61" s="26"/>
      <c r="I61" s="26"/>
      <c r="J61" s="25"/>
    </row>
    <row r="62" spans="1:10" ht="20.100000000000001" customHeight="1" x14ac:dyDescent="0.25">
      <c r="A62" s="149"/>
      <c r="B62" s="973"/>
      <c r="C62" s="973"/>
      <c r="D62" s="973"/>
      <c r="E62" s="973"/>
      <c r="F62" s="973"/>
      <c r="G62" s="973"/>
      <c r="H62" s="973"/>
      <c r="I62" s="973"/>
      <c r="J62" s="973"/>
    </row>
    <row r="63" spans="1:10" ht="15.75" customHeight="1" x14ac:dyDescent="0.2">
      <c r="A63" s="144"/>
      <c r="B63" s="970" t="s">
        <v>0</v>
      </c>
      <c r="C63" s="971"/>
      <c r="D63" s="971"/>
      <c r="E63" s="970" t="s">
        <v>1</v>
      </c>
      <c r="F63" s="971"/>
      <c r="G63" s="972"/>
      <c r="H63" s="971" t="s">
        <v>2</v>
      </c>
      <c r="I63" s="971"/>
      <c r="J63" s="972"/>
    </row>
    <row r="64" spans="1:10" ht="15.75" customHeight="1" x14ac:dyDescent="0.2">
      <c r="A64" s="140"/>
      <c r="B64" s="20" t="s">
        <v>500</v>
      </c>
      <c r="C64" s="20" t="s">
        <v>501</v>
      </c>
      <c r="D64" s="19" t="s">
        <v>3</v>
      </c>
      <c r="E64" s="20" t="s">
        <v>500</v>
      </c>
      <c r="F64" s="20" t="s">
        <v>501</v>
      </c>
      <c r="G64" s="19" t="s">
        <v>3</v>
      </c>
      <c r="H64" s="20" t="s">
        <v>500</v>
      </c>
      <c r="I64" s="20" t="s">
        <v>501</v>
      </c>
      <c r="J64" s="19" t="s">
        <v>3</v>
      </c>
    </row>
    <row r="65" spans="1:10" ht="15.75" customHeight="1" x14ac:dyDescent="0.2">
      <c r="A65" s="943"/>
      <c r="B65" s="15"/>
      <c r="C65" s="15"/>
      <c r="D65" s="17" t="s">
        <v>4</v>
      </c>
      <c r="E65" s="16"/>
      <c r="F65" s="16"/>
      <c r="G65" s="15" t="s">
        <v>4</v>
      </c>
      <c r="H65" s="16"/>
      <c r="I65" s="16"/>
      <c r="J65" s="15" t="s">
        <v>4</v>
      </c>
    </row>
    <row r="66" spans="1:10" s="43" customFormat="1" ht="15.75" customHeight="1" x14ac:dyDescent="0.2">
      <c r="A66" s="14" t="s">
        <v>23</v>
      </c>
      <c r="B66" s="327">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AS'!B66+'Landkreditt Forsikring'!B66+'NEMI Forsikring'!B66+'Nordea Liv '!B66+'Oslo Pensjonsforsikring'!B66+'Protector Forsikring'!B66+'SHB Liv'!B66+'Sparebank 1'!B66+'Storebrand Livsforsikring'!B66+'Telenor Forsikring'!B66+'Tryg Forsikring'!B66</f>
        <v>9363848.7994400002</v>
      </c>
      <c r="C66" s="327">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AS'!C66+'Landkreditt Forsikring'!C66+'NEMI Forsikring'!C66+'Nordea Liv '!C66+'Oslo Pensjonsforsikring'!C66+'Protector Forsikring'!C66+'SHB Liv'!C66+'Sparebank 1'!C66+'Storebrand Livsforsikring'!C66+'Telenor Forsikring'!C66+'Tryg Forsikring'!C66</f>
        <v>8827978.527449999</v>
      </c>
      <c r="D66" s="24">
        <f t="shared" ref="D66:D111" si="24">IF(B66=0, "    ---- ", IF(ABS(ROUND(100/B66*C66-100,1))&lt;999,ROUND(100/B66*C66-100,1),IF(ROUND(100/B66*C66-100,1)&gt;999,999,-999)))</f>
        <v>-5.7</v>
      </c>
      <c r="E66" s="235">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AS'!F66+'Landkreditt Forsikring'!F66+'NEMI Forsikring'!F66+'Nordea Liv '!F66+'Oslo Pensjonsforsikring'!F66+'Protector Forsikring'!F66+'SHB Liv'!F66+'Sparebank 1'!F66+'Storebrand Livsforsikring'!F66+'Telenor Forsikring'!F66+'Tryg Forsikring'!F66</f>
        <v>26706849.604289997</v>
      </c>
      <c r="F66" s="235">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AS'!G66+'Landkreditt Forsikring'!G66+'NEMI Forsikring'!G66+'Nordea Liv '!G66+'Oslo Pensjonsforsikring'!G66+'Protector Forsikring'!G66+'SHB Liv'!G66+'Sparebank 1'!G66+'Storebrand Livsforsikring'!G66+'Telenor Forsikring'!G66+'Tryg Forsikring'!G66</f>
        <v>28954658.446547724</v>
      </c>
      <c r="G66" s="171">
        <f t="shared" ref="G66:G125" si="25">IF(E66=0, "    ---- ", IF(ABS(ROUND(100/E66*F66-100,1))&lt;999,ROUND(100/E66*F66-100,1),IF(ROUND(100/E66*F66-100,1)&gt;999,999,-999)))</f>
        <v>8.4</v>
      </c>
      <c r="H66" s="327">
        <f t="shared" ref="H66:H86" si="26">SUM(B66,E66)</f>
        <v>36070698.403729998</v>
      </c>
      <c r="I66" s="327">
        <f t="shared" ref="I66:I86" si="27">SUM(C66,F66)</f>
        <v>37782636.973997727</v>
      </c>
      <c r="J66" s="24">
        <f t="shared" ref="J66:J111" si="28">IF(H66=0, "    ---- ", IF(ABS(ROUND(100/H66*I66-100,1))&lt;999,ROUND(100/H66*I66-100,1),IF(ROUND(100/H66*I66-100,1)&gt;999,999,-999)))</f>
        <v>4.7</v>
      </c>
    </row>
    <row r="67" spans="1:10" ht="15.75" customHeight="1" x14ac:dyDescent="0.25">
      <c r="A67" s="21" t="s">
        <v>9</v>
      </c>
      <c r="B67" s="233">
        <f>'ACE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AS'!B67+'Landkreditt Forsikring'!B67+'NEMI Forsikring'!B67+'Nordea Liv '!B67+'Oslo Pensjonsforsikring'!B67+'Protector Forsikring'!B67+'SHB Liv'!B67+'Sparebank 1'!B67+'Storebrand Livsforsikring'!B67+'Telenor Forsikring'!B67+'Tryg Forsikring'!B67</f>
        <v>7612278.7092700005</v>
      </c>
      <c r="C67" s="233">
        <f>'ACE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AS'!C67+'Landkreditt Forsikring'!C67+'NEMI Forsikring'!C67+'Nordea Liv '!C67+'Oslo Pensjonsforsikring'!C67+'Protector Forsikring'!C67+'SHB Liv'!C67+'Sparebank 1'!C67+'Storebrand Livsforsikring'!C67+'Telenor Forsikring'!C67+'Tryg Forsikring'!C67</f>
        <v>7039212.4690300003</v>
      </c>
      <c r="D67" s="240">
        <f t="shared" si="24"/>
        <v>-7.5</v>
      </c>
      <c r="E67" s="44">
        <f>'ACE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AS'!F67+'Landkreditt Forsikring'!F67+'NEMI Forsikring'!F67+'Nordea Liv '!F67+'Oslo Pensjonsforsikring'!F67+'Protector Forsikring'!F67+'SHB Liv'!F67+'Sparebank 1'!F67+'Storebrand Livsforsikring'!F67+'Telenor Forsikring'!F67+'Tryg Forsikring'!F67</f>
        <v>0</v>
      </c>
      <c r="F67" s="44">
        <f>'ACE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AS'!G67+'Landkreditt Forsikring'!G67+'NEMI Forsikring'!G67+'Nordea Liv '!G67+'Oslo Pensjonsforsikring'!G67+'Protector Forsikring'!G67+'SHB Liv'!G67+'Sparebank 1'!G67+'Storebrand Livsforsikring'!G67+'Telenor Forsikring'!G67+'Tryg Forsikring'!G67</f>
        <v>0</v>
      </c>
      <c r="G67" s="171"/>
      <c r="H67" s="236">
        <f t="shared" si="26"/>
        <v>7612278.7092700005</v>
      </c>
      <c r="I67" s="236">
        <f t="shared" si="27"/>
        <v>7039212.4690300003</v>
      </c>
      <c r="J67" s="23">
        <f t="shared" si="28"/>
        <v>-7.5</v>
      </c>
    </row>
    <row r="68" spans="1:10" ht="15.75" customHeight="1" x14ac:dyDescent="0.25">
      <c r="A68" s="21" t="s">
        <v>10</v>
      </c>
      <c r="B68" s="233">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AS'!B68+'Landkreditt Forsikring'!B68+'NEMI Forsikring'!B68+'Nordea Liv '!B68+'Oslo Pensjonsforsikring'!B68+'Protector Forsikring'!B68+'SHB Liv'!B68+'Sparebank 1'!B68+'Storebrand Livsforsikring'!B68+'Telenor Forsikring'!B68+'Tryg Forsikring'!B68</f>
        <v>159180.18598000001</v>
      </c>
      <c r="C68" s="233">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AS'!C68+'Landkreditt Forsikring'!C68+'NEMI Forsikring'!C68+'Nordea Liv '!C68+'Oslo Pensjonsforsikring'!C68+'Protector Forsikring'!C68+'SHB Liv'!C68+'Sparebank 1'!C68+'Storebrand Livsforsikring'!C68+'Telenor Forsikring'!C68+'Tryg Forsikring'!C68</f>
        <v>149078.27249</v>
      </c>
      <c r="D68" s="240">
        <f t="shared" si="24"/>
        <v>-6.3</v>
      </c>
      <c r="E68" s="44">
        <f>'ACE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AS'!F68+'Landkreditt Forsikring'!F68+'NEMI Forsikring'!F68+'Nordea Liv '!F68+'Oslo Pensjonsforsikring'!F68+'Protector Forsikring'!F68+'SHB Liv'!F68+'Sparebank 1'!F68+'Storebrand Livsforsikring'!F68+'Telenor Forsikring'!F68+'Tryg Forsikring'!F68</f>
        <v>26409193.016629998</v>
      </c>
      <c r="F68" s="44">
        <f>'ACE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AS'!G68+'Landkreditt Forsikring'!G68+'NEMI Forsikring'!G68+'Nordea Liv '!G68+'Oslo Pensjonsforsikring'!G68+'Protector Forsikring'!G68+'SHB Liv'!G68+'Sparebank 1'!G68+'Storebrand Livsforsikring'!G68+'Telenor Forsikring'!G68+'Tryg Forsikring'!G68</f>
        <v>28548246.69539772</v>
      </c>
      <c r="G68" s="171">
        <f t="shared" si="25"/>
        <v>8.1</v>
      </c>
      <c r="H68" s="236">
        <f t="shared" si="26"/>
        <v>26568373.202609997</v>
      </c>
      <c r="I68" s="236">
        <f t="shared" si="27"/>
        <v>28697324.967887718</v>
      </c>
      <c r="J68" s="23">
        <f t="shared" si="28"/>
        <v>8</v>
      </c>
    </row>
    <row r="69" spans="1:10" ht="15.75" customHeight="1" x14ac:dyDescent="0.2">
      <c r="A69" s="293" t="s">
        <v>471</v>
      </c>
      <c r="B69" s="44">
        <f>'ACE European Group'!B69+'Danica Pensjonsforsikring'!B69+'DNB Livsforsikring'!B69+'Eika Forsikring AS'!B69+'Frende Livsforsikring'!B69+'Frende Skadeforsikring'!B69+'Gjensidige Forsikring'!B69+'Gjensidige Pensjon'!B69+'Handelsbanken Liv'!B69+'If Skadeforsikring NUF'!B69+KLP!B69+'KLP Bedriftspensjon AS'!B69+'KLP Skadeforsikring AS'!B69+'Landkreditt Forsikring'!B69+'NEMI Forsikring'!B69+'Nordea Liv '!B69+'Oslo Pensjonsforsikring'!B69+'Protector Forsikring'!B69+'SHB Liv'!B69+'Sparebank 1'!B69+'Storebrand Livsforsikring'!B69+'Telenor Forsikring'!B69+'Tryg Forsikring'!B69</f>
        <v>18248</v>
      </c>
      <c r="C69" s="44">
        <f>'ACE European Group'!C69+'Danica Pensjonsforsikring'!C69+'DNB Livsforsikring'!C69+'Eika Forsikring AS'!C69+'Frende Livsforsikring'!C69+'Frende Skadeforsikring'!C69+'Gjensidige Forsikring'!C69+'Gjensidige Pensjon'!C69+'Handelsbanken Liv'!C69+'If Skadeforsikring NUF'!C69+KLP!C69+'KLP Bedriftspensjon AS'!C69+'KLP Skadeforsikring AS'!C69+'Landkreditt Forsikring'!C69+'NEMI Forsikring'!C69+'Nordea Liv '!C69+'Oslo Pensjonsforsikring'!C69+'Protector Forsikring'!C69+'SHB Liv'!C69+'Sparebank 1'!C69+'Storebrand Livsforsikring'!C69+'Telenor Forsikring'!C69+'Tryg Forsikring'!C69</f>
        <v>15709</v>
      </c>
      <c r="D69" s="27">
        <f>IF($A$1=4,IF(B69=0, "    ---- ", IF(ABS(ROUND(100/B69*C69-100,1))&lt;999,ROUND(100/B69*C69-100,1),IF(ROUND(100/B69*C69-100,1)&gt;999,999,-999))),"")</f>
        <v>-13.9</v>
      </c>
      <c r="E69" s="44">
        <f>'ACE European Group'!F69+'Danica Pensjonsforsikring'!F69+'DNB Livsforsikring'!F69+'Eika Forsikring AS'!F69+'Frende Livsforsikring'!F69+'Frende Skadeforsikring'!F69+'Gjensidige Forsikring'!F69+'Gjensidige Pensjon'!F69+'Handelsbanken Liv'!F69+'If Skadeforsikring NUF'!F69+KLP!F69+'KLP Bedriftspensjon AS'!F69+'KLP Skadeforsikring AS'!F69+'Landkreditt Forsikring'!F69+'NEMI Forsikring'!F69+'Nordea Liv '!F69+'Oslo Pensjonsforsikring'!F69+'Protector Forsikring'!F69+'SHB Liv'!F69+'Sparebank 1'!F69+'Storebrand Livsforsikring'!F69+'Telenor Forsikring'!F69+'Tryg Forsikring'!F69</f>
        <v>3977.589000000004</v>
      </c>
      <c r="F69" s="44">
        <f>'ACE European Group'!G69+'Danica Pensjonsforsikring'!G69+'DNB Livsforsikring'!G69+'Eika Forsikring AS'!G69+'Frende Livsforsikring'!G69+'Frende Skadeforsikring'!G69+'Gjensidige Forsikring'!G69+'Gjensidige Pensjon'!G69+'Handelsbanken Liv'!G69+'If Skadeforsikring NUF'!G69+KLP!G69+'KLP Bedriftspensjon AS'!G69+'KLP Skadeforsikring AS'!G69+'Landkreditt Forsikring'!G69+'NEMI Forsikring'!G69+'Nordea Liv '!G69+'Oslo Pensjonsforsikring'!G69+'Protector Forsikring'!G69+'SHB Liv'!G69+'Sparebank 1'!G69+'Storebrand Livsforsikring'!G69+'Telenor Forsikring'!G69+'Tryg Forsikring'!G69</f>
        <v>3899.8900000000003</v>
      </c>
      <c r="G69" s="171">
        <f t="shared" si="25"/>
        <v>-2</v>
      </c>
      <c r="H69" s="236">
        <f t="shared" si="26"/>
        <v>22225.589000000004</v>
      </c>
      <c r="I69" s="236">
        <f t="shared" si="27"/>
        <v>19608.89</v>
      </c>
      <c r="J69" s="23">
        <f t="shared" si="28"/>
        <v>-11.8</v>
      </c>
    </row>
    <row r="70" spans="1:10" ht="15.75" customHeight="1" x14ac:dyDescent="0.2">
      <c r="A70" s="293" t="s">
        <v>12</v>
      </c>
      <c r="B70" s="234">
        <f>'ACE European Group'!B70+'Danica Pensjonsforsikring'!B70+'DNB Livsforsikring'!B70+'Eika Forsikring AS'!B70+'Frende Livsforsikring'!B70+'Frende Skadeforsikring'!B70+'Gjensidige Forsikring'!B70+'Gjensidige Pensjon'!B70+'Handelsbanken Liv'!B70+'If Skadeforsikring NUF'!B70+KLP!B70+'KLP Bedriftspensjon AS'!B70+'KLP Skadeforsikring AS'!B70+'Landkreditt Forsikring'!B70+'NEMI Forsikring'!B70+'Nordea Liv '!B70+'Oslo Pensjonsforsikring'!B70+'Protector Forsikring'!B70+'SHB Liv'!B70+'Sparebank 1'!B70+'Storebrand Livsforsikring'!B70+'Telenor Forsikring'!B70+'Tryg Forsikring'!B70</f>
        <v>0</v>
      </c>
      <c r="C70" s="234">
        <f>'ACE European Group'!C70+'Danica Pensjonsforsikring'!C70+'DNB Livsforsikring'!C70+'Eika Forsikring AS'!C70+'Frende Livsforsikring'!C70+'Frende Skadeforsikring'!C70+'Gjensidige Forsikring'!C70+'Gjensidige Pensjon'!C70+'Handelsbanken Liv'!C70+'If Skadeforsikring NUF'!C70+KLP!C70+'KLP Bedriftspensjon AS'!C70+'KLP Skadeforsikring AS'!C70+'Landkreditt Forsikring'!C70+'NEMI Forsikring'!C70+'Nordea Liv '!C70+'Oslo Pensjonsforsikring'!C70+'Protector Forsikring'!C70+'SHB Liv'!C70+'Sparebank 1'!C70+'Storebrand Livsforsikring'!C70+'Telenor Forsikring'!C70+'Tryg Forsikring'!C70</f>
        <v>0</v>
      </c>
      <c r="D70" s="27"/>
      <c r="E70" s="44">
        <f>'ACE European Group'!F70+'Danica Pensjonsforsikring'!F70+'DNB Livsforsikring'!F70+'Eika Forsikring AS'!F70+'Frende Livsforsikring'!F70+'Frende Skadeforsikring'!F70+'Gjensidige Forsikring'!F70+'Gjensidige Pensjon'!F70+'Handelsbanken Liv'!F70+'If Skadeforsikring NUF'!F70+KLP!F70+'KLP Bedriftspensjon AS'!F70+'KLP Skadeforsikring AS'!F70+'Landkreditt Forsikring'!F70+'NEMI Forsikring'!F70+'Nordea Liv '!F70+'Oslo Pensjonsforsikring'!F70+'Protector Forsikring'!F70+'SHB Liv'!F70+'Sparebank 1'!F70+'Storebrand Livsforsikring'!F70+'Telenor Forsikring'!F70+'Tryg Forsikring'!F70</f>
        <v>371.81614052858401</v>
      </c>
      <c r="F70" s="44">
        <f>'ACE European Group'!G70+'Danica Pensjonsforsikring'!G70+'DNB Livsforsikring'!G70+'Eika Forsikring AS'!G70+'Frende Livsforsikring'!G70+'Frende Skadeforsikring'!G70+'Gjensidige Forsikring'!G70+'Gjensidige Pensjon'!G70+'Handelsbanken Liv'!G70+'If Skadeforsikring NUF'!G70+KLP!G70+'KLP Bedriftspensjon AS'!G70+'KLP Skadeforsikring AS'!G70+'Landkreditt Forsikring'!G70+'NEMI Forsikring'!G70+'Nordea Liv '!G70+'Oslo Pensjonsforsikring'!G70+'Protector Forsikring'!G70+'SHB Liv'!G70+'Sparebank 1'!G70+'Storebrand Livsforsikring'!G70+'Telenor Forsikring'!G70+'Tryg Forsikring'!G70</f>
        <v>319.77999999999997</v>
      </c>
      <c r="G70" s="171">
        <f t="shared" si="25"/>
        <v>-14</v>
      </c>
      <c r="H70" s="236">
        <f t="shared" si="26"/>
        <v>371.81614052858401</v>
      </c>
      <c r="I70" s="236">
        <f t="shared" si="27"/>
        <v>319.77999999999997</v>
      </c>
      <c r="J70" s="23">
        <f t="shared" si="28"/>
        <v>-14</v>
      </c>
    </row>
    <row r="71" spans="1:10" ht="15.75" customHeight="1" x14ac:dyDescent="0.2">
      <c r="A71" s="293" t="s">
        <v>13</v>
      </c>
      <c r="B71" s="234">
        <f>'ACE European Group'!B71+'Danica Pensjonsforsikring'!B71+'DNB Livsforsikring'!B71+'Eika Forsikring AS'!B71+'Frende Livsforsikring'!B71+'Frende Skadeforsikring'!B71+'Gjensidige Forsikring'!B71+'Gjensidige Pensjon'!B71+'Handelsbanken Liv'!B71+'If Skadeforsikring NUF'!B71+KLP!B71+'KLP Bedriftspensjon AS'!B71+'KLP Skadeforsikring AS'!B71+'Landkreditt Forsikring'!B71+'NEMI Forsikring'!B71+'Nordea Liv '!B71+'Oslo Pensjonsforsikring'!B71+'Protector Forsikring'!B71+'SHB Liv'!B71+'Sparebank 1'!B71+'Storebrand Livsforsikring'!B71+'Telenor Forsikring'!B71+'Tryg Forsikring'!B71</f>
        <v>0</v>
      </c>
      <c r="C71" s="234">
        <f>'ACE European Group'!C71+'Danica Pensjonsforsikring'!C71+'DNB Livsforsikring'!C71+'Eika Forsikring AS'!C71+'Frende Livsforsikring'!C71+'Frende Skadeforsikring'!C71+'Gjensidige Forsikring'!C71+'Gjensidige Pensjon'!C71+'Handelsbanken Liv'!C71+'If Skadeforsikring NUF'!C71+KLP!C71+'KLP Bedriftspensjon AS'!C71+'KLP Skadeforsikring AS'!C71+'Landkreditt Forsikring'!C71+'NEMI Forsikring'!C71+'Nordea Liv '!C71+'Oslo Pensjonsforsikring'!C71+'Protector Forsikring'!C71+'SHB Liv'!C71+'Sparebank 1'!C71+'Storebrand Livsforsikring'!C71+'Telenor Forsikring'!C71+'Tryg Forsikring'!C71</f>
        <v>0</v>
      </c>
      <c r="D71" s="27"/>
      <c r="E71" s="44">
        <f>'ACE European Group'!F71+'Danica Pensjonsforsikring'!F71+'DNB Livsforsikring'!F71+'Eika Forsikring AS'!F71+'Frende Livsforsikring'!F71+'Frende Skadeforsikring'!F71+'Gjensidige Forsikring'!F71+'Gjensidige Pensjon'!F71+'Handelsbanken Liv'!F71+'If Skadeforsikring NUF'!F71+KLP!F71+'KLP Bedriftspensjon AS'!F71+'KLP Skadeforsikring AS'!F71+'Landkreditt Forsikring'!F71+'NEMI Forsikring'!F71+'Nordea Liv '!F71+'Oslo Pensjonsforsikring'!F71+'Protector Forsikring'!F71+'SHB Liv'!F71+'Sparebank 1'!F71+'Storebrand Livsforsikring'!F71+'Telenor Forsikring'!F71+'Tryg Forsikring'!F71</f>
        <v>3605.7728594714199</v>
      </c>
      <c r="F71" s="44">
        <f>'ACE European Group'!G71+'Danica Pensjonsforsikring'!G71+'DNB Livsforsikring'!G71+'Eika Forsikring AS'!G71+'Frende Livsforsikring'!G71+'Frende Skadeforsikring'!G71+'Gjensidige Forsikring'!G71+'Gjensidige Pensjon'!G71+'Handelsbanken Liv'!G71+'If Skadeforsikring NUF'!G71+KLP!G71+'KLP Bedriftspensjon AS'!G71+'KLP Skadeforsikring AS'!G71+'Landkreditt Forsikring'!G71+'NEMI Forsikring'!G71+'Nordea Liv '!G71+'Oslo Pensjonsforsikring'!G71+'Protector Forsikring'!G71+'SHB Liv'!G71+'Sparebank 1'!G71+'Storebrand Livsforsikring'!G71+'Telenor Forsikring'!G71+'Tryg Forsikring'!G71</f>
        <v>3580.11</v>
      </c>
      <c r="G71" s="171">
        <f t="shared" si="25"/>
        <v>-0.7</v>
      </c>
      <c r="H71" s="236">
        <f t="shared" si="26"/>
        <v>3605.7728594714199</v>
      </c>
      <c r="I71" s="236">
        <f t="shared" si="27"/>
        <v>3580.11</v>
      </c>
      <c r="J71" s="23">
        <f t="shared" si="28"/>
        <v>-0.7</v>
      </c>
    </row>
    <row r="72" spans="1:10" ht="15.75" customHeight="1" x14ac:dyDescent="0.2">
      <c r="A72" s="293" t="s">
        <v>472</v>
      </c>
      <c r="B72" s="44">
        <f>'ACE European Group'!B72+'Danica Pensjonsforsikring'!B72+'DNB Livsforsikring'!B72+'Eika Forsikring AS'!B72+'Frende Livsforsikring'!B72+'Frende Skadeforsikring'!B72+'Gjensidige Forsikring'!B72+'Gjensidige Pensjon'!B72+'Handelsbanken Liv'!B72+'If Skadeforsikring NUF'!B72+KLP!B72+'KLP Bedriftspensjon AS'!B72+'KLP Skadeforsikring AS'!B72+'Landkreditt Forsikring'!B72+'NEMI Forsikring'!B72+'Nordea Liv '!B72+'Oslo Pensjonsforsikring'!B72+'Protector Forsikring'!B72+'SHB Liv'!B72+'Sparebank 1'!B72+'Storebrand Livsforsikring'!B72+'Telenor Forsikring'!B72+'Tryg Forsikring'!B72</f>
        <v>140932.18598000001</v>
      </c>
      <c r="C72" s="44">
        <f>'ACE European Group'!C72+'Danica Pensjonsforsikring'!C72+'DNB Livsforsikring'!C72+'Eika Forsikring AS'!C72+'Frende Livsforsikring'!C72+'Frende Skadeforsikring'!C72+'Gjensidige Forsikring'!C72+'Gjensidige Pensjon'!C72+'Handelsbanken Liv'!C72+'If Skadeforsikring NUF'!C72+KLP!C72+'KLP Bedriftspensjon AS'!C72+'KLP Skadeforsikring AS'!C72+'Landkreditt Forsikring'!C72+'NEMI Forsikring'!C72+'Nordea Liv '!C72+'Oslo Pensjonsforsikring'!C72+'Protector Forsikring'!C72+'SHB Liv'!C72+'Sparebank 1'!C72+'Storebrand Livsforsikring'!C72+'Telenor Forsikring'!C72+'Tryg Forsikring'!C72</f>
        <v>133369.27249</v>
      </c>
      <c r="D72" s="27">
        <f>IF($A$1=4,IF(B72=0, "    ---- ", IF(ABS(ROUND(100/B72*C72-100,1))&lt;999,ROUND(100/B72*C72-100,1),IF(ROUND(100/B72*C72-100,1)&gt;999,999,-999))),"")</f>
        <v>-5.4</v>
      </c>
      <c r="E72" s="44">
        <f>'ACE European Group'!F72+'Danica Pensjonsforsikring'!F72+'DNB Livsforsikring'!F72+'Eika Forsikring AS'!F72+'Frende Livsforsikring'!F72+'Frende Skadeforsikring'!F72+'Gjensidige Forsikring'!F72+'Gjensidige Pensjon'!F72+'Handelsbanken Liv'!F72+'If Skadeforsikring NUF'!F72+KLP!F72+'KLP Bedriftspensjon AS'!F72+'KLP Skadeforsikring AS'!F72+'Landkreditt Forsikring'!F72+'NEMI Forsikring'!F72+'Nordea Liv '!F72+'Oslo Pensjonsforsikring'!F72+'Protector Forsikring'!F72+'SHB Liv'!F72+'Sparebank 1'!F72+'Storebrand Livsforsikring'!F72+'Telenor Forsikring'!F72+'Tryg Forsikring'!F72</f>
        <v>26405215.42763</v>
      </c>
      <c r="F72" s="44">
        <f>'ACE European Group'!G72+'Danica Pensjonsforsikring'!G72+'DNB Livsforsikring'!G72+'Eika Forsikring AS'!G72+'Frende Livsforsikring'!G72+'Frende Skadeforsikring'!G72+'Gjensidige Forsikring'!G72+'Gjensidige Pensjon'!G72+'Handelsbanken Liv'!G72+'If Skadeforsikring NUF'!G72+KLP!G72+'KLP Bedriftspensjon AS'!G72+'KLP Skadeforsikring AS'!G72+'Landkreditt Forsikring'!G72+'NEMI Forsikring'!G72+'Nordea Liv '!G72+'Oslo Pensjonsforsikring'!G72+'Protector Forsikring'!G72+'SHB Liv'!G72+'Sparebank 1'!G72+'Storebrand Livsforsikring'!G72+'Telenor Forsikring'!G72+'Tryg Forsikring'!G72</f>
        <v>28544346.805397719</v>
      </c>
      <c r="G72" s="171">
        <f t="shared" si="25"/>
        <v>8.1</v>
      </c>
      <c r="H72" s="236">
        <f t="shared" si="26"/>
        <v>26546147.613609999</v>
      </c>
      <c r="I72" s="236">
        <f t="shared" si="27"/>
        <v>28677716.077887718</v>
      </c>
      <c r="J72" s="24">
        <f t="shared" si="28"/>
        <v>8</v>
      </c>
    </row>
    <row r="73" spans="1:10" ht="15.75" customHeight="1" x14ac:dyDescent="0.2">
      <c r="A73" s="293" t="s">
        <v>12</v>
      </c>
      <c r="B73" s="234">
        <f>'ACE European Group'!B73+'Danica Pensjonsforsikring'!B73+'DNB Livsforsikring'!B73+'Eika Forsikring AS'!B73+'Frende Livsforsikring'!B73+'Frende Skadeforsikring'!B73+'Gjensidige Forsikring'!B73+'Gjensidige Pensjon'!B73+'Handelsbanken Liv'!B73+'If Skadeforsikring NUF'!B73+KLP!B73+'KLP Bedriftspensjon AS'!B73+'KLP Skadeforsikring AS'!B73+'Landkreditt Forsikring'!B73+'NEMI Forsikring'!B73+'Nordea Liv '!B73+'Oslo Pensjonsforsikring'!B73+'Protector Forsikring'!B73+'SHB Liv'!B73+'Sparebank 1'!B73+'Storebrand Livsforsikring'!B73+'Telenor Forsikring'!B73+'Tryg Forsikring'!B73</f>
        <v>0</v>
      </c>
      <c r="C73" s="234">
        <f>'ACE European Group'!C73+'Danica Pensjonsforsikring'!C73+'DNB Livsforsikring'!C73+'Eika Forsikring AS'!C73+'Frende Livsforsikring'!C73+'Frende Skadeforsikring'!C73+'Gjensidige Forsikring'!C73+'Gjensidige Pensjon'!C73+'Handelsbanken Liv'!C73+'If Skadeforsikring NUF'!C73+KLP!C73+'KLP Bedriftspensjon AS'!C73+'KLP Skadeforsikring AS'!C73+'Landkreditt Forsikring'!C73+'NEMI Forsikring'!C73+'Nordea Liv '!C73+'Oslo Pensjonsforsikring'!C73+'Protector Forsikring'!C73+'SHB Liv'!C73+'Sparebank 1'!C73+'Storebrand Livsforsikring'!C73+'Telenor Forsikring'!C73+'Tryg Forsikring'!C73</f>
        <v>0</v>
      </c>
      <c r="D73" s="27"/>
      <c r="E73" s="44">
        <f>'ACE European Group'!F73+'Danica Pensjonsforsikring'!F73+'DNB Livsforsikring'!F73+'Eika Forsikring AS'!F73+'Frende Livsforsikring'!F73+'Frende Skadeforsikring'!F73+'Gjensidige Forsikring'!F73+'Gjensidige Pensjon'!F73+'Handelsbanken Liv'!F73+'If Skadeforsikring NUF'!F73+KLP!F73+'KLP Bedriftspensjon AS'!F73+'KLP Skadeforsikring AS'!F73+'Landkreditt Forsikring'!F73+'NEMI Forsikring'!F73+'Nordea Liv '!F73+'Oslo Pensjonsforsikring'!F73+'Protector Forsikring'!F73+'SHB Liv'!F73+'Sparebank 1'!F73+'Storebrand Livsforsikring'!F73+'Telenor Forsikring'!F73+'Tryg Forsikring'!F73</f>
        <v>332627.34386343003</v>
      </c>
      <c r="F73" s="44">
        <f>'ACE European Group'!G73+'Danica Pensjonsforsikring'!G73+'DNB Livsforsikring'!G73+'Eika Forsikring AS'!G73+'Frende Livsforsikring'!G73+'Frende Skadeforsikring'!G73+'Gjensidige Forsikring'!G73+'Gjensidige Pensjon'!G73+'Handelsbanken Liv'!G73+'If Skadeforsikring NUF'!G73+KLP!G73+'KLP Bedriftspensjon AS'!G73+'KLP Skadeforsikring AS'!G73+'Landkreditt Forsikring'!G73+'NEMI Forsikring'!G73+'Nordea Liv '!G73+'Oslo Pensjonsforsikring'!G73+'Protector Forsikring'!G73+'SHB Liv'!G73+'Sparebank 1'!G73+'Storebrand Livsforsikring'!G73+'Telenor Forsikring'!G73+'Tryg Forsikring'!G73</f>
        <v>297829.19</v>
      </c>
      <c r="G73" s="171">
        <f t="shared" si="25"/>
        <v>-10.5</v>
      </c>
      <c r="H73" s="236">
        <f t="shared" si="26"/>
        <v>332627.34386343003</v>
      </c>
      <c r="I73" s="236">
        <f t="shared" si="27"/>
        <v>297829.19</v>
      </c>
      <c r="J73" s="23">
        <f t="shared" si="28"/>
        <v>-10.5</v>
      </c>
    </row>
    <row r="74" spans="1:10" s="3" customFormat="1" ht="15.75" customHeight="1" x14ac:dyDescent="0.2">
      <c r="A74" s="293" t="s">
        <v>13</v>
      </c>
      <c r="B74" s="234">
        <f>'ACE European Group'!B74+'Danica Pensjonsforsikring'!B74+'DNB Livsforsikring'!B74+'Eika Forsikring AS'!B74+'Frende Livsforsikring'!B74+'Frende Skadeforsikring'!B74+'Gjensidige Forsikring'!B74+'Gjensidige Pensjon'!B74+'Handelsbanken Liv'!B74+'If Skadeforsikring NUF'!B74+KLP!B74+'KLP Bedriftspensjon AS'!B74+'KLP Skadeforsikring AS'!B74+'Landkreditt Forsikring'!B74+'NEMI Forsikring'!B74+'Nordea Liv '!B74+'Oslo Pensjonsforsikring'!B74+'Protector Forsikring'!B74+'SHB Liv'!B74+'Sparebank 1'!B74+'Storebrand Livsforsikring'!B74+'Telenor Forsikring'!B74+'Tryg Forsikring'!B74</f>
        <v>0</v>
      </c>
      <c r="C74" s="234">
        <f>'ACE European Group'!C74+'Danica Pensjonsforsikring'!C74+'DNB Livsforsikring'!C74+'Eika Forsikring AS'!C74+'Frende Livsforsikring'!C74+'Frende Skadeforsikring'!C74+'Gjensidige Forsikring'!C74+'Gjensidige Pensjon'!C74+'Handelsbanken Liv'!C74+'If Skadeforsikring NUF'!C74+KLP!C74+'KLP Bedriftspensjon AS'!C74+'KLP Skadeforsikring AS'!C74+'Landkreditt Forsikring'!C74+'NEMI Forsikring'!C74+'Nordea Liv '!C74+'Oslo Pensjonsforsikring'!C74+'Protector Forsikring'!C74+'SHB Liv'!C74+'Sparebank 1'!C74+'Storebrand Livsforsikring'!C74+'Telenor Forsikring'!C74+'Tryg Forsikring'!C74</f>
        <v>0</v>
      </c>
      <c r="D74" s="27"/>
      <c r="E74" s="44">
        <f>'ACE European Group'!F74+'Danica Pensjonsforsikring'!F74+'DNB Livsforsikring'!F74+'Eika Forsikring AS'!F74+'Frende Livsforsikring'!F74+'Frende Skadeforsikring'!F74+'Gjensidige Forsikring'!F74+'Gjensidige Pensjon'!F74+'Handelsbanken Liv'!F74+'If Skadeforsikring NUF'!F74+KLP!F74+'KLP Bedriftspensjon AS'!F74+'KLP Skadeforsikring AS'!F74+'Landkreditt Forsikring'!F74+'NEMI Forsikring'!F74+'Nordea Liv '!F74+'Oslo Pensjonsforsikring'!F74+'Protector Forsikring'!F74+'SHB Liv'!F74+'Sparebank 1'!F74+'Storebrand Livsforsikring'!F74+'Telenor Forsikring'!F74+'Tryg Forsikring'!F74</f>
        <v>26072588.083766568</v>
      </c>
      <c r="F74" s="44">
        <f>'ACE European Group'!G74+'Danica Pensjonsforsikring'!G74+'DNB Livsforsikring'!G74+'Eika Forsikring AS'!G74+'Frende Livsforsikring'!G74+'Frende Skadeforsikring'!G74+'Gjensidige Forsikring'!G74+'Gjensidige Pensjon'!G74+'Handelsbanken Liv'!G74+'If Skadeforsikring NUF'!G74+KLP!G74+'KLP Bedriftspensjon AS'!G74+'KLP Skadeforsikring AS'!G74+'Landkreditt Forsikring'!G74+'NEMI Forsikring'!G74+'Nordea Liv '!G74+'Oslo Pensjonsforsikring'!G74+'Protector Forsikring'!G74+'SHB Liv'!G74+'Sparebank 1'!G74+'Storebrand Livsforsikring'!G74+'Telenor Forsikring'!G74+'Tryg Forsikring'!G74</f>
        <v>28246517.615397722</v>
      </c>
      <c r="G74" s="171">
        <f t="shared" si="25"/>
        <v>8.3000000000000007</v>
      </c>
      <c r="H74" s="236">
        <f t="shared" si="26"/>
        <v>26072588.083766568</v>
      </c>
      <c r="I74" s="236">
        <f t="shared" si="27"/>
        <v>28246517.615397722</v>
      </c>
      <c r="J74" s="23">
        <f t="shared" si="28"/>
        <v>8.3000000000000007</v>
      </c>
    </row>
    <row r="75" spans="1:10" s="3" customFormat="1" ht="15.75" customHeight="1" x14ac:dyDescent="0.2">
      <c r="A75" s="21" t="s">
        <v>357</v>
      </c>
      <c r="B75" s="44">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AS'!B75+'Landkreditt Forsikring'!B75+'NEMI Forsikring'!B75+'Nordea Liv '!B75+'Oslo Pensjonsforsikring'!B75+'Protector Forsikring'!B75+'SHB Liv'!B75+'Sparebank 1'!B75+'Storebrand Livsforsikring'!B75+'Telenor Forsikring'!B75+'Tryg Forsikring'!B75</f>
        <v>268370.77656999999</v>
      </c>
      <c r="C75" s="44">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AS'!C75+'Landkreditt Forsikring'!C75+'NEMI Forsikring'!C75+'Nordea Liv '!C75+'Oslo Pensjonsforsikring'!C75+'Protector Forsikring'!C75+'SHB Liv'!C75+'Sparebank 1'!C75+'Storebrand Livsforsikring'!C75+'Telenor Forsikring'!C75+'Tryg Forsikring'!C75</f>
        <v>322673.74612999998</v>
      </c>
      <c r="D75" s="23">
        <f t="shared" si="24"/>
        <v>20.2</v>
      </c>
      <c r="E75" s="44">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AS'!F75+'Landkreditt Forsikring'!F75+'NEMI Forsikring'!F75+'Nordea Liv '!F75+'Oslo Pensjonsforsikring'!F75+'Protector Forsikring'!F75+'SHB Liv'!F75+'Sparebank 1'!F75+'Storebrand Livsforsikring'!F75+'Telenor Forsikring'!F75+'Tryg Forsikring'!F75</f>
        <v>297656.58766000002</v>
      </c>
      <c r="F75" s="44">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AS'!G75+'Landkreditt Forsikring'!G75+'NEMI Forsikring'!G75+'Nordea Liv '!G75+'Oslo Pensjonsforsikring'!G75+'Protector Forsikring'!G75+'SHB Liv'!G75+'Sparebank 1'!G75+'Storebrand Livsforsikring'!G75+'Telenor Forsikring'!G75+'Tryg Forsikring'!G75</f>
        <v>406411.75115000003</v>
      </c>
      <c r="G75" s="171">
        <f t="shared" si="25"/>
        <v>36.5</v>
      </c>
      <c r="H75" s="236">
        <f t="shared" si="26"/>
        <v>566027.36422999995</v>
      </c>
      <c r="I75" s="236">
        <f t="shared" si="27"/>
        <v>729085.49728000001</v>
      </c>
      <c r="J75" s="23">
        <f t="shared" si="28"/>
        <v>28.8</v>
      </c>
    </row>
    <row r="76" spans="1:10" s="3" customFormat="1" ht="15.75" customHeight="1" x14ac:dyDescent="0.2">
      <c r="A76" s="21" t="s">
        <v>356</v>
      </c>
      <c r="B76" s="44">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AS'!B76+'Landkreditt Forsikring'!B76+'NEMI Forsikring'!B76+'Nordea Liv '!B76+'Oslo Pensjonsforsikring'!B76+'Protector Forsikring'!B76+'SHB Liv'!B76+'Sparebank 1'!B76+'Storebrand Livsforsikring'!B76+'Telenor Forsikring'!B76+'Tryg Forsikring'!B76</f>
        <v>1324019.7486200002</v>
      </c>
      <c r="C76" s="44">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AS'!C76+'Landkreditt Forsikring'!C76+'NEMI Forsikring'!C76+'Nordea Liv '!C76+'Oslo Pensjonsforsikring'!C76+'Protector Forsikring'!C76+'SHB Liv'!C76+'Sparebank 1'!C76+'Storebrand Livsforsikring'!C76+'Telenor Forsikring'!C76+'Tryg Forsikring'!C76</f>
        <v>1317014.0397999999</v>
      </c>
      <c r="D76" s="23">
        <f t="shared" ref="D76" si="29">IF(B76=0, "    ---- ", IF(ABS(ROUND(100/B76*C76-100,1))&lt;999,ROUND(100/B76*C76-100,1),IF(ROUND(100/B76*C76-100,1)&gt;999,999,-999)))</f>
        <v>-0.5</v>
      </c>
      <c r="E76" s="44">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AS'!F76+'Landkreditt Forsikring'!F76+'NEMI Forsikring'!F76+'Nordea Liv '!F76+'Oslo Pensjonsforsikring'!F76+'Protector Forsikring'!F76+'SHB Liv'!F76+'Sparebank 1'!F76+'Storebrand Livsforsikring'!F76+'Telenor Forsikring'!F76+'Tryg Forsikring'!F76</f>
        <v>0</v>
      </c>
      <c r="F76" s="44">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AS'!G76+'Landkreditt Forsikring'!G76+'NEMI Forsikring'!G76+'Nordea Liv '!G76+'Oslo Pensjonsforsikring'!G76+'Protector Forsikring'!G76+'SHB Liv'!G76+'Sparebank 1'!G76+'Storebrand Livsforsikring'!G76+'Telenor Forsikring'!G76+'Tryg Forsikring'!G76</f>
        <v>0</v>
      </c>
      <c r="G76" s="171"/>
      <c r="H76" s="236">
        <f t="shared" ref="H76" si="30">SUM(B76,E76)</f>
        <v>1324019.7486200002</v>
      </c>
      <c r="I76" s="236">
        <f t="shared" ref="I76" si="31">SUM(C76,F76)</f>
        <v>1317014.0397999999</v>
      </c>
      <c r="J76" s="23">
        <f t="shared" ref="J76" si="32">IF(H76=0, "    ---- ", IF(ABS(ROUND(100/H76*I76-100,1))&lt;999,ROUND(100/H76*I76-100,1),IF(ROUND(100/H76*I76-100,1)&gt;999,999,-999)))</f>
        <v>-0.5</v>
      </c>
    </row>
    <row r="77" spans="1:10" ht="15.75" customHeight="1" x14ac:dyDescent="0.2">
      <c r="A77" s="21" t="s">
        <v>473</v>
      </c>
      <c r="B77" s="44">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AS'!B77+'Landkreditt Forsikring'!B77+'NEMI Forsikring'!B77+'Nordea Liv '!B77+'Oslo Pensjonsforsikring'!B77+'Protector Forsikring'!B77+'SHB Liv'!B77+'Sparebank 1'!B77+'Storebrand Livsforsikring'!B77+'Telenor Forsikring'!B77+'Tryg Forsikring'!B77</f>
        <v>7571431.7622500006</v>
      </c>
      <c r="C77" s="233">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AS'!C77+'Landkreditt Forsikring'!C77+'NEMI Forsikring'!C77+'Nordea Liv '!C77+'Oslo Pensjonsforsikring'!C77+'Protector Forsikring'!C77+'SHB Liv'!C77+'Sparebank 1'!C77+'Storebrand Livsforsikring'!C77+'Telenor Forsikring'!C77+'Tryg Forsikring'!C77</f>
        <v>7064435.9585199999</v>
      </c>
      <c r="D77" s="23">
        <f t="shared" si="24"/>
        <v>-6.7</v>
      </c>
      <c r="E77" s="44">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AS'!F77+'Landkreditt Forsikring'!F77+'NEMI Forsikring'!F77+'Nordea Liv '!F77+'Oslo Pensjonsforsikring'!F77+'Protector Forsikring'!F77+'SHB Liv'!F77+'Sparebank 1'!F77+'Storebrand Livsforsikring'!F77+'Telenor Forsikring'!F77+'Tryg Forsikring'!F77</f>
        <v>26396046.07432</v>
      </c>
      <c r="F77" s="44">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AS'!G77+'Landkreditt Forsikring'!G77+'NEMI Forsikring'!G77+'Nordea Liv '!G77+'Oslo Pensjonsforsikring'!G77+'Protector Forsikring'!G77+'SHB Liv'!G77+'Sparebank 1'!G77+'Storebrand Livsforsikring'!G77+'Telenor Forsikring'!G77+'Tryg Forsikring'!G77</f>
        <v>28535785.723200001</v>
      </c>
      <c r="G77" s="171">
        <f t="shared" si="25"/>
        <v>8.1</v>
      </c>
      <c r="H77" s="236">
        <f t="shared" si="26"/>
        <v>33967477.836570002</v>
      </c>
      <c r="I77" s="236">
        <f t="shared" si="27"/>
        <v>35600221.681720003</v>
      </c>
      <c r="J77" s="23">
        <f t="shared" si="28"/>
        <v>4.8</v>
      </c>
    </row>
    <row r="78" spans="1:10" ht="15.75" customHeight="1" x14ac:dyDescent="0.2">
      <c r="A78" s="21" t="s">
        <v>9</v>
      </c>
      <c r="B78" s="44">
        <f>'ACE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AS'!B78+'Landkreditt Forsikring'!B78+'NEMI Forsikring'!B78+'Nordea Liv '!B78+'Oslo Pensjonsforsikring'!B78+'Protector Forsikring'!B78+'SHB Liv'!B78+'Sparebank 1'!B78+'Storebrand Livsforsikring'!B78+'Telenor Forsikring'!B78+'Tryg Forsikring'!B78</f>
        <v>7416230.5762700001</v>
      </c>
      <c r="C78" s="233">
        <f>'ACE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AS'!C78+'Landkreditt Forsikring'!C78+'NEMI Forsikring'!C78+'Nordea Liv '!C78+'Oslo Pensjonsforsikring'!C78+'Protector Forsikring'!C78+'SHB Liv'!C78+'Sparebank 1'!C78+'Storebrand Livsforsikring'!C78+'Telenor Forsikring'!C78+'Tryg Forsikring'!C78</f>
        <v>6919263.2070300002</v>
      </c>
      <c r="D78" s="23">
        <f t="shared" si="24"/>
        <v>-6.7</v>
      </c>
      <c r="E78" s="44">
        <f>'ACE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AS'!F78+'Landkreditt Forsikring'!F78+'NEMI Forsikring'!F78+'Nordea Liv '!F78+'Oslo Pensjonsforsikring'!F78+'Protector Forsikring'!F78+'SHB Liv'!F78+'Sparebank 1'!F78+'Storebrand Livsforsikring'!F78+'Telenor Forsikring'!F78+'Tryg Forsikring'!F78</f>
        <v>0</v>
      </c>
      <c r="F78" s="44">
        <f>'ACE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AS'!G78+'Landkreditt Forsikring'!G78+'NEMI Forsikring'!G78+'Nordea Liv '!G78+'Oslo Pensjonsforsikring'!G78+'Protector Forsikring'!G78+'SHB Liv'!G78+'Sparebank 1'!G78+'Storebrand Livsforsikring'!G78+'Telenor Forsikring'!G78+'Tryg Forsikring'!G78</f>
        <v>0</v>
      </c>
      <c r="G78" s="171"/>
      <c r="H78" s="236">
        <f t="shared" si="26"/>
        <v>7416230.5762700001</v>
      </c>
      <c r="I78" s="236">
        <f t="shared" si="27"/>
        <v>6919263.2070300002</v>
      </c>
      <c r="J78" s="23">
        <f t="shared" si="28"/>
        <v>-6.7</v>
      </c>
    </row>
    <row r="79" spans="1:10" ht="15.75" customHeight="1" x14ac:dyDescent="0.2">
      <c r="A79" s="21" t="s">
        <v>10</v>
      </c>
      <c r="B79" s="44">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AS'!B79+'Landkreditt Forsikring'!B79+'NEMI Forsikring'!B79+'Nordea Liv '!B79+'Oslo Pensjonsforsikring'!B79+'Protector Forsikring'!B79+'SHB Liv'!B79+'Sparebank 1'!B79+'Storebrand Livsforsikring'!B79+'Telenor Forsikring'!B79+'Tryg Forsikring'!B79</f>
        <v>155202.00498000003</v>
      </c>
      <c r="C79" s="145">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AS'!C79+'Landkreditt Forsikring'!C79+'NEMI Forsikring'!C79+'Nordea Liv '!C79+'Oslo Pensjonsforsikring'!C79+'Protector Forsikring'!C79+'SHB Liv'!C79+'Sparebank 1'!C79+'Storebrand Livsforsikring'!C79+'Telenor Forsikring'!C79+'Tryg Forsikring'!C79</f>
        <v>145172.75149</v>
      </c>
      <c r="D79" s="23">
        <f t="shared" si="24"/>
        <v>-6.5</v>
      </c>
      <c r="E79" s="44">
        <f>'ACE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AS'!F79+'Landkreditt Forsikring'!F79+'NEMI Forsikring'!F79+'Nordea Liv '!F79+'Oslo Pensjonsforsikring'!F79+'Protector Forsikring'!F79+'SHB Liv'!F79+'Sparebank 1'!F79+'Storebrand Livsforsikring'!F79+'Telenor Forsikring'!F79+'Tryg Forsikring'!F79</f>
        <v>26396046.07432</v>
      </c>
      <c r="F79" s="44">
        <f>'ACE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AS'!G79+'Landkreditt Forsikring'!G79+'NEMI Forsikring'!G79+'Nordea Liv '!G79+'Oslo Pensjonsforsikring'!G79+'Protector Forsikring'!G79+'SHB Liv'!G79+'Sparebank 1'!G79+'Storebrand Livsforsikring'!G79+'Telenor Forsikring'!G79+'Tryg Forsikring'!G79</f>
        <v>28535785.723200001</v>
      </c>
      <c r="G79" s="171">
        <f t="shared" si="25"/>
        <v>8.1</v>
      </c>
      <c r="H79" s="236">
        <f t="shared" si="26"/>
        <v>26551248.079300001</v>
      </c>
      <c r="I79" s="236">
        <f t="shared" si="27"/>
        <v>28680958.474690001</v>
      </c>
      <c r="J79" s="23">
        <f t="shared" si="28"/>
        <v>8</v>
      </c>
    </row>
    <row r="80" spans="1:10" ht="15.75" customHeight="1" x14ac:dyDescent="0.2">
      <c r="A80" s="293" t="s">
        <v>471</v>
      </c>
      <c r="B80" s="44">
        <f>'ACE European Group'!B80+'Danica Pensjonsforsikring'!B80+'DNB Livsforsikring'!B80+'Eika Forsikring AS'!B80+'Frende Livsforsikring'!B80+'Frende Skadeforsikring'!B80+'Gjensidige Forsikring'!B80+'Gjensidige Pensjon'!B80+'Handelsbanken Liv'!B80+'If Skadeforsikring NUF'!B80+KLP!B80+'KLP Bedriftspensjon AS'!B80+'KLP Skadeforsikring AS'!B80+'Landkreditt Forsikring'!B80+'NEMI Forsikring'!B80+'Nordea Liv '!B80+'Oslo Pensjonsforsikring'!B80+'Protector Forsikring'!B80+'SHB Liv'!B80+'Sparebank 1'!B80+'Storebrand Livsforsikring'!B80+'Telenor Forsikring'!B80+'Tryg Forsikring'!B80</f>
        <v>0</v>
      </c>
      <c r="C80" s="44">
        <f>'ACE European Group'!C80+'Danica Pensjonsforsikring'!C80+'DNB Livsforsikring'!C80+'Eika Forsikring AS'!C80+'Frende Livsforsikring'!C80+'Frende Skadeforsikring'!C80+'Gjensidige Forsikring'!C80+'Gjensidige Pensjon'!C80+'Handelsbanken Liv'!C80+'If Skadeforsikring NUF'!C80+KLP!C80+'KLP Bedriftspensjon AS'!C80+'KLP Skadeforsikring AS'!C80+'Landkreditt Forsikring'!C80+'NEMI Forsikring'!C80+'Nordea Liv '!C80+'Oslo Pensjonsforsikring'!C80+'Protector Forsikring'!C80+'SHB Liv'!C80+'Sparebank 1'!C80+'Storebrand Livsforsikring'!C80+'Telenor Forsikring'!C80+'Tryg Forsikring'!C80</f>
        <v>0</v>
      </c>
      <c r="D80" s="27"/>
      <c r="E80" s="44">
        <f>'ACE European Group'!F80+'Danica Pensjonsforsikring'!F80+'DNB Livsforsikring'!F80+'Eika Forsikring AS'!F80+'Frende Livsforsikring'!F80+'Frende Skadeforsikring'!F80+'Gjensidige Forsikring'!F80+'Gjensidige Pensjon'!F80+'Handelsbanken Liv'!F80+'If Skadeforsikring NUF'!F80+KLP!F80+'KLP Bedriftspensjon AS'!F80+'KLP Skadeforsikring AS'!F80+'Landkreditt Forsikring'!F80+'NEMI Forsikring'!F80+'Nordea Liv '!F80+'Oslo Pensjonsforsikring'!F80+'Protector Forsikring'!F80+'SHB Liv'!F80+'Sparebank 1'!F80+'Storebrand Livsforsikring'!F80+'Telenor Forsikring'!F80+'Tryg Forsikring'!F80</f>
        <v>0</v>
      </c>
      <c r="F80" s="44">
        <f>'ACE European Group'!G80+'Danica Pensjonsforsikring'!G80+'DNB Livsforsikring'!G80+'Eika Forsikring AS'!G80+'Frende Livsforsikring'!G80+'Frende Skadeforsikring'!G80+'Gjensidige Forsikring'!G80+'Gjensidige Pensjon'!G80+'Handelsbanken Liv'!G80+'If Skadeforsikring NUF'!G80+KLP!G80+'KLP Bedriftspensjon AS'!G80+'KLP Skadeforsikring AS'!G80+'Landkreditt Forsikring'!G80+'NEMI Forsikring'!G80+'Nordea Liv '!G80+'Oslo Pensjonsforsikring'!G80+'Protector Forsikring'!G80+'SHB Liv'!G80+'Sparebank 1'!G80+'Storebrand Livsforsikring'!G80+'Telenor Forsikring'!G80+'Tryg Forsikring'!G80</f>
        <v>0</v>
      </c>
      <c r="G80" s="171"/>
      <c r="H80" s="236">
        <f t="shared" si="26"/>
        <v>0</v>
      </c>
      <c r="I80" s="236">
        <f t="shared" si="27"/>
        <v>0</v>
      </c>
      <c r="J80" s="23"/>
    </row>
    <row r="81" spans="1:13" ht="15.75" customHeight="1" x14ac:dyDescent="0.2">
      <c r="A81" s="293" t="s">
        <v>12</v>
      </c>
      <c r="B81" s="234">
        <f>'ACE European Group'!B81+'Danica Pensjonsforsikring'!B81+'DNB Livsforsikring'!B81+'Eika Forsikring AS'!B81+'Frende Livsforsikring'!B81+'Frende Skadeforsikring'!B81+'Gjensidige Forsikring'!B81+'Gjensidige Pensjon'!B81+'Handelsbanken Liv'!B81+'If Skadeforsikring NUF'!B81+KLP!B81+'KLP Bedriftspensjon AS'!B81+'KLP Skadeforsikring AS'!B81+'Landkreditt Forsikring'!B81+'NEMI Forsikring'!B81+'Nordea Liv '!B81+'Oslo Pensjonsforsikring'!B81+'Protector Forsikring'!B81+'SHB Liv'!B81+'Sparebank 1'!B81+'Storebrand Livsforsikring'!B81+'Telenor Forsikring'!B81+'Tryg Forsikring'!B81</f>
        <v>0</v>
      </c>
      <c r="C81" s="234">
        <f>'ACE European Group'!C81+'Danica Pensjonsforsikring'!C81+'DNB Livsforsikring'!C81+'Eika Forsikring AS'!C81+'Frende Livsforsikring'!C81+'Frende Skadeforsikring'!C81+'Gjensidige Forsikring'!C81+'Gjensidige Pensjon'!C81+'Handelsbanken Liv'!C81+'If Skadeforsikring NUF'!C81+KLP!C81+'KLP Bedriftspensjon AS'!C81+'KLP Skadeforsikring AS'!C81+'Landkreditt Forsikring'!C81+'NEMI Forsikring'!C81+'Nordea Liv '!C81+'Oslo Pensjonsforsikring'!C81+'Protector Forsikring'!C81+'SHB Liv'!C81+'Sparebank 1'!C81+'Storebrand Livsforsikring'!C81+'Telenor Forsikring'!C81+'Tryg Forsikring'!C81</f>
        <v>0</v>
      </c>
      <c r="D81" s="27"/>
      <c r="E81" s="44"/>
      <c r="F81" s="44"/>
      <c r="G81" s="171"/>
      <c r="H81" s="236"/>
      <c r="I81" s="236"/>
      <c r="J81" s="23"/>
    </row>
    <row r="82" spans="1:13" ht="15.75" customHeight="1" x14ac:dyDescent="0.2">
      <c r="A82" s="293" t="s">
        <v>13</v>
      </c>
      <c r="B82" s="234">
        <f>'ACE European Group'!B82+'Danica Pensjonsforsikring'!B82+'DNB Livsforsikring'!B82+'Eika Forsikring AS'!B82+'Frende Livsforsikring'!B82+'Frende Skadeforsikring'!B82+'Gjensidige Forsikring'!B82+'Gjensidige Pensjon'!B82+'Handelsbanken Liv'!B82+'If Skadeforsikring NUF'!B82+KLP!B82+'KLP Bedriftspensjon AS'!B82+'KLP Skadeforsikring AS'!B82+'Landkreditt Forsikring'!B82+'NEMI Forsikring'!B82+'Nordea Liv '!B82+'Oslo Pensjonsforsikring'!B82+'Protector Forsikring'!B82+'SHB Liv'!B82+'Sparebank 1'!B82+'Storebrand Livsforsikring'!B82+'Telenor Forsikring'!B82+'Tryg Forsikring'!B82</f>
        <v>0</v>
      </c>
      <c r="C82" s="234">
        <f>'ACE European Group'!C82+'Danica Pensjonsforsikring'!C82+'DNB Livsforsikring'!C82+'Eika Forsikring AS'!C82+'Frende Livsforsikring'!C82+'Frende Skadeforsikring'!C82+'Gjensidige Forsikring'!C82+'Gjensidige Pensjon'!C82+'Handelsbanken Liv'!C82+'If Skadeforsikring NUF'!C82+KLP!C82+'KLP Bedriftspensjon AS'!C82+'KLP Skadeforsikring AS'!C82+'Landkreditt Forsikring'!C82+'NEMI Forsikring'!C82+'Nordea Liv '!C82+'Oslo Pensjonsforsikring'!C82+'Protector Forsikring'!C82+'SHB Liv'!C82+'Sparebank 1'!C82+'Storebrand Livsforsikring'!C82+'Telenor Forsikring'!C82+'Tryg Forsikring'!C82</f>
        <v>0</v>
      </c>
      <c r="D82" s="27"/>
      <c r="E82" s="44"/>
      <c r="F82" s="44"/>
      <c r="G82" s="171"/>
      <c r="H82" s="236"/>
      <c r="I82" s="236"/>
      <c r="J82" s="23"/>
    </row>
    <row r="83" spans="1:13" ht="15.75" customHeight="1" x14ac:dyDescent="0.2">
      <c r="A83" s="293" t="s">
        <v>472</v>
      </c>
      <c r="B83" s="44">
        <f>'ACE European Group'!B83+'Danica Pensjonsforsikring'!B83+'DNB Livsforsikring'!B83+'Eika Forsikring AS'!B83+'Frende Livsforsikring'!B83+'Frende Skadeforsikring'!B83+'Gjensidige Forsikring'!B83+'Gjensidige Pensjon'!B83+'Handelsbanken Liv'!B83+'If Skadeforsikring NUF'!B83+KLP!B83+'KLP Bedriftspensjon AS'!B83+'KLP Skadeforsikring AS'!B83+'Landkreditt Forsikring'!B83+'NEMI Forsikring'!B83+'Nordea Liv '!B83+'Oslo Pensjonsforsikring'!B83+'Protector Forsikring'!B83+'SHB Liv'!B83+'Sparebank 1'!B83+'Storebrand Livsforsikring'!B83+'Telenor Forsikring'!B83+'Tryg Forsikring'!B83</f>
        <v>155202.00498000003</v>
      </c>
      <c r="C83" s="44">
        <f>'ACE European Group'!C83+'Danica Pensjonsforsikring'!C83+'DNB Livsforsikring'!C83+'Eika Forsikring AS'!C83+'Frende Livsforsikring'!C83+'Frende Skadeforsikring'!C83+'Gjensidige Forsikring'!C83+'Gjensidige Pensjon'!C83+'Handelsbanken Liv'!C83+'If Skadeforsikring NUF'!C83+KLP!C83+'KLP Bedriftspensjon AS'!C83+'KLP Skadeforsikring AS'!C83+'Landkreditt Forsikring'!C83+'NEMI Forsikring'!C83+'Nordea Liv '!C83+'Oslo Pensjonsforsikring'!C83+'Protector Forsikring'!C83+'SHB Liv'!C83+'Sparebank 1'!C83+'Storebrand Livsforsikring'!C83+'Telenor Forsikring'!C83+'Tryg Forsikring'!C83</f>
        <v>145172.75149</v>
      </c>
      <c r="D83" s="27">
        <f t="shared" ref="D83" si="33">IF($A$1=4,IF(B83=0, "    ---- ", IF(ABS(ROUND(100/B83*C83-100,1))&lt;999,ROUND(100/B83*C83-100,1),IF(ROUND(100/B83*C83-100,1)&gt;999,999,-999))),"")</f>
        <v>-6.5</v>
      </c>
      <c r="E83" s="44">
        <f>'ACE European Group'!F83+'Danica Pensjonsforsikring'!F83+'DNB Livsforsikring'!F83+'Eika Forsikring AS'!F83+'Frende Livsforsikring'!F83+'Frende Skadeforsikring'!F83+'Gjensidige Forsikring'!F83+'Gjensidige Pensjon'!F83+'Handelsbanken Liv'!F83+'If Skadeforsikring NUF'!F83+KLP!F83+'KLP Bedriftspensjon AS'!F83+'KLP Skadeforsikring AS'!F83+'Landkreditt Forsikring'!F83+'NEMI Forsikring'!F83+'Nordea Liv '!F83+'Oslo Pensjonsforsikring'!F83+'Protector Forsikring'!F83+'SHB Liv'!F83+'Sparebank 1'!F83+'Storebrand Livsforsikring'!F83+'Telenor Forsikring'!F83+'Tryg Forsikring'!F83</f>
        <v>26396046.07432</v>
      </c>
      <c r="F83" s="44">
        <f>'ACE European Group'!G83+'Danica Pensjonsforsikring'!G83+'DNB Livsforsikring'!G83+'Eika Forsikring AS'!G83+'Frende Livsforsikring'!G83+'Frende Skadeforsikring'!G83+'Gjensidige Forsikring'!G83+'Gjensidige Pensjon'!G83+'Handelsbanken Liv'!G83+'If Skadeforsikring NUF'!G83+KLP!G83+'KLP Bedriftspensjon AS'!G83+'KLP Skadeforsikring AS'!G83+'Landkreditt Forsikring'!G83+'NEMI Forsikring'!G83+'Nordea Liv '!G83+'Oslo Pensjonsforsikring'!G83+'Protector Forsikring'!G83+'SHB Liv'!G83+'Sparebank 1'!G83+'Storebrand Livsforsikring'!G83+'Telenor Forsikring'!G83+'Tryg Forsikring'!G83</f>
        <v>28535785.723200001</v>
      </c>
      <c r="G83" s="171">
        <f t="shared" si="25"/>
        <v>8.1</v>
      </c>
      <c r="H83" s="236">
        <f t="shared" si="26"/>
        <v>26551248.079300001</v>
      </c>
      <c r="I83" s="236">
        <f t="shared" si="27"/>
        <v>28680958.474690001</v>
      </c>
      <c r="J83" s="24">
        <f t="shared" si="28"/>
        <v>8</v>
      </c>
    </row>
    <row r="84" spans="1:13" ht="15.75" customHeight="1" x14ac:dyDescent="0.2">
      <c r="A84" s="293" t="s">
        <v>12</v>
      </c>
      <c r="B84" s="234">
        <f>'ACE European Group'!B84+'Danica Pensjonsforsikring'!B84+'DNB Livsforsikring'!B84+'Eika Forsikring AS'!B84+'Frende Livsforsikring'!B84+'Frende Skadeforsikring'!B84+'Gjensidige Forsikring'!B84+'Gjensidige Pensjon'!B84+'Handelsbanken Liv'!B84+'If Skadeforsikring NUF'!B84+KLP!B84+'KLP Bedriftspensjon AS'!B84+'KLP Skadeforsikring AS'!B84+'Landkreditt Forsikring'!B84+'NEMI Forsikring'!B84+'Nordea Liv '!B84+'Oslo Pensjonsforsikring'!B84+'Protector Forsikring'!B84+'SHB Liv'!B84+'Sparebank 1'!B84+'Storebrand Livsforsikring'!B84+'Telenor Forsikring'!B84+'Tryg Forsikring'!B84</f>
        <v>0</v>
      </c>
      <c r="C84" s="234">
        <f>'ACE European Group'!C84+'Danica Pensjonsforsikring'!C84+'DNB Livsforsikring'!C84+'Eika Forsikring AS'!C84+'Frende Livsforsikring'!C84+'Frende Skadeforsikring'!C84+'Gjensidige Forsikring'!C84+'Gjensidige Pensjon'!C84+'Handelsbanken Liv'!C84+'If Skadeforsikring NUF'!C84+KLP!C84+'KLP Bedriftspensjon AS'!C84+'KLP Skadeforsikring AS'!C84+'Landkreditt Forsikring'!C84+'NEMI Forsikring'!C84+'Nordea Liv '!C84+'Oslo Pensjonsforsikring'!C84+'Protector Forsikring'!C84+'SHB Liv'!C84+'Sparebank 1'!C84+'Storebrand Livsforsikring'!C84+'Telenor Forsikring'!C84+'Tryg Forsikring'!C84</f>
        <v>0</v>
      </c>
      <c r="D84" s="27"/>
      <c r="E84" s="44">
        <f>'ACE European Group'!F84+'Danica Pensjonsforsikring'!F84+'DNB Livsforsikring'!F84+'Eika Forsikring AS'!F84+'Frende Livsforsikring'!F84+'Frende Skadeforsikring'!F84+'Gjensidige Forsikring'!F84+'Gjensidige Pensjon'!F84+'Handelsbanken Liv'!F84+'If Skadeforsikring NUF'!F84+KLP!F84+'KLP Bedriftspensjon AS'!F84+'KLP Skadeforsikring AS'!F84+'Landkreditt Forsikring'!F84+'NEMI Forsikring'!F84+'Nordea Liv '!F84+'Oslo Pensjonsforsikring'!F84+'Protector Forsikring'!F84+'SHB Liv'!F84+'Sparebank 1'!F84+'Storebrand Livsforsikring'!F84+'Telenor Forsikring'!F84+'Tryg Forsikring'!F84</f>
        <v>332451.34386343003</v>
      </c>
      <c r="F84" s="44">
        <f>'ACE European Group'!G84+'Danica Pensjonsforsikring'!G84+'DNB Livsforsikring'!G84+'Eika Forsikring AS'!G84+'Frende Livsforsikring'!G84+'Frende Skadeforsikring'!G84+'Gjensidige Forsikring'!G84+'Gjensidige Pensjon'!G84+'Handelsbanken Liv'!G84+'If Skadeforsikring NUF'!G84+KLP!G84+'KLP Bedriftspensjon AS'!G84+'KLP Skadeforsikring AS'!G84+'Landkreditt Forsikring'!G84+'NEMI Forsikring'!G84+'Nordea Liv '!G84+'Oslo Pensjonsforsikring'!G84+'Protector Forsikring'!G84+'SHB Liv'!G84+'Sparebank 1'!G84+'Storebrand Livsforsikring'!G84+'Telenor Forsikring'!G84+'Tryg Forsikring'!G84</f>
        <v>297767.19407228002</v>
      </c>
      <c r="G84" s="171">
        <f t="shared" si="25"/>
        <v>-10.4</v>
      </c>
      <c r="H84" s="236">
        <f t="shared" si="26"/>
        <v>332451.34386343003</v>
      </c>
      <c r="I84" s="236">
        <f t="shared" si="27"/>
        <v>297767.19407228002</v>
      </c>
      <c r="J84" s="23">
        <f t="shared" si="28"/>
        <v>-10.4</v>
      </c>
    </row>
    <row r="85" spans="1:13" ht="15.75" customHeight="1" x14ac:dyDescent="0.2">
      <c r="A85" s="293" t="s">
        <v>13</v>
      </c>
      <c r="B85" s="234">
        <f>'ACE European Group'!B85+'Danica Pensjonsforsikring'!B85+'DNB Livsforsikring'!B85+'Eika Forsikring AS'!B85+'Frende Livsforsikring'!B85+'Frende Skadeforsikring'!B85+'Gjensidige Forsikring'!B85+'Gjensidige Pensjon'!B85+'Handelsbanken Liv'!B85+'If Skadeforsikring NUF'!B85+KLP!B85+'KLP Bedriftspensjon AS'!B85+'KLP Skadeforsikring AS'!B85+'Landkreditt Forsikring'!B85+'NEMI Forsikring'!B85+'Nordea Liv '!B85+'Oslo Pensjonsforsikring'!B85+'Protector Forsikring'!B85+'SHB Liv'!B85+'Sparebank 1'!B85+'Storebrand Livsforsikring'!B85+'Telenor Forsikring'!B85+'Tryg Forsikring'!B85</f>
        <v>0</v>
      </c>
      <c r="C85" s="234">
        <f>'ACE European Group'!C85+'Danica Pensjonsforsikring'!C85+'DNB Livsforsikring'!C85+'Eika Forsikring AS'!C85+'Frende Livsforsikring'!C85+'Frende Skadeforsikring'!C85+'Gjensidige Forsikring'!C85+'Gjensidige Pensjon'!C85+'Handelsbanken Liv'!C85+'If Skadeforsikring NUF'!C85+KLP!C85+'KLP Bedriftspensjon AS'!C85+'KLP Skadeforsikring AS'!C85+'Landkreditt Forsikring'!C85+'NEMI Forsikring'!C85+'Nordea Liv '!C85+'Oslo Pensjonsforsikring'!C85+'Protector Forsikring'!C85+'SHB Liv'!C85+'Sparebank 1'!C85+'Storebrand Livsforsikring'!C85+'Telenor Forsikring'!C85+'Tryg Forsikring'!C85</f>
        <v>0</v>
      </c>
      <c r="D85" s="27"/>
      <c r="E85" s="44">
        <f>'ACE European Group'!F85+'Danica Pensjonsforsikring'!F85+'DNB Livsforsikring'!F85+'Eika Forsikring AS'!F85+'Frende Livsforsikring'!F85+'Frende Skadeforsikring'!F85+'Gjensidige Forsikring'!F85+'Gjensidige Pensjon'!F85+'Handelsbanken Liv'!F85+'If Skadeforsikring NUF'!F85+KLP!F85+'KLP Bedriftspensjon AS'!F85+'KLP Skadeforsikring AS'!F85+'Landkreditt Forsikring'!F85+'NEMI Forsikring'!F85+'Nordea Liv '!F85+'Oslo Pensjonsforsikring'!F85+'Protector Forsikring'!F85+'SHB Liv'!F85+'Sparebank 1'!F85+'Storebrand Livsforsikring'!F85+'Telenor Forsikring'!F85+'Tryg Forsikring'!F85</f>
        <v>26063594.730456568</v>
      </c>
      <c r="F85" s="44">
        <f>'ACE European Group'!G85+'Danica Pensjonsforsikring'!G85+'DNB Livsforsikring'!G85+'Eika Forsikring AS'!G85+'Frende Livsforsikring'!G85+'Frende Skadeforsikring'!G85+'Gjensidige Forsikring'!G85+'Gjensidige Pensjon'!G85+'Handelsbanken Liv'!G85+'If Skadeforsikring NUF'!G85+KLP!G85+'KLP Bedriftspensjon AS'!G85+'KLP Skadeforsikring AS'!G85+'Landkreditt Forsikring'!G85+'NEMI Forsikring'!G85+'Nordea Liv '!G85+'Oslo Pensjonsforsikring'!G85+'Protector Forsikring'!G85+'SHB Liv'!G85+'Sparebank 1'!G85+'Storebrand Livsforsikring'!G85+'Telenor Forsikring'!G85+'Tryg Forsikring'!G85</f>
        <v>28238018.529127717</v>
      </c>
      <c r="G85" s="171">
        <f t="shared" si="25"/>
        <v>8.3000000000000007</v>
      </c>
      <c r="H85" s="236">
        <f t="shared" si="26"/>
        <v>26063594.730456568</v>
      </c>
      <c r="I85" s="236">
        <f t="shared" si="27"/>
        <v>28238018.529127717</v>
      </c>
      <c r="J85" s="23">
        <f t="shared" si="28"/>
        <v>8.3000000000000007</v>
      </c>
    </row>
    <row r="86" spans="1:13" ht="15.75" customHeight="1" x14ac:dyDescent="0.2">
      <c r="A86" s="21" t="s">
        <v>474</v>
      </c>
      <c r="B86" s="233">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AS'!B86+'Landkreditt Forsikring'!B86+'NEMI Forsikring'!B86+'Nordea Liv '!B86+'Oslo Pensjonsforsikring'!B86+'Protector Forsikring'!B86+'SHB Liv'!B86+'Sparebank 1'!B86+'Storebrand Livsforsikring'!B86+'Telenor Forsikring'!B86+'Tryg Forsikring'!B86</f>
        <v>200026.38099999999</v>
      </c>
      <c r="C86" s="233">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AS'!C86+'Landkreditt Forsikring'!C86+'NEMI Forsikring'!C86+'Nordea Liv '!C86+'Oslo Pensjonsforsikring'!C86+'Protector Forsikring'!C86+'SHB Liv'!C86+'Sparebank 1'!C86+'Storebrand Livsforsikring'!C86+'Telenor Forsikring'!C86+'Tryg Forsikring'!C86</f>
        <v>123854.783</v>
      </c>
      <c r="D86" s="23">
        <f t="shared" si="24"/>
        <v>-38.1</v>
      </c>
      <c r="E86" s="44">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AS'!F86+'Landkreditt Forsikring'!F86+'NEMI Forsikring'!F86+'Nordea Liv '!F86+'Oslo Pensjonsforsikring'!F86+'Protector Forsikring'!F86+'SHB Liv'!F86+'Sparebank 1'!F86+'Storebrand Livsforsikring'!F86+'Telenor Forsikring'!F86+'Tryg Forsikring'!F86</f>
        <v>13146.94231</v>
      </c>
      <c r="F86" s="44">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AS'!G86+'Landkreditt Forsikring'!G86+'NEMI Forsikring'!G86+'Nordea Liv '!G86+'Oslo Pensjonsforsikring'!G86+'Protector Forsikring'!G86+'SHB Liv'!G86+'Sparebank 1'!G86+'Storebrand Livsforsikring'!G86+'Telenor Forsikring'!G86+'Tryg Forsikring'!G86</f>
        <v>12460.974269999999</v>
      </c>
      <c r="G86" s="171">
        <f t="shared" si="25"/>
        <v>-5.2</v>
      </c>
      <c r="H86" s="236">
        <f t="shared" si="26"/>
        <v>213173.32331000001</v>
      </c>
      <c r="I86" s="236">
        <f t="shared" si="27"/>
        <v>136315.75727</v>
      </c>
      <c r="J86" s="23">
        <f t="shared" si="28"/>
        <v>-36.1</v>
      </c>
    </row>
    <row r="87" spans="1:13" s="43" customFormat="1" ht="15.75" customHeight="1" x14ac:dyDescent="0.2">
      <c r="A87" s="13" t="s">
        <v>456</v>
      </c>
      <c r="B87" s="305">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AS'!B87+'Landkreditt Forsikring'!B87+'NEMI Forsikring'!B87+'Nordea Liv '!B87+'Oslo Pensjonsforsikring'!B87+'Protector Forsikring'!B87+'SHB Liv'!B87+'Sparebank 1'!B87+'Storebrand Livsforsikring'!B87+'Telenor Forsikring'!B87+'Tryg Forsikring'!B87</f>
        <v>381365364.22175068</v>
      </c>
      <c r="C87" s="305">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AS'!C87+'Landkreditt Forsikring'!C87+'NEMI Forsikring'!C87+'Nordea Liv '!C87+'Oslo Pensjonsforsikring'!C87+'Protector Forsikring'!C87+'SHB Liv'!C87+'Sparebank 1'!C87+'Storebrand Livsforsikring'!C87+'Telenor Forsikring'!C87+'Tryg Forsikring'!C87</f>
        <v>386300595.53110218</v>
      </c>
      <c r="D87" s="24">
        <f t="shared" si="24"/>
        <v>1.3</v>
      </c>
      <c r="E87" s="235">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AS'!F87+'Landkreditt Forsikring'!F87+'NEMI Forsikring'!F87+'Nordea Liv '!F87+'Oslo Pensjonsforsikring'!F87+'Protector Forsikring'!F87+'SHB Liv'!F87+'Sparebank 1'!F87+'Storebrand Livsforsikring'!F87+'Telenor Forsikring'!F87+'Tryg Forsikring'!F87</f>
        <v>223725591.47072756</v>
      </c>
      <c r="F87" s="235">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AS'!G87+'Landkreditt Forsikring'!G87+'NEMI Forsikring'!G87+'Nordea Liv '!G87+'Oslo Pensjonsforsikring'!G87+'Protector Forsikring'!G87+'SHB Liv'!G87+'Sparebank 1'!G87+'Storebrand Livsforsikring'!G87+'Telenor Forsikring'!G87+'Tryg Forsikring'!G87</f>
        <v>246310125.87968564</v>
      </c>
      <c r="G87" s="171">
        <f t="shared" si="25"/>
        <v>10.1</v>
      </c>
      <c r="H87" s="327">
        <f t="shared" ref="H87:H111" si="34">SUM(B87,E87)</f>
        <v>605090955.69247818</v>
      </c>
      <c r="I87" s="327">
        <f t="shared" ref="I87:I111" si="35">SUM(C87,F87)</f>
        <v>632610721.41078782</v>
      </c>
      <c r="J87" s="24">
        <f t="shared" si="28"/>
        <v>4.5</v>
      </c>
    </row>
    <row r="88" spans="1:13" ht="15.75" customHeight="1" x14ac:dyDescent="0.2">
      <c r="A88" s="21" t="s">
        <v>9</v>
      </c>
      <c r="B88" s="233">
        <f>'ACE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AS'!B88+'Landkreditt Forsikring'!B88+'NEMI Forsikring'!B88+'Nordea Liv '!B88+'Oslo Pensjonsforsikring'!B88+'Protector Forsikring'!B88+'SHB Liv'!B88+'Sparebank 1'!B88+'Storebrand Livsforsikring'!B88+'Telenor Forsikring'!B88+'Tryg Forsikring'!B88</f>
        <v>373339144.61535072</v>
      </c>
      <c r="C88" s="233">
        <f>'ACE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AS'!C88+'Landkreditt Forsikring'!C88+'NEMI Forsikring'!C88+'Nordea Liv '!C88+'Oslo Pensjonsforsikring'!C88+'Protector Forsikring'!C88+'SHB Liv'!C88+'Sparebank 1'!C88+'Storebrand Livsforsikring'!C88+'Telenor Forsikring'!C88+'Tryg Forsikring'!C88</f>
        <v>377313891.5395022</v>
      </c>
      <c r="D88" s="23">
        <f t="shared" si="24"/>
        <v>1.1000000000000001</v>
      </c>
      <c r="E88" s="44">
        <f>'ACE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AS'!F88+'Landkreditt Forsikring'!F88+'NEMI Forsikring'!F88+'Nordea Liv '!F88+'Oslo Pensjonsforsikring'!F88+'Protector Forsikring'!F88+'SHB Liv'!F88+'Sparebank 1'!F88+'Storebrand Livsforsikring'!F88+'Telenor Forsikring'!F88+'Tryg Forsikring'!F88</f>
        <v>0</v>
      </c>
      <c r="F88" s="44">
        <f>'ACE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AS'!G88+'Landkreditt Forsikring'!G88+'NEMI Forsikring'!G88+'Nordea Liv '!G88+'Oslo Pensjonsforsikring'!G88+'Protector Forsikring'!G88+'SHB Liv'!G88+'Sparebank 1'!G88+'Storebrand Livsforsikring'!G88+'Telenor Forsikring'!G88+'Tryg Forsikring'!G88</f>
        <v>0</v>
      </c>
      <c r="G88" s="171"/>
      <c r="H88" s="236">
        <f t="shared" si="34"/>
        <v>373339144.61535072</v>
      </c>
      <c r="I88" s="236">
        <f t="shared" si="35"/>
        <v>377313891.5395022</v>
      </c>
      <c r="J88" s="23">
        <f t="shared" si="28"/>
        <v>1.1000000000000001</v>
      </c>
      <c r="K88" s="149"/>
      <c r="L88" s="149"/>
      <c r="M88" s="149"/>
    </row>
    <row r="89" spans="1:13" ht="15.75" customHeight="1" x14ac:dyDescent="0.2">
      <c r="A89" s="21" t="s">
        <v>10</v>
      </c>
      <c r="B89" s="233">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AS'!B89+'Landkreditt Forsikring'!B89+'NEMI Forsikring'!B89+'Nordea Liv '!B89+'Oslo Pensjonsforsikring'!B89+'Protector Forsikring'!B89+'SHB Liv'!B89+'Sparebank 1'!B89+'Storebrand Livsforsikring'!B89+'Telenor Forsikring'!B89+'Tryg Forsikring'!B89</f>
        <v>2514737.3594</v>
      </c>
      <c r="C89" s="233">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AS'!C89+'Landkreditt Forsikring'!C89+'NEMI Forsikring'!C89+'Nordea Liv '!C89+'Oslo Pensjonsforsikring'!C89+'Protector Forsikring'!C89+'SHB Liv'!C89+'Sparebank 1'!C89+'Storebrand Livsforsikring'!C89+'Telenor Forsikring'!C89+'Tryg Forsikring'!C89</f>
        <v>2719861.9205399998</v>
      </c>
      <c r="D89" s="23">
        <f t="shared" si="24"/>
        <v>8.1999999999999993</v>
      </c>
      <c r="E89" s="44">
        <f>'ACE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AS'!F89+'Landkreditt Forsikring'!F89+'NEMI Forsikring'!F89+'Nordea Liv '!F89+'Oslo Pensjonsforsikring'!F89+'Protector Forsikring'!F89+'SHB Liv'!F89+'Sparebank 1'!F89+'Storebrand Livsforsikring'!F89+'Telenor Forsikring'!F89+'Tryg Forsikring'!F89</f>
        <v>223026656.68964756</v>
      </c>
      <c r="F89" s="44">
        <f>'ACE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AS'!G89+'Landkreditt Forsikring'!G89+'NEMI Forsikring'!G89+'Nordea Liv '!G89+'Oslo Pensjonsforsikring'!G89+'Protector Forsikring'!G89+'SHB Liv'!G89+'Sparebank 1'!G89+'Storebrand Livsforsikring'!G89+'Telenor Forsikring'!G89+'Tryg Forsikring'!G89</f>
        <v>245299127.69542563</v>
      </c>
      <c r="G89" s="171">
        <f t="shared" si="25"/>
        <v>10</v>
      </c>
      <c r="H89" s="236">
        <f t="shared" si="34"/>
        <v>225541394.04904756</v>
      </c>
      <c r="I89" s="236">
        <f t="shared" si="35"/>
        <v>248018989.61596563</v>
      </c>
      <c r="J89" s="23">
        <f t="shared" si="28"/>
        <v>10</v>
      </c>
      <c r="K89" s="149"/>
      <c r="L89" s="149"/>
      <c r="M89" s="149"/>
    </row>
    <row r="90" spans="1:13" ht="15.75" customHeight="1" x14ac:dyDescent="0.2">
      <c r="A90" s="293" t="s">
        <v>471</v>
      </c>
      <c r="B90" s="44">
        <f>'ACE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AS'!B90+'Landkreditt Forsikring'!B90+'NEMI Forsikring'!B90+'Nordea Liv '!B90+'Oslo Pensjonsforsikring'!B90+'Protector Forsikring'!B90+'SHB Liv'!B90+'Sparebank 1'!B90+'Storebrand Livsforsikring'!B90+'Telenor Forsikring'!B90+'Tryg Forsikring'!B90</f>
        <v>0</v>
      </c>
      <c r="C90" s="44">
        <f>'ACE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AS'!C90+'Landkreditt Forsikring'!C90+'NEMI Forsikring'!C90+'Nordea Liv '!C90+'Oslo Pensjonsforsikring'!C90+'Protector Forsikring'!C90+'SHB Liv'!C90+'Sparebank 1'!C90+'Storebrand Livsforsikring'!C90+'Telenor Forsikring'!C90+'Tryg Forsikring'!C90</f>
        <v>0</v>
      </c>
      <c r="D90" s="27"/>
      <c r="E90" s="44">
        <f>'ACE European Group'!F90+'Danica Pensjonsforsikring'!F90+'DNB Livsforsikring'!F90+'Eika Forsikring AS'!F90+'Frende Livsforsikring'!F90+'Frende Skadeforsikring'!F90+'Gjensidige Forsikring'!F90+'Gjensidige Pensjon'!F90+'Handelsbanken Liv'!F90+'If Skadeforsikring NUF'!F90+KLP!F90+'KLP Bedriftspensjon AS'!F90+'KLP Skadeforsikring AS'!F90+'Landkreditt Forsikring'!F90+'NEMI Forsikring'!F90+'Nordea Liv '!F90+'Oslo Pensjonsforsikring'!F90+'Protector Forsikring'!F90+'SHB Liv'!F90+'Sparebank 1'!F90+'Storebrand Livsforsikring'!F90+'Telenor Forsikring'!F90+'Tryg Forsikring'!F90</f>
        <v>149816.83600000007</v>
      </c>
      <c r="F90" s="44">
        <f>'ACE European Group'!G90+'Danica Pensjonsforsikring'!G90+'DNB Livsforsikring'!G90+'Eika Forsikring AS'!G90+'Frende Livsforsikring'!G90+'Frende Skadeforsikring'!G90+'Gjensidige Forsikring'!G90+'Gjensidige Pensjon'!G90+'Handelsbanken Liv'!G90+'If Skadeforsikring NUF'!G90+KLP!G90+'KLP Bedriftspensjon AS'!G90+'KLP Skadeforsikring AS'!G90+'Landkreditt Forsikring'!G90+'NEMI Forsikring'!G90+'Nordea Liv '!G90+'Oslo Pensjonsforsikring'!G90+'Protector Forsikring'!G90+'SHB Liv'!G90+'Sparebank 1'!G90+'Storebrand Livsforsikring'!G90+'Telenor Forsikring'!G90+'Tryg Forsikring'!G90</f>
        <v>132527.61299999995</v>
      </c>
      <c r="G90" s="171">
        <f t="shared" si="25"/>
        <v>-11.5</v>
      </c>
      <c r="H90" s="236">
        <f t="shared" si="34"/>
        <v>149816.83600000007</v>
      </c>
      <c r="I90" s="236">
        <f t="shared" si="35"/>
        <v>132527.61299999995</v>
      </c>
      <c r="J90" s="23">
        <f t="shared" si="28"/>
        <v>-11.5</v>
      </c>
      <c r="K90" s="935"/>
      <c r="L90" s="935"/>
    </row>
    <row r="91" spans="1:13" ht="15.75" customHeight="1" x14ac:dyDescent="0.2">
      <c r="A91" s="293" t="s">
        <v>12</v>
      </c>
      <c r="B91" s="234">
        <f>'ACE European Group'!B91+'Danica Pensjonsforsikring'!B91+'DNB Livsforsikring'!B91+'Eika Forsikring AS'!B91+'Frende Livsforsikring'!B91+'Frende Skadeforsikring'!B91+'Gjensidige Forsikring'!B91+'Gjensidige Pensjon'!B91+'Handelsbanken Liv'!B91+'If Skadeforsikring NUF'!B91+KLP!B91+'KLP Bedriftspensjon AS'!B91+'KLP Skadeforsikring AS'!B91+'Landkreditt Forsikring'!B91+'NEMI Forsikring'!B91+'Nordea Liv '!B91+'Oslo Pensjonsforsikring'!B91+'Protector Forsikring'!B91+'SHB Liv'!B91+'Sparebank 1'!B91+'Storebrand Livsforsikring'!B91+'Telenor Forsikring'!B91+'Tryg Forsikring'!B91</f>
        <v>0</v>
      </c>
      <c r="C91" s="234">
        <f>'ACE European Group'!C91+'Danica Pensjonsforsikring'!C91+'DNB Livsforsikring'!C91+'Eika Forsikring AS'!C91+'Frende Livsforsikring'!C91+'Frende Skadeforsikring'!C91+'Gjensidige Forsikring'!C91+'Gjensidige Pensjon'!C91+'Handelsbanken Liv'!C91+'If Skadeforsikring NUF'!C91+KLP!C91+'KLP Bedriftspensjon AS'!C91+'KLP Skadeforsikring AS'!C91+'Landkreditt Forsikring'!C91+'NEMI Forsikring'!C91+'Nordea Liv '!C91+'Oslo Pensjonsforsikring'!C91+'Protector Forsikring'!C91+'SHB Liv'!C91+'Sparebank 1'!C91+'Storebrand Livsforsikring'!C91+'Telenor Forsikring'!C91+'Tryg Forsikring'!C91</f>
        <v>0</v>
      </c>
      <c r="D91" s="27"/>
      <c r="E91" s="44">
        <f>'ACE European Group'!F91+'Danica Pensjonsforsikring'!F91+'DNB Livsforsikring'!F91+'Eika Forsikring AS'!F91+'Frende Livsforsikring'!F91+'Frende Skadeforsikring'!F91+'Gjensidige Forsikring'!F91+'Gjensidige Pensjon'!F91+'Handelsbanken Liv'!F91+'If Skadeforsikring NUF'!F91+KLP!F91+'KLP Bedriftspensjon AS'!F91+'KLP Skadeforsikring AS'!F91+'Landkreditt Forsikring'!F91+'NEMI Forsikring'!F91+'Nordea Liv '!F91+'Oslo Pensjonsforsikring'!F91+'Protector Forsikring'!F91+'SHB Liv'!F91+'Sparebank 1'!F91+'Storebrand Livsforsikring'!F91+'Telenor Forsikring'!F91+'Tryg Forsikring'!F91</f>
        <v>138058.44537516215</v>
      </c>
      <c r="F91" s="44">
        <f>'ACE European Group'!G91+'Danica Pensjonsforsikring'!G91+'DNB Livsforsikring'!G91+'Eika Forsikring AS'!G91+'Frende Livsforsikring'!G91+'Frende Skadeforsikring'!G91+'Gjensidige Forsikring'!G91+'Gjensidige Pensjon'!G91+'Handelsbanken Liv'!G91+'If Skadeforsikring NUF'!G91+KLP!G91+'KLP Bedriftspensjon AS'!G91+'KLP Skadeforsikring AS'!G91+'Landkreditt Forsikring'!G91+'NEMI Forsikring'!G91+'Nordea Liv '!G91+'Oslo Pensjonsforsikring'!G91+'Protector Forsikring'!G91+'SHB Liv'!G91+'Sparebank 1'!G91+'Storebrand Livsforsikring'!G91+'Telenor Forsikring'!G91+'Tryg Forsikring'!G91</f>
        <v>112251.43877846126</v>
      </c>
      <c r="G91" s="171">
        <f t="shared" si="25"/>
        <v>-18.7</v>
      </c>
      <c r="H91" s="236">
        <f t="shared" si="34"/>
        <v>138058.44537516215</v>
      </c>
      <c r="I91" s="236">
        <f t="shared" si="35"/>
        <v>112251.43877846126</v>
      </c>
      <c r="J91" s="23">
        <f t="shared" si="28"/>
        <v>-18.7</v>
      </c>
      <c r="K91" s="149"/>
      <c r="L91" s="149"/>
    </row>
    <row r="92" spans="1:13" ht="15.75" customHeight="1" x14ac:dyDescent="0.2">
      <c r="A92" s="293" t="s">
        <v>13</v>
      </c>
      <c r="B92" s="234">
        <f>'ACE European Group'!B92+'Danica Pensjonsforsikring'!B92+'DNB Livsforsikring'!B92+'Eika Forsikring AS'!B92+'Frende Livsforsikring'!B92+'Frende Skadeforsikring'!B92+'Gjensidige Forsikring'!B92+'Gjensidige Pensjon'!B92+'Handelsbanken Liv'!B92+'If Skadeforsikring NUF'!B92+KLP!B92+'KLP Bedriftspensjon AS'!B92+'KLP Skadeforsikring AS'!B92+'Landkreditt Forsikring'!B92+'NEMI Forsikring'!B92+'Nordea Liv '!B92+'Oslo Pensjonsforsikring'!B92+'Protector Forsikring'!B92+'SHB Liv'!B92+'Sparebank 1'!B92+'Storebrand Livsforsikring'!B92+'Telenor Forsikring'!B92+'Tryg Forsikring'!B92</f>
        <v>0</v>
      </c>
      <c r="C92" s="234">
        <f>'ACE European Group'!C92+'Danica Pensjonsforsikring'!C92+'DNB Livsforsikring'!C92+'Eika Forsikring AS'!C92+'Frende Livsforsikring'!C92+'Frende Skadeforsikring'!C92+'Gjensidige Forsikring'!C92+'Gjensidige Pensjon'!C92+'Handelsbanken Liv'!C92+'If Skadeforsikring NUF'!C92+KLP!C92+'KLP Bedriftspensjon AS'!C92+'KLP Skadeforsikring AS'!C92+'Landkreditt Forsikring'!C92+'NEMI Forsikring'!C92+'Nordea Liv '!C92+'Oslo Pensjonsforsikring'!C92+'Protector Forsikring'!C92+'SHB Liv'!C92+'Sparebank 1'!C92+'Storebrand Livsforsikring'!C92+'Telenor Forsikring'!C92+'Tryg Forsikring'!C92</f>
        <v>0</v>
      </c>
      <c r="D92" s="27"/>
      <c r="E92" s="44">
        <f>'ACE European Group'!F92+'Danica Pensjonsforsikring'!F92+'DNB Livsforsikring'!F92+'Eika Forsikring AS'!F92+'Frende Livsforsikring'!F92+'Frende Skadeforsikring'!F92+'Gjensidige Forsikring'!F92+'Gjensidige Pensjon'!F92+'Handelsbanken Liv'!F92+'If Skadeforsikring NUF'!F92+KLP!F92+'KLP Bedriftspensjon AS'!F92+'KLP Skadeforsikring AS'!F92+'Landkreditt Forsikring'!F92+'NEMI Forsikring'!F92+'Nordea Liv '!F92+'Oslo Pensjonsforsikring'!F92+'Protector Forsikring'!F92+'SHB Liv'!F92+'Sparebank 1'!F92+'Storebrand Livsforsikring'!F92+'Telenor Forsikring'!F92+'Tryg Forsikring'!F92</f>
        <v>11758.390624837901</v>
      </c>
      <c r="F92" s="44">
        <f>'ACE European Group'!G92+'Danica Pensjonsforsikring'!G92+'DNB Livsforsikring'!G92+'Eika Forsikring AS'!G92+'Frende Livsforsikring'!G92+'Frende Skadeforsikring'!G92+'Gjensidige Forsikring'!G92+'Gjensidige Pensjon'!G92+'Handelsbanken Liv'!G92+'If Skadeforsikring NUF'!G92+KLP!G92+'KLP Bedriftspensjon AS'!G92+'KLP Skadeforsikring AS'!G92+'Landkreditt Forsikring'!G92+'NEMI Forsikring'!G92+'Nordea Liv '!G92+'Oslo Pensjonsforsikring'!G92+'Protector Forsikring'!G92+'SHB Liv'!G92+'Sparebank 1'!G92+'Storebrand Livsforsikring'!G92+'Telenor Forsikring'!G92+'Tryg Forsikring'!G92</f>
        <v>20276.174221538698</v>
      </c>
      <c r="G92" s="171">
        <f t="shared" si="25"/>
        <v>72.400000000000006</v>
      </c>
      <c r="H92" s="236">
        <f t="shared" si="34"/>
        <v>11758.390624837901</v>
      </c>
      <c r="I92" s="236">
        <f t="shared" si="35"/>
        <v>20276.174221538698</v>
      </c>
      <c r="J92" s="23">
        <f t="shared" si="28"/>
        <v>72.400000000000006</v>
      </c>
      <c r="K92" s="149"/>
      <c r="L92" s="149"/>
    </row>
    <row r="93" spans="1:13" ht="15.75" customHeight="1" x14ac:dyDescent="0.2">
      <c r="A93" s="293" t="s">
        <v>472</v>
      </c>
      <c r="B93" s="44">
        <f>'ACE European Group'!B93+'Danica Pensjonsforsikring'!B93+'DNB Livsforsikring'!B93+'Eika Forsikring AS'!B93+'Frende Livsforsikring'!B93+'Frende Skadeforsikring'!B93+'Gjensidige Forsikring'!B93+'Gjensidige Pensjon'!B93+'Handelsbanken Liv'!B93+'If Skadeforsikring NUF'!B93+KLP!B93+'KLP Bedriftspensjon AS'!B93+'KLP Skadeforsikring AS'!B93+'Landkreditt Forsikring'!B93+'NEMI Forsikring'!B93+'Nordea Liv '!B93+'Oslo Pensjonsforsikring'!B93+'Protector Forsikring'!B93+'SHB Liv'!B93+'Sparebank 1'!B93+'Storebrand Livsforsikring'!B93+'Telenor Forsikring'!B93+'Tryg Forsikring'!B93</f>
        <v>2514737.3594</v>
      </c>
      <c r="C93" s="44">
        <f>'ACE European Group'!C93+'Danica Pensjonsforsikring'!C93+'DNB Livsforsikring'!C93+'Eika Forsikring AS'!C93+'Frende Livsforsikring'!C93+'Frende Skadeforsikring'!C93+'Gjensidige Forsikring'!C93+'Gjensidige Pensjon'!C93+'Handelsbanken Liv'!C93+'If Skadeforsikring NUF'!C93+KLP!C93+'KLP Bedriftspensjon AS'!C93+'KLP Skadeforsikring AS'!C93+'Landkreditt Forsikring'!C93+'NEMI Forsikring'!C93+'Nordea Liv '!C93+'Oslo Pensjonsforsikring'!C93+'Protector Forsikring'!C93+'SHB Liv'!C93+'Sparebank 1'!C93+'Storebrand Livsforsikring'!C93+'Telenor Forsikring'!C93+'Tryg Forsikring'!C93</f>
        <v>2719861.9205399998</v>
      </c>
      <c r="D93" s="27">
        <f t="shared" ref="D93" si="36">IF($A$1=4,IF(B93=0, "    ---- ", IF(ABS(ROUND(100/B93*C93-100,1))&lt;999,ROUND(100/B93*C93-100,1),IF(ROUND(100/B93*C93-100,1)&gt;999,999,-999))),"")</f>
        <v>8.1999999999999993</v>
      </c>
      <c r="E93" s="44">
        <f>'ACE European Group'!F93+'Danica Pensjonsforsikring'!F93+'DNB Livsforsikring'!F93+'Eika Forsikring AS'!F93+'Frende Livsforsikring'!F93+'Frende Skadeforsikring'!F93+'Gjensidige Forsikring'!F93+'Gjensidige Pensjon'!F93+'Handelsbanken Liv'!F93+'If Skadeforsikring NUF'!F93+KLP!F93+'KLP Bedriftspensjon AS'!F93+'KLP Skadeforsikring AS'!F93+'Landkreditt Forsikring'!F93+'NEMI Forsikring'!F93+'Nordea Liv '!F93+'Oslo Pensjonsforsikring'!F93+'Protector Forsikring'!F93+'SHB Liv'!F93+'Sparebank 1'!F93+'Storebrand Livsforsikring'!F93+'Telenor Forsikring'!F93+'Tryg Forsikring'!F93</f>
        <v>222876839.85364756</v>
      </c>
      <c r="F93" s="44">
        <f>'ACE European Group'!G93+'Danica Pensjonsforsikring'!G93+'DNB Livsforsikring'!G93+'Eika Forsikring AS'!G93+'Frende Livsforsikring'!G93+'Frende Skadeforsikring'!G93+'Gjensidige Forsikring'!G93+'Gjensidige Pensjon'!G93+'Handelsbanken Liv'!G93+'If Skadeforsikring NUF'!G93+KLP!G93+'KLP Bedriftspensjon AS'!G93+'KLP Skadeforsikring AS'!G93+'Landkreditt Forsikring'!G93+'NEMI Forsikring'!G93+'Nordea Liv '!G93+'Oslo Pensjonsforsikring'!G93+'Protector Forsikring'!G93+'SHB Liv'!G93+'Sparebank 1'!G93+'Storebrand Livsforsikring'!G93+'Telenor Forsikring'!G93+'Tryg Forsikring'!G93</f>
        <v>245166600.08242565</v>
      </c>
      <c r="G93" s="171">
        <f t="shared" si="25"/>
        <v>10</v>
      </c>
      <c r="H93" s="236">
        <f t="shared" si="34"/>
        <v>225391577.21304756</v>
      </c>
      <c r="I93" s="236">
        <f t="shared" si="35"/>
        <v>247886462.00296566</v>
      </c>
      <c r="J93" s="23">
        <f t="shared" si="28"/>
        <v>10</v>
      </c>
      <c r="K93" s="149"/>
      <c r="L93" s="149"/>
    </row>
    <row r="94" spans="1:13" ht="15.75" customHeight="1" x14ac:dyDescent="0.2">
      <c r="A94" s="293" t="s">
        <v>12</v>
      </c>
      <c r="B94" s="234">
        <f>'ACE European Group'!B94+'Danica Pensjonsforsikring'!B94+'DNB Livsforsikring'!B94+'Eika Forsikring AS'!B94+'Frende Livsforsikring'!B94+'Frende Skadeforsikring'!B94+'Gjensidige Forsikring'!B94+'Gjensidige Pensjon'!B94+'Handelsbanken Liv'!B94+'If Skadeforsikring NUF'!B94+KLP!B94+'KLP Bedriftspensjon AS'!B94+'KLP Skadeforsikring AS'!B94+'Landkreditt Forsikring'!B94+'NEMI Forsikring'!B94+'Nordea Liv '!B94+'Oslo Pensjonsforsikring'!B94+'Protector Forsikring'!B94+'SHB Liv'!B94+'Sparebank 1'!B94+'Storebrand Livsforsikring'!B94+'Telenor Forsikring'!B94+'Tryg Forsikring'!B94</f>
        <v>0</v>
      </c>
      <c r="C94" s="234">
        <f>'ACE European Group'!C94+'Danica Pensjonsforsikring'!C94+'DNB Livsforsikring'!C94+'Eika Forsikring AS'!C94+'Frende Livsforsikring'!C94+'Frende Skadeforsikring'!C94+'Gjensidige Forsikring'!C94+'Gjensidige Pensjon'!C94+'Handelsbanken Liv'!C94+'If Skadeforsikring NUF'!C94+KLP!C94+'KLP Bedriftspensjon AS'!C94+'KLP Skadeforsikring AS'!C94+'Landkreditt Forsikring'!C94+'NEMI Forsikring'!C94+'Nordea Liv '!C94+'Oslo Pensjonsforsikring'!C94+'Protector Forsikring'!C94+'SHB Liv'!C94+'Sparebank 1'!C94+'Storebrand Livsforsikring'!C94+'Telenor Forsikring'!C94+'Tryg Forsikring'!C94</f>
        <v>0</v>
      </c>
      <c r="D94" s="27"/>
      <c r="E94" s="44">
        <f>'ACE European Group'!F94+'Danica Pensjonsforsikring'!F94+'DNB Livsforsikring'!F94+'Eika Forsikring AS'!F94+'Frende Livsforsikring'!F94+'Frende Skadeforsikring'!F94+'Gjensidige Forsikring'!F94+'Gjensidige Pensjon'!F94+'Handelsbanken Liv'!F94+'If Skadeforsikring NUF'!F94+KLP!F94+'KLP Bedriftspensjon AS'!F94+'KLP Skadeforsikring AS'!F94+'Landkreditt Forsikring'!F94+'NEMI Forsikring'!F94+'Nordea Liv '!F94+'Oslo Pensjonsforsikring'!F94+'Protector Forsikring'!F94+'SHB Liv'!F94+'Sparebank 1'!F94+'Storebrand Livsforsikring'!F94+'Telenor Forsikring'!F94+'Tryg Forsikring'!F94</f>
        <v>3300577.8970802799</v>
      </c>
      <c r="F94" s="44">
        <f>'ACE European Group'!G94+'Danica Pensjonsforsikring'!G94+'DNB Livsforsikring'!G94+'Eika Forsikring AS'!G94+'Frende Livsforsikring'!G94+'Frende Skadeforsikring'!G94+'Gjensidige Forsikring'!G94+'Gjensidige Pensjon'!G94+'Handelsbanken Liv'!G94+'If Skadeforsikring NUF'!G94+KLP!G94+'KLP Bedriftspensjon AS'!G94+'KLP Skadeforsikring AS'!G94+'Landkreditt Forsikring'!G94+'NEMI Forsikring'!G94+'Nordea Liv '!G94+'Oslo Pensjonsforsikring'!G94+'Protector Forsikring'!G94+'SHB Liv'!G94+'Sparebank 1'!G94+'Storebrand Livsforsikring'!G94+'Telenor Forsikring'!G94+'Tryg Forsikring'!G94</f>
        <v>3117433.5457308502</v>
      </c>
      <c r="G94" s="171">
        <f t="shared" si="25"/>
        <v>-5.5</v>
      </c>
      <c r="H94" s="236">
        <f t="shared" si="34"/>
        <v>3300577.8970802799</v>
      </c>
      <c r="I94" s="236">
        <f t="shared" si="35"/>
        <v>3117433.5457308502</v>
      </c>
      <c r="J94" s="23">
        <f t="shared" si="28"/>
        <v>-5.5</v>
      </c>
      <c r="K94" s="149"/>
      <c r="L94" s="149"/>
    </row>
    <row r="95" spans="1:13" ht="15.75" customHeight="1" x14ac:dyDescent="0.2">
      <c r="A95" s="293" t="s">
        <v>13</v>
      </c>
      <c r="B95" s="234">
        <f>'ACE European Group'!B95+'Danica Pensjonsforsikring'!B95+'DNB Livsforsikring'!B95+'Eika Forsikring AS'!B95+'Frende Livsforsikring'!B95+'Frende Skadeforsikring'!B95+'Gjensidige Forsikring'!B95+'Gjensidige Pensjon'!B95+'Handelsbanken Liv'!B95+'If Skadeforsikring NUF'!B95+KLP!B95+'KLP Bedriftspensjon AS'!B95+'KLP Skadeforsikring AS'!B95+'Landkreditt Forsikring'!B95+'NEMI Forsikring'!B95+'Nordea Liv '!B95+'Oslo Pensjonsforsikring'!B95+'Protector Forsikring'!B95+'SHB Liv'!B95+'Sparebank 1'!B95+'Storebrand Livsforsikring'!B95+'Telenor Forsikring'!B95+'Tryg Forsikring'!B95</f>
        <v>0</v>
      </c>
      <c r="C95" s="234">
        <f>'ACE European Group'!C95+'Danica Pensjonsforsikring'!C95+'DNB Livsforsikring'!C95+'Eika Forsikring AS'!C95+'Frende Livsforsikring'!C95+'Frende Skadeforsikring'!C95+'Gjensidige Forsikring'!C95+'Gjensidige Pensjon'!C95+'Handelsbanken Liv'!C95+'If Skadeforsikring NUF'!C95+KLP!C95+'KLP Bedriftspensjon AS'!C95+'KLP Skadeforsikring AS'!C95+'Landkreditt Forsikring'!C95+'NEMI Forsikring'!C95+'Nordea Liv '!C95+'Oslo Pensjonsforsikring'!C95+'Protector Forsikring'!C95+'SHB Liv'!C95+'Sparebank 1'!C95+'Storebrand Livsforsikring'!C95+'Telenor Forsikring'!C95+'Tryg Forsikring'!C95</f>
        <v>0</v>
      </c>
      <c r="D95" s="27"/>
      <c r="E95" s="44">
        <f>'ACE European Group'!F95+'Danica Pensjonsforsikring'!F95+'DNB Livsforsikring'!F95+'Eika Forsikring AS'!F95+'Frende Livsforsikring'!F95+'Frende Skadeforsikring'!F95+'Gjensidige Forsikring'!F95+'Gjensidige Pensjon'!F95+'Handelsbanken Liv'!F95+'If Skadeforsikring NUF'!F95+KLP!F95+'KLP Bedriftspensjon AS'!F95+'KLP Skadeforsikring AS'!F95+'Landkreditt Forsikring'!F95+'NEMI Forsikring'!F95+'Nordea Liv '!F95+'Oslo Pensjonsforsikring'!F95+'Protector Forsikring'!F95+'SHB Liv'!F95+'Sparebank 1'!F95+'Storebrand Livsforsikring'!F95+'Telenor Forsikring'!F95+'Tryg Forsikring'!F95</f>
        <v>219576261.95656729</v>
      </c>
      <c r="F95" s="44">
        <f>'ACE European Group'!G95+'Danica Pensjonsforsikring'!G95+'DNB Livsforsikring'!G95+'Eika Forsikring AS'!G95+'Frende Livsforsikring'!G95+'Frende Skadeforsikring'!G95+'Gjensidige Forsikring'!G95+'Gjensidige Pensjon'!G95+'Handelsbanken Liv'!G95+'If Skadeforsikring NUF'!G95+KLP!G95+'KLP Bedriftspensjon AS'!G95+'KLP Skadeforsikring AS'!G95+'Landkreditt Forsikring'!G95+'NEMI Forsikring'!G95+'Nordea Liv '!G95+'Oslo Pensjonsforsikring'!G95+'Protector Forsikring'!G95+'SHB Liv'!G95+'Sparebank 1'!G95+'Storebrand Livsforsikring'!G95+'Telenor Forsikring'!G95+'Tryg Forsikring'!G95</f>
        <v>242049166.53669479</v>
      </c>
      <c r="G95" s="171">
        <f t="shared" si="25"/>
        <v>10.199999999999999</v>
      </c>
      <c r="H95" s="236">
        <f t="shared" si="34"/>
        <v>219576261.95656729</v>
      </c>
      <c r="I95" s="236">
        <f t="shared" si="35"/>
        <v>242049166.53669479</v>
      </c>
      <c r="J95" s="23">
        <f t="shared" si="28"/>
        <v>10.199999999999999</v>
      </c>
      <c r="K95" s="149"/>
      <c r="L95" s="149"/>
    </row>
    <row r="96" spans="1:13" ht="15.75" customHeight="1" x14ac:dyDescent="0.2">
      <c r="A96" s="21" t="s">
        <v>357</v>
      </c>
      <c r="B96" s="233">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AS'!B96+'Landkreditt Forsikring'!B96+'NEMI Forsikring'!B96+'Nordea Liv '!B96+'Oslo Pensjonsforsikring'!B96+'Protector Forsikring'!B96+'SHB Liv'!B96+'Sparebank 1'!B96+'Storebrand Livsforsikring'!B96+'Telenor Forsikring'!B96+'Tryg Forsikring'!B96</f>
        <v>473381.06141999998</v>
      </c>
      <c r="C96" s="233">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AS'!C96+'Landkreditt Forsikring'!C96+'NEMI Forsikring'!C96+'Nordea Liv '!C96+'Oslo Pensjonsforsikring'!C96+'Protector Forsikring'!C96+'SHB Liv'!C96+'Sparebank 1'!C96+'Storebrand Livsforsikring'!C96+'Telenor Forsikring'!C96+'Tryg Forsikring'!C96</f>
        <v>839685.03784</v>
      </c>
      <c r="D96" s="23">
        <f t="shared" si="24"/>
        <v>77.400000000000006</v>
      </c>
      <c r="E96" s="44">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AS'!F96+'Landkreditt Forsikring'!F96+'NEMI Forsikring'!F96+'Nordea Liv '!F96+'Oslo Pensjonsforsikring'!F96+'Protector Forsikring'!F96+'SHB Liv'!F96+'Sparebank 1'!F96+'Storebrand Livsforsikring'!F96+'Telenor Forsikring'!F96+'Tryg Forsikring'!F96</f>
        <v>698934.78107999999</v>
      </c>
      <c r="F96" s="44">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AS'!G96+'Landkreditt Forsikring'!G96+'NEMI Forsikring'!G96+'Nordea Liv '!G96+'Oslo Pensjonsforsikring'!G96+'Protector Forsikring'!G96+'SHB Liv'!G96+'Sparebank 1'!G96+'Storebrand Livsforsikring'!G96+'Telenor Forsikring'!G96+'Tryg Forsikring'!G96</f>
        <v>1010998.18426</v>
      </c>
      <c r="G96" s="171">
        <f t="shared" si="25"/>
        <v>44.6</v>
      </c>
      <c r="H96" s="236">
        <f t="shared" si="34"/>
        <v>1172315.8425</v>
      </c>
      <c r="I96" s="236">
        <f t="shared" si="35"/>
        <v>1850683.2220999999</v>
      </c>
      <c r="J96" s="23">
        <f t="shared" si="28"/>
        <v>57.9</v>
      </c>
    </row>
    <row r="97" spans="1:10" ht="15.75" customHeight="1" x14ac:dyDescent="0.2">
      <c r="A97" s="21" t="s">
        <v>356</v>
      </c>
      <c r="B97" s="233">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AS'!B97+'Landkreditt Forsikring'!B97+'NEMI Forsikring'!B97+'Nordea Liv '!B97+'Oslo Pensjonsforsikring'!B97+'Protector Forsikring'!B97+'SHB Liv'!B97+'Sparebank 1'!B97+'Storebrand Livsforsikring'!B97+'Telenor Forsikring'!B97+'Tryg Forsikring'!B97</f>
        <v>5038101.1855800003</v>
      </c>
      <c r="C97" s="233">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AS'!C97+'Landkreditt Forsikring'!C97+'NEMI Forsikring'!C97+'Nordea Liv '!C97+'Oslo Pensjonsforsikring'!C97+'Protector Forsikring'!C97+'SHB Liv'!C97+'Sparebank 1'!C97+'Storebrand Livsforsikring'!C97+'Telenor Forsikring'!C97+'Tryg Forsikring'!C97</f>
        <v>5427157.0332200006</v>
      </c>
      <c r="D97" s="23">
        <f t="shared" ref="D97" si="37">IF(B97=0, "    ---- ", IF(ABS(ROUND(100/B97*C97-100,1))&lt;999,ROUND(100/B97*C97-100,1),IF(ROUND(100/B97*C97-100,1)&gt;999,999,-999)))</f>
        <v>7.7</v>
      </c>
      <c r="E97" s="44">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AS'!F97+'Landkreditt Forsikring'!F97+'NEMI Forsikring'!F97+'Nordea Liv '!F97+'Oslo Pensjonsforsikring'!F97+'Protector Forsikring'!F97+'SHB Liv'!F97+'Sparebank 1'!F97+'Storebrand Livsforsikring'!F97+'Telenor Forsikring'!F97+'Tryg Forsikring'!F97</f>
        <v>0</v>
      </c>
      <c r="F97" s="44">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AS'!G97+'Landkreditt Forsikring'!G97+'NEMI Forsikring'!G97+'Nordea Liv '!G97+'Oslo Pensjonsforsikring'!G97+'Protector Forsikring'!G97+'SHB Liv'!G97+'Sparebank 1'!G97+'Storebrand Livsforsikring'!G97+'Telenor Forsikring'!G97+'Tryg Forsikring'!G97</f>
        <v>0</v>
      </c>
      <c r="G97" s="171"/>
      <c r="H97" s="236">
        <f t="shared" ref="H97" si="38">SUM(B97,E97)</f>
        <v>5038101.1855800003</v>
      </c>
      <c r="I97" s="236">
        <f t="shared" ref="I97" si="39">SUM(C97,F97)</f>
        <v>5427157.0332200006</v>
      </c>
      <c r="J97" s="23">
        <f t="shared" ref="J97" si="40">IF(H97=0, "    ---- ", IF(ABS(ROUND(100/H97*I97-100,1))&lt;999,ROUND(100/H97*I97-100,1),IF(ROUND(100/H97*I97-100,1)&gt;999,999,-999)))</f>
        <v>7.7</v>
      </c>
    </row>
    <row r="98" spans="1:10" ht="15.75" customHeight="1" x14ac:dyDescent="0.2">
      <c r="A98" s="21" t="s">
        <v>473</v>
      </c>
      <c r="B98" s="233">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AS'!B98+'Landkreditt Forsikring'!B98+'NEMI Forsikring'!B98+'Nordea Liv '!B98+'Oslo Pensjonsforsikring'!B98+'Protector Forsikring'!B98+'SHB Liv'!B98+'Sparebank 1'!B98+'Storebrand Livsforsikring'!B98+'Telenor Forsikring'!B98+'Tryg Forsikring'!B98</f>
        <v>371879115.02175069</v>
      </c>
      <c r="C98" s="233">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AS'!C98+'Landkreditt Forsikring'!C98+'NEMI Forsikring'!C98+'Nordea Liv '!C98+'Oslo Pensjonsforsikring'!C98+'Protector Forsikring'!C98+'SHB Liv'!C98+'Sparebank 1'!C98+'Storebrand Livsforsikring'!C98+'Telenor Forsikring'!C98+'Tryg Forsikring'!C98</f>
        <v>375120175.86004221</v>
      </c>
      <c r="D98" s="23">
        <f t="shared" si="24"/>
        <v>0.9</v>
      </c>
      <c r="E98" s="44">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AS'!F98+'Landkreditt Forsikring'!F98+'NEMI Forsikring'!F98+'Nordea Liv '!F98+'Oslo Pensjonsforsikring'!F98+'Protector Forsikring'!F98+'SHB Liv'!F98+'Sparebank 1'!F98+'Storebrand Livsforsikring'!F98+'Telenor Forsikring'!F98+'Tryg Forsikring'!F98</f>
        <v>222431376.75402755</v>
      </c>
      <c r="F98" s="44">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AS'!G98+'Landkreditt Forsikring'!G98+'NEMI Forsikring'!G98+'Nordea Liv '!G98+'Oslo Pensjonsforsikring'!G98+'Protector Forsikring'!G98+'SHB Liv'!G98+'Sparebank 1'!G98+'Storebrand Livsforsikring'!G98+'Telenor Forsikring'!G98+'Tryg Forsikring'!G98</f>
        <v>244618794.42116565</v>
      </c>
      <c r="G98" s="171">
        <f t="shared" si="25"/>
        <v>10</v>
      </c>
      <c r="H98" s="236">
        <f t="shared" si="34"/>
        <v>594310491.77577829</v>
      </c>
      <c r="I98" s="236">
        <f t="shared" si="35"/>
        <v>619738970.2812078</v>
      </c>
      <c r="J98" s="23">
        <f t="shared" si="28"/>
        <v>4.3</v>
      </c>
    </row>
    <row r="99" spans="1:10" ht="15.75" customHeight="1" x14ac:dyDescent="0.2">
      <c r="A99" s="21" t="s">
        <v>9</v>
      </c>
      <c r="B99" s="233">
        <f>'ACE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AS'!B99+'Landkreditt Forsikring'!B99+'NEMI Forsikring'!B99+'Nordea Liv '!B99+'Oslo Pensjonsforsikring'!B99+'Protector Forsikring'!B99+'SHB Liv'!B99+'Sparebank 1'!B99+'Storebrand Livsforsikring'!B99+'Telenor Forsikring'!B99+'Tryg Forsikring'!B99</f>
        <v>369364377.66235065</v>
      </c>
      <c r="C99" s="233">
        <f>'ACE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AS'!C99+'Landkreditt Forsikring'!C99+'NEMI Forsikring'!C99+'Nordea Liv '!C99+'Oslo Pensjonsforsikring'!C99+'Protector Forsikring'!C99+'SHB Liv'!C99+'Sparebank 1'!C99+'Storebrand Livsforsikring'!C99+'Telenor Forsikring'!C99+'Tryg Forsikring'!C99</f>
        <v>372400313.93950224</v>
      </c>
      <c r="D99" s="23">
        <f t="shared" si="24"/>
        <v>0.8</v>
      </c>
      <c r="E99" s="44">
        <f>'ACE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AS'!F99+'Landkreditt Forsikring'!F99+'NEMI Forsikring'!F99+'Nordea Liv '!F99+'Oslo Pensjonsforsikring'!F99+'Protector Forsikring'!F99+'SHB Liv'!F99+'Sparebank 1'!F99+'Storebrand Livsforsikring'!F99+'Telenor Forsikring'!F99+'Tryg Forsikring'!F99</f>
        <v>0</v>
      </c>
      <c r="F99" s="44">
        <f>'ACE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AS'!G99+'Landkreditt Forsikring'!G99+'NEMI Forsikring'!G99+'Nordea Liv '!G99+'Oslo Pensjonsforsikring'!G99+'Protector Forsikring'!G99+'SHB Liv'!G99+'Sparebank 1'!G99+'Storebrand Livsforsikring'!G99+'Telenor Forsikring'!G99+'Tryg Forsikring'!G99</f>
        <v>0</v>
      </c>
      <c r="G99" s="171"/>
      <c r="H99" s="236">
        <f t="shared" si="34"/>
        <v>369364377.66235065</v>
      </c>
      <c r="I99" s="236">
        <f t="shared" si="35"/>
        <v>372400313.93950224</v>
      </c>
      <c r="J99" s="23">
        <f t="shared" si="28"/>
        <v>0.8</v>
      </c>
    </row>
    <row r="100" spans="1:10" ht="15.75" customHeight="1" x14ac:dyDescent="0.2">
      <c r="A100" s="21" t="s">
        <v>10</v>
      </c>
      <c r="B100" s="233">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AS'!B100+'Landkreditt Forsikring'!B100+'NEMI Forsikring'!B100+'Nordea Liv '!B100+'Oslo Pensjonsforsikring'!B100+'Protector Forsikring'!B100+'SHB Liv'!B100+'Sparebank 1'!B100+'Storebrand Livsforsikring'!B100+'Telenor Forsikring'!B100+'Tryg Forsikring'!B100</f>
        <v>2514737.3594</v>
      </c>
      <c r="C100" s="233">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AS'!C100+'Landkreditt Forsikring'!C100+'NEMI Forsikring'!C100+'Nordea Liv '!C100+'Oslo Pensjonsforsikring'!C100+'Protector Forsikring'!C100+'SHB Liv'!C100+'Sparebank 1'!C100+'Storebrand Livsforsikring'!C100+'Telenor Forsikring'!C100+'Tryg Forsikring'!C100</f>
        <v>2719861.9205399998</v>
      </c>
      <c r="D100" s="23">
        <f t="shared" si="24"/>
        <v>8.1999999999999993</v>
      </c>
      <c r="E100" s="44">
        <f>'ACE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AS'!F100+'Landkreditt Forsikring'!F100+'NEMI Forsikring'!F100+'Nordea Liv '!F100+'Oslo Pensjonsforsikring'!F100+'Protector Forsikring'!F100+'SHB Liv'!F100+'Sparebank 1'!F100+'Storebrand Livsforsikring'!F100+'Telenor Forsikring'!F100+'Tryg Forsikring'!F100</f>
        <v>222431376.75402755</v>
      </c>
      <c r="F100" s="44">
        <f>'ACE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AS'!G100+'Landkreditt Forsikring'!G100+'NEMI Forsikring'!G100+'Nordea Liv '!G100+'Oslo Pensjonsforsikring'!G100+'Protector Forsikring'!G100+'SHB Liv'!G100+'Sparebank 1'!G100+'Storebrand Livsforsikring'!G100+'Telenor Forsikring'!G100+'Tryg Forsikring'!G100</f>
        <v>244618794.42116565</v>
      </c>
      <c r="G100" s="171">
        <f t="shared" si="25"/>
        <v>10</v>
      </c>
      <c r="H100" s="236">
        <f t="shared" si="34"/>
        <v>224946114.11342755</v>
      </c>
      <c r="I100" s="236">
        <f t="shared" si="35"/>
        <v>247338656.34170565</v>
      </c>
      <c r="J100" s="23">
        <f t="shared" si="28"/>
        <v>10</v>
      </c>
    </row>
    <row r="101" spans="1:10" ht="15.75" customHeight="1" x14ac:dyDescent="0.2">
      <c r="A101" s="293" t="s">
        <v>471</v>
      </c>
      <c r="B101" s="44">
        <f>'ACE European Group'!B101+'Danica Pensjonsforsikring'!B101+'DNB Livsforsikring'!B101+'Eika Forsikring AS'!B101+'Frende Livsforsikring'!B101+'Frende Skadeforsikring'!B101+'Gjensidige Forsikring'!B101+'Gjensidige Pensjon'!B101+'Handelsbanken Liv'!B101+'If Skadeforsikring NUF'!B101+KLP!B101+'KLP Bedriftspensjon AS'!B101+'KLP Skadeforsikring AS'!B101+'Landkreditt Forsikring'!B101+'NEMI Forsikring'!B101+'Nordea Liv '!B101+'Oslo Pensjonsforsikring'!B101+'Protector Forsikring'!B101+'SHB Liv'!B101+'Sparebank 1'!B101+'Storebrand Livsforsikring'!B101+'Telenor Forsikring'!B101+'Tryg Forsikring'!B101</f>
        <v>0</v>
      </c>
      <c r="C101" s="44">
        <f>'ACE European Group'!C101+'Danica Pensjonsforsikring'!C101+'DNB Livsforsikring'!C101+'Eika Forsikring AS'!C101+'Frende Livsforsikring'!C101+'Frende Skadeforsikring'!C101+'Gjensidige Forsikring'!C101+'Gjensidige Pensjon'!C101+'Handelsbanken Liv'!C101+'If Skadeforsikring NUF'!C101+KLP!C101+'KLP Bedriftspensjon AS'!C101+'KLP Skadeforsikring AS'!C101+'Landkreditt Forsikring'!C101+'NEMI Forsikring'!C101+'Nordea Liv '!C101+'Oslo Pensjonsforsikring'!C101+'Protector Forsikring'!C101+'SHB Liv'!C101+'Sparebank 1'!C101+'Storebrand Livsforsikring'!C101+'Telenor Forsikring'!C101+'Tryg Forsikring'!C101</f>
        <v>0</v>
      </c>
      <c r="D101" s="27"/>
      <c r="E101" s="44"/>
      <c r="F101" s="44"/>
      <c r="G101" s="171"/>
      <c r="H101" s="236"/>
      <c r="I101" s="236"/>
      <c r="J101" s="23"/>
    </row>
    <row r="102" spans="1:10" ht="15.75" customHeight="1" x14ac:dyDescent="0.2">
      <c r="A102" s="293" t="s">
        <v>12</v>
      </c>
      <c r="B102" s="234">
        <f>'ACE European Group'!B102+'Danica Pensjonsforsikring'!B102+'DNB Livsforsikring'!B102+'Eika Forsikring AS'!B102+'Frende Livsforsikring'!B102+'Frende Skadeforsikring'!B102+'Gjensidige Forsikring'!B102+'Gjensidige Pensjon'!B102+'Handelsbanken Liv'!B102+'If Skadeforsikring NUF'!B102+KLP!B102+'KLP Bedriftspensjon AS'!B102+'KLP Skadeforsikring AS'!B102+'Landkreditt Forsikring'!B102+'NEMI Forsikring'!B102+'Nordea Liv '!B102+'Oslo Pensjonsforsikring'!B102+'Protector Forsikring'!B102+'SHB Liv'!B102+'Sparebank 1'!B102+'Storebrand Livsforsikring'!B102+'Telenor Forsikring'!B102+'Tryg Forsikring'!B102</f>
        <v>0</v>
      </c>
      <c r="C102" s="234">
        <f>'ACE European Group'!C102+'Danica Pensjonsforsikring'!C102+'DNB Livsforsikring'!C102+'Eika Forsikring AS'!C102+'Frende Livsforsikring'!C102+'Frende Skadeforsikring'!C102+'Gjensidige Forsikring'!C102+'Gjensidige Pensjon'!C102+'Handelsbanken Liv'!C102+'If Skadeforsikring NUF'!C102+KLP!C102+'KLP Bedriftspensjon AS'!C102+'KLP Skadeforsikring AS'!C102+'Landkreditt Forsikring'!C102+'NEMI Forsikring'!C102+'Nordea Liv '!C102+'Oslo Pensjonsforsikring'!C102+'Protector Forsikring'!C102+'SHB Liv'!C102+'Sparebank 1'!C102+'Storebrand Livsforsikring'!C102+'Telenor Forsikring'!C102+'Tryg Forsikring'!C102</f>
        <v>0</v>
      </c>
      <c r="D102" s="27"/>
      <c r="E102" s="44"/>
      <c r="F102" s="44"/>
      <c r="G102" s="171"/>
      <c r="H102" s="236"/>
      <c r="I102" s="236"/>
      <c r="J102" s="23"/>
    </row>
    <row r="103" spans="1:10" ht="15.75" customHeight="1" x14ac:dyDescent="0.2">
      <c r="A103" s="293" t="s">
        <v>13</v>
      </c>
      <c r="B103" s="234">
        <f>'ACE European Group'!B103+'Danica Pensjonsforsikring'!B103+'DNB Livsforsikring'!B103+'Eika Forsikring AS'!B103+'Frende Livsforsikring'!B103+'Frende Skadeforsikring'!B103+'Gjensidige Forsikring'!B103+'Gjensidige Pensjon'!B103+'Handelsbanken Liv'!B103+'If Skadeforsikring NUF'!B103+KLP!B103+'KLP Bedriftspensjon AS'!B103+'KLP Skadeforsikring AS'!B103+'Landkreditt Forsikring'!B103+'NEMI Forsikring'!B103+'Nordea Liv '!B103+'Oslo Pensjonsforsikring'!B103+'Protector Forsikring'!B103+'SHB Liv'!B103+'Sparebank 1'!B103+'Storebrand Livsforsikring'!B103+'Telenor Forsikring'!B103+'Tryg Forsikring'!B103</f>
        <v>0</v>
      </c>
      <c r="C103" s="234">
        <f>'ACE European Group'!C103+'Danica Pensjonsforsikring'!C103+'DNB Livsforsikring'!C103+'Eika Forsikring AS'!C103+'Frende Livsforsikring'!C103+'Frende Skadeforsikring'!C103+'Gjensidige Forsikring'!C103+'Gjensidige Pensjon'!C103+'Handelsbanken Liv'!C103+'If Skadeforsikring NUF'!C103+KLP!C103+'KLP Bedriftspensjon AS'!C103+'KLP Skadeforsikring AS'!C103+'Landkreditt Forsikring'!C103+'NEMI Forsikring'!C103+'Nordea Liv '!C103+'Oslo Pensjonsforsikring'!C103+'Protector Forsikring'!C103+'SHB Liv'!C103+'Sparebank 1'!C103+'Storebrand Livsforsikring'!C103+'Telenor Forsikring'!C103+'Tryg Forsikring'!C103</f>
        <v>0</v>
      </c>
      <c r="D103" s="27"/>
      <c r="E103" s="44"/>
      <c r="F103" s="44"/>
      <c r="G103" s="171"/>
      <c r="H103" s="236"/>
      <c r="I103" s="236"/>
      <c r="J103" s="23"/>
    </row>
    <row r="104" spans="1:10" ht="15.75" customHeight="1" x14ac:dyDescent="0.2">
      <c r="A104" s="293" t="s">
        <v>472</v>
      </c>
      <c r="B104" s="44">
        <f>'ACE European Group'!B104+'Danica Pensjonsforsikring'!B104+'DNB Livsforsikring'!B104+'Eika Forsikring AS'!B104+'Frende Livsforsikring'!B104+'Frende Skadeforsikring'!B104+'Gjensidige Forsikring'!B104+'Gjensidige Pensjon'!B104+'Handelsbanken Liv'!B104+'If Skadeforsikring NUF'!B104+KLP!B104+'KLP Bedriftspensjon AS'!B104+'KLP Skadeforsikring AS'!B104+'Landkreditt Forsikring'!B104+'NEMI Forsikring'!B104+'Nordea Liv '!B104+'Oslo Pensjonsforsikring'!B104+'Protector Forsikring'!B104+'SHB Liv'!B104+'Sparebank 1'!B104+'Storebrand Livsforsikring'!B104+'Telenor Forsikring'!B104+'Tryg Forsikring'!B104</f>
        <v>2514737.3594</v>
      </c>
      <c r="C104" s="44">
        <f>'ACE European Group'!C104+'Danica Pensjonsforsikring'!C104+'DNB Livsforsikring'!C104+'Eika Forsikring AS'!C104+'Frende Livsforsikring'!C104+'Frende Skadeforsikring'!C104+'Gjensidige Forsikring'!C104+'Gjensidige Pensjon'!C104+'Handelsbanken Liv'!C104+'If Skadeforsikring NUF'!C104+KLP!C104+'KLP Bedriftspensjon AS'!C104+'KLP Skadeforsikring AS'!C104+'Landkreditt Forsikring'!C104+'NEMI Forsikring'!C104+'Nordea Liv '!C104+'Oslo Pensjonsforsikring'!C104+'Protector Forsikring'!C104+'SHB Liv'!C104+'Sparebank 1'!C104+'Storebrand Livsforsikring'!C104+'Telenor Forsikring'!C104+'Tryg Forsikring'!C104</f>
        <v>2719861.9205399998</v>
      </c>
      <c r="D104" s="27">
        <f t="shared" ref="D104" si="41">IF($A$1=4,IF(B104=0, "    ---- ", IF(ABS(ROUND(100/B104*C104-100,1))&lt;999,ROUND(100/B104*C104-100,1),IF(ROUND(100/B104*C104-100,1)&gt;999,999,-999))),"")</f>
        <v>8.1999999999999993</v>
      </c>
      <c r="E104" s="44">
        <f>'ACE European Group'!F104+'Danica Pensjonsforsikring'!F104+'DNB Livsforsikring'!F104+'Eika Forsikring AS'!F104+'Frende Livsforsikring'!F104+'Frende Skadeforsikring'!F104+'Gjensidige Forsikring'!F104+'Gjensidige Pensjon'!F104+'Handelsbanken Liv'!F104+'If Skadeforsikring NUF'!F104+KLP!F104+'KLP Bedriftspensjon AS'!F104+'KLP Skadeforsikring AS'!F104+'Landkreditt Forsikring'!F104+'NEMI Forsikring'!F104+'Nordea Liv '!F104+'Oslo Pensjonsforsikring'!F104+'Protector Forsikring'!F104+'SHB Liv'!F104+'Sparebank 1'!F104+'Storebrand Livsforsikring'!F104+'Telenor Forsikring'!F104+'Tryg Forsikring'!F104</f>
        <v>222431376.75402755</v>
      </c>
      <c r="F104" s="44">
        <f>'ACE European Group'!G104+'Danica Pensjonsforsikring'!G104+'DNB Livsforsikring'!G104+'Eika Forsikring AS'!G104+'Frende Livsforsikring'!G104+'Frende Skadeforsikring'!G104+'Gjensidige Forsikring'!G104+'Gjensidige Pensjon'!G104+'Handelsbanken Liv'!G104+'If Skadeforsikring NUF'!G104+KLP!G104+'KLP Bedriftspensjon AS'!G104+'KLP Skadeforsikring AS'!G104+'Landkreditt Forsikring'!G104+'NEMI Forsikring'!G104+'Nordea Liv '!G104+'Oslo Pensjonsforsikring'!G104+'Protector Forsikring'!G104+'SHB Liv'!G104+'Sparebank 1'!G104+'Storebrand Livsforsikring'!G104+'Telenor Forsikring'!G104+'Tryg Forsikring'!G104</f>
        <v>244618794.42116565</v>
      </c>
      <c r="G104" s="171">
        <f t="shared" si="25"/>
        <v>10</v>
      </c>
      <c r="H104" s="236">
        <f t="shared" si="34"/>
        <v>224946114.11342755</v>
      </c>
      <c r="I104" s="236">
        <f t="shared" si="35"/>
        <v>247338656.34170565</v>
      </c>
      <c r="J104" s="23">
        <f t="shared" si="28"/>
        <v>10</v>
      </c>
    </row>
    <row r="105" spans="1:10" ht="15.75" customHeight="1" x14ac:dyDescent="0.2">
      <c r="A105" s="293" t="s">
        <v>12</v>
      </c>
      <c r="B105" s="234">
        <f>'ACE European Group'!B105+'Danica Pensjonsforsikring'!B105+'DNB Livsforsikring'!B105+'Eika Forsikring AS'!B105+'Frende Livsforsikring'!B105+'Frende Skadeforsikring'!B105+'Gjensidige Forsikring'!B105+'Gjensidige Pensjon'!B105+'Handelsbanken Liv'!B105+'If Skadeforsikring NUF'!B105+KLP!B105+'KLP Bedriftspensjon AS'!B105+'KLP Skadeforsikring AS'!B105+'Landkreditt Forsikring'!B105+'NEMI Forsikring'!B105+'Nordea Liv '!B105+'Oslo Pensjonsforsikring'!B105+'Protector Forsikring'!B105+'SHB Liv'!B105+'Sparebank 1'!B105+'Storebrand Livsforsikring'!B105+'Telenor Forsikring'!B105+'Tryg Forsikring'!B105</f>
        <v>0</v>
      </c>
      <c r="C105" s="234">
        <f>'ACE European Group'!C105+'Danica Pensjonsforsikring'!C105+'DNB Livsforsikring'!C105+'Eika Forsikring AS'!C105+'Frende Livsforsikring'!C105+'Frende Skadeforsikring'!C105+'Gjensidige Forsikring'!C105+'Gjensidige Pensjon'!C105+'Handelsbanken Liv'!C105+'If Skadeforsikring NUF'!C105+KLP!C105+'KLP Bedriftspensjon AS'!C105+'KLP Skadeforsikring AS'!C105+'Landkreditt Forsikring'!C105+'NEMI Forsikring'!C105+'Nordea Liv '!C105+'Oslo Pensjonsforsikring'!C105+'Protector Forsikring'!C105+'SHB Liv'!C105+'Sparebank 1'!C105+'Storebrand Livsforsikring'!C105+'Telenor Forsikring'!C105+'Tryg Forsikring'!C105</f>
        <v>0</v>
      </c>
      <c r="D105" s="27"/>
      <c r="E105" s="44">
        <f>'ACE European Group'!F105+'Danica Pensjonsforsikring'!F105+'DNB Livsforsikring'!F105+'Eika Forsikring AS'!F105+'Frende Livsforsikring'!F105+'Frende Skadeforsikring'!F105+'Gjensidige Forsikring'!F105+'Gjensidige Pensjon'!F105+'Handelsbanken Liv'!F105+'If Skadeforsikring NUF'!F105+KLP!F105+'KLP Bedriftspensjon AS'!F105+'KLP Skadeforsikring AS'!F105+'Landkreditt Forsikring'!F105+'NEMI Forsikring'!F105+'Nordea Liv '!F105+'Oslo Pensjonsforsikring'!F105+'Protector Forsikring'!F105+'SHB Liv'!F105+'Sparebank 1'!F105+'Storebrand Livsforsikring'!F105+'Telenor Forsikring'!F105+'Tryg Forsikring'!F105</f>
        <v>2916025.8970802799</v>
      </c>
      <c r="F105" s="44">
        <f>'ACE European Group'!G105+'Danica Pensjonsforsikring'!G105+'DNB Livsforsikring'!G105+'Eika Forsikring AS'!G105+'Frende Livsforsikring'!G105+'Frende Skadeforsikring'!G105+'Gjensidige Forsikring'!G105+'Gjensidige Pensjon'!G105+'Handelsbanken Liv'!G105+'If Skadeforsikring NUF'!G105+KLP!G105+'KLP Bedriftspensjon AS'!G105+'KLP Skadeforsikring AS'!G105+'Landkreditt Forsikring'!G105+'NEMI Forsikring'!G105+'Nordea Liv '!G105+'Oslo Pensjonsforsikring'!G105+'Protector Forsikring'!G105+'SHB Liv'!G105+'Sparebank 1'!G105+'Storebrand Livsforsikring'!G105+'Telenor Forsikring'!G105+'Tryg Forsikring'!G105</f>
        <v>2633146.5457308502</v>
      </c>
      <c r="G105" s="171">
        <f t="shared" si="25"/>
        <v>-9.6999999999999993</v>
      </c>
      <c r="H105" s="236">
        <f t="shared" si="34"/>
        <v>2916025.8970802799</v>
      </c>
      <c r="I105" s="236">
        <f t="shared" si="35"/>
        <v>2633146.5457308502</v>
      </c>
      <c r="J105" s="23">
        <f t="shared" si="28"/>
        <v>-9.6999999999999993</v>
      </c>
    </row>
    <row r="106" spans="1:10" ht="15.75" customHeight="1" x14ac:dyDescent="0.2">
      <c r="A106" s="293" t="s">
        <v>13</v>
      </c>
      <c r="B106" s="234">
        <f>'ACE European Group'!B106+'Danica Pensjonsforsikring'!B106+'DNB Livsforsikring'!B106+'Eika Forsikring AS'!B106+'Frende Livsforsikring'!B106+'Frende Skadeforsikring'!B106+'Gjensidige Forsikring'!B106+'Gjensidige Pensjon'!B106+'Handelsbanken Liv'!B106+'If Skadeforsikring NUF'!B106+KLP!B106+'KLP Bedriftspensjon AS'!B106+'KLP Skadeforsikring AS'!B106+'Landkreditt Forsikring'!B106+'NEMI Forsikring'!B106+'Nordea Liv '!B106+'Oslo Pensjonsforsikring'!B106+'Protector Forsikring'!B106+'SHB Liv'!B106+'Sparebank 1'!B106+'Storebrand Livsforsikring'!B106+'Telenor Forsikring'!B106+'Tryg Forsikring'!B106</f>
        <v>0</v>
      </c>
      <c r="C106" s="234">
        <f>'ACE European Group'!C106+'Danica Pensjonsforsikring'!C106+'DNB Livsforsikring'!C106+'Eika Forsikring AS'!C106+'Frende Livsforsikring'!C106+'Frende Skadeforsikring'!C106+'Gjensidige Forsikring'!C106+'Gjensidige Pensjon'!C106+'Handelsbanken Liv'!C106+'If Skadeforsikring NUF'!C106+KLP!C106+'KLP Bedriftspensjon AS'!C106+'KLP Skadeforsikring AS'!C106+'Landkreditt Forsikring'!C106+'NEMI Forsikring'!C106+'Nordea Liv '!C106+'Oslo Pensjonsforsikring'!C106+'Protector Forsikring'!C106+'SHB Liv'!C106+'Sparebank 1'!C106+'Storebrand Livsforsikring'!C106+'Telenor Forsikring'!C106+'Tryg Forsikring'!C106</f>
        <v>0</v>
      </c>
      <c r="D106" s="27"/>
      <c r="E106" s="44">
        <f>'ACE European Group'!F106+'Danica Pensjonsforsikring'!F106+'DNB Livsforsikring'!F106+'Eika Forsikring AS'!F106+'Frende Livsforsikring'!F106+'Frende Skadeforsikring'!F106+'Gjensidige Forsikring'!F106+'Gjensidige Pensjon'!F106+'Handelsbanken Liv'!F106+'If Skadeforsikring NUF'!F106+KLP!F106+'KLP Bedriftspensjon AS'!F106+'KLP Skadeforsikring AS'!F106+'Landkreditt Forsikring'!F106+'NEMI Forsikring'!F106+'Nordea Liv '!F106+'Oslo Pensjonsforsikring'!F106+'Protector Forsikring'!F106+'SHB Liv'!F106+'Sparebank 1'!F106+'Storebrand Livsforsikring'!F106+'Telenor Forsikring'!F106+'Tryg Forsikring'!F106</f>
        <v>219515350.85694727</v>
      </c>
      <c r="F106" s="44">
        <f>'ACE European Group'!G106+'Danica Pensjonsforsikring'!G106+'DNB Livsforsikring'!G106+'Eika Forsikring AS'!G106+'Frende Livsforsikring'!G106+'Frende Skadeforsikring'!G106+'Gjensidige Forsikring'!G106+'Gjensidige Pensjon'!G106+'Handelsbanken Liv'!G106+'If Skadeforsikring NUF'!G106+KLP!G106+'KLP Bedriftspensjon AS'!G106+'KLP Skadeforsikring AS'!G106+'Landkreditt Forsikring'!G106+'NEMI Forsikring'!G106+'Nordea Liv '!G106+'Oslo Pensjonsforsikring'!G106+'Protector Forsikring'!G106+'SHB Liv'!G106+'Sparebank 1'!G106+'Storebrand Livsforsikring'!G106+'Telenor Forsikring'!G106+'Tryg Forsikring'!G106</f>
        <v>241985647.87543479</v>
      </c>
      <c r="G106" s="171">
        <f t="shared" si="25"/>
        <v>10.199999999999999</v>
      </c>
      <c r="H106" s="236">
        <f t="shared" si="34"/>
        <v>219515350.85694727</v>
      </c>
      <c r="I106" s="236">
        <f t="shared" si="35"/>
        <v>241985647.87543479</v>
      </c>
      <c r="J106" s="23">
        <f t="shared" si="28"/>
        <v>10.199999999999999</v>
      </c>
    </row>
    <row r="107" spans="1:10" ht="15.75" customHeight="1" x14ac:dyDescent="0.2">
      <c r="A107" s="21" t="s">
        <v>474</v>
      </c>
      <c r="B107" s="233">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AS'!B107+'Landkreditt Forsikring'!B107+'NEMI Forsikring'!B107+'Nordea Liv '!B107+'Oslo Pensjonsforsikring'!B107+'Protector Forsikring'!B107+'SHB Liv'!B107+'Sparebank 1'!B107+'Storebrand Livsforsikring'!B107+'Telenor Forsikring'!B107+'Tryg Forsikring'!B107</f>
        <v>3974766.9530000002</v>
      </c>
      <c r="C107" s="233">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AS'!C107+'Landkreditt Forsikring'!C107+'NEMI Forsikring'!C107+'Nordea Liv '!C107+'Oslo Pensjonsforsikring'!C107+'Protector Forsikring'!C107+'SHB Liv'!C107+'Sparebank 1'!C107+'Storebrand Livsforsikring'!C107+'Telenor Forsikring'!C107+'Tryg Forsikring'!C107</f>
        <v>4913577.5999999996</v>
      </c>
      <c r="D107" s="23">
        <f t="shared" si="24"/>
        <v>23.6</v>
      </c>
      <c r="E107" s="44">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AS'!F107+'Landkreditt Forsikring'!F107+'NEMI Forsikring'!F107+'Nordea Liv '!F107+'Oslo Pensjonsforsikring'!F107+'Protector Forsikring'!F107+'SHB Liv'!F107+'Sparebank 1'!F107+'Storebrand Livsforsikring'!F107+'Telenor Forsikring'!F107+'Tryg Forsikring'!F107</f>
        <v>595279.93562</v>
      </c>
      <c r="F107" s="44">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AS'!G107+'Landkreditt Forsikring'!G107+'NEMI Forsikring'!G107+'Nordea Liv '!G107+'Oslo Pensjonsforsikring'!G107+'Protector Forsikring'!G107+'SHB Liv'!G107+'Sparebank 1'!G107+'Storebrand Livsforsikring'!G107+'Telenor Forsikring'!G107+'Tryg Forsikring'!G107</f>
        <v>680333.12026</v>
      </c>
      <c r="G107" s="171">
        <f t="shared" si="25"/>
        <v>14.3</v>
      </c>
      <c r="H107" s="236">
        <f t="shared" si="34"/>
        <v>4570046.8886200003</v>
      </c>
      <c r="I107" s="236">
        <f t="shared" si="35"/>
        <v>5593910.7202599999</v>
      </c>
      <c r="J107" s="23">
        <f t="shared" si="28"/>
        <v>22.4</v>
      </c>
    </row>
    <row r="108" spans="1:10" ht="15.75" customHeight="1" x14ac:dyDescent="0.2">
      <c r="A108" s="21" t="s">
        <v>475</v>
      </c>
      <c r="B108" s="233">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AS'!B108+'Landkreditt Forsikring'!B108+'NEMI Forsikring'!B108+'Nordea Liv '!B108+'Oslo Pensjonsforsikring'!B108+'Protector Forsikring'!B108+'SHB Liv'!B108+'Sparebank 1'!B108+'Storebrand Livsforsikring'!B108+'Telenor Forsikring'!B108+'Tryg Forsikring'!B108</f>
        <v>301241250.4167369</v>
      </c>
      <c r="C108" s="233">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AS'!C108+'Landkreditt Forsikring'!C108+'NEMI Forsikring'!C108+'Nordea Liv '!C108+'Oslo Pensjonsforsikring'!C108+'Protector Forsikring'!C108+'SHB Liv'!C108+'Sparebank 1'!C108+'Storebrand Livsforsikring'!C108+'Telenor Forsikring'!C108+'Tryg Forsikring'!C108</f>
        <v>311130944.60987401</v>
      </c>
      <c r="D108" s="23">
        <f t="shared" si="24"/>
        <v>3.3</v>
      </c>
      <c r="E108" s="44">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AS'!F108+'Landkreditt Forsikring'!F108+'NEMI Forsikring'!F108+'Nordea Liv '!F108+'Oslo Pensjonsforsikring'!F108+'Protector Forsikring'!F108+'SHB Liv'!F108+'Sparebank 1'!F108+'Storebrand Livsforsikring'!F108+'Telenor Forsikring'!F108+'Tryg Forsikring'!F108</f>
        <v>7239264.432</v>
      </c>
      <c r="F108" s="44">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AS'!G108+'Landkreditt Forsikring'!G108+'NEMI Forsikring'!G108+'Nordea Liv '!G108+'Oslo Pensjonsforsikring'!G108+'Protector Forsikring'!G108+'SHB Liv'!G108+'Sparebank 1'!G108+'Storebrand Livsforsikring'!G108+'Telenor Forsikring'!G108+'Tryg Forsikring'!G108</f>
        <v>15073862.995999999</v>
      </c>
      <c r="G108" s="171">
        <f t="shared" si="25"/>
        <v>108.2</v>
      </c>
      <c r="H108" s="236">
        <f t="shared" si="34"/>
        <v>308480514.84873688</v>
      </c>
      <c r="I108" s="236">
        <f t="shared" si="35"/>
        <v>326204807.605874</v>
      </c>
      <c r="J108" s="23">
        <f t="shared" si="28"/>
        <v>5.7</v>
      </c>
    </row>
    <row r="109" spans="1:10" ht="15.75" customHeight="1" x14ac:dyDescent="0.2">
      <c r="A109" s="21" t="s">
        <v>476</v>
      </c>
      <c r="B109" s="233">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AS'!B109+'Landkreditt Forsikring'!B109+'NEMI Forsikring'!B109+'Nordea Liv '!B109+'Oslo Pensjonsforsikring'!B109+'Protector Forsikring'!B109+'SHB Liv'!B109+'Sparebank 1'!B109+'Storebrand Livsforsikring'!B109+'Telenor Forsikring'!B109+'Tryg Forsikring'!B109</f>
        <v>784494.71512000007</v>
      </c>
      <c r="C109" s="233">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AS'!C109+'Landkreditt Forsikring'!C109+'NEMI Forsikring'!C109+'Nordea Liv '!C109+'Oslo Pensjonsforsikring'!C109+'Protector Forsikring'!C109+'SHB Liv'!C109+'Sparebank 1'!C109+'Storebrand Livsforsikring'!C109+'Telenor Forsikring'!C109+'Tryg Forsikring'!C109</f>
        <v>885473.43558715901</v>
      </c>
      <c r="D109" s="23">
        <f t="shared" si="24"/>
        <v>12.9</v>
      </c>
      <c r="E109" s="44">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AS'!F109+'Landkreditt Forsikring'!F109+'NEMI Forsikring'!F109+'Nordea Liv '!F109+'Oslo Pensjonsforsikring'!F109+'Protector Forsikring'!F109+'SHB Liv'!F109+'Sparebank 1'!F109+'Storebrand Livsforsikring'!F109+'Telenor Forsikring'!F109+'Tryg Forsikring'!F109</f>
        <v>73386182.44460541</v>
      </c>
      <c r="F109" s="44">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AS'!G109+'Landkreditt Forsikring'!G109+'NEMI Forsikring'!G109+'Nordea Liv '!G109+'Oslo Pensjonsforsikring'!G109+'Protector Forsikring'!G109+'SHB Liv'!G109+'Sparebank 1'!G109+'Storebrand Livsforsikring'!G109+'Telenor Forsikring'!G109+'Tryg Forsikring'!G109</f>
        <v>80505371.361966997</v>
      </c>
      <c r="G109" s="171">
        <f t="shared" si="25"/>
        <v>9.6999999999999993</v>
      </c>
      <c r="H109" s="236">
        <f t="shared" si="34"/>
        <v>74170677.159725413</v>
      </c>
      <c r="I109" s="236">
        <f t="shared" si="35"/>
        <v>81390844.79755415</v>
      </c>
      <c r="J109" s="23">
        <f t="shared" si="28"/>
        <v>9.6999999999999993</v>
      </c>
    </row>
    <row r="110" spans="1:10" ht="15.75" customHeight="1" x14ac:dyDescent="0.2">
      <c r="A110" s="21" t="s">
        <v>477</v>
      </c>
      <c r="B110" s="233">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AS'!B110+'Landkreditt Forsikring'!B110+'NEMI Forsikring'!B110+'Nordea Liv '!B110+'Oslo Pensjonsforsikring'!B110+'Protector Forsikring'!B110+'SHB Liv'!B110+'Sparebank 1'!B110+'Storebrand Livsforsikring'!B110+'Telenor Forsikring'!B110+'Tryg Forsikring'!B110</f>
        <v>22614.257610000001</v>
      </c>
      <c r="C110" s="233">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AS'!C110+'Landkreditt Forsikring'!C110+'NEMI Forsikring'!C110+'Nordea Liv '!C110+'Oslo Pensjonsforsikring'!C110+'Protector Forsikring'!C110+'SHB Liv'!C110+'Sparebank 1'!C110+'Storebrand Livsforsikring'!C110+'Telenor Forsikring'!C110+'Tryg Forsikring'!C110</f>
        <v>131093.94711000001</v>
      </c>
      <c r="D110" s="23">
        <f t="shared" si="24"/>
        <v>479.7</v>
      </c>
      <c r="E110" s="44">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AS'!F110+'Landkreditt Forsikring'!F110+'NEMI Forsikring'!F110+'Nordea Liv '!F110+'Oslo Pensjonsforsikring'!F110+'Protector Forsikring'!F110+'SHB Liv'!F110+'Sparebank 1'!F110+'Storebrand Livsforsikring'!F110+'Telenor Forsikring'!F110+'Tryg Forsikring'!F110</f>
        <v>0</v>
      </c>
      <c r="F110" s="44">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AS'!G110+'Landkreditt Forsikring'!G110+'NEMI Forsikring'!G110+'Nordea Liv '!G110+'Oslo Pensjonsforsikring'!G110+'Protector Forsikring'!G110+'SHB Liv'!G110+'Sparebank 1'!G110+'Storebrand Livsforsikring'!G110+'Telenor Forsikring'!G110+'Tryg Forsikring'!G110</f>
        <v>0</v>
      </c>
      <c r="G110" s="171"/>
      <c r="H110" s="236">
        <f t="shared" si="34"/>
        <v>22614.257610000001</v>
      </c>
      <c r="I110" s="236">
        <f t="shared" si="35"/>
        <v>131093.94711000001</v>
      </c>
      <c r="J110" s="23">
        <f t="shared" si="28"/>
        <v>479.7</v>
      </c>
    </row>
    <row r="111" spans="1:10" s="43" customFormat="1" ht="15.75" customHeight="1" x14ac:dyDescent="0.2">
      <c r="A111" s="13" t="s">
        <v>457</v>
      </c>
      <c r="B111" s="305">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AS'!B111+'Landkreditt Forsikring'!B111+'NEMI Forsikring'!B111+'Nordea Liv '!B111+'Oslo Pensjonsforsikring'!B111+'Protector Forsikring'!B111+'SHB Liv'!B111+'Sparebank 1'!B111+'Storebrand Livsforsikring'!B111+'Telenor Forsikring'!B111+'Tryg Forsikring'!B111</f>
        <v>550777.30860999995</v>
      </c>
      <c r="C111" s="305">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AS'!C111+'Landkreditt Forsikring'!C111+'NEMI Forsikring'!C111+'Nordea Liv '!C111+'Oslo Pensjonsforsikring'!C111+'Protector Forsikring'!C111+'SHB Liv'!C111+'Sparebank 1'!C111+'Storebrand Livsforsikring'!C111+'Telenor Forsikring'!C111+'Tryg Forsikring'!C111</f>
        <v>539848.83570000005</v>
      </c>
      <c r="D111" s="24">
        <f t="shared" si="24"/>
        <v>-2</v>
      </c>
      <c r="E111" s="235">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AS'!F111+'Landkreditt Forsikring'!F111+'NEMI Forsikring'!F111+'Nordea Liv '!F111+'Oslo Pensjonsforsikring'!F111+'Protector Forsikring'!F111+'SHB Liv'!F111+'Sparebank 1'!F111+'Storebrand Livsforsikring'!F111+'Telenor Forsikring'!F111+'Tryg Forsikring'!F111</f>
        <v>9597634.8014000002</v>
      </c>
      <c r="F111" s="235">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AS'!G111+'Landkreditt Forsikring'!G111+'NEMI Forsikring'!G111+'Nordea Liv '!G111+'Oslo Pensjonsforsikring'!G111+'Protector Forsikring'!G111+'SHB Liv'!G111+'Sparebank 1'!G111+'Storebrand Livsforsikring'!G111+'Telenor Forsikring'!G111+'Tryg Forsikring'!G111</f>
        <v>12496971.152389999</v>
      </c>
      <c r="G111" s="171">
        <f t="shared" si="25"/>
        <v>30.2</v>
      </c>
      <c r="H111" s="327">
        <f t="shared" si="34"/>
        <v>10148412.11001</v>
      </c>
      <c r="I111" s="327">
        <f t="shared" si="35"/>
        <v>13036819.988089999</v>
      </c>
      <c r="J111" s="24">
        <f t="shared" si="28"/>
        <v>28.5</v>
      </c>
    </row>
    <row r="112" spans="1:10" ht="15.75" customHeight="1" x14ac:dyDescent="0.2">
      <c r="A112" s="21" t="s">
        <v>9</v>
      </c>
      <c r="B112" s="233">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AS'!B112+'Landkreditt Forsikring'!B112+'NEMI Forsikring'!B112+'Nordea Liv '!B112+'Oslo Pensjonsforsikring'!B112+'Protector Forsikring'!B112+'SHB Liv'!B112+'Sparebank 1'!B112+'Storebrand Livsforsikring'!B112+'Telenor Forsikring'!B112+'Tryg Forsikring'!B112</f>
        <v>543866.2178499999</v>
      </c>
      <c r="C112" s="233">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AS'!C112+'Landkreditt Forsikring'!C112+'NEMI Forsikring'!C112+'Nordea Liv '!C112+'Oslo Pensjonsforsikring'!C112+'Protector Forsikring'!C112+'SHB Liv'!C112+'Sparebank 1'!C112+'Storebrand Livsforsikring'!C112+'Telenor Forsikring'!C112+'Tryg Forsikring'!C112</f>
        <v>477110.70183999999</v>
      </c>
      <c r="D112" s="23">
        <f t="shared" ref="D112:D125" si="42">IF(B112=0, "    ---- ", IF(ABS(ROUND(100/B112*C112-100,1))&lt;999,ROUND(100/B112*C112-100,1),IF(ROUND(100/B112*C112-100,1)&gt;999,999,-999)))</f>
        <v>-12.3</v>
      </c>
      <c r="E112" s="44">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AS'!F112+'Landkreditt Forsikring'!F112+'NEMI Forsikring'!F112+'Nordea Liv '!F112+'Oslo Pensjonsforsikring'!F112+'Protector Forsikring'!F112+'SHB Liv'!F112+'Sparebank 1'!F112+'Storebrand Livsforsikring'!F112+'Telenor Forsikring'!F112+'Tryg Forsikring'!F112</f>
        <v>0</v>
      </c>
      <c r="F112" s="44">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AS'!G112+'Landkreditt Forsikring'!G112+'NEMI Forsikring'!G112+'Nordea Liv '!G112+'Oslo Pensjonsforsikring'!G112+'Protector Forsikring'!G112+'SHB Liv'!G112+'Sparebank 1'!G112+'Storebrand Livsforsikring'!G112+'Telenor Forsikring'!G112+'Tryg Forsikring'!G112</f>
        <v>2884.6590000000001</v>
      </c>
      <c r="G112" s="171" t="str">
        <f t="shared" si="25"/>
        <v xml:space="preserve">    ---- </v>
      </c>
      <c r="H112" s="236">
        <f t="shared" ref="H112:H126" si="43">SUM(B112,E112)</f>
        <v>543866.2178499999</v>
      </c>
      <c r="I112" s="236">
        <f t="shared" ref="I112:I126" si="44">SUM(C112,F112)</f>
        <v>479995.36083999998</v>
      </c>
      <c r="J112" s="23">
        <f t="shared" ref="J112:J125" si="45">IF(H112=0, "    ---- ", IF(ABS(ROUND(100/H112*I112-100,1))&lt;999,ROUND(100/H112*I112-100,1),IF(ROUND(100/H112*I112-100,1)&gt;999,999,-999)))</f>
        <v>-11.7</v>
      </c>
    </row>
    <row r="113" spans="1:10" ht="15.75" customHeight="1" x14ac:dyDescent="0.2">
      <c r="A113" s="21" t="s">
        <v>10</v>
      </c>
      <c r="B113" s="233">
        <f>'ACE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AS'!B113+'Landkreditt Forsikring'!B113+'NEMI Forsikring'!B113+'Nordea Liv '!B113+'Oslo Pensjonsforsikring'!B113+'Protector Forsikring'!B113+'SHB Liv'!B113+'Sparebank 1'!B113+'Storebrand Livsforsikring'!B113+'Telenor Forsikring'!B113+'Tryg Forsikring'!B113</f>
        <v>2819.8829999999998</v>
      </c>
      <c r="C113" s="233">
        <f>'ACE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AS'!C113+'Landkreditt Forsikring'!C113+'NEMI Forsikring'!C113+'Nordea Liv '!C113+'Oslo Pensjonsforsikring'!C113+'Protector Forsikring'!C113+'SHB Liv'!C113+'Sparebank 1'!C113+'Storebrand Livsforsikring'!C113+'Telenor Forsikring'!C113+'Tryg Forsikring'!C113</f>
        <v>2316.4471899999999</v>
      </c>
      <c r="D113" s="23">
        <f t="shared" si="42"/>
        <v>-17.899999999999999</v>
      </c>
      <c r="E113" s="44">
        <f>'ACE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AS'!F113+'Landkreditt Forsikring'!F113+'NEMI Forsikring'!F113+'Nordea Liv '!F113+'Oslo Pensjonsforsikring'!F113+'Protector Forsikring'!F113+'SHB Liv'!F113+'Sparebank 1'!F113+'Storebrand Livsforsikring'!F113+'Telenor Forsikring'!F113+'Tryg Forsikring'!F113</f>
        <v>9596431.7744400017</v>
      </c>
      <c r="F113" s="44">
        <f>'ACE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AS'!G113+'Landkreditt Forsikring'!G113+'NEMI Forsikring'!G113+'Nordea Liv '!G113+'Oslo Pensjonsforsikring'!G113+'Protector Forsikring'!G113+'SHB Liv'!G113+'Sparebank 1'!G113+'Storebrand Livsforsikring'!G113+'Telenor Forsikring'!G113+'Tryg Forsikring'!G113</f>
        <v>12454872.058390001</v>
      </c>
      <c r="G113" s="171">
        <f t="shared" si="25"/>
        <v>29.8</v>
      </c>
      <c r="H113" s="236">
        <f t="shared" si="43"/>
        <v>9599251.6574400011</v>
      </c>
      <c r="I113" s="236">
        <f t="shared" si="44"/>
        <v>12457188.505580001</v>
      </c>
      <c r="J113" s="24">
        <f t="shared" si="45"/>
        <v>29.8</v>
      </c>
    </row>
    <row r="114" spans="1:10" ht="15.75" customHeight="1" x14ac:dyDescent="0.2">
      <c r="A114" s="21" t="s">
        <v>26</v>
      </c>
      <c r="B114" s="233">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AS'!B114+'Landkreditt Forsikring'!B114+'NEMI Forsikring'!B114+'Nordea Liv '!B114+'Oslo Pensjonsforsikring'!B114+'Protector Forsikring'!B114+'SHB Liv'!B114+'Sparebank 1'!B114+'Storebrand Livsforsikring'!B114+'Telenor Forsikring'!B114+'Tryg Forsikring'!B114</f>
        <v>4091.2077599999998</v>
      </c>
      <c r="C114" s="233">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AS'!C114+'Landkreditt Forsikring'!C114+'NEMI Forsikring'!C114+'Nordea Liv '!C114+'Oslo Pensjonsforsikring'!C114+'Protector Forsikring'!C114+'SHB Liv'!C114+'Sparebank 1'!C114+'Storebrand Livsforsikring'!C114+'Telenor Forsikring'!C114+'Tryg Forsikring'!C114</f>
        <v>60421.686669999996</v>
      </c>
      <c r="D114" s="23">
        <f t="shared" si="42"/>
        <v>999</v>
      </c>
      <c r="E114" s="44">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AS'!F114+'Landkreditt Forsikring'!F114+'NEMI Forsikring'!F114+'Nordea Liv '!F114+'Oslo Pensjonsforsikring'!F114+'Protector Forsikring'!F114+'SHB Liv'!F114+'Sparebank 1'!F114+'Storebrand Livsforsikring'!F114+'Telenor Forsikring'!F114+'Tryg Forsikring'!F114</f>
        <v>1203.0269599999999</v>
      </c>
      <c r="F114" s="44">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AS'!G114+'Landkreditt Forsikring'!G114+'NEMI Forsikring'!G114+'Nordea Liv '!G114+'Oslo Pensjonsforsikring'!G114+'Protector Forsikring'!G114+'SHB Liv'!G114+'Sparebank 1'!G114+'Storebrand Livsforsikring'!G114+'Telenor Forsikring'!G114+'Tryg Forsikring'!G114</f>
        <v>39214.434999999998</v>
      </c>
      <c r="G114" s="171">
        <f t="shared" si="25"/>
        <v>999</v>
      </c>
      <c r="H114" s="236">
        <f t="shared" si="43"/>
        <v>5294.2347199999995</v>
      </c>
      <c r="I114" s="236">
        <f t="shared" si="44"/>
        <v>99636.121669999993</v>
      </c>
      <c r="J114" s="24">
        <f t="shared" si="45"/>
        <v>999</v>
      </c>
    </row>
    <row r="115" spans="1:10" ht="15.75" customHeight="1" x14ac:dyDescent="0.2">
      <c r="A115" s="293" t="s">
        <v>15</v>
      </c>
      <c r="B115" s="44">
        <f>'ACE European Group'!B115+'Danica Pensjonsforsikring'!B115+'DNB Livsforsikring'!B115+'Eika Forsikring AS'!B115+'Frende Livsforsikring'!B115+'Frende Skadeforsikring'!B115+'Gjensidige Forsikring'!B115+'Gjensidige Pensjon'!B115+'Handelsbanken Liv'!B115+'If Skadeforsikring NUF'!B115+KLP!B115+'KLP Bedriftspensjon AS'!B115+'KLP Skadeforsikring AS'!B115+'Landkreditt Forsikring'!B115+'NEMI Forsikring'!B115+'Nordea Liv '!B115+'Oslo Pensjonsforsikring'!B115+'Protector Forsikring'!B115+'SHB Liv'!B115+'Sparebank 1'!B115+'Storebrand Livsforsikring'!B115+'Telenor Forsikring'!B115+'Tryg Forsikring'!B115</f>
        <v>0</v>
      </c>
      <c r="C115" s="44">
        <f>'ACE European Group'!C115+'Danica Pensjonsforsikring'!C115+'DNB Livsforsikring'!C115+'Eika Forsikring AS'!C115+'Frende Livsforsikring'!C115+'Frende Skadeforsikring'!C115+'Gjensidige Forsikring'!C115+'Gjensidige Pensjon'!C115+'Handelsbanken Liv'!C115+'If Skadeforsikring NUF'!C115+KLP!C115+'KLP Bedriftspensjon AS'!C115+'KLP Skadeforsikring AS'!C115+'Landkreditt Forsikring'!C115+'NEMI Forsikring'!C115+'Nordea Liv '!C115+'Oslo Pensjonsforsikring'!C115+'Protector Forsikring'!C115+'SHB Liv'!C115+'Sparebank 1'!C115+'Storebrand Livsforsikring'!C115+'Telenor Forsikring'!C115+'Tryg Forsikring'!C115</f>
        <v>2970.64</v>
      </c>
      <c r="D115" s="27" t="str">
        <f>IF($A$1=4,IF(B115=0, "    ---- ", IF(ABS(ROUND(100/B115*C115-100,1))&lt;999,ROUND(100/B115*C115-100,1),IF(ROUND(100/B115*C115-100,1)&gt;999,999,-999))),"")</f>
        <v xml:space="preserve">    ---- </v>
      </c>
      <c r="E115" s="44">
        <f>'ACE European Group'!F115+'Danica Pensjonsforsikring'!F115+'DNB Livsforsikring'!F115+'Eika Forsikring AS'!F115+'Frende Livsforsikring'!F115+'Frende Skadeforsikring'!F115+'Gjensidige Forsikring'!F115+'Gjensidige Pensjon'!F115+'Handelsbanken Liv'!F115+'If Skadeforsikring NUF'!F115+KLP!F115+'KLP Bedriftspensjon AS'!F115+'KLP Skadeforsikring AS'!F115+'Landkreditt Forsikring'!F115+'NEMI Forsikring'!F115+'Nordea Liv '!F115+'Oslo Pensjonsforsikring'!F115+'Protector Forsikring'!F115+'SHB Liv'!F115+'Sparebank 1'!F115+'Storebrand Livsforsikring'!F115+'Telenor Forsikring'!F115+'Tryg Forsikring'!F115</f>
        <v>541695</v>
      </c>
      <c r="F115" s="44">
        <f>'ACE European Group'!G115+'Danica Pensjonsforsikring'!G115+'DNB Livsforsikring'!G115+'Eika Forsikring AS'!G115+'Frende Livsforsikring'!G115+'Frende Skadeforsikring'!G115+'Gjensidige Forsikring'!G115+'Gjensidige Pensjon'!G115+'Handelsbanken Liv'!G115+'If Skadeforsikring NUF'!G115+KLP!G115+'KLP Bedriftspensjon AS'!G115+'KLP Skadeforsikring AS'!G115+'Landkreditt Forsikring'!G115+'NEMI Forsikring'!G115+'Nordea Liv '!G115+'Oslo Pensjonsforsikring'!G115+'Protector Forsikring'!G115+'SHB Liv'!G115+'Sparebank 1'!G115+'Storebrand Livsforsikring'!G115+'Telenor Forsikring'!G115+'Tryg Forsikring'!G115</f>
        <v>515452</v>
      </c>
      <c r="G115" s="171">
        <f t="shared" si="25"/>
        <v>-4.8</v>
      </c>
      <c r="H115" s="236">
        <f t="shared" si="43"/>
        <v>541695</v>
      </c>
      <c r="I115" s="236">
        <f t="shared" si="44"/>
        <v>518422.64</v>
      </c>
      <c r="J115" s="23">
        <f t="shared" si="45"/>
        <v>-4.3</v>
      </c>
    </row>
    <row r="116" spans="1:10" ht="15.75" customHeight="1" x14ac:dyDescent="0.2">
      <c r="A116" s="21" t="s">
        <v>478</v>
      </c>
      <c r="B116" s="233">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AS'!B116+'Landkreditt Forsikring'!B116+'NEMI Forsikring'!B116+'Nordea Liv '!B116+'Oslo Pensjonsforsikring'!B116+'Protector Forsikring'!B116+'SHB Liv'!B116+'Sparebank 1'!B116+'Storebrand Livsforsikring'!B116+'Telenor Forsikring'!B116+'Tryg Forsikring'!B116</f>
        <v>151012.15100999997</v>
      </c>
      <c r="C116" s="233">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AS'!C116+'Landkreditt Forsikring'!C116+'NEMI Forsikring'!C116+'Nordea Liv '!C116+'Oslo Pensjonsforsikring'!C116+'Protector Forsikring'!C116+'SHB Liv'!C116+'Sparebank 1'!C116+'Storebrand Livsforsikring'!C116+'Telenor Forsikring'!C116+'Tryg Forsikring'!C116</f>
        <v>216654.71171999999</v>
      </c>
      <c r="D116" s="23">
        <f t="shared" si="42"/>
        <v>43.5</v>
      </c>
      <c r="E116" s="44">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AS'!F116+'Landkreditt Forsikring'!F116+'NEMI Forsikring'!F116+'Nordea Liv '!F116+'Oslo Pensjonsforsikring'!F116+'Protector Forsikring'!F116+'SHB Liv'!F116+'Sparebank 1'!F116+'Storebrand Livsforsikring'!F116+'Telenor Forsikring'!F116+'Tryg Forsikring'!F116</f>
        <v>16268.552</v>
      </c>
      <c r="F116" s="44">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AS'!G116+'Landkreditt Forsikring'!G116+'NEMI Forsikring'!G116+'Nordea Liv '!G116+'Oslo Pensjonsforsikring'!G116+'Protector Forsikring'!G116+'SHB Liv'!G116+'Sparebank 1'!G116+'Storebrand Livsforsikring'!G116+'Telenor Forsikring'!G116+'Tryg Forsikring'!G116</f>
        <v>2884.6590000000001</v>
      </c>
      <c r="G116" s="171">
        <f t="shared" si="25"/>
        <v>-82.3</v>
      </c>
      <c r="H116" s="236">
        <f t="shared" si="43"/>
        <v>167280.70300999997</v>
      </c>
      <c r="I116" s="236">
        <f t="shared" si="44"/>
        <v>219539.37072000001</v>
      </c>
      <c r="J116" s="23">
        <f t="shared" si="45"/>
        <v>31.2</v>
      </c>
    </row>
    <row r="117" spans="1:10" ht="15.75" customHeight="1" x14ac:dyDescent="0.2">
      <c r="A117" s="21" t="s">
        <v>479</v>
      </c>
      <c r="B117" s="233">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AS'!B117+'Landkreditt Forsikring'!B117+'NEMI Forsikring'!B117+'Nordea Liv '!B117+'Oslo Pensjonsforsikring'!B117+'Protector Forsikring'!B117+'SHB Liv'!B117+'Sparebank 1'!B117+'Storebrand Livsforsikring'!B117+'Telenor Forsikring'!B117+'Tryg Forsikring'!B117</f>
        <v>924.41134999999997</v>
      </c>
      <c r="C117" s="233">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AS'!C117+'Landkreditt Forsikring'!C117+'NEMI Forsikring'!C117+'Nordea Liv '!C117+'Oslo Pensjonsforsikring'!C117+'Protector Forsikring'!C117+'SHB Liv'!C117+'Sparebank 1'!C117+'Storebrand Livsforsikring'!C117+'Telenor Forsikring'!C117+'Tryg Forsikring'!C117</f>
        <v>0</v>
      </c>
      <c r="D117" s="23">
        <f t="shared" si="42"/>
        <v>-100</v>
      </c>
      <c r="E117" s="44">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AS'!F117+'Landkreditt Forsikring'!F117+'NEMI Forsikring'!F117+'Nordea Liv '!F117+'Oslo Pensjonsforsikring'!F117+'Protector Forsikring'!F117+'SHB Liv'!F117+'Sparebank 1'!F117+'Storebrand Livsforsikring'!F117+'Telenor Forsikring'!F117+'Tryg Forsikring'!F117</f>
        <v>1933192.3790099998</v>
      </c>
      <c r="F117" s="44">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AS'!G117+'Landkreditt Forsikring'!G117+'NEMI Forsikring'!G117+'Nordea Liv '!G117+'Oslo Pensjonsforsikring'!G117+'Protector Forsikring'!G117+'SHB Liv'!G117+'Sparebank 1'!G117+'Storebrand Livsforsikring'!G117+'Telenor Forsikring'!G117+'Tryg Forsikring'!G117</f>
        <v>2211030.2941999999</v>
      </c>
      <c r="G117" s="171">
        <f t="shared" si="25"/>
        <v>14.4</v>
      </c>
      <c r="H117" s="236">
        <f t="shared" si="43"/>
        <v>1934116.7903599998</v>
      </c>
      <c r="I117" s="236">
        <f t="shared" si="44"/>
        <v>2211030.2941999999</v>
      </c>
      <c r="J117" s="23">
        <f t="shared" si="45"/>
        <v>14.3</v>
      </c>
    </row>
    <row r="118" spans="1:10" ht="15.75" customHeight="1" x14ac:dyDescent="0.2">
      <c r="A118" s="21" t="s">
        <v>477</v>
      </c>
      <c r="B118" s="233">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AS'!B118+'Landkreditt Forsikring'!B118+'NEMI Forsikring'!B118+'Nordea Liv '!B118+'Oslo Pensjonsforsikring'!B118+'Protector Forsikring'!B118+'SHB Liv'!B118+'Sparebank 1'!B118+'Storebrand Livsforsikring'!B118+'Telenor Forsikring'!B118+'Tryg Forsikring'!B118</f>
        <v>0</v>
      </c>
      <c r="C118" s="233">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AS'!C118+'Landkreditt Forsikring'!C118+'NEMI Forsikring'!C118+'Nordea Liv '!C118+'Oslo Pensjonsforsikring'!C118+'Protector Forsikring'!C118+'SHB Liv'!C118+'Sparebank 1'!C118+'Storebrand Livsforsikring'!C118+'Telenor Forsikring'!C118+'Tryg Forsikring'!C118</f>
        <v>0</v>
      </c>
      <c r="D118" s="23"/>
      <c r="E118" s="44"/>
      <c r="F118" s="44"/>
      <c r="G118" s="171"/>
      <c r="H118" s="236"/>
      <c r="I118" s="236"/>
      <c r="J118" s="23"/>
    </row>
    <row r="119" spans="1:10" s="43" customFormat="1" ht="15.75" customHeight="1" x14ac:dyDescent="0.2">
      <c r="A119" s="13" t="s">
        <v>458</v>
      </c>
      <c r="B119" s="327">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AS'!B119+'Landkreditt Forsikring'!B119+'NEMI Forsikring'!B119+'Nordea Liv '!B119+'Oslo Pensjonsforsikring'!B119+'Protector Forsikring'!B119+'SHB Liv'!B119+'Sparebank 1'!B119+'Storebrand Livsforsikring'!B119+'Telenor Forsikring'!B119+'Tryg Forsikring'!B119</f>
        <v>448876.83178999997</v>
      </c>
      <c r="C119" s="327">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AS'!C119+'Landkreditt Forsikring'!C119+'NEMI Forsikring'!C119+'Nordea Liv '!C119+'Oslo Pensjonsforsikring'!C119+'Protector Forsikring'!C119+'SHB Liv'!C119+'Sparebank 1'!C119+'Storebrand Livsforsikring'!C119+'Telenor Forsikring'!C119+'Tryg Forsikring'!C119</f>
        <v>600803.36812</v>
      </c>
      <c r="D119" s="24">
        <f t="shared" si="42"/>
        <v>33.799999999999997</v>
      </c>
      <c r="E119" s="235">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AS'!F119+'Landkreditt Forsikring'!F119+'NEMI Forsikring'!F119+'Nordea Liv '!F119+'Oslo Pensjonsforsikring'!F119+'Protector Forsikring'!F119+'SHB Liv'!F119+'Sparebank 1'!F119+'Storebrand Livsforsikring'!F119+'Telenor Forsikring'!F119+'Tryg Forsikring'!F119</f>
        <v>9752651.3782299999</v>
      </c>
      <c r="F119" s="235">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AS'!G119+'Landkreditt Forsikring'!G119+'NEMI Forsikring'!G119+'Nordea Liv '!G119+'Oslo Pensjonsforsikring'!G119+'Protector Forsikring'!G119+'SHB Liv'!G119+'Sparebank 1'!G119+'Storebrand Livsforsikring'!G119+'Telenor Forsikring'!G119+'Tryg Forsikring'!G119</f>
        <v>12756287.872939998</v>
      </c>
      <c r="G119" s="171">
        <f t="shared" si="25"/>
        <v>30.8</v>
      </c>
      <c r="H119" s="327">
        <f t="shared" si="43"/>
        <v>10201528.21002</v>
      </c>
      <c r="I119" s="327">
        <f t="shared" si="44"/>
        <v>13357091.241059998</v>
      </c>
      <c r="J119" s="24">
        <f t="shared" si="45"/>
        <v>30.9</v>
      </c>
    </row>
    <row r="120" spans="1:10" ht="15.75" customHeight="1" x14ac:dyDescent="0.2">
      <c r="A120" s="21" t="s">
        <v>9</v>
      </c>
      <c r="B120" s="236">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AS'!B120+'Landkreditt Forsikring'!B120+'NEMI Forsikring'!B120+'Nordea Liv '!B120+'Oslo Pensjonsforsikring'!B120+'Protector Forsikring'!B120+'SHB Liv'!B120+'Sparebank 1'!B120+'Storebrand Livsforsikring'!B120+'Telenor Forsikring'!B120+'Tryg Forsikring'!B120</f>
        <v>411171.41423999984</v>
      </c>
      <c r="C120" s="236">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AS'!C120+'Landkreditt Forsikring'!C120+'NEMI Forsikring'!C120+'Nordea Liv '!C120+'Oslo Pensjonsforsikring'!C120+'Protector Forsikring'!C120+'SHB Liv'!C120+'Sparebank 1'!C120+'Storebrand Livsforsikring'!C120+'Telenor Forsikring'!C120+'Tryg Forsikring'!C120</f>
        <v>452538.97175999999</v>
      </c>
      <c r="D120" s="23">
        <f t="shared" si="42"/>
        <v>10.1</v>
      </c>
      <c r="E120" s="44">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AS'!F120+'Landkreditt Forsikring'!F120+'NEMI Forsikring'!F120+'Nordea Liv '!F120+'Oslo Pensjonsforsikring'!F120+'Protector Forsikring'!F120+'SHB Liv'!F120+'Sparebank 1'!F120+'Storebrand Livsforsikring'!F120+'Telenor Forsikring'!F120+'Tryg Forsikring'!F120</f>
        <v>0</v>
      </c>
      <c r="F120" s="44">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AS'!G120+'Landkreditt Forsikring'!G120+'NEMI Forsikring'!G120+'Nordea Liv '!G120+'Oslo Pensjonsforsikring'!G120+'Protector Forsikring'!G120+'SHB Liv'!G120+'Sparebank 1'!G120+'Storebrand Livsforsikring'!G120+'Telenor Forsikring'!G120+'Tryg Forsikring'!G120</f>
        <v>0</v>
      </c>
      <c r="G120" s="171"/>
      <c r="H120" s="236">
        <f t="shared" si="43"/>
        <v>411171.41423999984</v>
      </c>
      <c r="I120" s="236">
        <f t="shared" si="44"/>
        <v>452538.97175999999</v>
      </c>
      <c r="J120" s="23">
        <f t="shared" si="45"/>
        <v>10.1</v>
      </c>
    </row>
    <row r="121" spans="1:10" ht="15.75" customHeight="1" x14ac:dyDescent="0.2">
      <c r="A121" s="21" t="s">
        <v>10</v>
      </c>
      <c r="B121" s="236">
        <f>'ACE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AS'!B121+'Landkreditt Forsikring'!B121+'NEMI Forsikring'!B121+'Nordea Liv '!B121+'Oslo Pensjonsforsikring'!B121+'Protector Forsikring'!B121+'SHB Liv'!B121+'Sparebank 1'!B121+'Storebrand Livsforsikring'!B121+'Telenor Forsikring'!B121+'Tryg Forsikring'!B121</f>
        <v>37366.867539999999</v>
      </c>
      <c r="C121" s="236">
        <f>'ACE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AS'!C121+'Landkreditt Forsikring'!C121+'NEMI Forsikring'!C121+'Nordea Liv '!C121+'Oslo Pensjonsforsikring'!C121+'Protector Forsikring'!C121+'SHB Liv'!C121+'Sparebank 1'!C121+'Storebrand Livsforsikring'!C121+'Telenor Forsikring'!C121+'Tryg Forsikring'!C121</f>
        <v>35445.1512</v>
      </c>
      <c r="D121" s="23">
        <f t="shared" si="42"/>
        <v>-5.0999999999999996</v>
      </c>
      <c r="E121" s="44">
        <f>'ACE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AS'!F121+'Landkreditt Forsikring'!F121+'NEMI Forsikring'!F121+'Nordea Liv '!F121+'Oslo Pensjonsforsikring'!F121+'Protector Forsikring'!F121+'SHB Liv'!F121+'Sparebank 1'!F121+'Storebrand Livsforsikring'!F121+'Telenor Forsikring'!F121+'Tryg Forsikring'!F121</f>
        <v>9752651.3782299999</v>
      </c>
      <c r="F121" s="44">
        <f>'ACE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AS'!G121+'Landkreditt Forsikring'!G121+'NEMI Forsikring'!G121+'Nordea Liv '!G121+'Oslo Pensjonsforsikring'!G121+'Protector Forsikring'!G121+'SHB Liv'!G121+'Sparebank 1'!G121+'Storebrand Livsforsikring'!G121+'Telenor Forsikring'!G121+'Tryg Forsikring'!G121</f>
        <v>12756287.872939998</v>
      </c>
      <c r="G121" s="171">
        <f t="shared" si="25"/>
        <v>30.8</v>
      </c>
      <c r="H121" s="236">
        <f t="shared" si="43"/>
        <v>9790018.2457699999</v>
      </c>
      <c r="I121" s="236">
        <f t="shared" si="44"/>
        <v>12791733.024139998</v>
      </c>
      <c r="J121" s="23">
        <f t="shared" si="45"/>
        <v>30.7</v>
      </c>
    </row>
    <row r="122" spans="1:10" ht="15.75" customHeight="1" x14ac:dyDescent="0.2">
      <c r="A122" s="21" t="s">
        <v>26</v>
      </c>
      <c r="B122" s="236">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AS'!B122+'Landkreditt Forsikring'!B122+'NEMI Forsikring'!B122+'Nordea Liv '!B122+'Oslo Pensjonsforsikring'!B122+'Protector Forsikring'!B122+'SHB Liv'!B122+'Sparebank 1'!B122+'Storebrand Livsforsikring'!B122+'Telenor Forsikring'!B122+'Tryg Forsikring'!B122</f>
        <v>338.55001000000499</v>
      </c>
      <c r="C122" s="236">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AS'!C122+'Landkreditt Forsikring'!C122+'NEMI Forsikring'!C122+'Nordea Liv '!C122+'Oslo Pensjonsforsikring'!C122+'Protector Forsikring'!C122+'SHB Liv'!C122+'Sparebank 1'!C122+'Storebrand Livsforsikring'!C122+'Telenor Forsikring'!C122+'Tryg Forsikring'!C122</f>
        <v>112819.24516000001</v>
      </c>
      <c r="D122" s="23">
        <f t="shared" si="42"/>
        <v>999</v>
      </c>
      <c r="E122" s="44">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AS'!F122+'Landkreditt Forsikring'!F122+'NEMI Forsikring'!F122+'Nordea Liv '!F122+'Oslo Pensjonsforsikring'!F122+'Protector Forsikring'!F122+'SHB Liv'!F122+'Sparebank 1'!F122+'Storebrand Livsforsikring'!F122+'Telenor Forsikring'!F122+'Tryg Forsikring'!F122</f>
        <v>0</v>
      </c>
      <c r="F122" s="44">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AS'!G122+'Landkreditt Forsikring'!G122+'NEMI Forsikring'!G122+'Nordea Liv '!G122+'Oslo Pensjonsforsikring'!G122+'Protector Forsikring'!G122+'SHB Liv'!G122+'Sparebank 1'!G122+'Storebrand Livsforsikring'!G122+'Telenor Forsikring'!G122+'Tryg Forsikring'!G122</f>
        <v>0</v>
      </c>
      <c r="G122" s="171"/>
      <c r="H122" s="236">
        <f t="shared" si="43"/>
        <v>338.55001000000499</v>
      </c>
      <c r="I122" s="236">
        <f t="shared" si="44"/>
        <v>112819.24516000001</v>
      </c>
      <c r="J122" s="23">
        <f t="shared" si="45"/>
        <v>999</v>
      </c>
    </row>
    <row r="123" spans="1:10" ht="15.75" customHeight="1" x14ac:dyDescent="0.2">
      <c r="A123" s="293" t="s">
        <v>14</v>
      </c>
      <c r="B123" s="44">
        <f>'ACE European Group'!B123+'Danica Pensjonsforsikring'!B123+'DNB Livsforsikring'!B123+'Eika Forsikring AS'!B123+'Frende Livsforsikring'!B123+'Frende Skadeforsikring'!B123+'Gjensidige Forsikring'!B123+'Gjensidige Pensjon'!B123+'Handelsbanken Liv'!B123+'If Skadeforsikring NUF'!B123+KLP!B123+'KLP Bedriftspensjon AS'!B123+'KLP Skadeforsikring AS'!B123+'Landkreditt Forsikring'!B123+'NEMI Forsikring'!B123+'Nordea Liv '!B123+'Oslo Pensjonsforsikring'!B123+'Protector Forsikring'!B123+'SHB Liv'!B123+'Sparebank 1'!B123+'Storebrand Livsforsikring'!B123+'Telenor Forsikring'!B123+'Tryg Forsikring'!B123</f>
        <v>0</v>
      </c>
      <c r="C123" s="44">
        <f>'ACE European Group'!C123+'Danica Pensjonsforsikring'!C123+'DNB Livsforsikring'!C123+'Eika Forsikring AS'!C123+'Frende Livsforsikring'!C123+'Frende Skadeforsikring'!C123+'Gjensidige Forsikring'!C123+'Gjensidige Pensjon'!C123+'Handelsbanken Liv'!C123+'If Skadeforsikring NUF'!C123+KLP!C123+'KLP Bedriftspensjon AS'!C123+'KLP Skadeforsikring AS'!C123+'Landkreditt Forsikring'!C123+'NEMI Forsikring'!C123+'Nordea Liv '!C123+'Oslo Pensjonsforsikring'!C123+'Protector Forsikring'!C123+'SHB Liv'!C123+'Sparebank 1'!C123+'Storebrand Livsforsikring'!C123+'Telenor Forsikring'!C123+'Tryg Forsikring'!C123</f>
        <v>0</v>
      </c>
      <c r="D123" s="27"/>
      <c r="E123" s="44">
        <f>'ACE European Group'!F123+'Danica Pensjonsforsikring'!F123+'DNB Livsforsikring'!F123+'Eika Forsikring AS'!F123+'Frende Livsforsikring'!F123+'Frende Skadeforsikring'!F123+'Gjensidige Forsikring'!F123+'Gjensidige Pensjon'!F123+'Handelsbanken Liv'!F123+'If Skadeforsikring NUF'!F123+KLP!F123+'KLP Bedriftspensjon AS'!F123+'KLP Skadeforsikring AS'!F123+'Landkreditt Forsikring'!F123+'NEMI Forsikring'!F123+'Nordea Liv '!F123+'Oslo Pensjonsforsikring'!F123+'Protector Forsikring'!F123+'SHB Liv'!F123+'Sparebank 1'!F123+'Storebrand Livsforsikring'!F123+'Telenor Forsikring'!F123+'Tryg Forsikring'!F123</f>
        <v>0</v>
      </c>
      <c r="F123" s="44">
        <f>'ACE European Group'!G123+'Danica Pensjonsforsikring'!G123+'DNB Livsforsikring'!G123+'Eika Forsikring AS'!G123+'Frende Livsforsikring'!G123+'Frende Skadeforsikring'!G123+'Gjensidige Forsikring'!G123+'Gjensidige Pensjon'!G123+'Handelsbanken Liv'!G123+'If Skadeforsikring NUF'!G123+KLP!G123+'KLP Bedriftspensjon AS'!G123+'KLP Skadeforsikring AS'!G123+'Landkreditt Forsikring'!G123+'NEMI Forsikring'!G123+'Nordea Liv '!G123+'Oslo Pensjonsforsikring'!G123+'Protector Forsikring'!G123+'SHB Liv'!G123+'Sparebank 1'!G123+'Storebrand Livsforsikring'!G123+'Telenor Forsikring'!G123+'Tryg Forsikring'!G123</f>
        <v>0</v>
      </c>
      <c r="G123" s="171"/>
      <c r="H123" s="236">
        <f t="shared" si="43"/>
        <v>0</v>
      </c>
      <c r="I123" s="236">
        <f t="shared" si="44"/>
        <v>0</v>
      </c>
      <c r="J123" s="23"/>
    </row>
    <row r="124" spans="1:10" ht="15.75" customHeight="1" x14ac:dyDescent="0.2">
      <c r="A124" s="21" t="s">
        <v>475</v>
      </c>
      <c r="B124" s="236">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AS'!B124+'Landkreditt Forsikring'!B124+'NEMI Forsikring'!B124+'Nordea Liv '!B124+'Oslo Pensjonsforsikring'!B124+'Protector Forsikring'!B124+'SHB Liv'!B124+'Sparebank 1'!B124+'Storebrand Livsforsikring'!B124+'Telenor Forsikring'!B124+'Tryg Forsikring'!B124</f>
        <v>72055.745999999999</v>
      </c>
      <c r="C124" s="236">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AS'!C124+'Landkreditt Forsikring'!C124+'NEMI Forsikring'!C124+'Nordea Liv '!C124+'Oslo Pensjonsforsikring'!C124+'Protector Forsikring'!C124+'SHB Liv'!C124+'Sparebank 1'!C124+'Storebrand Livsforsikring'!C124+'Telenor Forsikring'!C124+'Tryg Forsikring'!C124</f>
        <v>153957.92129999999</v>
      </c>
      <c r="D124" s="23">
        <f t="shared" si="42"/>
        <v>113.7</v>
      </c>
      <c r="E124" s="44">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AS'!F124+'Landkreditt Forsikring'!F124+'NEMI Forsikring'!F124+'Nordea Liv '!F124+'Oslo Pensjonsforsikring'!F124+'Protector Forsikring'!F124+'SHB Liv'!F124+'Sparebank 1'!F124+'Storebrand Livsforsikring'!F124+'Telenor Forsikring'!F124+'Tryg Forsikring'!F124</f>
        <v>13851.26</v>
      </c>
      <c r="F124" s="44">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AS'!G124+'Landkreditt Forsikring'!G124+'NEMI Forsikring'!G124+'Nordea Liv '!G124+'Oslo Pensjonsforsikring'!G124+'Protector Forsikring'!G124+'SHB Liv'!G124+'Sparebank 1'!G124+'Storebrand Livsforsikring'!G124+'Telenor Forsikring'!G124+'Tryg Forsikring'!G124</f>
        <v>28487.64</v>
      </c>
      <c r="G124" s="171">
        <f t="shared" si="25"/>
        <v>105.7</v>
      </c>
      <c r="H124" s="236">
        <f t="shared" si="43"/>
        <v>85907.005999999994</v>
      </c>
      <c r="I124" s="236">
        <f t="shared" si="44"/>
        <v>182445.5613</v>
      </c>
      <c r="J124" s="23">
        <f t="shared" si="45"/>
        <v>112.4</v>
      </c>
    </row>
    <row r="125" spans="1:10" ht="15.75" customHeight="1" x14ac:dyDescent="0.2">
      <c r="A125" s="21" t="s">
        <v>476</v>
      </c>
      <c r="B125" s="236">
        <f>'ACE European Group'!B125+'Danica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AS'!B125+'Landkreditt Forsikring'!B125+'NEMI Forsikring'!B125+'Nordea Liv '!B125+'Oslo Pensjonsforsikring'!B125+'Protector Forsikring'!B125+'SHB Liv'!B125+'Sparebank 1'!B125+'Storebrand Livsforsikring'!B125+'Telenor Forsikring'!B125+'Tryg Forsikring'!B125</f>
        <v>4794.4091499999995</v>
      </c>
      <c r="C125" s="236">
        <f>'ACE European Group'!C125+'Danica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AS'!C125+'Landkreditt Forsikring'!C125+'NEMI Forsikring'!C125+'Nordea Liv '!C125+'Oslo Pensjonsforsikring'!C125+'Protector Forsikring'!C125+'SHB Liv'!C125+'Sparebank 1'!C125+'Storebrand Livsforsikring'!C125+'Telenor Forsikring'!C125+'Tryg Forsikring'!C125</f>
        <v>3556.2622900000001</v>
      </c>
      <c r="D125" s="23">
        <f t="shared" si="42"/>
        <v>-25.8</v>
      </c>
      <c r="E125" s="44">
        <f>'ACE European Group'!F125+'Danica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AS'!F125+'Landkreditt Forsikring'!F125+'NEMI Forsikring'!F125+'Nordea Liv '!F125+'Oslo Pensjonsforsikring'!F125+'Protector Forsikring'!F125+'SHB Liv'!F125+'Sparebank 1'!F125+'Storebrand Livsforsikring'!F125+'Telenor Forsikring'!F125+'Tryg Forsikring'!F125</f>
        <v>1835508.3165199999</v>
      </c>
      <c r="F125" s="44">
        <f>'ACE European Group'!G125+'Danica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AS'!G125+'Landkreditt Forsikring'!G125+'NEMI Forsikring'!G125+'Nordea Liv '!G125+'Oslo Pensjonsforsikring'!G125+'Protector Forsikring'!G125+'SHB Liv'!G125+'Sparebank 1'!G125+'Storebrand Livsforsikring'!G125+'Telenor Forsikring'!G125+'Tryg Forsikring'!G125</f>
        <v>2133012.1412</v>
      </c>
      <c r="G125" s="171">
        <f t="shared" si="25"/>
        <v>16.2</v>
      </c>
      <c r="H125" s="236">
        <f t="shared" si="43"/>
        <v>1840302.7256699998</v>
      </c>
      <c r="I125" s="236">
        <f t="shared" si="44"/>
        <v>2136568.4034899999</v>
      </c>
      <c r="J125" s="23">
        <f t="shared" si="45"/>
        <v>16.100000000000001</v>
      </c>
    </row>
    <row r="126" spans="1:10" ht="15.75" customHeight="1" x14ac:dyDescent="0.2">
      <c r="A126" s="10" t="s">
        <v>477</v>
      </c>
      <c r="B126" s="237">
        <f>'ACE European Group'!B126+'Danica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AS'!B126+'Landkreditt Forsikring'!B126+'NEMI Forsikring'!B126+'Nordea Liv '!B126+'Oslo Pensjonsforsikring'!B126+'Protector Forsikring'!B126+'SHB Liv'!B126+'Sparebank 1'!B126+'Storebrand Livsforsikring'!B126+'Telenor Forsikring'!B126+'Tryg Forsikring'!B126</f>
        <v>0</v>
      </c>
      <c r="C126" s="238">
        <f>'ACE European Group'!C126+'Danica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AS'!C126+'Landkreditt Forsikring'!C126+'NEMI Forsikring'!C126+'Nordea Liv '!C126+'Oslo Pensjonsforsikring'!C126+'Protector Forsikring'!C126+'SHB Liv'!C126+'Sparebank 1'!C126+'Storebrand Livsforsikring'!C126+'Telenor Forsikring'!C126+'Tryg Forsikring'!C126</f>
        <v>0</v>
      </c>
      <c r="D126" s="22"/>
      <c r="E126" s="45">
        <f>'ACE European Group'!F126+'Danica Pensjonsforsikring'!F126+'DNB Livsforsikring'!F126+'Eika Forsikring AS'!F126+'Frende Livsforsikring'!F126+'Frende Skadeforsikring'!F126+'Gjensidige Forsikring'!F126+'Gjensidige Pensjon'!F126+'Handelsbanken Liv'!F126+'If Skadeforsikring NUF'!F126+KLP!F126+'KLP Bedriftspensjon AS'!F126+'KLP Skadeforsikring AS'!F126+'Landkreditt Forsikring'!F126+'NEMI Forsikring'!F126+'Nordea Liv '!F126+'Oslo Pensjonsforsikring'!F126+'Protector Forsikring'!F126+'SHB Liv'!F126+'Sparebank 1'!F126+'Storebrand Livsforsikring'!F126+'Telenor Forsikring'!F126+'Tryg Forsikring'!F126</f>
        <v>0</v>
      </c>
      <c r="F126" s="45">
        <f>'ACE European Group'!G126+'Danica Pensjonsforsikring'!G126+'DNB Livsforsikring'!G126+'Eika Forsikring AS'!G126+'Frende Livsforsikring'!G126+'Frende Skadeforsikring'!G126+'Gjensidige Forsikring'!G126+'Gjensidige Pensjon'!G126+'Handelsbanken Liv'!G126+'If Skadeforsikring NUF'!G126+KLP!G126+'KLP Bedriftspensjon AS'!G126+'KLP Skadeforsikring AS'!G126+'Landkreditt Forsikring'!G126+'NEMI Forsikring'!G126+'Nordea Liv '!G126+'Oslo Pensjonsforsikring'!G126+'Protector Forsikring'!G126+'SHB Liv'!G126+'Sparebank 1'!G126+'Storebrand Livsforsikring'!G126+'Telenor Forsikring'!G126+'Tryg Forsikring'!G126</f>
        <v>0</v>
      </c>
      <c r="G126" s="171"/>
      <c r="H126" s="237">
        <f t="shared" si="43"/>
        <v>0</v>
      </c>
      <c r="I126" s="238">
        <f t="shared" si="44"/>
        <v>0</v>
      </c>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973"/>
      <c r="C130" s="973"/>
      <c r="D130" s="973"/>
      <c r="E130" s="973"/>
      <c r="F130" s="973"/>
      <c r="G130" s="973"/>
      <c r="H130" s="973"/>
      <c r="I130" s="973"/>
      <c r="J130" s="973"/>
    </row>
    <row r="131" spans="1:10" s="3" customFormat="1" ht="20.100000000000001" customHeight="1" x14ac:dyDescent="0.2">
      <c r="A131" s="144"/>
      <c r="B131" s="970" t="s">
        <v>0</v>
      </c>
      <c r="C131" s="971"/>
      <c r="D131" s="972"/>
      <c r="E131" s="971" t="s">
        <v>1</v>
      </c>
      <c r="F131" s="971"/>
      <c r="G131" s="971"/>
      <c r="H131" s="970" t="s">
        <v>2</v>
      </c>
      <c r="I131" s="971"/>
      <c r="J131" s="972"/>
    </row>
    <row r="132" spans="1:10" s="3" customFormat="1" ht="15.75" customHeight="1" x14ac:dyDescent="0.2">
      <c r="A132" s="140"/>
      <c r="B132" s="20" t="s">
        <v>500</v>
      </c>
      <c r="C132" s="20" t="s">
        <v>501</v>
      </c>
      <c r="D132" s="19" t="s">
        <v>3</v>
      </c>
      <c r="E132" s="20" t="s">
        <v>500</v>
      </c>
      <c r="F132" s="20" t="s">
        <v>501</v>
      </c>
      <c r="G132" s="19" t="s">
        <v>3</v>
      </c>
      <c r="H132" s="20" t="s">
        <v>500</v>
      </c>
      <c r="I132" s="20" t="s">
        <v>501</v>
      </c>
      <c r="J132" s="19" t="s">
        <v>3</v>
      </c>
    </row>
    <row r="133" spans="1:10" s="3" customFormat="1" ht="15.75" customHeight="1" x14ac:dyDescent="0.2">
      <c r="A133" s="943"/>
      <c r="B133" s="15"/>
      <c r="C133" s="15"/>
      <c r="D133" s="17" t="s">
        <v>4</v>
      </c>
      <c r="E133" s="16"/>
      <c r="F133" s="16"/>
      <c r="G133" s="15" t="s">
        <v>4</v>
      </c>
      <c r="H133" s="16"/>
      <c r="I133" s="16"/>
      <c r="J133" s="15" t="s">
        <v>4</v>
      </c>
    </row>
    <row r="134" spans="1:10" s="415" customFormat="1" ht="15.75" customHeight="1" x14ac:dyDescent="0.2">
      <c r="A134" s="14" t="s">
        <v>480</v>
      </c>
      <c r="B134" s="235">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AS'!B134+'Landkreditt Forsikring'!B134+'NEMI Forsikring'!B134+'Nordea Liv '!B134+'Oslo Pensjonsforsikring'!B134+'Protector Forsikring'!B134+'SHB Liv'!B134+'Sparebank 1'!B134+'Storebrand Livsforsikring'!B134+'Telenor Forsikring'!B134+'Tryg Forsikring'!B134</f>
        <v>36286197.788429998</v>
      </c>
      <c r="C134" s="235">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AS'!C134+'Landkreditt Forsikring'!C134+'NEMI Forsikring'!C134+'Nordea Liv '!C134+'Oslo Pensjonsforsikring'!C134+'Protector Forsikring'!C134+'SHB Liv'!C134+'Sparebank 1'!C134+'Storebrand Livsforsikring'!C134+'Telenor Forsikring'!C134+'Tryg Forsikring'!C134</f>
        <v>43607514.193259999</v>
      </c>
      <c r="D134" s="11">
        <f t="shared" ref="D134:D137" si="46">IF(B134=0, "    ---- ", IF(ABS(ROUND(100/B134*C134-100,1))&lt;999,ROUND(100/B134*C134-100,1),IF(ROUND(100/B134*C134-100,1)&gt;999,999,-999)))</f>
        <v>20.2</v>
      </c>
      <c r="E134" s="235">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AS'!F134+'Landkreditt Forsikring'!F134+'NEMI Forsikring'!F134+'Nordea Liv '!F134+'Oslo Pensjonsforsikring'!F134+'Protector Forsikring'!F134+'SHB Liv'!F134+'Sparebank 1'!F134+'Storebrand Livsforsikring'!F134+'Telenor Forsikring'!F134+'Tryg Forsikring'!F134</f>
        <v>130226.34600000001</v>
      </c>
      <c r="F134" s="235">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AS'!G134+'Landkreditt Forsikring'!G134+'NEMI Forsikring'!G134+'Nordea Liv '!G134+'Oslo Pensjonsforsikring'!G134+'Protector Forsikring'!G134+'SHB Liv'!G134+'Sparebank 1'!G134+'Storebrand Livsforsikring'!G134+'Telenor Forsikring'!G134+'Tryg Forsikring'!G134</f>
        <v>148957.79199999999</v>
      </c>
      <c r="G134" s="11">
        <f t="shared" ref="G134:G136" si="47">IF(E134=0, "    ---- ", IF(ABS(ROUND(100/E134*F134-100,1))&lt;999,ROUND(100/E134*F134-100,1),IF(ROUND(100/E134*F134-100,1)&gt;999,999,-999)))</f>
        <v>14.4</v>
      </c>
      <c r="H134" s="235">
        <f t="shared" ref="H134:I137" si="48">SUM(B134,E134)</f>
        <v>36416424.134429999</v>
      </c>
      <c r="I134" s="235">
        <f t="shared" si="48"/>
        <v>43756471.985260002</v>
      </c>
      <c r="J134" s="11">
        <f t="shared" ref="J134:J137" si="49">IF(H134=0, "    ---- ", IF(ABS(ROUND(100/H134*I134-100,1))&lt;999,ROUND(100/H134*I134-100,1),IF(ROUND(100/H134*I134-100,1)&gt;999,999,-999)))</f>
        <v>20.2</v>
      </c>
    </row>
    <row r="135" spans="1:10" s="415" customFormat="1" ht="15.75" customHeight="1" x14ac:dyDescent="0.2">
      <c r="A135" s="13" t="s">
        <v>481</v>
      </c>
      <c r="B135" s="235">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AS'!B135+'Landkreditt Forsikring'!B135+'NEMI Forsikring'!B135+'Nordea Liv '!B135+'Oslo Pensjonsforsikring'!B135+'Protector Forsikring'!B135+'SHB Liv'!B135+'Sparebank 1'!B135+'Storebrand Livsforsikring'!B135+'Telenor Forsikring'!B135+'Tryg Forsikring'!B135</f>
        <v>517363092.28539997</v>
      </c>
      <c r="C135" s="235">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AS'!C135+'Landkreditt Forsikring'!C135+'NEMI Forsikring'!C135+'Nordea Liv '!C135+'Oslo Pensjonsforsikring'!C135+'Protector Forsikring'!C135+'SHB Liv'!C135+'Sparebank 1'!C135+'Storebrand Livsforsikring'!C135+'Telenor Forsikring'!C135+'Tryg Forsikring'!C135</f>
        <v>549293662.85705996</v>
      </c>
      <c r="D135" s="11">
        <f t="shared" si="46"/>
        <v>6.2</v>
      </c>
      <c r="E135" s="235">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AS'!F135+'Landkreditt Forsikring'!F135+'NEMI Forsikring'!F135+'Nordea Liv '!F135+'Oslo Pensjonsforsikring'!F135+'Protector Forsikring'!F135+'SHB Liv'!F135+'Sparebank 1'!F135+'Storebrand Livsforsikring'!F135+'Telenor Forsikring'!F135+'Tryg Forsikring'!F135</f>
        <v>2373955.5961500001</v>
      </c>
      <c r="F135" s="235">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AS'!G135+'Landkreditt Forsikring'!G135+'NEMI Forsikring'!G135+'Nordea Liv '!G135+'Oslo Pensjonsforsikring'!G135+'Protector Forsikring'!G135+'SHB Liv'!G135+'Sparebank 1'!G135+'Storebrand Livsforsikring'!G135+'Telenor Forsikring'!G135+'Tryg Forsikring'!G135</f>
        <v>2418695.24015</v>
      </c>
      <c r="G135" s="11">
        <f t="shared" si="47"/>
        <v>1.9</v>
      </c>
      <c r="H135" s="235">
        <f t="shared" si="48"/>
        <v>519737047.88154995</v>
      </c>
      <c r="I135" s="235">
        <f t="shared" si="48"/>
        <v>551712358.09720993</v>
      </c>
      <c r="J135" s="11">
        <f t="shared" si="49"/>
        <v>6.2</v>
      </c>
    </row>
    <row r="136" spans="1:10" s="415" customFormat="1" ht="15.75" customHeight="1" x14ac:dyDescent="0.2">
      <c r="A136" s="13" t="s">
        <v>482</v>
      </c>
      <c r="B136" s="235">
        <f>'ACE European Group'!B136+'Danica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AS'!B136+'Landkreditt Forsikring'!B136+'NEMI Forsikring'!B136+'Nordea Liv '!B136+'Oslo Pensjonsforsikring'!B136+'Protector Forsikring'!B136+'SHB Liv'!B136+'Sparebank 1'!B136+'Storebrand Livsforsikring'!B136+'Telenor Forsikring'!B136+'Tryg Forsikring'!B136</f>
        <v>272334.42499999999</v>
      </c>
      <c r="C136" s="235">
        <f>'ACE European Group'!C136+'Danica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AS'!C136+'Landkreditt Forsikring'!C136+'NEMI Forsikring'!C136+'Nordea Liv '!C136+'Oslo Pensjonsforsikring'!C136+'Protector Forsikring'!C136+'SHB Liv'!C136+'Sparebank 1'!C136+'Storebrand Livsforsikring'!C136+'Telenor Forsikring'!C136+'Tryg Forsikring'!C136</f>
        <v>318088.91600000003</v>
      </c>
      <c r="D136" s="11">
        <f t="shared" si="46"/>
        <v>16.8</v>
      </c>
      <c r="E136" s="235">
        <f>'ACE European Group'!F136+'Danica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AS'!F136+'Landkreditt Forsikring'!F136+'NEMI Forsikring'!F136+'Nordea Liv '!F136+'Oslo Pensjonsforsikring'!F136+'Protector Forsikring'!F136+'SHB Liv'!F136+'Sparebank 1'!F136+'Storebrand Livsforsikring'!F136+'Telenor Forsikring'!F136+'Tryg Forsikring'!F136</f>
        <v>25235.127</v>
      </c>
      <c r="F136" s="235">
        <f>'ACE European Group'!G136+'Danica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AS'!G136+'Landkreditt Forsikring'!G136+'NEMI Forsikring'!G136+'Nordea Liv '!G136+'Oslo Pensjonsforsikring'!G136+'Protector Forsikring'!G136+'SHB Liv'!G136+'Sparebank 1'!G136+'Storebrand Livsforsikring'!G136+'Telenor Forsikring'!G136+'Tryg Forsikring'!G136</f>
        <v>-10.804</v>
      </c>
      <c r="G136" s="11">
        <f t="shared" si="47"/>
        <v>-100</v>
      </c>
      <c r="H136" s="235">
        <f t="shared" si="48"/>
        <v>297569.55199999997</v>
      </c>
      <c r="I136" s="235">
        <f t="shared" si="48"/>
        <v>318078.11200000002</v>
      </c>
      <c r="J136" s="11">
        <f t="shared" si="49"/>
        <v>6.9</v>
      </c>
    </row>
    <row r="137" spans="1:10" s="415" customFormat="1" ht="15.75" customHeight="1" x14ac:dyDescent="0.2">
      <c r="A137" s="41" t="s">
        <v>483</v>
      </c>
      <c r="B137" s="273">
        <f>'ACE European Group'!B137+'Danica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AS'!B137+'Landkreditt Forsikring'!B137+'NEMI Forsikring'!B137+'Nordea Liv '!B137+'Oslo Pensjonsforsikring'!B137+'Protector Forsikring'!B137+'SHB Liv'!B137+'Sparebank 1'!B137+'Storebrand Livsforsikring'!B137+'Telenor Forsikring'!B137+'Tryg Forsikring'!B137</f>
        <v>387479.37900000002</v>
      </c>
      <c r="C137" s="273">
        <f>'ACE European Group'!C137+'Danica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AS'!C137+'Landkreditt Forsikring'!C137+'NEMI Forsikring'!C137+'Nordea Liv '!C137+'Oslo Pensjonsforsikring'!C137+'Protector Forsikring'!C137+'SHB Liv'!C137+'Sparebank 1'!C137+'Storebrand Livsforsikring'!C137+'Telenor Forsikring'!C137+'Tryg Forsikring'!C137</f>
        <v>496739.50099999999</v>
      </c>
      <c r="D137" s="9">
        <f t="shared" si="46"/>
        <v>28.2</v>
      </c>
      <c r="E137" s="273">
        <f>'ACE European Group'!F137+'Danica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AS'!F137+'Landkreditt Forsikring'!F137+'NEMI Forsikring'!F137+'Nordea Liv '!F137+'Oslo Pensjonsforsikring'!F137+'Protector Forsikring'!F137+'SHB Liv'!F137+'Sparebank 1'!F137+'Storebrand Livsforsikring'!F137+'Telenor Forsikring'!F137+'Tryg Forsikring'!F137</f>
        <v>0</v>
      </c>
      <c r="F137" s="273">
        <f>'ACE European Group'!G137+'Danica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AS'!G137+'Landkreditt Forsikring'!G137+'NEMI Forsikring'!G137+'Nordea Liv '!G137+'Oslo Pensjonsforsikring'!G137+'Protector Forsikring'!G137+'SHB Liv'!G137+'Sparebank 1'!G137+'Storebrand Livsforsikring'!G137+'Telenor Forsikring'!G137+'Tryg Forsikring'!G137</f>
        <v>0</v>
      </c>
      <c r="G137" s="9"/>
      <c r="H137" s="273">
        <f t="shared" si="48"/>
        <v>387479.37900000002</v>
      </c>
      <c r="I137" s="273">
        <f t="shared" si="48"/>
        <v>496739.50099999999</v>
      </c>
      <c r="J137" s="9">
        <f t="shared" si="49"/>
        <v>28.2</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2310" priority="46">
      <formula>kvartal&lt;4</formula>
    </cfRule>
  </conditionalFormatting>
  <conditionalFormatting sqref="H69:I74">
    <cfRule type="expression" dxfId="2309" priority="54">
      <formula>kvartal&lt;4</formula>
    </cfRule>
  </conditionalFormatting>
  <conditionalFormatting sqref="H80:I85">
    <cfRule type="expression" dxfId="2308" priority="51">
      <formula>kvartal&lt;4</formula>
    </cfRule>
  </conditionalFormatting>
  <conditionalFormatting sqref="H90:I95">
    <cfRule type="expression" dxfId="2307" priority="47">
      <formula>kvartal&lt;4</formula>
    </cfRule>
  </conditionalFormatting>
  <conditionalFormatting sqref="H115:I115">
    <cfRule type="expression" dxfId="2306" priority="45">
      <formula>kvartal&lt;4</formula>
    </cfRule>
  </conditionalFormatting>
  <conditionalFormatting sqref="H123:I123">
    <cfRule type="expression" dxfId="2305" priority="44">
      <formula>kvartal&lt;4</formula>
    </cfRule>
  </conditionalFormatting>
  <conditionalFormatting sqref="A50:A52">
    <cfRule type="expression" dxfId="2304" priority="40">
      <formula>kvartal &lt; 4</formula>
    </cfRule>
  </conditionalFormatting>
  <conditionalFormatting sqref="A69:A74">
    <cfRule type="expression" dxfId="2303" priority="38">
      <formula>kvartal &lt; 4</formula>
    </cfRule>
  </conditionalFormatting>
  <conditionalFormatting sqref="A80:A85">
    <cfRule type="expression" dxfId="2302" priority="37">
      <formula>kvartal &lt; 4</formula>
    </cfRule>
  </conditionalFormatting>
  <conditionalFormatting sqref="A90:A95">
    <cfRule type="expression" dxfId="2301" priority="34">
      <formula>kvartal &lt; 4</formula>
    </cfRule>
  </conditionalFormatting>
  <conditionalFormatting sqref="A101:A106">
    <cfRule type="expression" dxfId="2300" priority="33">
      <formula>kvartal &lt; 4</formula>
    </cfRule>
  </conditionalFormatting>
  <conditionalFormatting sqref="A115">
    <cfRule type="expression" dxfId="2299" priority="32">
      <formula>kvartal &lt; 4</formula>
    </cfRule>
  </conditionalFormatting>
  <conditionalFormatting sqref="A123">
    <cfRule type="expression" dxfId="2298" priority="31">
      <formula>kvartal &lt; 4</formula>
    </cfRule>
  </conditionalFormatting>
  <conditionalFormatting sqref="B50:C52">
    <cfRule type="expression" dxfId="2297" priority="24">
      <formula>kvartal&lt;4</formula>
    </cfRule>
  </conditionalFormatting>
  <conditionalFormatting sqref="B69:C69">
    <cfRule type="expression" dxfId="2296" priority="22">
      <formula>kvartal&lt;4</formula>
    </cfRule>
  </conditionalFormatting>
  <conditionalFormatting sqref="B72:C72">
    <cfRule type="expression" dxfId="2295" priority="21">
      <formula>kvartal&lt;4</formula>
    </cfRule>
  </conditionalFormatting>
  <conditionalFormatting sqref="B80:C80">
    <cfRule type="expression" dxfId="2294" priority="20">
      <formula>kvartal&lt;4</formula>
    </cfRule>
  </conditionalFormatting>
  <conditionalFormatting sqref="B83:C83">
    <cfRule type="expression" dxfId="2293" priority="19">
      <formula>kvartal&lt;4</formula>
    </cfRule>
  </conditionalFormatting>
  <conditionalFormatting sqref="B90:C90">
    <cfRule type="expression" dxfId="2292" priority="14">
      <formula>kvartal&lt;4</formula>
    </cfRule>
  </conditionalFormatting>
  <conditionalFormatting sqref="B93:C93">
    <cfRule type="expression" dxfId="2291" priority="13">
      <formula>kvartal&lt;4</formula>
    </cfRule>
  </conditionalFormatting>
  <conditionalFormatting sqref="B101:C101">
    <cfRule type="expression" dxfId="2290" priority="12">
      <formula>kvartal&lt;4</formula>
    </cfRule>
  </conditionalFormatting>
  <conditionalFormatting sqref="B104:C104">
    <cfRule type="expression" dxfId="2289" priority="11">
      <formula>kvartal&lt;4</formula>
    </cfRule>
  </conditionalFormatting>
  <conditionalFormatting sqref="B115:C115">
    <cfRule type="expression" dxfId="2288" priority="10">
      <formula>kvartal&lt;4</formula>
    </cfRule>
  </conditionalFormatting>
  <conditionalFormatting sqref="B123:C123">
    <cfRule type="expression" dxfId="2287" priority="9">
      <formula>kvartal&lt;4</formula>
    </cfRule>
  </conditionalFormatting>
  <conditionalFormatting sqref="E69:F74">
    <cfRule type="expression" dxfId="2286" priority="8">
      <formula>kvartal&lt;4</formula>
    </cfRule>
  </conditionalFormatting>
  <conditionalFormatting sqref="E80:F85">
    <cfRule type="expression" dxfId="2285" priority="7">
      <formula>kvartal&lt;4</formula>
    </cfRule>
  </conditionalFormatting>
  <conditionalFormatting sqref="E90:F95">
    <cfRule type="expression" dxfId="2284" priority="4">
      <formula>kvartal&lt;4</formula>
    </cfRule>
  </conditionalFormatting>
  <conditionalFormatting sqref="E101:F106">
    <cfRule type="expression" dxfId="2283" priority="3">
      <formula>kvartal&lt;4</formula>
    </cfRule>
  </conditionalFormatting>
  <conditionalFormatting sqref="E115:F115">
    <cfRule type="expression" dxfId="2282" priority="2">
      <formula>kvartal&lt;4</formula>
    </cfRule>
  </conditionalFormatting>
  <conditionalFormatting sqref="E123:F123">
    <cfRule type="expression" dxfId="2281"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O144"/>
  <sheetViews>
    <sheetView showGridLines="0" zoomScaleNormal="100" workbookViewId="0">
      <pane xSplit="1" topLeftCell="B1" activePane="topRight" state="frozen"/>
      <selection activeCell="I71" sqref="I71"/>
      <selection pane="topRight"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129</v>
      </c>
      <c r="D1" s="26"/>
      <c r="E1" s="26"/>
      <c r="F1" s="26"/>
      <c r="G1" s="26"/>
      <c r="H1" s="26"/>
      <c r="I1" s="26"/>
      <c r="J1" s="26"/>
      <c r="K1" s="26"/>
      <c r="L1" s="26"/>
      <c r="M1" s="26"/>
      <c r="O1" s="421"/>
    </row>
    <row r="2" spans="1:15" ht="15.75" x14ac:dyDescent="0.25">
      <c r="A2" s="165" t="s">
        <v>28</v>
      </c>
      <c r="B2" s="356"/>
      <c r="C2" s="356"/>
      <c r="D2" s="356"/>
      <c r="E2" s="356"/>
      <c r="F2" s="356"/>
      <c r="G2" s="356"/>
      <c r="H2" s="356"/>
      <c r="I2" s="356"/>
      <c r="J2" s="356"/>
      <c r="K2" s="356"/>
      <c r="L2" s="356"/>
      <c r="M2" s="356"/>
      <c r="O2" s="148"/>
    </row>
    <row r="3" spans="1:15" ht="15.75" x14ac:dyDescent="0.25">
      <c r="A3" s="163"/>
      <c r="B3" s="356"/>
      <c r="C3" s="356"/>
      <c r="D3" s="356"/>
      <c r="E3" s="356"/>
      <c r="F3" s="356"/>
      <c r="G3" s="356"/>
      <c r="H3" s="356"/>
      <c r="I3" s="356"/>
      <c r="J3" s="356"/>
      <c r="K3" s="356"/>
      <c r="L3" s="356"/>
      <c r="M3" s="356"/>
      <c r="O3" s="148"/>
    </row>
    <row r="4" spans="1:15" x14ac:dyDescent="0.2">
      <c r="A4" s="144"/>
      <c r="B4" s="975" t="s">
        <v>0</v>
      </c>
      <c r="C4" s="976"/>
      <c r="D4" s="976"/>
      <c r="E4" s="353"/>
      <c r="F4" s="975" t="s">
        <v>1</v>
      </c>
      <c r="G4" s="976"/>
      <c r="H4" s="976"/>
      <c r="I4" s="354"/>
      <c r="J4" s="975" t="s">
        <v>2</v>
      </c>
      <c r="K4" s="976"/>
      <c r="L4" s="976"/>
      <c r="M4" s="354"/>
      <c r="O4" s="148"/>
    </row>
    <row r="5" spans="1:15" x14ac:dyDescent="0.2">
      <c r="A5" s="158"/>
      <c r="B5" s="152" t="s">
        <v>500</v>
      </c>
      <c r="C5" s="152" t="s">
        <v>501</v>
      </c>
      <c r="D5" s="244" t="s">
        <v>3</v>
      </c>
      <c r="E5" s="302" t="s">
        <v>29</v>
      </c>
      <c r="F5" s="152" t="s">
        <v>500</v>
      </c>
      <c r="G5" s="152" t="s">
        <v>501</v>
      </c>
      <c r="H5" s="244" t="s">
        <v>3</v>
      </c>
      <c r="I5" s="30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59"/>
      <c r="C7" s="360"/>
      <c r="D7" s="368"/>
      <c r="E7" s="369"/>
      <c r="F7" s="359"/>
      <c r="G7" s="360"/>
      <c r="H7" s="368"/>
      <c r="I7" s="369"/>
      <c r="J7" s="370"/>
      <c r="K7" s="365"/>
      <c r="L7" s="368"/>
      <c r="M7" s="369"/>
      <c r="O7" s="148"/>
    </row>
    <row r="8" spans="1:15" ht="15.75" x14ac:dyDescent="0.2">
      <c r="A8" s="21" t="s">
        <v>25</v>
      </c>
      <c r="B8" s="362"/>
      <c r="C8" s="363"/>
      <c r="D8" s="371"/>
      <c r="E8" s="369"/>
      <c r="F8" s="372"/>
      <c r="G8" s="373"/>
      <c r="H8" s="371"/>
      <c r="I8" s="369"/>
      <c r="J8" s="374"/>
      <c r="K8" s="363"/>
      <c r="L8" s="371"/>
      <c r="M8" s="369"/>
      <c r="O8" s="148"/>
    </row>
    <row r="9" spans="1:15" ht="15.75" x14ac:dyDescent="0.2">
      <c r="A9" s="21" t="s">
        <v>24</v>
      </c>
      <c r="B9" s="362"/>
      <c r="C9" s="363"/>
      <c r="D9" s="371"/>
      <c r="E9" s="369"/>
      <c r="F9" s="372"/>
      <c r="G9" s="373"/>
      <c r="H9" s="371"/>
      <c r="I9" s="369"/>
      <c r="J9" s="374"/>
      <c r="K9" s="363"/>
      <c r="L9" s="371"/>
      <c r="M9" s="369"/>
      <c r="O9" s="148"/>
    </row>
    <row r="10" spans="1:15" ht="15.75" x14ac:dyDescent="0.2">
      <c r="A10" s="13" t="s">
        <v>456</v>
      </c>
      <c r="B10" s="364"/>
      <c r="C10" s="365"/>
      <c r="D10" s="371"/>
      <c r="E10" s="369"/>
      <c r="F10" s="364"/>
      <c r="G10" s="365"/>
      <c r="H10" s="371"/>
      <c r="I10" s="369"/>
      <c r="J10" s="370"/>
      <c r="K10" s="365"/>
      <c r="L10" s="371"/>
      <c r="M10" s="369"/>
      <c r="O10" s="148"/>
    </row>
    <row r="11" spans="1:15" s="43" customFormat="1" ht="15.75" x14ac:dyDescent="0.2">
      <c r="A11" s="13" t="s">
        <v>457</v>
      </c>
      <c r="B11" s="364"/>
      <c r="C11" s="365"/>
      <c r="D11" s="371"/>
      <c r="E11" s="369"/>
      <c r="F11" s="364"/>
      <c r="G11" s="365"/>
      <c r="H11" s="371"/>
      <c r="I11" s="369"/>
      <c r="J11" s="370"/>
      <c r="K11" s="365"/>
      <c r="L11" s="371"/>
      <c r="M11" s="369"/>
      <c r="N11" s="143"/>
      <c r="O11" s="148"/>
    </row>
    <row r="12" spans="1:15" s="43" customFormat="1" ht="15.75" x14ac:dyDescent="0.2">
      <c r="A12" s="41" t="s">
        <v>458</v>
      </c>
      <c r="B12" s="366"/>
      <c r="C12" s="367"/>
      <c r="D12" s="375"/>
      <c r="E12" s="375"/>
      <c r="F12" s="366"/>
      <c r="G12" s="367"/>
      <c r="H12" s="375"/>
      <c r="I12" s="375"/>
      <c r="J12" s="376"/>
      <c r="K12" s="367"/>
      <c r="L12" s="375"/>
      <c r="M12" s="375"/>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279</v>
      </c>
      <c r="B17" s="157"/>
      <c r="C17" s="157"/>
      <c r="D17" s="151"/>
      <c r="E17" s="151"/>
      <c r="F17" s="157"/>
      <c r="G17" s="157"/>
      <c r="H17" s="157"/>
      <c r="I17" s="157"/>
      <c r="J17" s="157"/>
      <c r="K17" s="157"/>
      <c r="L17" s="157"/>
      <c r="M17" s="157"/>
      <c r="O17" s="148"/>
    </row>
    <row r="18" spans="1:15" ht="15.75" x14ac:dyDescent="0.25">
      <c r="B18" s="355"/>
      <c r="C18" s="355"/>
      <c r="D18" s="355"/>
      <c r="E18" s="356"/>
      <c r="F18" s="355"/>
      <c r="G18" s="355"/>
      <c r="H18" s="355"/>
      <c r="I18" s="356"/>
      <c r="J18" s="355"/>
      <c r="K18" s="355"/>
      <c r="L18" s="355"/>
      <c r="M18" s="356"/>
      <c r="O18" s="148"/>
    </row>
    <row r="19" spans="1:15" x14ac:dyDescent="0.2">
      <c r="A19" s="144"/>
      <c r="B19" s="975" t="s">
        <v>0</v>
      </c>
      <c r="C19" s="976"/>
      <c r="D19" s="976"/>
      <c r="E19" s="353"/>
      <c r="F19" s="975" t="s">
        <v>1</v>
      </c>
      <c r="G19" s="976"/>
      <c r="H19" s="976"/>
      <c r="I19" s="354"/>
      <c r="J19" s="975" t="s">
        <v>2</v>
      </c>
      <c r="K19" s="976"/>
      <c r="L19" s="976"/>
      <c r="M19" s="354"/>
      <c r="O19" s="148"/>
    </row>
    <row r="20" spans="1:15" x14ac:dyDescent="0.2">
      <c r="A20" s="140" t="s">
        <v>5</v>
      </c>
      <c r="B20" s="152" t="s">
        <v>500</v>
      </c>
      <c r="C20" s="152" t="s">
        <v>501</v>
      </c>
      <c r="D20" s="162" t="s">
        <v>3</v>
      </c>
      <c r="E20" s="302" t="s">
        <v>29</v>
      </c>
      <c r="F20" s="152" t="s">
        <v>500</v>
      </c>
      <c r="G20" s="152" t="s">
        <v>501</v>
      </c>
      <c r="H20" s="162" t="s">
        <v>3</v>
      </c>
      <c r="I20" s="302" t="s">
        <v>29</v>
      </c>
      <c r="J20" s="152" t="s">
        <v>500</v>
      </c>
      <c r="K20" s="152" t="s">
        <v>501</v>
      </c>
      <c r="L20" s="162" t="s">
        <v>3</v>
      </c>
      <c r="M20" s="162" t="s">
        <v>29</v>
      </c>
      <c r="O20" s="148"/>
    </row>
    <row r="21" spans="1:15" x14ac:dyDescent="0.2">
      <c r="A21" s="943"/>
      <c r="B21" s="156"/>
      <c r="C21" s="156"/>
      <c r="D21" s="245" t="s">
        <v>4</v>
      </c>
      <c r="E21" s="156" t="s">
        <v>30</v>
      </c>
      <c r="F21" s="161"/>
      <c r="G21" s="161"/>
      <c r="H21" s="244" t="s">
        <v>4</v>
      </c>
      <c r="I21" s="156" t="s">
        <v>30</v>
      </c>
      <c r="J21" s="161"/>
      <c r="K21" s="161"/>
      <c r="L21" s="156" t="s">
        <v>4</v>
      </c>
      <c r="M21" s="156" t="s">
        <v>30</v>
      </c>
      <c r="O21" s="148"/>
    </row>
    <row r="22" spans="1:15" ht="15.75" x14ac:dyDescent="0.2">
      <c r="A22" s="14" t="s">
        <v>23</v>
      </c>
      <c r="B22" s="359"/>
      <c r="C22" s="359"/>
      <c r="D22" s="368"/>
      <c r="E22" s="369"/>
      <c r="F22" s="377"/>
      <c r="G22" s="377"/>
      <c r="H22" s="368"/>
      <c r="I22" s="369"/>
      <c r="J22" s="359"/>
      <c r="K22" s="359"/>
      <c r="L22" s="368"/>
      <c r="M22" s="369"/>
      <c r="O22" s="148"/>
    </row>
    <row r="23" spans="1:15" ht="15.75" x14ac:dyDescent="0.2">
      <c r="A23" s="834" t="s">
        <v>459</v>
      </c>
      <c r="B23" s="361"/>
      <c r="C23" s="361"/>
      <c r="D23" s="371"/>
      <c r="E23" s="369"/>
      <c r="F23" s="361"/>
      <c r="G23" s="361"/>
      <c r="H23" s="371"/>
      <c r="I23" s="369"/>
      <c r="J23" s="361"/>
      <c r="K23" s="361"/>
      <c r="L23" s="371"/>
      <c r="M23" s="369"/>
      <c r="O23" s="148"/>
    </row>
    <row r="24" spans="1:15" ht="15.75" x14ac:dyDescent="0.2">
      <c r="A24" s="834" t="s">
        <v>460</v>
      </c>
      <c r="B24" s="361"/>
      <c r="C24" s="361"/>
      <c r="D24" s="371"/>
      <c r="E24" s="369"/>
      <c r="F24" s="361"/>
      <c r="G24" s="361"/>
      <c r="H24" s="371"/>
      <c r="I24" s="369"/>
      <c r="J24" s="361"/>
      <c r="K24" s="361"/>
      <c r="L24" s="371"/>
      <c r="M24" s="369"/>
      <c r="O24" s="148"/>
    </row>
    <row r="25" spans="1:15" ht="15.75" x14ac:dyDescent="0.2">
      <c r="A25" s="834" t="s">
        <v>461</v>
      </c>
      <c r="B25" s="361"/>
      <c r="C25" s="361"/>
      <c r="D25" s="371"/>
      <c r="E25" s="369"/>
      <c r="F25" s="361"/>
      <c r="G25" s="361"/>
      <c r="H25" s="371"/>
      <c r="I25" s="369"/>
      <c r="J25" s="361"/>
      <c r="K25" s="361"/>
      <c r="L25" s="371"/>
      <c r="M25" s="369"/>
      <c r="O25" s="148"/>
    </row>
    <row r="26" spans="1:15" ht="15.75" x14ac:dyDescent="0.2">
      <c r="A26" s="834" t="s">
        <v>462</v>
      </c>
      <c r="B26" s="361"/>
      <c r="C26" s="361"/>
      <c r="D26" s="371"/>
      <c r="E26" s="369"/>
      <c r="F26" s="361"/>
      <c r="G26" s="361"/>
      <c r="H26" s="371"/>
      <c r="I26" s="369"/>
      <c r="J26" s="361"/>
      <c r="K26" s="361"/>
      <c r="L26" s="371"/>
      <c r="M26" s="369"/>
      <c r="O26" s="148"/>
    </row>
    <row r="27" spans="1:15" x14ac:dyDescent="0.2">
      <c r="A27" s="834" t="s">
        <v>11</v>
      </c>
      <c r="B27" s="361"/>
      <c r="C27" s="361"/>
      <c r="D27" s="371"/>
      <c r="E27" s="369"/>
      <c r="F27" s="361"/>
      <c r="G27" s="361"/>
      <c r="H27" s="371"/>
      <c r="I27" s="369"/>
      <c r="J27" s="361"/>
      <c r="K27" s="361"/>
      <c r="L27" s="371"/>
      <c r="M27" s="369"/>
      <c r="O27" s="148"/>
    </row>
    <row r="28" spans="1:15" ht="15.75" x14ac:dyDescent="0.2">
      <c r="A28" s="49" t="s">
        <v>283</v>
      </c>
      <c r="B28" s="361"/>
      <c r="C28" s="361"/>
      <c r="D28" s="371"/>
      <c r="E28" s="369"/>
      <c r="F28" s="374"/>
      <c r="G28" s="363"/>
      <c r="H28" s="371"/>
      <c r="I28" s="369"/>
      <c r="J28" s="362"/>
      <c r="K28" s="362"/>
      <c r="L28" s="371"/>
      <c r="M28" s="369"/>
      <c r="O28" s="148"/>
    </row>
    <row r="29" spans="1:15" s="3" customFormat="1" ht="15.75" x14ac:dyDescent="0.2">
      <c r="A29" s="13" t="s">
        <v>456</v>
      </c>
      <c r="B29" s="364"/>
      <c r="C29" s="364"/>
      <c r="D29" s="371"/>
      <c r="E29" s="369"/>
      <c r="F29" s="370"/>
      <c r="G29" s="370"/>
      <c r="H29" s="371"/>
      <c r="I29" s="369"/>
      <c r="J29" s="364"/>
      <c r="K29" s="364"/>
      <c r="L29" s="371"/>
      <c r="M29" s="369"/>
      <c r="N29" s="148"/>
      <c r="O29" s="148"/>
    </row>
    <row r="30" spans="1:15" s="3" customFormat="1" ht="15.75" x14ac:dyDescent="0.2">
      <c r="A30" s="834" t="s">
        <v>459</v>
      </c>
      <c r="B30" s="361"/>
      <c r="C30" s="361"/>
      <c r="D30" s="371"/>
      <c r="E30" s="369"/>
      <c r="F30" s="361"/>
      <c r="G30" s="361"/>
      <c r="H30" s="371"/>
      <c r="I30" s="369"/>
      <c r="J30" s="361"/>
      <c r="K30" s="361"/>
      <c r="L30" s="371"/>
      <c r="M30" s="369"/>
      <c r="N30" s="148"/>
      <c r="O30" s="148"/>
    </row>
    <row r="31" spans="1:15" s="3" customFormat="1" ht="15.75" x14ac:dyDescent="0.2">
      <c r="A31" s="834" t="s">
        <v>460</v>
      </c>
      <c r="B31" s="361"/>
      <c r="C31" s="361"/>
      <c r="D31" s="371"/>
      <c r="E31" s="369"/>
      <c r="F31" s="361"/>
      <c r="G31" s="361"/>
      <c r="H31" s="371"/>
      <c r="I31" s="369"/>
      <c r="J31" s="361"/>
      <c r="K31" s="361"/>
      <c r="L31" s="371"/>
      <c r="M31" s="369"/>
      <c r="N31" s="148"/>
      <c r="O31" s="148"/>
    </row>
    <row r="32" spans="1:15" ht="15.75" x14ac:dyDescent="0.2">
      <c r="A32" s="834" t="s">
        <v>461</v>
      </c>
      <c r="B32" s="361"/>
      <c r="C32" s="361"/>
      <c r="D32" s="371"/>
      <c r="E32" s="369"/>
      <c r="F32" s="361"/>
      <c r="G32" s="361"/>
      <c r="H32" s="371"/>
      <c r="I32" s="369"/>
      <c r="J32" s="361"/>
      <c r="K32" s="361"/>
      <c r="L32" s="371"/>
      <c r="M32" s="369"/>
      <c r="O32" s="148"/>
    </row>
    <row r="33" spans="1:15" ht="15.75" x14ac:dyDescent="0.2">
      <c r="A33" s="834" t="s">
        <v>462</v>
      </c>
      <c r="B33" s="361"/>
      <c r="C33" s="361"/>
      <c r="D33" s="371"/>
      <c r="E33" s="369"/>
      <c r="F33" s="361"/>
      <c r="G33" s="361"/>
      <c r="H33" s="371"/>
      <c r="I33" s="369"/>
      <c r="J33" s="361"/>
      <c r="K33" s="361"/>
      <c r="L33" s="371"/>
      <c r="M33" s="369"/>
      <c r="O33" s="148"/>
    </row>
    <row r="34" spans="1:15" ht="15.75" x14ac:dyDescent="0.2">
      <c r="A34" s="13" t="s">
        <v>457</v>
      </c>
      <c r="B34" s="364"/>
      <c r="C34" s="365"/>
      <c r="D34" s="371"/>
      <c r="E34" s="369"/>
      <c r="F34" s="370"/>
      <c r="G34" s="365"/>
      <c r="H34" s="371"/>
      <c r="I34" s="369"/>
      <c r="J34" s="364"/>
      <c r="K34" s="364"/>
      <c r="L34" s="371"/>
      <c r="M34" s="369"/>
      <c r="O34" s="148"/>
    </row>
    <row r="35" spans="1:15" ht="15.75" x14ac:dyDescent="0.2">
      <c r="A35" s="13" t="s">
        <v>458</v>
      </c>
      <c r="B35" s="364"/>
      <c r="C35" s="365"/>
      <c r="D35" s="371"/>
      <c r="E35" s="369"/>
      <c r="F35" s="370"/>
      <c r="G35" s="365"/>
      <c r="H35" s="371"/>
      <c r="I35" s="369"/>
      <c r="J35" s="364"/>
      <c r="K35" s="364"/>
      <c r="L35" s="371"/>
      <c r="M35" s="369"/>
      <c r="O35" s="148"/>
    </row>
    <row r="36" spans="1:15" ht="15.75" x14ac:dyDescent="0.2">
      <c r="A36" s="12" t="s">
        <v>291</v>
      </c>
      <c r="B36" s="364"/>
      <c r="C36" s="365"/>
      <c r="D36" s="371"/>
      <c r="E36" s="369"/>
      <c r="F36" s="378"/>
      <c r="G36" s="379"/>
      <c r="H36" s="371"/>
      <c r="I36" s="369"/>
      <c r="J36" s="364"/>
      <c r="K36" s="364"/>
      <c r="L36" s="371"/>
      <c r="M36" s="369"/>
      <c r="O36" s="148"/>
    </row>
    <row r="37" spans="1:15" ht="15.75" x14ac:dyDescent="0.2">
      <c r="A37" s="12" t="s">
        <v>464</v>
      </c>
      <c r="B37" s="364"/>
      <c r="C37" s="365"/>
      <c r="D37" s="371"/>
      <c r="E37" s="369"/>
      <c r="F37" s="378"/>
      <c r="G37" s="380"/>
      <c r="H37" s="371"/>
      <c r="I37" s="369"/>
      <c r="J37" s="364"/>
      <c r="K37" s="364"/>
      <c r="L37" s="371"/>
      <c r="M37" s="369"/>
      <c r="O37" s="148"/>
    </row>
    <row r="38" spans="1:15" ht="15.75" x14ac:dyDescent="0.2">
      <c r="A38" s="12" t="s">
        <v>465</v>
      </c>
      <c r="B38" s="364"/>
      <c r="C38" s="365"/>
      <c r="D38" s="371"/>
      <c r="E38" s="166"/>
      <c r="F38" s="378"/>
      <c r="G38" s="379"/>
      <c r="H38" s="371"/>
      <c r="I38" s="369"/>
      <c r="J38" s="364"/>
      <c r="K38" s="364"/>
      <c r="L38" s="371"/>
      <c r="M38" s="369"/>
      <c r="O38" s="148"/>
    </row>
    <row r="39" spans="1:15" ht="15.75" x14ac:dyDescent="0.2">
      <c r="A39" s="18" t="s">
        <v>466</v>
      </c>
      <c r="B39" s="366"/>
      <c r="C39" s="367"/>
      <c r="D39" s="375"/>
      <c r="E39" s="167"/>
      <c r="F39" s="381"/>
      <c r="G39" s="382"/>
      <c r="H39" s="375"/>
      <c r="I39" s="369"/>
      <c r="J39" s="364"/>
      <c r="K39" s="364"/>
      <c r="L39" s="375"/>
      <c r="M39" s="375"/>
      <c r="O39" s="148"/>
    </row>
    <row r="40" spans="1:15" ht="15.75" x14ac:dyDescent="0.25">
      <c r="A40" s="47"/>
      <c r="B40" s="252"/>
      <c r="C40" s="252"/>
      <c r="D40" s="358"/>
      <c r="E40" s="358"/>
      <c r="F40" s="358"/>
      <c r="G40" s="358"/>
      <c r="H40" s="358"/>
      <c r="I40" s="358"/>
      <c r="J40" s="358"/>
      <c r="K40" s="358"/>
      <c r="L40" s="358"/>
      <c r="M40" s="357"/>
      <c r="O40" s="148"/>
    </row>
    <row r="41" spans="1:15" x14ac:dyDescent="0.2">
      <c r="A41" s="155"/>
      <c r="O41" s="148"/>
    </row>
    <row r="42" spans="1:15" ht="15.75" x14ac:dyDescent="0.25">
      <c r="A42" s="147" t="s">
        <v>280</v>
      </c>
      <c r="B42" s="356"/>
      <c r="C42" s="356"/>
      <c r="D42" s="356"/>
      <c r="E42" s="356"/>
      <c r="F42" s="357"/>
      <c r="G42" s="357"/>
      <c r="H42" s="357"/>
      <c r="I42" s="357"/>
      <c r="J42" s="357"/>
      <c r="K42" s="357"/>
      <c r="L42" s="357"/>
      <c r="M42" s="357"/>
      <c r="O42" s="148"/>
    </row>
    <row r="43" spans="1:15" ht="15.75" x14ac:dyDescent="0.25">
      <c r="A43" s="163"/>
      <c r="B43" s="355"/>
      <c r="C43" s="355"/>
      <c r="D43" s="355"/>
      <c r="E43" s="355"/>
      <c r="F43" s="357"/>
      <c r="G43" s="357"/>
      <c r="H43" s="357"/>
      <c r="I43" s="357"/>
      <c r="J43" s="357"/>
      <c r="K43" s="357"/>
      <c r="L43" s="357"/>
      <c r="M43" s="357"/>
      <c r="O43" s="148"/>
    </row>
    <row r="44" spans="1:15" ht="15.75" x14ac:dyDescent="0.25">
      <c r="A44" s="246"/>
      <c r="B44" s="975" t="s">
        <v>0</v>
      </c>
      <c r="C44" s="976"/>
      <c r="D44" s="976"/>
      <c r="E44" s="242"/>
      <c r="F44" s="357"/>
      <c r="G44" s="357"/>
      <c r="H44" s="357"/>
      <c r="I44" s="357"/>
      <c r="J44" s="357"/>
      <c r="K44" s="357"/>
      <c r="L44" s="357"/>
      <c r="M44" s="357"/>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415" customFormat="1" ht="15.75" x14ac:dyDescent="0.2">
      <c r="A47" s="14" t="s">
        <v>23</v>
      </c>
      <c r="B47" s="364"/>
      <c r="C47" s="365"/>
      <c r="D47" s="419"/>
      <c r="E47" s="420"/>
      <c r="F47" s="159"/>
      <c r="G47" s="173"/>
      <c r="H47" s="159"/>
      <c r="I47" s="159"/>
      <c r="J47" s="418"/>
      <c r="K47" s="418"/>
      <c r="L47" s="159"/>
      <c r="M47" s="159"/>
      <c r="N47" s="421"/>
      <c r="O47" s="421"/>
    </row>
    <row r="48" spans="1:15" s="3" customFormat="1" ht="15.75" x14ac:dyDescent="0.2">
      <c r="A48" s="38" t="s">
        <v>467</v>
      </c>
      <c r="B48" s="362"/>
      <c r="C48" s="363"/>
      <c r="D48" s="371"/>
      <c r="E48" s="409"/>
      <c r="F48" s="145"/>
      <c r="G48" s="33"/>
      <c r="H48" s="145"/>
      <c r="I48" s="145"/>
      <c r="J48" s="33"/>
      <c r="K48" s="33"/>
      <c r="L48" s="159"/>
      <c r="M48" s="159"/>
      <c r="N48" s="148"/>
      <c r="O48" s="148"/>
    </row>
    <row r="49" spans="1:15" s="3" customFormat="1" ht="15.75" x14ac:dyDescent="0.2">
      <c r="A49" s="38" t="s">
        <v>468</v>
      </c>
      <c r="B49" s="362"/>
      <c r="C49" s="363"/>
      <c r="D49" s="371"/>
      <c r="E49" s="409"/>
      <c r="F49" s="145"/>
      <c r="G49" s="33"/>
      <c r="H49" s="145"/>
      <c r="I49" s="145"/>
      <c r="J49" s="37"/>
      <c r="K49" s="37"/>
      <c r="L49" s="159"/>
      <c r="M49" s="159"/>
      <c r="N49" s="148"/>
      <c r="O49" s="148"/>
    </row>
    <row r="50" spans="1:15" s="3" customFormat="1" x14ac:dyDescent="0.2">
      <c r="A50" s="293" t="s">
        <v>6</v>
      </c>
      <c r="B50" s="361"/>
      <c r="C50" s="383"/>
      <c r="D50" s="371"/>
      <c r="E50" s="409"/>
      <c r="F50" s="145"/>
      <c r="G50" s="33"/>
      <c r="H50" s="145"/>
      <c r="I50" s="145"/>
      <c r="J50" s="33"/>
      <c r="K50" s="33"/>
      <c r="L50" s="159"/>
      <c r="M50" s="159"/>
      <c r="N50" s="148"/>
      <c r="O50" s="148"/>
    </row>
    <row r="51" spans="1:15" s="3" customFormat="1" x14ac:dyDescent="0.2">
      <c r="A51" s="293" t="s">
        <v>7</v>
      </c>
      <c r="B51" s="361"/>
      <c r="C51" s="383"/>
      <c r="D51" s="371"/>
      <c r="E51" s="409"/>
      <c r="F51" s="145"/>
      <c r="G51" s="33"/>
      <c r="H51" s="145"/>
      <c r="I51" s="145"/>
      <c r="J51" s="33"/>
      <c r="K51" s="33"/>
      <c r="L51" s="159"/>
      <c r="M51" s="159"/>
      <c r="N51" s="148"/>
      <c r="O51" s="148"/>
    </row>
    <row r="52" spans="1:15" s="3" customFormat="1" x14ac:dyDescent="0.2">
      <c r="A52" s="293" t="s">
        <v>8</v>
      </c>
      <c r="B52" s="361"/>
      <c r="C52" s="383"/>
      <c r="D52" s="371"/>
      <c r="E52" s="409"/>
      <c r="F52" s="145"/>
      <c r="G52" s="33"/>
      <c r="H52" s="145"/>
      <c r="I52" s="145"/>
      <c r="J52" s="33"/>
      <c r="K52" s="33"/>
      <c r="L52" s="159"/>
      <c r="M52" s="159"/>
      <c r="N52" s="148"/>
      <c r="O52" s="148"/>
    </row>
    <row r="53" spans="1:15" s="3" customFormat="1" ht="15.75" x14ac:dyDescent="0.2">
      <c r="A53" s="39" t="s">
        <v>469</v>
      </c>
      <c r="B53" s="364"/>
      <c r="C53" s="365"/>
      <c r="D53" s="371"/>
      <c r="E53" s="409"/>
      <c r="F53" s="145"/>
      <c r="G53" s="33"/>
      <c r="H53" s="145"/>
      <c r="I53" s="145"/>
      <c r="J53" s="33"/>
      <c r="K53" s="33"/>
      <c r="L53" s="159"/>
      <c r="M53" s="159"/>
      <c r="N53" s="148"/>
      <c r="O53" s="148"/>
    </row>
    <row r="54" spans="1:15" s="3" customFormat="1" ht="15.75" x14ac:dyDescent="0.2">
      <c r="A54" s="38" t="s">
        <v>467</v>
      </c>
      <c r="B54" s="362"/>
      <c r="C54" s="363"/>
      <c r="D54" s="371"/>
      <c r="E54" s="409"/>
      <c r="F54" s="145"/>
      <c r="G54" s="33"/>
      <c r="H54" s="145"/>
      <c r="I54" s="145"/>
      <c r="J54" s="33"/>
      <c r="K54" s="33"/>
      <c r="L54" s="159"/>
      <c r="M54" s="159"/>
      <c r="N54" s="148"/>
      <c r="O54" s="148"/>
    </row>
    <row r="55" spans="1:15" s="3" customFormat="1" ht="15.75" x14ac:dyDescent="0.2">
      <c r="A55" s="38" t="s">
        <v>468</v>
      </c>
      <c r="B55" s="362"/>
      <c r="C55" s="363"/>
      <c r="D55" s="371"/>
      <c r="E55" s="409"/>
      <c r="F55" s="145"/>
      <c r="G55" s="33"/>
      <c r="H55" s="145"/>
      <c r="I55" s="145"/>
      <c r="J55" s="33"/>
      <c r="K55" s="33"/>
      <c r="L55" s="159"/>
      <c r="M55" s="159"/>
      <c r="N55" s="148"/>
      <c r="O55" s="148"/>
    </row>
    <row r="56" spans="1:15" s="3" customFormat="1" ht="15.75" x14ac:dyDescent="0.2">
      <c r="A56" s="39" t="s">
        <v>470</v>
      </c>
      <c r="B56" s="364"/>
      <c r="C56" s="365"/>
      <c r="D56" s="371"/>
      <c r="E56" s="409"/>
      <c r="F56" s="145"/>
      <c r="G56" s="33"/>
      <c r="H56" s="145"/>
      <c r="I56" s="145"/>
      <c r="J56" s="33"/>
      <c r="K56" s="33"/>
      <c r="L56" s="159"/>
      <c r="M56" s="159"/>
      <c r="N56" s="148"/>
      <c r="O56" s="148"/>
    </row>
    <row r="57" spans="1:15" s="3" customFormat="1" ht="15.75" x14ac:dyDescent="0.2">
      <c r="A57" s="38" t="s">
        <v>467</v>
      </c>
      <c r="B57" s="362"/>
      <c r="C57" s="363"/>
      <c r="D57" s="371"/>
      <c r="E57" s="409"/>
      <c r="F57" s="145"/>
      <c r="G57" s="33"/>
      <c r="H57" s="145"/>
      <c r="I57" s="145"/>
      <c r="J57" s="33"/>
      <c r="K57" s="33"/>
      <c r="L57" s="159"/>
      <c r="M57" s="159"/>
      <c r="N57" s="148"/>
      <c r="O57" s="148"/>
    </row>
    <row r="58" spans="1:15" s="3" customFormat="1" ht="15.75" x14ac:dyDescent="0.2">
      <c r="A58" s="46" t="s">
        <v>468</v>
      </c>
      <c r="B58" s="384"/>
      <c r="C58" s="385"/>
      <c r="D58" s="375"/>
      <c r="E58" s="410"/>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355"/>
      <c r="C62" s="355"/>
      <c r="D62" s="355"/>
      <c r="E62" s="356"/>
      <c r="F62" s="355"/>
      <c r="G62" s="355"/>
      <c r="H62" s="355"/>
      <c r="I62" s="356"/>
      <c r="J62" s="355"/>
      <c r="K62" s="355"/>
      <c r="L62" s="355"/>
      <c r="M62" s="356"/>
      <c r="O62" s="148"/>
    </row>
    <row r="63" spans="1:15" x14ac:dyDescent="0.2">
      <c r="A63" s="144"/>
      <c r="B63" s="975" t="s">
        <v>0</v>
      </c>
      <c r="C63" s="976"/>
      <c r="D63" s="977"/>
      <c r="E63" s="352"/>
      <c r="F63" s="976" t="s">
        <v>1</v>
      </c>
      <c r="G63" s="976"/>
      <c r="H63" s="976"/>
      <c r="I63" s="354"/>
      <c r="J63" s="975" t="s">
        <v>2</v>
      </c>
      <c r="K63" s="976"/>
      <c r="L63" s="976"/>
      <c r="M63" s="354"/>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86"/>
      <c r="C66" s="386"/>
      <c r="D66" s="368"/>
      <c r="E66" s="369"/>
      <c r="F66" s="386"/>
      <c r="G66" s="386"/>
      <c r="H66" s="368"/>
      <c r="I66" s="369"/>
      <c r="J66" s="365"/>
      <c r="K66" s="359"/>
      <c r="L66" s="371"/>
      <c r="M66" s="369"/>
      <c r="O66" s="148"/>
    </row>
    <row r="67" spans="1:15" x14ac:dyDescent="0.2">
      <c r="A67" s="21" t="s">
        <v>9</v>
      </c>
      <c r="B67" s="362"/>
      <c r="C67" s="387"/>
      <c r="D67" s="371"/>
      <c r="E67" s="369"/>
      <c r="F67" s="374"/>
      <c r="G67" s="387"/>
      <c r="H67" s="371"/>
      <c r="I67" s="369"/>
      <c r="J67" s="363"/>
      <c r="K67" s="362"/>
      <c r="L67" s="371"/>
      <c r="M67" s="369"/>
      <c r="O67" s="148"/>
    </row>
    <row r="68" spans="1:15" x14ac:dyDescent="0.2">
      <c r="A68" s="21" t="s">
        <v>10</v>
      </c>
      <c r="B68" s="388"/>
      <c r="C68" s="389"/>
      <c r="D68" s="371"/>
      <c r="E68" s="369"/>
      <c r="F68" s="388"/>
      <c r="G68" s="389"/>
      <c r="H68" s="371"/>
      <c r="I68" s="369"/>
      <c r="J68" s="363"/>
      <c r="K68" s="362"/>
      <c r="L68" s="371"/>
      <c r="M68" s="369"/>
      <c r="O68" s="148"/>
    </row>
    <row r="69" spans="1:15" ht="15.75" x14ac:dyDescent="0.2">
      <c r="A69" s="293" t="s">
        <v>471</v>
      </c>
      <c r="B69" s="362"/>
      <c r="C69" s="362"/>
      <c r="D69" s="371"/>
      <c r="E69" s="409"/>
      <c r="F69" s="362"/>
      <c r="G69" s="362"/>
      <c r="H69" s="371"/>
      <c r="I69" s="369"/>
      <c r="J69" s="361"/>
      <c r="K69" s="361"/>
      <c r="L69" s="371"/>
      <c r="M69" s="369"/>
      <c r="O69" s="148"/>
    </row>
    <row r="70" spans="1:15" x14ac:dyDescent="0.2">
      <c r="A70" s="293" t="s">
        <v>12</v>
      </c>
      <c r="B70" s="390"/>
      <c r="C70" s="391"/>
      <c r="D70" s="371"/>
      <c r="E70" s="409"/>
      <c r="F70" s="362"/>
      <c r="G70" s="362"/>
      <c r="H70" s="371"/>
      <c r="I70" s="369"/>
      <c r="J70" s="361"/>
      <c r="K70" s="361"/>
      <c r="L70" s="371"/>
      <c r="M70" s="369"/>
      <c r="O70" s="148"/>
    </row>
    <row r="71" spans="1:15" x14ac:dyDescent="0.2">
      <c r="A71" s="293" t="s">
        <v>13</v>
      </c>
      <c r="B71" s="392"/>
      <c r="C71" s="393"/>
      <c r="D71" s="371"/>
      <c r="E71" s="409"/>
      <c r="F71" s="362"/>
      <c r="G71" s="362"/>
      <c r="H71" s="371"/>
      <c r="I71" s="369"/>
      <c r="J71" s="361"/>
      <c r="K71" s="361"/>
      <c r="L71" s="371"/>
      <c r="M71" s="369"/>
      <c r="O71" s="148"/>
    </row>
    <row r="72" spans="1:15" ht="15.75" x14ac:dyDescent="0.2">
      <c r="A72" s="293" t="s">
        <v>472</v>
      </c>
      <c r="B72" s="362"/>
      <c r="C72" s="362"/>
      <c r="D72" s="371"/>
      <c r="E72" s="409"/>
      <c r="F72" s="362"/>
      <c r="G72" s="362"/>
      <c r="H72" s="371"/>
      <c r="I72" s="369"/>
      <c r="J72" s="361"/>
      <c r="K72" s="361"/>
      <c r="L72" s="371"/>
      <c r="M72" s="369"/>
      <c r="O72" s="148"/>
    </row>
    <row r="73" spans="1:15" x14ac:dyDescent="0.2">
      <c r="A73" s="293" t="s">
        <v>12</v>
      </c>
      <c r="B73" s="392"/>
      <c r="C73" s="393"/>
      <c r="D73" s="371"/>
      <c r="E73" s="409"/>
      <c r="F73" s="362"/>
      <c r="G73" s="362"/>
      <c r="H73" s="371"/>
      <c r="I73" s="369"/>
      <c r="J73" s="361"/>
      <c r="K73" s="361"/>
      <c r="L73" s="371"/>
      <c r="M73" s="369"/>
      <c r="O73" s="148"/>
    </row>
    <row r="74" spans="1:15" s="3" customFormat="1" x14ac:dyDescent="0.2">
      <c r="A74" s="293" t="s">
        <v>13</v>
      </c>
      <c r="B74" s="392"/>
      <c r="C74" s="393"/>
      <c r="D74" s="371"/>
      <c r="E74" s="409"/>
      <c r="F74" s="362"/>
      <c r="G74" s="362"/>
      <c r="H74" s="371"/>
      <c r="I74" s="369"/>
      <c r="J74" s="361"/>
      <c r="K74" s="361"/>
      <c r="L74" s="371"/>
      <c r="M74" s="369"/>
      <c r="N74" s="148"/>
      <c r="O74" s="148"/>
    </row>
    <row r="75" spans="1:15" s="3" customFormat="1" x14ac:dyDescent="0.2">
      <c r="A75" s="21" t="s">
        <v>357</v>
      </c>
      <c r="B75" s="374"/>
      <c r="C75" s="387"/>
      <c r="D75" s="371"/>
      <c r="E75" s="369"/>
      <c r="F75" s="374"/>
      <c r="G75" s="387"/>
      <c r="H75" s="371"/>
      <c r="I75" s="369"/>
      <c r="J75" s="363"/>
      <c r="K75" s="362"/>
      <c r="L75" s="371"/>
      <c r="M75" s="369"/>
      <c r="N75" s="148"/>
      <c r="O75" s="148"/>
    </row>
    <row r="76" spans="1:15" s="3" customFormat="1" x14ac:dyDescent="0.2">
      <c r="A76" s="21" t="s">
        <v>356</v>
      </c>
      <c r="B76" s="374"/>
      <c r="C76" s="387"/>
      <c r="D76" s="371"/>
      <c r="E76" s="369"/>
      <c r="F76" s="374"/>
      <c r="G76" s="387"/>
      <c r="H76" s="371"/>
      <c r="I76" s="369"/>
      <c r="J76" s="363"/>
      <c r="K76" s="362"/>
      <c r="L76" s="371"/>
      <c r="M76" s="369"/>
      <c r="N76" s="148"/>
      <c r="O76" s="148"/>
    </row>
    <row r="77" spans="1:15" ht="15.75" x14ac:dyDescent="0.2">
      <c r="A77" s="21" t="s">
        <v>473</v>
      </c>
      <c r="B77" s="374"/>
      <c r="C77" s="374"/>
      <c r="D77" s="371"/>
      <c r="E77" s="369"/>
      <c r="F77" s="374"/>
      <c r="G77" s="387"/>
      <c r="H77" s="371"/>
      <c r="I77" s="369"/>
      <c r="J77" s="363"/>
      <c r="K77" s="362"/>
      <c r="L77" s="371"/>
      <c r="M77" s="369"/>
      <c r="O77" s="148"/>
    </row>
    <row r="78" spans="1:15" x14ac:dyDescent="0.2">
      <c r="A78" s="21" t="s">
        <v>9</v>
      </c>
      <c r="B78" s="374"/>
      <c r="C78" s="387"/>
      <c r="D78" s="371"/>
      <c r="E78" s="369"/>
      <c r="F78" s="374"/>
      <c r="G78" s="387"/>
      <c r="H78" s="371"/>
      <c r="I78" s="369"/>
      <c r="J78" s="363"/>
      <c r="K78" s="362"/>
      <c r="L78" s="371"/>
      <c r="M78" s="369"/>
      <c r="O78" s="148"/>
    </row>
    <row r="79" spans="1:15" x14ac:dyDescent="0.2">
      <c r="A79" s="21" t="s">
        <v>10</v>
      </c>
      <c r="B79" s="388"/>
      <c r="C79" s="389"/>
      <c r="D79" s="371"/>
      <c r="E79" s="369"/>
      <c r="F79" s="388"/>
      <c r="G79" s="389"/>
      <c r="H79" s="371"/>
      <c r="I79" s="369"/>
      <c r="J79" s="363"/>
      <c r="K79" s="362"/>
      <c r="L79" s="371"/>
      <c r="M79" s="369"/>
      <c r="O79" s="148"/>
    </row>
    <row r="80" spans="1:15" ht="15.75" x14ac:dyDescent="0.2">
      <c r="A80" s="293" t="s">
        <v>471</v>
      </c>
      <c r="B80" s="362"/>
      <c r="C80" s="362"/>
      <c r="D80" s="371"/>
      <c r="E80" s="369"/>
      <c r="F80" s="362"/>
      <c r="G80" s="362"/>
      <c r="H80" s="371"/>
      <c r="I80" s="369"/>
      <c r="J80" s="361"/>
      <c r="K80" s="361"/>
      <c r="L80" s="371"/>
      <c r="M80" s="369"/>
      <c r="O80" s="148"/>
    </row>
    <row r="81" spans="1:15" x14ac:dyDescent="0.2">
      <c r="A81" s="293" t="s">
        <v>12</v>
      </c>
      <c r="B81" s="392"/>
      <c r="C81" s="393"/>
      <c r="D81" s="371"/>
      <c r="E81" s="369"/>
      <c r="F81" s="362"/>
      <c r="G81" s="362"/>
      <c r="H81" s="371"/>
      <c r="I81" s="369"/>
      <c r="J81" s="361"/>
      <c r="K81" s="361"/>
      <c r="L81" s="371"/>
      <c r="M81" s="369"/>
      <c r="O81" s="148"/>
    </row>
    <row r="82" spans="1:15" x14ac:dyDescent="0.2">
      <c r="A82" s="293" t="s">
        <v>13</v>
      </c>
      <c r="B82" s="392"/>
      <c r="C82" s="393"/>
      <c r="D82" s="371"/>
      <c r="E82" s="369"/>
      <c r="F82" s="362"/>
      <c r="G82" s="362"/>
      <c r="H82" s="371"/>
      <c r="I82" s="369"/>
      <c r="J82" s="361"/>
      <c r="K82" s="361"/>
      <c r="L82" s="371"/>
      <c r="M82" s="369"/>
      <c r="O82" s="148"/>
    </row>
    <row r="83" spans="1:15" ht="15.75" x14ac:dyDescent="0.2">
      <c r="A83" s="293" t="s">
        <v>472</v>
      </c>
      <c r="B83" s="362"/>
      <c r="C83" s="362"/>
      <c r="D83" s="371"/>
      <c r="E83" s="369"/>
      <c r="F83" s="362"/>
      <c r="G83" s="362"/>
      <c r="H83" s="371"/>
      <c r="I83" s="369"/>
      <c r="J83" s="361"/>
      <c r="K83" s="361"/>
      <c r="L83" s="371"/>
      <c r="M83" s="369"/>
      <c r="O83" s="148"/>
    </row>
    <row r="84" spans="1:15" x14ac:dyDescent="0.2">
      <c r="A84" s="293" t="s">
        <v>12</v>
      </c>
      <c r="B84" s="392"/>
      <c r="C84" s="393"/>
      <c r="D84" s="371"/>
      <c r="E84" s="369"/>
      <c r="F84" s="362"/>
      <c r="G84" s="362"/>
      <c r="H84" s="371"/>
      <c r="I84" s="369"/>
      <c r="J84" s="361"/>
      <c r="K84" s="361"/>
      <c r="L84" s="371"/>
      <c r="M84" s="369"/>
      <c r="O84" s="148"/>
    </row>
    <row r="85" spans="1:15" x14ac:dyDescent="0.2">
      <c r="A85" s="293" t="s">
        <v>13</v>
      </c>
      <c r="B85" s="392"/>
      <c r="C85" s="393"/>
      <c r="D85" s="371"/>
      <c r="E85" s="369"/>
      <c r="F85" s="362"/>
      <c r="G85" s="362"/>
      <c r="H85" s="371"/>
      <c r="I85" s="369"/>
      <c r="J85" s="361"/>
      <c r="K85" s="361"/>
      <c r="L85" s="371"/>
      <c r="M85" s="369"/>
      <c r="O85" s="148"/>
    </row>
    <row r="86" spans="1:15" ht="15.75" x14ac:dyDescent="0.2">
      <c r="A86" s="21" t="s">
        <v>474</v>
      </c>
      <c r="B86" s="374"/>
      <c r="C86" s="387"/>
      <c r="D86" s="371"/>
      <c r="E86" s="369"/>
      <c r="F86" s="374"/>
      <c r="G86" s="387"/>
      <c r="H86" s="371"/>
      <c r="I86" s="369"/>
      <c r="J86" s="363"/>
      <c r="K86" s="362"/>
      <c r="L86" s="371"/>
      <c r="M86" s="369"/>
      <c r="O86" s="148"/>
    </row>
    <row r="87" spans="1:15" ht="15.75" x14ac:dyDescent="0.2">
      <c r="A87" s="13" t="s">
        <v>456</v>
      </c>
      <c r="B87" s="386"/>
      <c r="C87" s="386"/>
      <c r="D87" s="371"/>
      <c r="E87" s="369"/>
      <c r="F87" s="386"/>
      <c r="G87" s="386"/>
      <c r="H87" s="371"/>
      <c r="I87" s="369"/>
      <c r="J87" s="365"/>
      <c r="K87" s="364"/>
      <c r="L87" s="371"/>
      <c r="M87" s="369"/>
      <c r="O87" s="148"/>
    </row>
    <row r="88" spans="1:15" x14ac:dyDescent="0.2">
      <c r="A88" s="21" t="s">
        <v>9</v>
      </c>
      <c r="B88" s="374"/>
      <c r="C88" s="387"/>
      <c r="D88" s="371"/>
      <c r="E88" s="369"/>
      <c r="F88" s="374"/>
      <c r="G88" s="387"/>
      <c r="H88" s="371"/>
      <c r="I88" s="369"/>
      <c r="J88" s="363"/>
      <c r="K88" s="362"/>
      <c r="L88" s="371"/>
      <c r="M88" s="369"/>
      <c r="O88" s="148"/>
    </row>
    <row r="89" spans="1:15" x14ac:dyDescent="0.2">
      <c r="A89" s="21" t="s">
        <v>10</v>
      </c>
      <c r="B89" s="374"/>
      <c r="C89" s="387"/>
      <c r="D89" s="371"/>
      <c r="E89" s="369"/>
      <c r="F89" s="374"/>
      <c r="G89" s="387"/>
      <c r="H89" s="371"/>
      <c r="I89" s="369"/>
      <c r="J89" s="363"/>
      <c r="K89" s="362"/>
      <c r="L89" s="371"/>
      <c r="M89" s="369"/>
      <c r="O89" s="148"/>
    </row>
    <row r="90" spans="1:15" ht="15.75" x14ac:dyDescent="0.2">
      <c r="A90" s="293" t="s">
        <v>471</v>
      </c>
      <c r="B90" s="362"/>
      <c r="C90" s="362"/>
      <c r="D90" s="371"/>
      <c r="E90" s="369"/>
      <c r="F90" s="362"/>
      <c r="G90" s="362"/>
      <c r="H90" s="371"/>
      <c r="I90" s="369"/>
      <c r="J90" s="361"/>
      <c r="K90" s="361"/>
      <c r="L90" s="371"/>
      <c r="M90" s="369"/>
      <c r="O90" s="148"/>
    </row>
    <row r="91" spans="1:15" x14ac:dyDescent="0.2">
      <c r="A91" s="293" t="s">
        <v>12</v>
      </c>
      <c r="B91" s="392"/>
      <c r="C91" s="393"/>
      <c r="D91" s="371"/>
      <c r="E91" s="369"/>
      <c r="F91" s="362"/>
      <c r="G91" s="362"/>
      <c r="H91" s="371"/>
      <c r="I91" s="369"/>
      <c r="J91" s="361"/>
      <c r="K91" s="361"/>
      <c r="L91" s="371"/>
      <c r="M91" s="369"/>
      <c r="O91" s="148"/>
    </row>
    <row r="92" spans="1:15" x14ac:dyDescent="0.2">
      <c r="A92" s="293" t="s">
        <v>13</v>
      </c>
      <c r="B92" s="392"/>
      <c r="C92" s="393"/>
      <c r="D92" s="371"/>
      <c r="E92" s="369"/>
      <c r="F92" s="362"/>
      <c r="G92" s="362"/>
      <c r="H92" s="371"/>
      <c r="I92" s="369"/>
      <c r="J92" s="361"/>
      <c r="K92" s="361"/>
      <c r="L92" s="371"/>
      <c r="M92" s="369"/>
      <c r="O92" s="148"/>
    </row>
    <row r="93" spans="1:15" ht="15.75" x14ac:dyDescent="0.2">
      <c r="A93" s="293" t="s">
        <v>472</v>
      </c>
      <c r="B93" s="362"/>
      <c r="C93" s="362"/>
      <c r="D93" s="371"/>
      <c r="E93" s="369"/>
      <c r="F93" s="362"/>
      <c r="G93" s="362"/>
      <c r="H93" s="371"/>
      <c r="I93" s="369"/>
      <c r="J93" s="361"/>
      <c r="K93" s="361"/>
      <c r="L93" s="371"/>
      <c r="M93" s="369"/>
      <c r="O93" s="148"/>
    </row>
    <row r="94" spans="1:15" x14ac:dyDescent="0.2">
      <c r="A94" s="293" t="s">
        <v>12</v>
      </c>
      <c r="B94" s="392"/>
      <c r="C94" s="393"/>
      <c r="D94" s="371"/>
      <c r="E94" s="369"/>
      <c r="F94" s="362"/>
      <c r="G94" s="362"/>
      <c r="H94" s="371"/>
      <c r="I94" s="369"/>
      <c r="J94" s="361"/>
      <c r="K94" s="361"/>
      <c r="L94" s="371"/>
      <c r="M94" s="369"/>
      <c r="O94" s="148"/>
    </row>
    <row r="95" spans="1:15" x14ac:dyDescent="0.2">
      <c r="A95" s="293" t="s">
        <v>13</v>
      </c>
      <c r="B95" s="392"/>
      <c r="C95" s="393"/>
      <c r="D95" s="371"/>
      <c r="E95" s="369"/>
      <c r="F95" s="362"/>
      <c r="G95" s="362"/>
      <c r="H95" s="371"/>
      <c r="I95" s="369"/>
      <c r="J95" s="361"/>
      <c r="K95" s="361"/>
      <c r="L95" s="371"/>
      <c r="M95" s="369"/>
      <c r="O95" s="148"/>
    </row>
    <row r="96" spans="1:15" x14ac:dyDescent="0.2">
      <c r="A96" s="21" t="s">
        <v>355</v>
      </c>
      <c r="B96" s="374"/>
      <c r="C96" s="387"/>
      <c r="D96" s="371"/>
      <c r="E96" s="369"/>
      <c r="F96" s="374"/>
      <c r="G96" s="387"/>
      <c r="H96" s="371"/>
      <c r="I96" s="369"/>
      <c r="J96" s="363"/>
      <c r="K96" s="362"/>
      <c r="L96" s="371"/>
      <c r="M96" s="369"/>
      <c r="O96" s="148"/>
    </row>
    <row r="97" spans="1:15" x14ac:dyDescent="0.2">
      <c r="A97" s="21" t="s">
        <v>354</v>
      </c>
      <c r="B97" s="374"/>
      <c r="C97" s="387"/>
      <c r="D97" s="371"/>
      <c r="E97" s="369"/>
      <c r="F97" s="374"/>
      <c r="G97" s="387"/>
      <c r="H97" s="371"/>
      <c r="I97" s="369"/>
      <c r="J97" s="363"/>
      <c r="K97" s="362"/>
      <c r="L97" s="371"/>
      <c r="M97" s="369"/>
      <c r="O97" s="148"/>
    </row>
    <row r="98" spans="1:15" ht="15.75" x14ac:dyDescent="0.2">
      <c r="A98" s="21" t="s">
        <v>473</v>
      </c>
      <c r="B98" s="374"/>
      <c r="C98" s="374"/>
      <c r="D98" s="371"/>
      <c r="E98" s="369"/>
      <c r="F98" s="388"/>
      <c r="G98" s="388"/>
      <c r="H98" s="371"/>
      <c r="I98" s="369"/>
      <c r="J98" s="363"/>
      <c r="K98" s="362"/>
      <c r="L98" s="371"/>
      <c r="M98" s="369"/>
      <c r="O98" s="148"/>
    </row>
    <row r="99" spans="1:15" x14ac:dyDescent="0.2">
      <c r="A99" s="21" t="s">
        <v>9</v>
      </c>
      <c r="B99" s="388"/>
      <c r="C99" s="389"/>
      <c r="D99" s="371"/>
      <c r="E99" s="369"/>
      <c r="F99" s="374"/>
      <c r="G99" s="387"/>
      <c r="H99" s="371"/>
      <c r="I99" s="369"/>
      <c r="J99" s="363"/>
      <c r="K99" s="362"/>
      <c r="L99" s="371"/>
      <c r="M99" s="369"/>
      <c r="O99" s="148"/>
    </row>
    <row r="100" spans="1:15" x14ac:dyDescent="0.2">
      <c r="A100" s="21" t="s">
        <v>10</v>
      </c>
      <c r="B100" s="388"/>
      <c r="C100" s="389"/>
      <c r="D100" s="371"/>
      <c r="E100" s="369"/>
      <c r="F100" s="374"/>
      <c r="G100" s="374"/>
      <c r="H100" s="371"/>
      <c r="I100" s="369"/>
      <c r="J100" s="363"/>
      <c r="K100" s="362"/>
      <c r="L100" s="371"/>
      <c r="M100" s="369"/>
      <c r="O100" s="148"/>
    </row>
    <row r="101" spans="1:15" ht="15.75" x14ac:dyDescent="0.2">
      <c r="A101" s="293" t="s">
        <v>471</v>
      </c>
      <c r="B101" s="362"/>
      <c r="C101" s="362"/>
      <c r="D101" s="371"/>
      <c r="E101" s="369"/>
      <c r="F101" s="362"/>
      <c r="G101" s="362"/>
      <c r="H101" s="371"/>
      <c r="I101" s="369"/>
      <c r="J101" s="361"/>
      <c r="K101" s="361"/>
      <c r="L101" s="371"/>
      <c r="M101" s="369"/>
      <c r="O101" s="148"/>
    </row>
    <row r="102" spans="1:15" x14ac:dyDescent="0.2">
      <c r="A102" s="293" t="s">
        <v>12</v>
      </c>
      <c r="B102" s="392"/>
      <c r="C102" s="393"/>
      <c r="D102" s="371"/>
      <c r="E102" s="369"/>
      <c r="F102" s="362"/>
      <c r="G102" s="362"/>
      <c r="H102" s="371"/>
      <c r="I102" s="369"/>
      <c r="J102" s="361"/>
      <c r="K102" s="361"/>
      <c r="L102" s="371"/>
      <c r="M102" s="369"/>
      <c r="O102" s="148"/>
    </row>
    <row r="103" spans="1:15" x14ac:dyDescent="0.2">
      <c r="A103" s="293" t="s">
        <v>13</v>
      </c>
      <c r="B103" s="392"/>
      <c r="C103" s="393"/>
      <c r="D103" s="371"/>
      <c r="E103" s="369"/>
      <c r="F103" s="362"/>
      <c r="G103" s="362"/>
      <c r="H103" s="371"/>
      <c r="I103" s="369"/>
      <c r="J103" s="361"/>
      <c r="K103" s="361"/>
      <c r="L103" s="371"/>
      <c r="M103" s="369"/>
      <c r="O103" s="148"/>
    </row>
    <row r="104" spans="1:15" ht="15.75" x14ac:dyDescent="0.2">
      <c r="A104" s="293" t="s">
        <v>472</v>
      </c>
      <c r="B104" s="362"/>
      <c r="C104" s="362"/>
      <c r="D104" s="371"/>
      <c r="E104" s="369"/>
      <c r="F104" s="362"/>
      <c r="G104" s="362"/>
      <c r="H104" s="371"/>
      <c r="I104" s="369"/>
      <c r="J104" s="361"/>
      <c r="K104" s="361"/>
      <c r="L104" s="371"/>
      <c r="M104" s="369"/>
      <c r="O104" s="148"/>
    </row>
    <row r="105" spans="1:15" x14ac:dyDescent="0.2">
      <c r="A105" s="293" t="s">
        <v>12</v>
      </c>
      <c r="B105" s="392"/>
      <c r="C105" s="393"/>
      <c r="D105" s="371"/>
      <c r="E105" s="369"/>
      <c r="F105" s="362"/>
      <c r="G105" s="362"/>
      <c r="H105" s="371"/>
      <c r="I105" s="369"/>
      <c r="J105" s="361"/>
      <c r="K105" s="361"/>
      <c r="L105" s="371"/>
      <c r="M105" s="369"/>
      <c r="O105" s="148"/>
    </row>
    <row r="106" spans="1:15" x14ac:dyDescent="0.2">
      <c r="A106" s="293" t="s">
        <v>13</v>
      </c>
      <c r="B106" s="392"/>
      <c r="C106" s="393"/>
      <c r="D106" s="371"/>
      <c r="E106" s="369"/>
      <c r="F106" s="362"/>
      <c r="G106" s="362"/>
      <c r="H106" s="371"/>
      <c r="I106" s="369"/>
      <c r="J106" s="361"/>
      <c r="K106" s="361"/>
      <c r="L106" s="371"/>
      <c r="M106" s="369"/>
      <c r="O106" s="148"/>
    </row>
    <row r="107" spans="1:15" ht="15.75" x14ac:dyDescent="0.2">
      <c r="A107" s="21" t="s">
        <v>474</v>
      </c>
      <c r="B107" s="374"/>
      <c r="C107" s="387"/>
      <c r="D107" s="371"/>
      <c r="E107" s="369"/>
      <c r="F107" s="374"/>
      <c r="G107" s="387"/>
      <c r="H107" s="371"/>
      <c r="I107" s="369"/>
      <c r="J107" s="363"/>
      <c r="K107" s="362"/>
      <c r="L107" s="371"/>
      <c r="M107" s="369"/>
      <c r="O107" s="148"/>
    </row>
    <row r="108" spans="1:15" ht="15.75" x14ac:dyDescent="0.2">
      <c r="A108" s="21" t="s">
        <v>475</v>
      </c>
      <c r="B108" s="374"/>
      <c r="C108" s="374"/>
      <c r="D108" s="371"/>
      <c r="E108" s="369"/>
      <c r="F108" s="374"/>
      <c r="G108" s="374"/>
      <c r="H108" s="371"/>
      <c r="I108" s="369"/>
      <c r="J108" s="363"/>
      <c r="K108" s="362"/>
      <c r="L108" s="371"/>
      <c r="M108" s="369"/>
      <c r="O108" s="148"/>
    </row>
    <row r="109" spans="1:15" ht="15.75" x14ac:dyDescent="0.2">
      <c r="A109" s="21" t="s">
        <v>476</v>
      </c>
      <c r="B109" s="374"/>
      <c r="C109" s="374"/>
      <c r="D109" s="371"/>
      <c r="E109" s="369"/>
      <c r="F109" s="374"/>
      <c r="G109" s="374"/>
      <c r="H109" s="371"/>
      <c r="I109" s="369"/>
      <c r="J109" s="363"/>
      <c r="K109" s="362"/>
      <c r="L109" s="371"/>
      <c r="M109" s="369"/>
      <c r="O109" s="148"/>
    </row>
    <row r="110" spans="1:15" ht="15.75" x14ac:dyDescent="0.2">
      <c r="A110" s="21" t="s">
        <v>477</v>
      </c>
      <c r="B110" s="374"/>
      <c r="C110" s="374"/>
      <c r="D110" s="371"/>
      <c r="E110" s="369"/>
      <c r="F110" s="374"/>
      <c r="G110" s="374"/>
      <c r="H110" s="371"/>
      <c r="I110" s="369"/>
      <c r="J110" s="363"/>
      <c r="K110" s="362"/>
      <c r="L110" s="371"/>
      <c r="M110" s="369"/>
      <c r="O110" s="148"/>
    </row>
    <row r="111" spans="1:15" ht="15.75" x14ac:dyDescent="0.2">
      <c r="A111" s="13" t="s">
        <v>457</v>
      </c>
      <c r="B111" s="370"/>
      <c r="C111" s="394"/>
      <c r="D111" s="371"/>
      <c r="E111" s="369"/>
      <c r="F111" s="370"/>
      <c r="G111" s="394"/>
      <c r="H111" s="371"/>
      <c r="I111" s="369"/>
      <c r="J111" s="365"/>
      <c r="K111" s="364"/>
      <c r="L111" s="371"/>
      <c r="M111" s="369"/>
      <c r="O111" s="148"/>
    </row>
    <row r="112" spans="1:15" x14ac:dyDescent="0.2">
      <c r="A112" s="21" t="s">
        <v>9</v>
      </c>
      <c r="B112" s="374"/>
      <c r="C112" s="387"/>
      <c r="D112" s="371"/>
      <c r="E112" s="369"/>
      <c r="F112" s="374"/>
      <c r="G112" s="387"/>
      <c r="H112" s="371"/>
      <c r="I112" s="369"/>
      <c r="J112" s="363"/>
      <c r="K112" s="362"/>
      <c r="L112" s="371"/>
      <c r="M112" s="369"/>
      <c r="O112" s="148"/>
    </row>
    <row r="113" spans="1:15" x14ac:dyDescent="0.2">
      <c r="A113" s="21" t="s">
        <v>10</v>
      </c>
      <c r="B113" s="374"/>
      <c r="C113" s="387"/>
      <c r="D113" s="371"/>
      <c r="E113" s="369"/>
      <c r="F113" s="374"/>
      <c r="G113" s="387"/>
      <c r="H113" s="371"/>
      <c r="I113" s="369"/>
      <c r="J113" s="363"/>
      <c r="K113" s="362"/>
      <c r="L113" s="371"/>
      <c r="M113" s="369"/>
      <c r="O113" s="148"/>
    </row>
    <row r="114" spans="1:15" x14ac:dyDescent="0.2">
      <c r="A114" s="21" t="s">
        <v>26</v>
      </c>
      <c r="B114" s="374"/>
      <c r="C114" s="387"/>
      <c r="D114" s="371"/>
      <c r="E114" s="369"/>
      <c r="F114" s="374"/>
      <c r="G114" s="387"/>
      <c r="H114" s="371"/>
      <c r="I114" s="369"/>
      <c r="J114" s="363"/>
      <c r="K114" s="362"/>
      <c r="L114" s="371"/>
      <c r="M114" s="369"/>
      <c r="O114" s="148"/>
    </row>
    <row r="115" spans="1:15" x14ac:dyDescent="0.2">
      <c r="A115" s="293" t="s">
        <v>15</v>
      </c>
      <c r="B115" s="362"/>
      <c r="C115" s="362"/>
      <c r="D115" s="371"/>
      <c r="E115" s="369"/>
      <c r="F115" s="362"/>
      <c r="G115" s="362"/>
      <c r="H115" s="371"/>
      <c r="I115" s="369"/>
      <c r="J115" s="361"/>
      <c r="K115" s="361"/>
      <c r="L115" s="371"/>
      <c r="M115" s="369"/>
      <c r="O115" s="148"/>
    </row>
    <row r="116" spans="1:15" ht="15.75" x14ac:dyDescent="0.2">
      <c r="A116" s="21" t="s">
        <v>478</v>
      </c>
      <c r="B116" s="374"/>
      <c r="C116" s="374"/>
      <c r="D116" s="371"/>
      <c r="E116" s="369"/>
      <c r="F116" s="374"/>
      <c r="G116" s="374"/>
      <c r="H116" s="371"/>
      <c r="I116" s="369"/>
      <c r="J116" s="363"/>
      <c r="K116" s="362"/>
      <c r="L116" s="371"/>
      <c r="M116" s="369"/>
      <c r="O116" s="148"/>
    </row>
    <row r="117" spans="1:15" ht="15.75" x14ac:dyDescent="0.2">
      <c r="A117" s="21" t="s">
        <v>479</v>
      </c>
      <c r="B117" s="374"/>
      <c r="C117" s="374"/>
      <c r="D117" s="371"/>
      <c r="E117" s="369"/>
      <c r="F117" s="374"/>
      <c r="G117" s="374"/>
      <c r="H117" s="371"/>
      <c r="I117" s="369"/>
      <c r="J117" s="363"/>
      <c r="K117" s="362"/>
      <c r="L117" s="371"/>
      <c r="M117" s="369"/>
      <c r="O117" s="148"/>
    </row>
    <row r="118" spans="1:15" ht="15.75" x14ac:dyDescent="0.2">
      <c r="A118" s="21" t="s">
        <v>477</v>
      </c>
      <c r="B118" s="374"/>
      <c r="C118" s="374"/>
      <c r="D118" s="371"/>
      <c r="E118" s="369"/>
      <c r="F118" s="374"/>
      <c r="G118" s="374"/>
      <c r="H118" s="371"/>
      <c r="I118" s="369"/>
      <c r="J118" s="363"/>
      <c r="K118" s="362"/>
      <c r="L118" s="371"/>
      <c r="M118" s="369"/>
      <c r="O118" s="148"/>
    </row>
    <row r="119" spans="1:15" ht="15.75" x14ac:dyDescent="0.2">
      <c r="A119" s="13" t="s">
        <v>458</v>
      </c>
      <c r="B119" s="370"/>
      <c r="C119" s="394"/>
      <c r="D119" s="371"/>
      <c r="E119" s="369"/>
      <c r="F119" s="370"/>
      <c r="G119" s="394"/>
      <c r="H119" s="371"/>
      <c r="I119" s="369"/>
      <c r="J119" s="365"/>
      <c r="K119" s="364"/>
      <c r="L119" s="371"/>
      <c r="M119" s="369"/>
      <c r="O119" s="148"/>
    </row>
    <row r="120" spans="1:15" x14ac:dyDescent="0.2">
      <c r="A120" s="21" t="s">
        <v>9</v>
      </c>
      <c r="B120" s="374"/>
      <c r="C120" s="387"/>
      <c r="D120" s="371"/>
      <c r="E120" s="369"/>
      <c r="F120" s="374"/>
      <c r="G120" s="387"/>
      <c r="H120" s="371"/>
      <c r="I120" s="369"/>
      <c r="J120" s="363"/>
      <c r="K120" s="362"/>
      <c r="L120" s="371"/>
      <c r="M120" s="369"/>
      <c r="O120" s="148"/>
    </row>
    <row r="121" spans="1:15" x14ac:dyDescent="0.2">
      <c r="A121" s="21" t="s">
        <v>10</v>
      </c>
      <c r="B121" s="374"/>
      <c r="C121" s="387"/>
      <c r="D121" s="371"/>
      <c r="E121" s="369"/>
      <c r="F121" s="374"/>
      <c r="G121" s="387"/>
      <c r="H121" s="371"/>
      <c r="I121" s="369"/>
      <c r="J121" s="363"/>
      <c r="K121" s="362"/>
      <c r="L121" s="371"/>
      <c r="M121" s="369"/>
      <c r="O121" s="148"/>
    </row>
    <row r="122" spans="1:15" x14ac:dyDescent="0.2">
      <c r="A122" s="21" t="s">
        <v>26</v>
      </c>
      <c r="B122" s="374"/>
      <c r="C122" s="387"/>
      <c r="D122" s="371"/>
      <c r="E122" s="369"/>
      <c r="F122" s="374"/>
      <c r="G122" s="387"/>
      <c r="H122" s="371"/>
      <c r="I122" s="369"/>
      <c r="J122" s="363"/>
      <c r="K122" s="362"/>
      <c r="L122" s="371"/>
      <c r="M122" s="369"/>
      <c r="O122" s="148"/>
    </row>
    <row r="123" spans="1:15" x14ac:dyDescent="0.2">
      <c r="A123" s="293" t="s">
        <v>14</v>
      </c>
      <c r="B123" s="362"/>
      <c r="C123" s="362"/>
      <c r="D123" s="371"/>
      <c r="E123" s="369"/>
      <c r="F123" s="362"/>
      <c r="G123" s="362"/>
      <c r="H123" s="371"/>
      <c r="I123" s="369"/>
      <c r="J123" s="361"/>
      <c r="K123" s="361"/>
      <c r="L123" s="371"/>
      <c r="M123" s="369"/>
      <c r="O123" s="148"/>
    </row>
    <row r="124" spans="1:15" ht="15.75" x14ac:dyDescent="0.2">
      <c r="A124" s="21" t="s">
        <v>484</v>
      </c>
      <c r="B124" s="374"/>
      <c r="C124" s="374"/>
      <c r="D124" s="371"/>
      <c r="E124" s="369"/>
      <c r="F124" s="374"/>
      <c r="G124" s="374"/>
      <c r="H124" s="371"/>
      <c r="I124" s="369"/>
      <c r="J124" s="363"/>
      <c r="K124" s="362"/>
      <c r="L124" s="371"/>
      <c r="M124" s="369"/>
      <c r="O124" s="148"/>
    </row>
    <row r="125" spans="1:15" ht="15.75" x14ac:dyDescent="0.2">
      <c r="A125" s="21" t="s">
        <v>476</v>
      </c>
      <c r="B125" s="374"/>
      <c r="C125" s="374"/>
      <c r="D125" s="371"/>
      <c r="E125" s="369"/>
      <c r="F125" s="374"/>
      <c r="G125" s="374"/>
      <c r="H125" s="371"/>
      <c r="I125" s="369"/>
      <c r="J125" s="363"/>
      <c r="K125" s="362"/>
      <c r="L125" s="371"/>
      <c r="M125" s="369"/>
      <c r="O125" s="148"/>
    </row>
    <row r="126" spans="1:15" ht="15.75" x14ac:dyDescent="0.2">
      <c r="A126" s="10" t="s">
        <v>477</v>
      </c>
      <c r="B126" s="384"/>
      <c r="C126" s="384"/>
      <c r="D126" s="375"/>
      <c r="E126" s="395"/>
      <c r="F126" s="384"/>
      <c r="G126" s="384"/>
      <c r="H126" s="375"/>
      <c r="I126" s="375"/>
      <c r="J126" s="385"/>
      <c r="K126" s="384"/>
      <c r="L126" s="375"/>
      <c r="M126" s="375"/>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355"/>
      <c r="C130" s="355"/>
      <c r="D130" s="355"/>
      <c r="E130" s="356"/>
      <c r="F130" s="355"/>
      <c r="G130" s="355"/>
      <c r="H130" s="355"/>
      <c r="I130" s="356"/>
      <c r="J130" s="355"/>
      <c r="K130" s="355"/>
      <c r="L130" s="355"/>
      <c r="M130" s="356"/>
      <c r="O130" s="148"/>
    </row>
    <row r="131" spans="1:15" s="3" customFormat="1" x14ac:dyDescent="0.2">
      <c r="A131" s="144"/>
      <c r="B131" s="975" t="s">
        <v>0</v>
      </c>
      <c r="C131" s="976"/>
      <c r="D131" s="976"/>
      <c r="E131" s="353"/>
      <c r="F131" s="975" t="s">
        <v>1</v>
      </c>
      <c r="G131" s="976"/>
      <c r="H131" s="976"/>
      <c r="I131" s="354"/>
      <c r="J131" s="975" t="s">
        <v>2</v>
      </c>
      <c r="K131" s="976"/>
      <c r="L131" s="976"/>
      <c r="M131" s="354"/>
      <c r="N131" s="148"/>
      <c r="O131" s="148"/>
    </row>
    <row r="132" spans="1:15" s="3" customFormat="1" x14ac:dyDescent="0.2">
      <c r="A132" s="140"/>
      <c r="B132" s="152" t="s">
        <v>500</v>
      </c>
      <c r="C132" s="152" t="s">
        <v>501</v>
      </c>
      <c r="D132" s="244" t="s">
        <v>3</v>
      </c>
      <c r="E132" s="302" t="s">
        <v>29</v>
      </c>
      <c r="F132" s="152" t="s">
        <v>500</v>
      </c>
      <c r="G132" s="152" t="s">
        <v>501</v>
      </c>
      <c r="H132" s="205" t="s">
        <v>3</v>
      </c>
      <c r="I132" s="30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364"/>
      <c r="C134" s="365"/>
      <c r="D134" s="368"/>
      <c r="E134" s="369"/>
      <c r="F134" s="359"/>
      <c r="G134" s="360"/>
      <c r="H134" s="396"/>
      <c r="I134" s="369"/>
      <c r="J134" s="377"/>
      <c r="K134" s="377"/>
      <c r="L134" s="368"/>
      <c r="M134" s="369"/>
      <c r="N134" s="148"/>
      <c r="O134" s="148"/>
    </row>
    <row r="135" spans="1:15" s="3" customFormat="1" ht="15.75" x14ac:dyDescent="0.2">
      <c r="A135" s="13" t="s">
        <v>485</v>
      </c>
      <c r="B135" s="364"/>
      <c r="C135" s="365"/>
      <c r="D135" s="371"/>
      <c r="E135" s="369"/>
      <c r="F135" s="364"/>
      <c r="G135" s="365"/>
      <c r="H135" s="397"/>
      <c r="I135" s="369"/>
      <c r="J135" s="370"/>
      <c r="K135" s="370"/>
      <c r="L135" s="371"/>
      <c r="M135" s="369"/>
      <c r="N135" s="148"/>
      <c r="O135" s="148"/>
    </row>
    <row r="136" spans="1:15" s="3" customFormat="1" ht="15.75" x14ac:dyDescent="0.2">
      <c r="A136" s="13" t="s">
        <v>482</v>
      </c>
      <c r="B136" s="364"/>
      <c r="C136" s="365"/>
      <c r="D136" s="371"/>
      <c r="E136" s="369"/>
      <c r="F136" s="364"/>
      <c r="G136" s="365"/>
      <c r="H136" s="397"/>
      <c r="I136" s="369"/>
      <c r="J136" s="370"/>
      <c r="K136" s="370"/>
      <c r="L136" s="371"/>
      <c r="M136" s="369"/>
      <c r="N136" s="148"/>
      <c r="O136" s="148"/>
    </row>
    <row r="137" spans="1:15" s="3" customFormat="1" ht="15.75" x14ac:dyDescent="0.2">
      <c r="A137" s="41" t="s">
        <v>483</v>
      </c>
      <c r="B137" s="366"/>
      <c r="C137" s="367"/>
      <c r="D137" s="375"/>
      <c r="E137" s="395"/>
      <c r="F137" s="366"/>
      <c r="G137" s="367"/>
      <c r="H137" s="398"/>
      <c r="I137" s="395"/>
      <c r="J137" s="376"/>
      <c r="K137" s="376"/>
      <c r="L137" s="375"/>
      <c r="M137" s="375"/>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2280" priority="132">
      <formula>kvartal &lt; 4</formula>
    </cfRule>
  </conditionalFormatting>
  <conditionalFormatting sqref="B69">
    <cfRule type="expression" dxfId="2279" priority="100">
      <formula>kvartal &lt; 4</formula>
    </cfRule>
  </conditionalFormatting>
  <conditionalFormatting sqref="C69">
    <cfRule type="expression" dxfId="2278" priority="99">
      <formula>kvartal &lt; 4</formula>
    </cfRule>
  </conditionalFormatting>
  <conditionalFormatting sqref="B72">
    <cfRule type="expression" dxfId="2277" priority="98">
      <formula>kvartal &lt; 4</formula>
    </cfRule>
  </conditionalFormatting>
  <conditionalFormatting sqref="C72">
    <cfRule type="expression" dxfId="2276" priority="97">
      <formula>kvartal &lt; 4</formula>
    </cfRule>
  </conditionalFormatting>
  <conditionalFormatting sqref="B80">
    <cfRule type="expression" dxfId="2275" priority="96">
      <formula>kvartal &lt; 4</formula>
    </cfRule>
  </conditionalFormatting>
  <conditionalFormatting sqref="C80">
    <cfRule type="expression" dxfId="2274" priority="95">
      <formula>kvartal &lt; 4</formula>
    </cfRule>
  </conditionalFormatting>
  <conditionalFormatting sqref="B83">
    <cfRule type="expression" dxfId="2273" priority="94">
      <formula>kvartal &lt; 4</formula>
    </cfRule>
  </conditionalFormatting>
  <conditionalFormatting sqref="C83">
    <cfRule type="expression" dxfId="2272" priority="93">
      <formula>kvartal &lt; 4</formula>
    </cfRule>
  </conditionalFormatting>
  <conditionalFormatting sqref="B90">
    <cfRule type="expression" dxfId="2271" priority="84">
      <formula>kvartal &lt; 4</formula>
    </cfRule>
  </conditionalFormatting>
  <conditionalFormatting sqref="C90">
    <cfRule type="expression" dxfId="2270" priority="83">
      <formula>kvartal &lt; 4</formula>
    </cfRule>
  </conditionalFormatting>
  <conditionalFormatting sqref="B93">
    <cfRule type="expression" dxfId="2269" priority="82">
      <formula>kvartal &lt; 4</formula>
    </cfRule>
  </conditionalFormatting>
  <conditionalFormatting sqref="C93">
    <cfRule type="expression" dxfId="2268" priority="81">
      <formula>kvartal &lt; 4</formula>
    </cfRule>
  </conditionalFormatting>
  <conditionalFormatting sqref="B101">
    <cfRule type="expression" dxfId="2267" priority="80">
      <formula>kvartal &lt; 4</formula>
    </cfRule>
  </conditionalFormatting>
  <conditionalFormatting sqref="C101">
    <cfRule type="expression" dxfId="2266" priority="79">
      <formula>kvartal &lt; 4</formula>
    </cfRule>
  </conditionalFormatting>
  <conditionalFormatting sqref="B104">
    <cfRule type="expression" dxfId="2265" priority="78">
      <formula>kvartal &lt; 4</formula>
    </cfRule>
  </conditionalFormatting>
  <conditionalFormatting sqref="C104">
    <cfRule type="expression" dxfId="2264" priority="77">
      <formula>kvartal &lt; 4</formula>
    </cfRule>
  </conditionalFormatting>
  <conditionalFormatting sqref="B115">
    <cfRule type="expression" dxfId="2263" priority="76">
      <formula>kvartal &lt; 4</formula>
    </cfRule>
  </conditionalFormatting>
  <conditionalFormatting sqref="C115">
    <cfRule type="expression" dxfId="2262" priority="75">
      <formula>kvartal &lt; 4</formula>
    </cfRule>
  </conditionalFormatting>
  <conditionalFormatting sqref="B123">
    <cfRule type="expression" dxfId="2261" priority="74">
      <formula>kvartal &lt; 4</formula>
    </cfRule>
  </conditionalFormatting>
  <conditionalFormatting sqref="C123">
    <cfRule type="expression" dxfId="2260" priority="73">
      <formula>kvartal &lt; 4</formula>
    </cfRule>
  </conditionalFormatting>
  <conditionalFormatting sqref="F70">
    <cfRule type="expression" dxfId="2259" priority="72">
      <formula>kvartal &lt; 4</formula>
    </cfRule>
  </conditionalFormatting>
  <conditionalFormatting sqref="G70">
    <cfRule type="expression" dxfId="2258" priority="71">
      <formula>kvartal &lt; 4</formula>
    </cfRule>
  </conditionalFormatting>
  <conditionalFormatting sqref="F71:G71">
    <cfRule type="expression" dxfId="2257" priority="70">
      <formula>kvartal &lt; 4</formula>
    </cfRule>
  </conditionalFormatting>
  <conditionalFormatting sqref="F73:G74">
    <cfRule type="expression" dxfId="2256" priority="69">
      <formula>kvartal &lt; 4</formula>
    </cfRule>
  </conditionalFormatting>
  <conditionalFormatting sqref="F81:G82">
    <cfRule type="expression" dxfId="2255" priority="68">
      <formula>kvartal &lt; 4</formula>
    </cfRule>
  </conditionalFormatting>
  <conditionalFormatting sqref="F84:G85">
    <cfRule type="expression" dxfId="2254" priority="67">
      <formula>kvartal &lt; 4</formula>
    </cfRule>
  </conditionalFormatting>
  <conditionalFormatting sqref="F91:G92">
    <cfRule type="expression" dxfId="2253" priority="62">
      <formula>kvartal &lt; 4</formula>
    </cfRule>
  </conditionalFormatting>
  <conditionalFormatting sqref="F94:G95">
    <cfRule type="expression" dxfId="2252" priority="61">
      <formula>kvartal &lt; 4</formula>
    </cfRule>
  </conditionalFormatting>
  <conditionalFormatting sqref="F102:G103">
    <cfRule type="expression" dxfId="2251" priority="60">
      <formula>kvartal &lt; 4</formula>
    </cfRule>
  </conditionalFormatting>
  <conditionalFormatting sqref="F105:G106">
    <cfRule type="expression" dxfId="2250" priority="59">
      <formula>kvartal &lt; 4</formula>
    </cfRule>
  </conditionalFormatting>
  <conditionalFormatting sqref="F115">
    <cfRule type="expression" dxfId="2249" priority="58">
      <formula>kvartal &lt; 4</formula>
    </cfRule>
  </conditionalFormatting>
  <conditionalFormatting sqref="G115">
    <cfRule type="expression" dxfId="2248" priority="57">
      <formula>kvartal &lt; 4</formula>
    </cfRule>
  </conditionalFormatting>
  <conditionalFormatting sqref="F123:G123">
    <cfRule type="expression" dxfId="2247" priority="56">
      <formula>kvartal &lt; 4</formula>
    </cfRule>
  </conditionalFormatting>
  <conditionalFormatting sqref="F69:G69">
    <cfRule type="expression" dxfId="2246" priority="55">
      <formula>kvartal &lt; 4</formula>
    </cfRule>
  </conditionalFormatting>
  <conditionalFormatting sqref="F72:G72">
    <cfRule type="expression" dxfId="2245" priority="54">
      <formula>kvartal &lt; 4</formula>
    </cfRule>
  </conditionalFormatting>
  <conditionalFormatting sqref="F80:G80">
    <cfRule type="expression" dxfId="2244" priority="53">
      <formula>kvartal &lt; 4</formula>
    </cfRule>
  </conditionalFormatting>
  <conditionalFormatting sqref="F83:G83">
    <cfRule type="expression" dxfId="2243" priority="52">
      <formula>kvartal &lt; 4</formula>
    </cfRule>
  </conditionalFormatting>
  <conditionalFormatting sqref="F90:G90">
    <cfRule type="expression" dxfId="2242" priority="46">
      <formula>kvartal &lt; 4</formula>
    </cfRule>
  </conditionalFormatting>
  <conditionalFormatting sqref="F93">
    <cfRule type="expression" dxfId="2241" priority="45">
      <formula>kvartal &lt; 4</formula>
    </cfRule>
  </conditionalFormatting>
  <conditionalFormatting sqref="G93">
    <cfRule type="expression" dxfId="2240" priority="44">
      <formula>kvartal &lt; 4</formula>
    </cfRule>
  </conditionalFormatting>
  <conditionalFormatting sqref="F101">
    <cfRule type="expression" dxfId="2239" priority="43">
      <formula>kvartal &lt; 4</formula>
    </cfRule>
  </conditionalFormatting>
  <conditionalFormatting sqref="G101">
    <cfRule type="expression" dxfId="2238" priority="42">
      <formula>kvartal &lt; 4</formula>
    </cfRule>
  </conditionalFormatting>
  <conditionalFormatting sqref="G104">
    <cfRule type="expression" dxfId="2237" priority="41">
      <formula>kvartal &lt; 4</formula>
    </cfRule>
  </conditionalFormatting>
  <conditionalFormatting sqref="F104">
    <cfRule type="expression" dxfId="2236" priority="40">
      <formula>kvartal &lt; 4</formula>
    </cfRule>
  </conditionalFormatting>
  <conditionalFormatting sqref="J69:K73">
    <cfRule type="expression" dxfId="2235" priority="39">
      <formula>kvartal &lt; 4</formula>
    </cfRule>
  </conditionalFormatting>
  <conditionalFormatting sqref="J74:K74">
    <cfRule type="expression" dxfId="2234" priority="38">
      <formula>kvartal &lt; 4</formula>
    </cfRule>
  </conditionalFormatting>
  <conditionalFormatting sqref="J80:K85">
    <cfRule type="expression" dxfId="2233" priority="37">
      <formula>kvartal &lt; 4</formula>
    </cfRule>
  </conditionalFormatting>
  <conditionalFormatting sqref="J90:K95">
    <cfRule type="expression" dxfId="2232" priority="34">
      <formula>kvartal &lt; 4</formula>
    </cfRule>
  </conditionalFormatting>
  <conditionalFormatting sqref="J101:K106">
    <cfRule type="expression" dxfId="2231" priority="33">
      <formula>kvartal &lt; 4</formula>
    </cfRule>
  </conditionalFormatting>
  <conditionalFormatting sqref="J115:K115">
    <cfRule type="expression" dxfId="2230" priority="32">
      <formula>kvartal &lt; 4</formula>
    </cfRule>
  </conditionalFormatting>
  <conditionalFormatting sqref="J123:K123">
    <cfRule type="expression" dxfId="2229" priority="31">
      <formula>kvartal &lt; 4</formula>
    </cfRule>
  </conditionalFormatting>
  <conditionalFormatting sqref="A50:A52">
    <cfRule type="expression" dxfId="2228" priority="12">
      <formula>kvartal &lt; 4</formula>
    </cfRule>
  </conditionalFormatting>
  <conditionalFormatting sqref="A69:A74">
    <cfRule type="expression" dxfId="2227" priority="10">
      <formula>kvartal &lt; 4</formula>
    </cfRule>
  </conditionalFormatting>
  <conditionalFormatting sqref="A80:A85">
    <cfRule type="expression" dxfId="2226" priority="9">
      <formula>kvartal &lt; 4</formula>
    </cfRule>
  </conditionalFormatting>
  <conditionalFormatting sqref="A90:A95">
    <cfRule type="expression" dxfId="2225" priority="6">
      <formula>kvartal &lt; 4</formula>
    </cfRule>
  </conditionalFormatting>
  <conditionalFormatting sqref="A101:A106">
    <cfRule type="expression" dxfId="2224" priority="5">
      <formula>kvartal &lt; 4</formula>
    </cfRule>
  </conditionalFormatting>
  <conditionalFormatting sqref="A115">
    <cfRule type="expression" dxfId="2223" priority="4">
      <formula>kvartal &lt; 4</formula>
    </cfRule>
  </conditionalFormatting>
  <conditionalFormatting sqref="A123">
    <cfRule type="expression" dxfId="2222"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P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143</v>
      </c>
      <c r="B1" s="945"/>
      <c r="C1" s="247" t="s">
        <v>87</v>
      </c>
      <c r="D1" s="26"/>
      <c r="E1" s="26"/>
      <c r="F1" s="26"/>
      <c r="G1" s="26"/>
      <c r="H1" s="26"/>
      <c r="I1" s="26"/>
      <c r="J1" s="26"/>
      <c r="K1" s="26"/>
      <c r="L1" s="26"/>
      <c r="M1" s="26"/>
      <c r="O1" s="421"/>
    </row>
    <row r="2" spans="1:15" ht="15.75" x14ac:dyDescent="0.25">
      <c r="A2" s="165" t="s">
        <v>28</v>
      </c>
      <c r="B2" s="978"/>
      <c r="C2" s="978"/>
      <c r="D2" s="978"/>
      <c r="E2" s="402"/>
      <c r="F2" s="978"/>
      <c r="G2" s="978"/>
      <c r="H2" s="978"/>
      <c r="I2" s="402"/>
      <c r="J2" s="978"/>
      <c r="K2" s="978"/>
      <c r="L2" s="978"/>
      <c r="M2" s="402"/>
      <c r="O2" s="148"/>
    </row>
    <row r="3" spans="1:15" ht="15.75" x14ac:dyDescent="0.25">
      <c r="A3" s="163"/>
      <c r="B3" s="402"/>
      <c r="C3" s="402"/>
      <c r="D3" s="402"/>
      <c r="E3" s="402"/>
      <c r="F3" s="402"/>
      <c r="G3" s="402"/>
      <c r="H3" s="402"/>
      <c r="I3" s="402"/>
      <c r="J3" s="402"/>
      <c r="K3" s="402"/>
      <c r="L3" s="402"/>
      <c r="M3" s="402"/>
      <c r="O3" s="148"/>
    </row>
    <row r="4" spans="1:15" x14ac:dyDescent="0.2">
      <c r="A4" s="144"/>
      <c r="B4" s="975" t="s">
        <v>0</v>
      </c>
      <c r="C4" s="976"/>
      <c r="D4" s="976"/>
      <c r="E4" s="401"/>
      <c r="F4" s="975" t="s">
        <v>1</v>
      </c>
      <c r="G4" s="976"/>
      <c r="H4" s="976"/>
      <c r="I4" s="404"/>
      <c r="J4" s="975" t="s">
        <v>2</v>
      </c>
      <c r="K4" s="976"/>
      <c r="L4" s="976"/>
      <c r="M4" s="404"/>
      <c r="O4" s="148"/>
    </row>
    <row r="5" spans="1:15" x14ac:dyDescent="0.2">
      <c r="A5" s="158"/>
      <c r="B5" s="152" t="s">
        <v>500</v>
      </c>
      <c r="C5" s="152" t="s">
        <v>501</v>
      </c>
      <c r="D5" s="244" t="s">
        <v>3</v>
      </c>
      <c r="E5" s="302" t="s">
        <v>29</v>
      </c>
      <c r="F5" s="152" t="s">
        <v>500</v>
      </c>
      <c r="G5" s="152" t="s">
        <v>501</v>
      </c>
      <c r="H5" s="244" t="s">
        <v>3</v>
      </c>
      <c r="I5" s="162" t="s">
        <v>29</v>
      </c>
      <c r="J5" s="152" t="s">
        <v>500</v>
      </c>
      <c r="K5" s="152" t="s">
        <v>501</v>
      </c>
      <c r="L5" s="244" t="s">
        <v>3</v>
      </c>
      <c r="M5" s="162" t="s">
        <v>29</v>
      </c>
      <c r="O5" s="946"/>
    </row>
    <row r="6" spans="1:15" x14ac:dyDescent="0.2">
      <c r="A6" s="944"/>
      <c r="B6" s="156"/>
      <c r="C6" s="156"/>
      <c r="D6" s="245" t="s">
        <v>4</v>
      </c>
      <c r="E6" s="156" t="s">
        <v>30</v>
      </c>
      <c r="F6" s="161"/>
      <c r="G6" s="161"/>
      <c r="H6" s="244" t="s">
        <v>4</v>
      </c>
      <c r="I6" s="156" t="s">
        <v>30</v>
      </c>
      <c r="J6" s="161"/>
      <c r="K6" s="161"/>
      <c r="L6" s="244" t="s">
        <v>4</v>
      </c>
      <c r="M6" s="156" t="s">
        <v>30</v>
      </c>
      <c r="O6" s="148"/>
    </row>
    <row r="7" spans="1:15" ht="15.75" x14ac:dyDescent="0.2">
      <c r="A7" s="14" t="s">
        <v>23</v>
      </c>
      <c r="B7" s="303">
        <v>269409.05900000001</v>
      </c>
      <c r="C7" s="304">
        <v>283172.55099999998</v>
      </c>
      <c r="D7" s="347">
        <f>IF(B7=0, "    ---- ", IF(ABS(ROUND(100/B7*C7-100,1))&lt;999,ROUND(100/B7*C7-100,1),IF(ROUND(100/B7*C7-100,1)&gt;999,999,-999)))</f>
        <v>5.0999999999999996</v>
      </c>
      <c r="E7" s="11">
        <f>IFERROR(100/'Skjema total MA'!C7*C7,0)</f>
        <v>6.225189394607435</v>
      </c>
      <c r="F7" s="303">
        <v>395631.554</v>
      </c>
      <c r="G7" s="304">
        <v>353361.70699999999</v>
      </c>
      <c r="H7" s="347">
        <f>IF(F7=0, "    ---- ", IF(ABS(ROUND(100/F7*G7-100,1))&lt;999,ROUND(100/F7*G7-100,1),IF(ROUND(100/F7*G7-100,1)&gt;999,999,-999)))</f>
        <v>-10.7</v>
      </c>
      <c r="I7" s="160">
        <f>IFERROR(100/'Skjema total MA'!F7*G7,0)</f>
        <v>4.9112581181273613</v>
      </c>
      <c r="J7" s="305">
        <f t="shared" ref="J7:K12" si="0">SUM(B7,F7)</f>
        <v>665040.61300000001</v>
      </c>
      <c r="K7" s="306">
        <f t="shared" si="0"/>
        <v>636534.25799999991</v>
      </c>
      <c r="L7" s="422">
        <f>IF(J7=0, "    ---- ", IF(ABS(ROUND(100/J7*K7-100,1))&lt;999,ROUND(100/J7*K7-100,1),IF(ROUND(100/J7*K7-100,1)&gt;999,999,-999)))</f>
        <v>-4.3</v>
      </c>
      <c r="M7" s="11">
        <f>IFERROR(100/'Skjema total MA'!I7*K7,0)</f>
        <v>5.4201955681928764</v>
      </c>
      <c r="O7" s="148"/>
    </row>
    <row r="8" spans="1:15" ht="15.75" x14ac:dyDescent="0.2">
      <c r="A8" s="21" t="s">
        <v>25</v>
      </c>
      <c r="B8" s="278">
        <v>133686.85</v>
      </c>
      <c r="C8" s="279">
        <v>136157.71</v>
      </c>
      <c r="D8" s="166">
        <f t="shared" ref="D8:D10" si="1">IF(B8=0, "    ---- ", IF(ABS(ROUND(100/B8*C8-100,1))&lt;999,ROUND(100/B8*C8-100,1),IF(ROUND(100/B8*C8-100,1)&gt;999,999,-999)))</f>
        <v>1.8</v>
      </c>
      <c r="E8" s="27">
        <f>IFERROR(100/'Skjema total MA'!C8*C8,0)</f>
        <v>5.1588185382772771</v>
      </c>
      <c r="F8" s="282"/>
      <c r="G8" s="283"/>
      <c r="H8" s="166"/>
      <c r="I8" s="175"/>
      <c r="J8" s="233">
        <f t="shared" si="0"/>
        <v>133686.85</v>
      </c>
      <c r="K8" s="284">
        <f t="shared" si="0"/>
        <v>136157.71</v>
      </c>
      <c r="L8" s="166">
        <f t="shared" ref="L8:L9" si="2">IF(J8=0, "    ---- ", IF(ABS(ROUND(100/J8*K8-100,1))&lt;999,ROUND(100/J8*K8-100,1),IF(ROUND(100/J8*K8-100,1)&gt;999,999,-999)))</f>
        <v>1.8</v>
      </c>
      <c r="M8" s="27">
        <f>IFERROR(100/'Skjema total MA'!I8*K8,0)</f>
        <v>5.1588185382772771</v>
      </c>
      <c r="O8" s="148"/>
    </row>
    <row r="9" spans="1:15" ht="15.75" x14ac:dyDescent="0.2">
      <c r="A9" s="21" t="s">
        <v>24</v>
      </c>
      <c r="B9" s="278">
        <v>78351.793999999994</v>
      </c>
      <c r="C9" s="279">
        <v>73497.850000000006</v>
      </c>
      <c r="D9" s="166">
        <f t="shared" si="1"/>
        <v>-6.2</v>
      </c>
      <c r="E9" s="27">
        <f>IFERROR(100/'Skjema total MA'!C9*C9,0)</f>
        <v>7.5101525330280463</v>
      </c>
      <c r="F9" s="282"/>
      <c r="G9" s="283"/>
      <c r="H9" s="166"/>
      <c r="I9" s="175"/>
      <c r="J9" s="233">
        <f t="shared" si="0"/>
        <v>78351.793999999994</v>
      </c>
      <c r="K9" s="284">
        <f t="shared" si="0"/>
        <v>73497.850000000006</v>
      </c>
      <c r="L9" s="166">
        <f t="shared" si="2"/>
        <v>-6.2</v>
      </c>
      <c r="M9" s="27">
        <f>IFERROR(100/'Skjema total MA'!I9*K9,0)</f>
        <v>7.5101525330280463</v>
      </c>
      <c r="O9" s="148"/>
    </row>
    <row r="10" spans="1:15" ht="15.75" x14ac:dyDescent="0.2">
      <c r="A10" s="13" t="s">
        <v>456</v>
      </c>
      <c r="B10" s="307">
        <v>333708.51500000001</v>
      </c>
      <c r="C10" s="308">
        <v>337497.73599999998</v>
      </c>
      <c r="D10" s="171">
        <f t="shared" si="1"/>
        <v>1.1000000000000001</v>
      </c>
      <c r="E10" s="11">
        <f>IFERROR(100/'Skjema total MA'!C10*C10,0)</f>
        <v>1.5026433705080648</v>
      </c>
      <c r="F10" s="307">
        <v>2516931.6469999999</v>
      </c>
      <c r="G10" s="308">
        <v>2385228.6770000001</v>
      </c>
      <c r="H10" s="171">
        <f t="shared" ref="H10:H12" si="3">IF(F10=0, "    ---- ", IF(ABS(ROUND(100/F10*G10-100,1))&lt;999,ROUND(100/F10*G10-100,1),IF(ROUND(100/F10*G10-100,1)&gt;999,999,-999)))</f>
        <v>-5.2</v>
      </c>
      <c r="I10" s="160">
        <f>IFERROR(100/'Skjema total MA'!F10*G10,0)</f>
        <v>5.7239043967800285</v>
      </c>
      <c r="J10" s="305">
        <f t="shared" si="0"/>
        <v>2850640.162</v>
      </c>
      <c r="K10" s="306">
        <f t="shared" si="0"/>
        <v>2722726.4130000002</v>
      </c>
      <c r="L10" s="423">
        <f t="shared" ref="L10:L12" si="4">IF(J10=0, "    ---- ", IF(ABS(ROUND(100/J10*K10-100,1))&lt;999,ROUND(100/J10*K10-100,1),IF(ROUND(100/J10*K10-100,1)&gt;999,999,-999)))</f>
        <v>-4.5</v>
      </c>
      <c r="M10" s="11">
        <f>IFERROR(100/'Skjema total MA'!I10*K10,0)</f>
        <v>4.2455284111617182</v>
      </c>
      <c r="O10" s="148"/>
    </row>
    <row r="11" spans="1:15" s="43" customFormat="1" ht="15.75" x14ac:dyDescent="0.2">
      <c r="A11" s="13" t="s">
        <v>457</v>
      </c>
      <c r="B11" s="307"/>
      <c r="C11" s="308"/>
      <c r="D11" s="171"/>
      <c r="E11" s="11"/>
      <c r="F11" s="307">
        <v>64452.983</v>
      </c>
      <c r="G11" s="308">
        <v>17787.649000000001</v>
      </c>
      <c r="H11" s="171">
        <f t="shared" si="3"/>
        <v>-72.400000000000006</v>
      </c>
      <c r="I11" s="160">
        <f>IFERROR(100/'Skjema total MA'!F11*G11,0)</f>
        <v>6.1101219258954274</v>
      </c>
      <c r="J11" s="305">
        <f t="shared" si="0"/>
        <v>64452.983</v>
      </c>
      <c r="K11" s="306">
        <f t="shared" si="0"/>
        <v>17787.649000000001</v>
      </c>
      <c r="L11" s="423">
        <f t="shared" si="4"/>
        <v>-72.400000000000006</v>
      </c>
      <c r="M11" s="11">
        <f>IFERROR(100/'Skjema total MA'!I11*K11,0)</f>
        <v>5.6248422046548745</v>
      </c>
      <c r="N11" s="143"/>
      <c r="O11" s="148"/>
    </row>
    <row r="12" spans="1:15" s="43" customFormat="1" ht="15.75" x14ac:dyDescent="0.2">
      <c r="A12" s="41" t="s">
        <v>458</v>
      </c>
      <c r="B12" s="309"/>
      <c r="C12" s="310"/>
      <c r="D12" s="169"/>
      <c r="E12" s="36"/>
      <c r="F12" s="309">
        <v>20199.294000000002</v>
      </c>
      <c r="G12" s="310">
        <v>37700.523000000001</v>
      </c>
      <c r="H12" s="169">
        <f t="shared" si="3"/>
        <v>86.6</v>
      </c>
      <c r="I12" s="169">
        <f>IFERROR(100/'Skjema total MA'!F12*G12,0)</f>
        <v>15.377738004611935</v>
      </c>
      <c r="J12" s="311">
        <f t="shared" si="0"/>
        <v>20199.294000000002</v>
      </c>
      <c r="K12" s="312">
        <f t="shared" si="0"/>
        <v>37700.523000000001</v>
      </c>
      <c r="L12" s="424">
        <f t="shared" si="4"/>
        <v>86.6</v>
      </c>
      <c r="M12" s="36">
        <f>IFERROR(100/'Skjema total MA'!I12*K12,0)</f>
        <v>15.206238833473591</v>
      </c>
      <c r="N12" s="143"/>
      <c r="O12" s="148"/>
    </row>
    <row r="13" spans="1:15" s="43" customFormat="1" x14ac:dyDescent="0.2">
      <c r="A13" s="168"/>
      <c r="B13" s="145"/>
      <c r="C13" s="33"/>
      <c r="D13" s="159"/>
      <c r="E13" s="159"/>
      <c r="F13" s="145"/>
      <c r="G13" s="33"/>
      <c r="H13" s="159"/>
      <c r="I13" s="159"/>
      <c r="J13" s="48"/>
      <c r="K13" s="48"/>
      <c r="L13" s="159"/>
      <c r="M13" s="159"/>
      <c r="N13" s="143"/>
      <c r="O13" s="421"/>
    </row>
    <row r="14" spans="1:15" x14ac:dyDescent="0.2">
      <c r="A14" s="153" t="s">
        <v>282</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6" ht="15.75" x14ac:dyDescent="0.25">
      <c r="A17" s="147" t="s">
        <v>279</v>
      </c>
      <c r="B17" s="157"/>
      <c r="C17" s="157"/>
      <c r="D17" s="151"/>
      <c r="E17" s="151"/>
      <c r="F17" s="157"/>
      <c r="G17" s="157"/>
      <c r="H17" s="157"/>
      <c r="I17" s="157"/>
      <c r="J17" s="157"/>
      <c r="K17" s="157"/>
      <c r="L17" s="157"/>
      <c r="M17" s="157"/>
      <c r="O17" s="148"/>
    </row>
    <row r="18" spans="1:16" ht="15.75" x14ac:dyDescent="0.25">
      <c r="B18" s="979"/>
      <c r="C18" s="979"/>
      <c r="D18" s="979"/>
      <c r="E18" s="402"/>
      <c r="F18" s="979"/>
      <c r="G18" s="979"/>
      <c r="H18" s="979"/>
      <c r="I18" s="402"/>
      <c r="J18" s="979"/>
      <c r="K18" s="979"/>
      <c r="L18" s="979"/>
      <c r="M18" s="402"/>
      <c r="O18" s="148"/>
    </row>
    <row r="19" spans="1:16" x14ac:dyDescent="0.2">
      <c r="A19" s="144"/>
      <c r="B19" s="975" t="s">
        <v>0</v>
      </c>
      <c r="C19" s="976"/>
      <c r="D19" s="976"/>
      <c r="E19" s="401"/>
      <c r="F19" s="975" t="s">
        <v>1</v>
      </c>
      <c r="G19" s="976"/>
      <c r="H19" s="976"/>
      <c r="I19" s="404"/>
      <c r="J19" s="975" t="s">
        <v>2</v>
      </c>
      <c r="K19" s="976"/>
      <c r="L19" s="976"/>
      <c r="M19" s="404"/>
      <c r="O19" s="148"/>
    </row>
    <row r="20" spans="1:16" x14ac:dyDescent="0.2">
      <c r="A20" s="140" t="s">
        <v>5</v>
      </c>
      <c r="B20" s="152" t="s">
        <v>500</v>
      </c>
      <c r="C20" s="152" t="s">
        <v>501</v>
      </c>
      <c r="D20" s="162" t="s">
        <v>3</v>
      </c>
      <c r="E20" s="302" t="s">
        <v>29</v>
      </c>
      <c r="F20" s="152" t="s">
        <v>500</v>
      </c>
      <c r="G20" s="152" t="s">
        <v>501</v>
      </c>
      <c r="H20" s="162" t="s">
        <v>3</v>
      </c>
      <c r="I20" s="162" t="s">
        <v>29</v>
      </c>
      <c r="J20" s="152" t="s">
        <v>500</v>
      </c>
      <c r="K20" s="152" t="s">
        <v>501</v>
      </c>
      <c r="L20" s="162" t="s">
        <v>3</v>
      </c>
      <c r="M20" s="162" t="s">
        <v>29</v>
      </c>
      <c r="O20" s="148"/>
    </row>
    <row r="21" spans="1:16" x14ac:dyDescent="0.2">
      <c r="A21" s="943"/>
      <c r="B21" s="156"/>
      <c r="C21" s="156"/>
      <c r="D21" s="245" t="s">
        <v>4</v>
      </c>
      <c r="E21" s="411" t="s">
        <v>30</v>
      </c>
      <c r="F21" s="161"/>
      <c r="G21" s="161"/>
      <c r="H21" s="244" t="s">
        <v>4</v>
      </c>
      <c r="I21" s="156" t="s">
        <v>30</v>
      </c>
      <c r="J21" s="161"/>
      <c r="K21" s="161"/>
      <c r="L21" s="156" t="s">
        <v>4</v>
      </c>
      <c r="M21" s="156" t="s">
        <v>30</v>
      </c>
      <c r="O21" s="148"/>
    </row>
    <row r="22" spans="1:16" ht="15.75" x14ac:dyDescent="0.2">
      <c r="A22" s="14" t="s">
        <v>23</v>
      </c>
      <c r="B22" s="306">
        <v>17471</v>
      </c>
      <c r="C22" s="306">
        <v>16160.558000000001</v>
      </c>
      <c r="D22" s="347">
        <f t="shared" ref="D22:D29" si="5">IF(B22=0, "    ---- ", IF(ABS(ROUND(100/B22*C22-100,1))&lt;999,ROUND(100/B22*C22-100,1),IF(ROUND(100/B22*C22-100,1)&gt;999,999,-999)))</f>
        <v>-7.5</v>
      </c>
      <c r="E22" s="11">
        <f>IFERROR(100/'Skjema total MA'!C22*C22,0)</f>
        <v>1.0218178517621312</v>
      </c>
      <c r="F22" s="306">
        <v>61983.069000000003</v>
      </c>
      <c r="G22" s="306">
        <v>73891.532000000007</v>
      </c>
      <c r="H22" s="347">
        <f t="shared" ref="H22:H35" si="6">IF(F22=0, "    ---- ", IF(ABS(ROUND(100/F22*G22-100,1))&lt;999,ROUND(100/F22*G22-100,1),IF(ROUND(100/F22*G22-100,1)&gt;999,999,-999)))</f>
        <v>19.2</v>
      </c>
      <c r="I22" s="160">
        <f>IFERROR(100/'Skjema total MA'!F22*G22,0)</f>
        <v>5.8082426304625407</v>
      </c>
      <c r="J22" s="313">
        <f t="shared" ref="J22:K35" si="7">SUM(B22,F22)</f>
        <v>79454.069000000003</v>
      </c>
      <c r="K22" s="313">
        <f t="shared" si="7"/>
        <v>90052.090000000011</v>
      </c>
      <c r="L22" s="422">
        <f t="shared" ref="L22:L35" si="8">IF(J22=0, "    ---- ", IF(ABS(ROUND(100/J22*K22-100,1))&lt;999,ROUND(100/J22*K22-100,1),IF(ROUND(100/J22*K22-100,1)&gt;999,999,-999)))</f>
        <v>13.3</v>
      </c>
      <c r="M22" s="24">
        <f>IFERROR(100/'Skjema total MA'!I22*K22,0)</f>
        <v>3.1555883511020499</v>
      </c>
      <c r="O22" s="148"/>
      <c r="P22" s="328"/>
    </row>
    <row r="23" spans="1:16" ht="15.75" x14ac:dyDescent="0.2">
      <c r="A23" s="834" t="s">
        <v>459</v>
      </c>
      <c r="B23" s="278"/>
      <c r="C23" s="278"/>
      <c r="D23" s="166"/>
      <c r="E23" s="11"/>
      <c r="F23" s="278">
        <v>6471.0280000000002</v>
      </c>
      <c r="G23" s="278">
        <v>5788.4170000000004</v>
      </c>
      <c r="H23" s="166">
        <f t="shared" si="6"/>
        <v>-10.5</v>
      </c>
      <c r="I23" s="239">
        <f>IFERROR(100/'Skjema total MA'!F23*G23,0)</f>
        <v>3.4867285732924436</v>
      </c>
      <c r="J23" s="287">
        <f t="shared" ref="J23:J26" si="9">SUM(B23,F23)</f>
        <v>6471.0280000000002</v>
      </c>
      <c r="K23" s="287">
        <f t="shared" ref="K23:K26" si="10">SUM(C23,G23)</f>
        <v>5788.4170000000004</v>
      </c>
      <c r="L23" s="166">
        <f t="shared" si="8"/>
        <v>-10.5</v>
      </c>
      <c r="M23" s="23">
        <f>IFERROR(100/'Skjema total MA'!I23*K23,0)</f>
        <v>0.34394753419023921</v>
      </c>
      <c r="O23" s="148"/>
      <c r="P23" s="3"/>
    </row>
    <row r="24" spans="1:16" ht="15.75" x14ac:dyDescent="0.2">
      <c r="A24" s="834" t="s">
        <v>460</v>
      </c>
      <c r="B24" s="278"/>
      <c r="C24" s="278"/>
      <c r="D24" s="166"/>
      <c r="E24" s="11"/>
      <c r="F24" s="278"/>
      <c r="G24" s="278"/>
      <c r="H24" s="166"/>
      <c r="I24" s="239"/>
      <c r="J24" s="287"/>
      <c r="K24" s="287"/>
      <c r="L24" s="166"/>
      <c r="M24" s="23"/>
      <c r="O24" s="148"/>
      <c r="P24" s="3"/>
    </row>
    <row r="25" spans="1:16" ht="15.75" x14ac:dyDescent="0.2">
      <c r="A25" s="834" t="s">
        <v>461</v>
      </c>
      <c r="B25" s="278"/>
      <c r="C25" s="278"/>
      <c r="D25" s="166"/>
      <c r="E25" s="11"/>
      <c r="F25" s="278">
        <v>2362.2919999999999</v>
      </c>
      <c r="G25" s="278">
        <v>1715.1759999999999</v>
      </c>
      <c r="H25" s="166">
        <f t="shared" si="6"/>
        <v>-27.4</v>
      </c>
      <c r="I25" s="239">
        <f>IFERROR(100/'Skjema total MA'!F25*G25,0)</f>
        <v>1.7615568740171166</v>
      </c>
      <c r="J25" s="287">
        <f t="shared" si="9"/>
        <v>2362.2919999999999</v>
      </c>
      <c r="K25" s="287">
        <f t="shared" si="10"/>
        <v>1715.1759999999999</v>
      </c>
      <c r="L25" s="166">
        <f t="shared" si="8"/>
        <v>-27.4</v>
      </c>
      <c r="M25" s="23">
        <f>IFERROR(100/'Skjema total MA'!I25*K25,0)</f>
        <v>1.4002636716080623</v>
      </c>
      <c r="O25" s="148"/>
      <c r="P25" s="3"/>
    </row>
    <row r="26" spans="1:16" ht="15.75" x14ac:dyDescent="0.2">
      <c r="A26" s="834" t="s">
        <v>462</v>
      </c>
      <c r="B26" s="278"/>
      <c r="C26" s="278"/>
      <c r="D26" s="166"/>
      <c r="E26" s="11"/>
      <c r="F26" s="278">
        <v>53149.749000000003</v>
      </c>
      <c r="G26" s="278">
        <v>66387.938999999998</v>
      </c>
      <c r="H26" s="166">
        <f t="shared" si="6"/>
        <v>24.9</v>
      </c>
      <c r="I26" s="239">
        <f>IFERROR(100/'Skjema total MA'!F26*G26,0)</f>
        <v>6.5815127838411609</v>
      </c>
      <c r="J26" s="287">
        <f t="shared" si="9"/>
        <v>53149.749000000003</v>
      </c>
      <c r="K26" s="287">
        <f t="shared" si="10"/>
        <v>66387.938999999998</v>
      </c>
      <c r="L26" s="166">
        <f t="shared" si="8"/>
        <v>24.9</v>
      </c>
      <c r="M26" s="23">
        <f>IFERROR(100/'Skjema total MA'!I26*K26,0)</f>
        <v>6.5815127838411609</v>
      </c>
      <c r="O26" s="148"/>
      <c r="P26" s="3"/>
    </row>
    <row r="27" spans="1:16" x14ac:dyDescent="0.2">
      <c r="A27" s="834" t="s">
        <v>11</v>
      </c>
      <c r="B27" s="278"/>
      <c r="C27" s="278"/>
      <c r="D27" s="166"/>
      <c r="E27" s="11"/>
      <c r="F27" s="278"/>
      <c r="G27" s="278"/>
      <c r="H27" s="166"/>
      <c r="I27" s="239"/>
      <c r="J27" s="287"/>
      <c r="K27" s="287"/>
      <c r="L27" s="166"/>
      <c r="M27" s="23"/>
      <c r="O27" s="148"/>
      <c r="P27" s="3"/>
    </row>
    <row r="28" spans="1:16" ht="15.75" x14ac:dyDescent="0.2">
      <c r="A28" s="49" t="s">
        <v>283</v>
      </c>
      <c r="B28" s="44">
        <v>17470.613000000001</v>
      </c>
      <c r="C28" s="284">
        <v>16160.558000000001</v>
      </c>
      <c r="D28" s="166">
        <f t="shared" si="5"/>
        <v>-7.5</v>
      </c>
      <c r="E28" s="11">
        <f>IFERROR(100/'Skjema total MA'!C28*C28,0)</f>
        <v>0.90630190514697462</v>
      </c>
      <c r="F28" s="233"/>
      <c r="G28" s="284"/>
      <c r="H28" s="166"/>
      <c r="I28" s="175"/>
      <c r="J28" s="44">
        <f t="shared" si="7"/>
        <v>17470.613000000001</v>
      </c>
      <c r="K28" s="44">
        <f t="shared" si="7"/>
        <v>16160.558000000001</v>
      </c>
      <c r="L28" s="253">
        <f t="shared" si="8"/>
        <v>-7.5</v>
      </c>
      <c r="M28" s="23">
        <f>IFERROR(100/'Skjema total MA'!I28*K28,0)</f>
        <v>0.90630190514697462</v>
      </c>
      <c r="O28" s="148"/>
      <c r="P28" s="3"/>
    </row>
    <row r="29" spans="1:16" s="3" customFormat="1" ht="15.75" x14ac:dyDescent="0.2">
      <c r="A29" s="13" t="s">
        <v>456</v>
      </c>
      <c r="B29" s="306">
        <v>82065</v>
      </c>
      <c r="C29" s="306">
        <v>125116.613</v>
      </c>
      <c r="D29" s="171">
        <f t="shared" si="5"/>
        <v>52.5</v>
      </c>
      <c r="E29" s="11">
        <f>IFERROR(100/'Skjema total MA'!C29*C29,0)</f>
        <v>0.26115516095214963</v>
      </c>
      <c r="F29" s="306">
        <v>2315128.3429999999</v>
      </c>
      <c r="G29" s="306">
        <v>2007402.023</v>
      </c>
      <c r="H29" s="171">
        <f t="shared" si="6"/>
        <v>-13.3</v>
      </c>
      <c r="I29" s="160">
        <f>IFERROR(100/'Skjema total MA'!F29*G29,0)</f>
        <v>10.508506722995099</v>
      </c>
      <c r="J29" s="235">
        <f t="shared" si="7"/>
        <v>2397193.3429999999</v>
      </c>
      <c r="K29" s="235">
        <f t="shared" si="7"/>
        <v>2132518.6359999999</v>
      </c>
      <c r="L29" s="423">
        <f t="shared" si="8"/>
        <v>-11</v>
      </c>
      <c r="M29" s="24">
        <f>IFERROR(100/'Skjema total MA'!I29*K29,0)</f>
        <v>3.1823147269387708</v>
      </c>
      <c r="N29" s="148"/>
      <c r="O29" s="148"/>
      <c r="P29" s="328"/>
    </row>
    <row r="30" spans="1:16" s="3" customFormat="1" ht="15.75" x14ac:dyDescent="0.2">
      <c r="A30" s="834" t="s">
        <v>459</v>
      </c>
      <c r="B30" s="278"/>
      <c r="C30" s="278"/>
      <c r="D30" s="166"/>
      <c r="E30" s="11"/>
      <c r="F30" s="287">
        <v>725223.18200000003</v>
      </c>
      <c r="G30" s="287">
        <v>602600.65800000005</v>
      </c>
      <c r="H30" s="166">
        <f t="shared" si="6"/>
        <v>-16.899999999999999</v>
      </c>
      <c r="I30" s="239">
        <f>IFERROR(100/'Skjema total MA'!F30*G30,0)</f>
        <v>14.931373838458905</v>
      </c>
      <c r="J30" s="287">
        <f t="shared" ref="J30:J33" si="11">SUM(B30,F30)</f>
        <v>725223.18200000003</v>
      </c>
      <c r="K30" s="287">
        <f t="shared" ref="K30:K33" si="12">SUM(C30,G30)</f>
        <v>602600.65800000005</v>
      </c>
      <c r="L30" s="166">
        <f t="shared" si="8"/>
        <v>-16.899999999999999</v>
      </c>
      <c r="M30" s="23">
        <f>IFERROR(100/'Skjema total MA'!I30*K30,0)</f>
        <v>3.5534813352921133</v>
      </c>
      <c r="N30" s="148"/>
      <c r="O30" s="148"/>
    </row>
    <row r="31" spans="1:16" s="3" customFormat="1" ht="15.75" x14ac:dyDescent="0.2">
      <c r="A31" s="834" t="s">
        <v>460</v>
      </c>
      <c r="B31" s="278"/>
      <c r="C31" s="278"/>
      <c r="D31" s="166"/>
      <c r="E31" s="11"/>
      <c r="F31" s="287">
        <v>1459408.5209999999</v>
      </c>
      <c r="G31" s="287">
        <v>1222550.909</v>
      </c>
      <c r="H31" s="166">
        <f t="shared" si="6"/>
        <v>-16.2</v>
      </c>
      <c r="I31" s="239">
        <f>IFERROR(100/'Skjema total MA'!F31*G31,0)</f>
        <v>13.098923114373894</v>
      </c>
      <c r="J31" s="287">
        <f t="shared" si="11"/>
        <v>1459408.5209999999</v>
      </c>
      <c r="K31" s="287">
        <f t="shared" si="12"/>
        <v>1222550.909</v>
      </c>
      <c r="L31" s="166">
        <f t="shared" si="8"/>
        <v>-16.2</v>
      </c>
      <c r="M31" s="23">
        <f>IFERROR(100/'Skjema total MA'!I31*K31,0)</f>
        <v>2.8494249089586048</v>
      </c>
      <c r="N31" s="148"/>
      <c r="O31" s="148"/>
    </row>
    <row r="32" spans="1:16" ht="15.75" x14ac:dyDescent="0.2">
      <c r="A32" s="834" t="s">
        <v>461</v>
      </c>
      <c r="B32" s="278"/>
      <c r="C32" s="278"/>
      <c r="D32" s="166"/>
      <c r="E32" s="11"/>
      <c r="F32" s="287">
        <v>77287.159</v>
      </c>
      <c r="G32" s="287">
        <v>71651.483999999997</v>
      </c>
      <c r="H32" s="166">
        <f t="shared" si="6"/>
        <v>-7.3</v>
      </c>
      <c r="I32" s="239">
        <f>IFERROR(100/'Skjema total MA'!F32*G32,0)</f>
        <v>1.8090752670854058</v>
      </c>
      <c r="J32" s="287">
        <f t="shared" si="11"/>
        <v>77287.159</v>
      </c>
      <c r="K32" s="287">
        <f t="shared" si="12"/>
        <v>71651.483999999997</v>
      </c>
      <c r="L32" s="166">
        <f t="shared" si="8"/>
        <v>-7.3</v>
      </c>
      <c r="M32" s="23">
        <f>IFERROR(100/'Skjema total MA'!I32*K32,0)</f>
        <v>1.3647193621872242</v>
      </c>
      <c r="O32" s="148"/>
    </row>
    <row r="33" spans="1:15" ht="15.75" x14ac:dyDescent="0.2">
      <c r="A33" s="834" t="s">
        <v>462</v>
      </c>
      <c r="B33" s="278"/>
      <c r="C33" s="278"/>
      <c r="D33" s="166"/>
      <c r="E33" s="11"/>
      <c r="F33" s="287">
        <v>53209.481</v>
      </c>
      <c r="G33" s="287">
        <v>110598.97199999999</v>
      </c>
      <c r="H33" s="166">
        <f t="shared" si="6"/>
        <v>107.9</v>
      </c>
      <c r="I33" s="239">
        <f>IFERROR(100/'Skjema total MA'!F34*G33,0)</f>
        <v>145.76413248617024</v>
      </c>
      <c r="J33" s="287">
        <f t="shared" si="11"/>
        <v>53209.481</v>
      </c>
      <c r="K33" s="287">
        <f t="shared" si="12"/>
        <v>110598.97199999999</v>
      </c>
      <c r="L33" s="166">
        <f t="shared" si="8"/>
        <v>107.9</v>
      </c>
      <c r="M33" s="23">
        <f>IFERROR(100/'Skjema total MA'!I34*K33,0)</f>
        <v>106.34661144289011</v>
      </c>
      <c r="O33" s="148"/>
    </row>
    <row r="34" spans="1:15" ht="15.75" x14ac:dyDescent="0.2">
      <c r="A34" s="13" t="s">
        <v>457</v>
      </c>
      <c r="B34" s="235"/>
      <c r="C34" s="306"/>
      <c r="D34" s="171"/>
      <c r="E34" s="11"/>
      <c r="F34" s="305">
        <v>22994.113000000001</v>
      </c>
      <c r="G34" s="306">
        <v>10064.012000000001</v>
      </c>
      <c r="H34" s="171">
        <f t="shared" si="6"/>
        <v>-56.2</v>
      </c>
      <c r="I34" s="160">
        <f>IFERROR(100/'Skjema total MA'!F34*G34,0)</f>
        <v>13.263884392256442</v>
      </c>
      <c r="J34" s="235">
        <f t="shared" si="7"/>
        <v>22994.113000000001</v>
      </c>
      <c r="K34" s="235">
        <f t="shared" si="7"/>
        <v>10064.012000000001</v>
      </c>
      <c r="L34" s="423">
        <f t="shared" si="8"/>
        <v>-56.2</v>
      </c>
      <c r="M34" s="24">
        <f>IFERROR(100/'Skjema total MA'!I34*K34,0)</f>
        <v>9.677066200222761</v>
      </c>
      <c r="O34" s="148"/>
    </row>
    <row r="35" spans="1:15" ht="15.75" x14ac:dyDescent="0.2">
      <c r="A35" s="13" t="s">
        <v>458</v>
      </c>
      <c r="B35" s="235"/>
      <c r="C35" s="306"/>
      <c r="D35" s="171"/>
      <c r="E35" s="11"/>
      <c r="F35" s="305">
        <v>18422.098999999998</v>
      </c>
      <c r="G35" s="306">
        <v>15413.978999999999</v>
      </c>
      <c r="H35" s="171">
        <f t="shared" si="6"/>
        <v>-16.3</v>
      </c>
      <c r="I35" s="160">
        <f>IFERROR(100/'Skjema total MA'!F35*G35,0)</f>
        <v>13.453775417867762</v>
      </c>
      <c r="J35" s="235">
        <f t="shared" si="7"/>
        <v>18422.098999999998</v>
      </c>
      <c r="K35" s="235">
        <f t="shared" si="7"/>
        <v>15413.978999999999</v>
      </c>
      <c r="L35" s="423">
        <f t="shared" si="8"/>
        <v>-16.3</v>
      </c>
      <c r="M35" s="24">
        <f>IFERROR(100/'Skjema total MA'!I35*K35,0)</f>
        <v>18.075778398159649</v>
      </c>
      <c r="O35" s="148"/>
    </row>
    <row r="36" spans="1:15" ht="15.75" x14ac:dyDescent="0.2">
      <c r="A36" s="12" t="s">
        <v>291</v>
      </c>
      <c r="B36" s="235"/>
      <c r="C36" s="306"/>
      <c r="D36" s="171"/>
      <c r="E36" s="11"/>
      <c r="F36" s="316"/>
      <c r="G36" s="317"/>
      <c r="H36" s="171"/>
      <c r="I36" s="425"/>
      <c r="J36" s="235"/>
      <c r="K36" s="235"/>
      <c r="L36" s="423"/>
      <c r="M36" s="24"/>
      <c r="O36" s="148"/>
    </row>
    <row r="37" spans="1:15" ht="15.75" x14ac:dyDescent="0.2">
      <c r="A37" s="12" t="s">
        <v>464</v>
      </c>
      <c r="B37" s="235"/>
      <c r="C37" s="306"/>
      <c r="D37" s="171"/>
      <c r="E37" s="11"/>
      <c r="F37" s="316"/>
      <c r="G37" s="318"/>
      <c r="H37" s="171"/>
      <c r="I37" s="425"/>
      <c r="J37" s="235"/>
      <c r="K37" s="235"/>
      <c r="L37" s="423"/>
      <c r="M37" s="24"/>
      <c r="O37" s="148"/>
    </row>
    <row r="38" spans="1:15" ht="15.75" x14ac:dyDescent="0.2">
      <c r="A38" s="12" t="s">
        <v>465</v>
      </c>
      <c r="B38" s="235"/>
      <c r="C38" s="306"/>
      <c r="D38" s="171"/>
      <c r="E38" s="24"/>
      <c r="F38" s="316"/>
      <c r="G38" s="317"/>
      <c r="H38" s="171"/>
      <c r="I38" s="425"/>
      <c r="J38" s="235"/>
      <c r="K38" s="235"/>
      <c r="L38" s="423"/>
      <c r="M38" s="24"/>
      <c r="O38" s="148"/>
    </row>
    <row r="39" spans="1:15" ht="15.75" x14ac:dyDescent="0.2">
      <c r="A39" s="18" t="s">
        <v>466</v>
      </c>
      <c r="B39" s="273"/>
      <c r="C39" s="312"/>
      <c r="D39" s="169"/>
      <c r="E39" s="36"/>
      <c r="F39" s="319"/>
      <c r="G39" s="320"/>
      <c r="H39" s="169"/>
      <c r="I39" s="169"/>
      <c r="J39" s="235"/>
      <c r="K39" s="235"/>
      <c r="L39" s="424"/>
      <c r="M39" s="36"/>
      <c r="O39" s="148"/>
    </row>
    <row r="40" spans="1:15" ht="15.75" x14ac:dyDescent="0.25">
      <c r="A40" s="47"/>
      <c r="B40" s="252"/>
      <c r="C40" s="252"/>
      <c r="D40" s="980"/>
      <c r="E40" s="980"/>
      <c r="F40" s="980"/>
      <c r="G40" s="980"/>
      <c r="H40" s="980"/>
      <c r="I40" s="980"/>
      <c r="J40" s="980"/>
      <c r="K40" s="980"/>
      <c r="L40" s="980"/>
      <c r="M40" s="403"/>
      <c r="O40" s="148"/>
    </row>
    <row r="41" spans="1:15" x14ac:dyDescent="0.2">
      <c r="A41" s="155"/>
      <c r="O41" s="148"/>
    </row>
    <row r="42" spans="1:15" ht="15.75" x14ac:dyDescent="0.25">
      <c r="A42" s="147" t="s">
        <v>280</v>
      </c>
      <c r="B42" s="978"/>
      <c r="C42" s="978"/>
      <c r="D42" s="978"/>
      <c r="E42" s="402"/>
      <c r="F42" s="981"/>
      <c r="G42" s="981"/>
      <c r="H42" s="981"/>
      <c r="I42" s="403"/>
      <c r="J42" s="981"/>
      <c r="K42" s="981"/>
      <c r="L42" s="981"/>
      <c r="M42" s="403"/>
      <c r="O42" s="148"/>
    </row>
    <row r="43" spans="1:15" ht="15.75" x14ac:dyDescent="0.25">
      <c r="A43" s="163"/>
      <c r="B43" s="399"/>
      <c r="C43" s="399"/>
      <c r="D43" s="399"/>
      <c r="E43" s="399"/>
      <c r="F43" s="403"/>
      <c r="G43" s="403"/>
      <c r="H43" s="403"/>
      <c r="I43" s="403"/>
      <c r="J43" s="403"/>
      <c r="K43" s="403"/>
      <c r="L43" s="403"/>
      <c r="M43" s="403"/>
      <c r="O43" s="148"/>
    </row>
    <row r="44" spans="1:15" ht="15.75" x14ac:dyDescent="0.25">
      <c r="A44" s="246"/>
      <c r="B44" s="975" t="s">
        <v>0</v>
      </c>
      <c r="C44" s="976"/>
      <c r="D44" s="976"/>
      <c r="E44" s="242"/>
      <c r="F44" s="403"/>
      <c r="G44" s="403"/>
      <c r="H44" s="403"/>
      <c r="I44" s="403"/>
      <c r="J44" s="403"/>
      <c r="K44" s="403"/>
      <c r="L44" s="403"/>
      <c r="M44" s="403"/>
      <c r="O44" s="148"/>
    </row>
    <row r="45" spans="1:15" s="3" customFormat="1" x14ac:dyDescent="0.2">
      <c r="A45" s="140"/>
      <c r="B45" s="152" t="s">
        <v>500</v>
      </c>
      <c r="C45" s="152" t="s">
        <v>501</v>
      </c>
      <c r="D45" s="162" t="s">
        <v>3</v>
      </c>
      <c r="E45" s="162" t="s">
        <v>29</v>
      </c>
      <c r="F45" s="174"/>
      <c r="G45" s="174"/>
      <c r="H45" s="173"/>
      <c r="I45" s="173"/>
      <c r="J45" s="174"/>
      <c r="K45" s="174"/>
      <c r="L45" s="173"/>
      <c r="M45" s="173"/>
      <c r="N45" s="148"/>
      <c r="O45" s="148"/>
    </row>
    <row r="46" spans="1:15" s="3" customFormat="1" x14ac:dyDescent="0.2">
      <c r="A46" s="943"/>
      <c r="B46" s="243"/>
      <c r="C46" s="243"/>
      <c r="D46" s="244" t="s">
        <v>4</v>
      </c>
      <c r="E46" s="156" t="s">
        <v>30</v>
      </c>
      <c r="F46" s="173"/>
      <c r="G46" s="173"/>
      <c r="H46" s="173"/>
      <c r="I46" s="173"/>
      <c r="J46" s="173"/>
      <c r="K46" s="173"/>
      <c r="L46" s="173"/>
      <c r="M46" s="173"/>
      <c r="N46" s="148"/>
      <c r="O46" s="148"/>
    </row>
    <row r="47" spans="1:15" s="3" customFormat="1" ht="15.75" x14ac:dyDescent="0.2">
      <c r="A47" s="14" t="s">
        <v>23</v>
      </c>
      <c r="B47" s="307">
        <v>7900.4250000000002</v>
      </c>
      <c r="C47" s="308">
        <v>7651.06</v>
      </c>
      <c r="D47" s="422">
        <f t="shared" ref="D47:D48" si="13">IF(B47=0, "    ---- ", IF(ABS(ROUND(100/B47*C47-100,1))&lt;999,ROUND(100/B47*C47-100,1),IF(ROUND(100/B47*C47-100,1)&gt;999,999,-999)))</f>
        <v>-3.2</v>
      </c>
      <c r="E47" s="11">
        <f>IFERROR(100/'Skjema total MA'!C47*C47,0)</f>
        <v>0.18226575219828758</v>
      </c>
      <c r="F47" s="145"/>
      <c r="G47" s="33"/>
      <c r="H47" s="159"/>
      <c r="I47" s="159"/>
      <c r="J47" s="37"/>
      <c r="K47" s="37"/>
      <c r="L47" s="159"/>
      <c r="M47" s="159"/>
      <c r="N47" s="148"/>
      <c r="O47" s="148"/>
    </row>
    <row r="48" spans="1:15" s="3" customFormat="1" ht="15.75" x14ac:dyDescent="0.2">
      <c r="A48" s="38" t="s">
        <v>467</v>
      </c>
      <c r="B48" s="278">
        <v>7900.4250000000002</v>
      </c>
      <c r="C48" s="279">
        <v>7651.06</v>
      </c>
      <c r="D48" s="253">
        <f t="shared" si="13"/>
        <v>-3.2</v>
      </c>
      <c r="E48" s="27">
        <f>IFERROR(100/'Skjema total MA'!C48*C48,0)</f>
        <v>0.32723097597301559</v>
      </c>
      <c r="F48" s="145"/>
      <c r="G48" s="33"/>
      <c r="H48" s="145"/>
      <c r="I48" s="145"/>
      <c r="J48" s="33"/>
      <c r="K48" s="33"/>
      <c r="L48" s="159"/>
      <c r="M48" s="159"/>
      <c r="N48" s="148"/>
      <c r="O48" s="148"/>
    </row>
    <row r="49" spans="1:15" s="3" customFormat="1" ht="15.75" x14ac:dyDescent="0.2">
      <c r="A49" s="38" t="s">
        <v>468</v>
      </c>
      <c r="B49" s="44"/>
      <c r="C49" s="284"/>
      <c r="D49" s="253"/>
      <c r="E49" s="27"/>
      <c r="F49" s="145"/>
      <c r="G49" s="33"/>
      <c r="H49" s="145"/>
      <c r="I49" s="145"/>
      <c r="J49" s="37"/>
      <c r="K49" s="37"/>
      <c r="L49" s="159"/>
      <c r="M49" s="159"/>
      <c r="N49" s="148"/>
      <c r="O49" s="148"/>
    </row>
    <row r="50" spans="1:15" s="3" customFormat="1" x14ac:dyDescent="0.2">
      <c r="A50" s="293" t="s">
        <v>6</v>
      </c>
      <c r="B50" s="287"/>
      <c r="C50" s="288"/>
      <c r="D50" s="253"/>
      <c r="E50" s="27"/>
      <c r="F50" s="145"/>
      <c r="G50" s="33"/>
      <c r="H50" s="145"/>
      <c r="I50" s="145"/>
      <c r="J50" s="33"/>
      <c r="K50" s="33"/>
      <c r="L50" s="159"/>
      <c r="M50" s="159"/>
      <c r="N50" s="148"/>
      <c r="O50" s="148"/>
    </row>
    <row r="51" spans="1:15" s="3" customFormat="1" x14ac:dyDescent="0.2">
      <c r="A51" s="293" t="s">
        <v>7</v>
      </c>
      <c r="B51" s="287"/>
      <c r="C51" s="288"/>
      <c r="D51" s="253"/>
      <c r="E51" s="27"/>
      <c r="F51" s="145"/>
      <c r="G51" s="33"/>
      <c r="H51" s="145"/>
      <c r="I51" s="145"/>
      <c r="J51" s="33"/>
      <c r="K51" s="33"/>
      <c r="L51" s="159"/>
      <c r="M51" s="159"/>
      <c r="N51" s="148"/>
      <c r="O51" s="148"/>
    </row>
    <row r="52" spans="1:15" s="3" customFormat="1" x14ac:dyDescent="0.2">
      <c r="A52" s="293" t="s">
        <v>8</v>
      </c>
      <c r="B52" s="287"/>
      <c r="C52" s="288"/>
      <c r="D52" s="253"/>
      <c r="E52" s="27"/>
      <c r="F52" s="145"/>
      <c r="G52" s="33"/>
      <c r="H52" s="145"/>
      <c r="I52" s="145"/>
      <c r="J52" s="33"/>
      <c r="K52" s="33"/>
      <c r="L52" s="159"/>
      <c r="M52" s="159"/>
      <c r="N52" s="148"/>
      <c r="O52" s="148"/>
    </row>
    <row r="53" spans="1:15" s="3" customFormat="1" ht="15.75" x14ac:dyDescent="0.2">
      <c r="A53" s="39" t="s">
        <v>469</v>
      </c>
      <c r="B53" s="307"/>
      <c r="C53" s="308"/>
      <c r="D53" s="423"/>
      <c r="E53" s="11"/>
      <c r="F53" s="145"/>
      <c r="G53" s="33"/>
      <c r="H53" s="145"/>
      <c r="I53" s="145"/>
      <c r="J53" s="33"/>
      <c r="K53" s="33"/>
      <c r="L53" s="159"/>
      <c r="M53" s="159"/>
      <c r="N53" s="148"/>
      <c r="O53" s="148"/>
    </row>
    <row r="54" spans="1:15" s="3" customFormat="1" ht="15.75" x14ac:dyDescent="0.2">
      <c r="A54" s="38" t="s">
        <v>467</v>
      </c>
      <c r="B54" s="278"/>
      <c r="C54" s="279"/>
      <c r="D54" s="253"/>
      <c r="E54" s="27"/>
      <c r="F54" s="145"/>
      <c r="G54" s="33"/>
      <c r="H54" s="145"/>
      <c r="I54" s="145"/>
      <c r="J54" s="33"/>
      <c r="K54" s="33"/>
      <c r="L54" s="159"/>
      <c r="M54" s="159"/>
      <c r="N54" s="148"/>
      <c r="O54" s="148"/>
    </row>
    <row r="55" spans="1:15" s="3" customFormat="1" ht="15.75" x14ac:dyDescent="0.2">
      <c r="A55" s="38" t="s">
        <v>468</v>
      </c>
      <c r="B55" s="278"/>
      <c r="C55" s="279"/>
      <c r="D55" s="253"/>
      <c r="E55" s="27"/>
      <c r="F55" s="145"/>
      <c r="G55" s="33"/>
      <c r="H55" s="145"/>
      <c r="I55" s="145"/>
      <c r="J55" s="33"/>
      <c r="K55" s="33"/>
      <c r="L55" s="159"/>
      <c r="M55" s="159"/>
      <c r="N55" s="148"/>
      <c r="O55" s="148"/>
    </row>
    <row r="56" spans="1:15" s="3" customFormat="1" ht="15.75" x14ac:dyDescent="0.2">
      <c r="A56" s="39" t="s">
        <v>470</v>
      </c>
      <c r="B56" s="307"/>
      <c r="C56" s="308"/>
      <c r="D56" s="423"/>
      <c r="E56" s="11"/>
      <c r="F56" s="145"/>
      <c r="G56" s="33"/>
      <c r="H56" s="145"/>
      <c r="I56" s="145"/>
      <c r="J56" s="33"/>
      <c r="K56" s="33"/>
      <c r="L56" s="159"/>
      <c r="M56" s="159"/>
      <c r="N56" s="148"/>
      <c r="O56" s="148"/>
    </row>
    <row r="57" spans="1:15" s="3" customFormat="1" ht="15.75" x14ac:dyDescent="0.2">
      <c r="A57" s="38" t="s">
        <v>467</v>
      </c>
      <c r="B57" s="278"/>
      <c r="C57" s="279"/>
      <c r="D57" s="253"/>
      <c r="E57" s="27"/>
      <c r="F57" s="145"/>
      <c r="G57" s="33"/>
      <c r="H57" s="145"/>
      <c r="I57" s="145"/>
      <c r="J57" s="33"/>
      <c r="K57" s="33"/>
      <c r="L57" s="159"/>
      <c r="M57" s="159"/>
      <c r="N57" s="148"/>
      <c r="O57" s="148"/>
    </row>
    <row r="58" spans="1:15" s="3" customFormat="1" ht="15.75" x14ac:dyDescent="0.2">
      <c r="A58" s="46" t="s">
        <v>468</v>
      </c>
      <c r="B58" s="280"/>
      <c r="C58" s="281"/>
      <c r="D58" s="254"/>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281</v>
      </c>
      <c r="C61" s="26"/>
      <c r="D61" s="26"/>
      <c r="E61" s="26"/>
      <c r="F61" s="26"/>
      <c r="G61" s="26"/>
      <c r="H61" s="26"/>
      <c r="I61" s="26"/>
      <c r="J61" s="26"/>
      <c r="K61" s="26"/>
      <c r="L61" s="26"/>
      <c r="M61" s="26"/>
      <c r="O61" s="148"/>
    </row>
    <row r="62" spans="1:15" ht="15.75" x14ac:dyDescent="0.25">
      <c r="B62" s="979"/>
      <c r="C62" s="979"/>
      <c r="D62" s="979"/>
      <c r="E62" s="402"/>
      <c r="F62" s="979"/>
      <c r="G62" s="979"/>
      <c r="H62" s="979"/>
      <c r="I62" s="402"/>
      <c r="J62" s="979"/>
      <c r="K62" s="979"/>
      <c r="L62" s="979"/>
      <c r="M62" s="402"/>
      <c r="O62" s="148"/>
    </row>
    <row r="63" spans="1:15" x14ac:dyDescent="0.2">
      <c r="A63" s="144"/>
      <c r="B63" s="975" t="s">
        <v>0</v>
      </c>
      <c r="C63" s="976"/>
      <c r="D63" s="977"/>
      <c r="E63" s="400"/>
      <c r="F63" s="976" t="s">
        <v>1</v>
      </c>
      <c r="G63" s="976"/>
      <c r="H63" s="976"/>
      <c r="I63" s="404"/>
      <c r="J63" s="975" t="s">
        <v>2</v>
      </c>
      <c r="K63" s="976"/>
      <c r="L63" s="976"/>
      <c r="M63" s="404"/>
      <c r="O63" s="148"/>
    </row>
    <row r="64" spans="1:15" x14ac:dyDescent="0.2">
      <c r="A64" s="140"/>
      <c r="B64" s="152" t="s">
        <v>500</v>
      </c>
      <c r="C64" s="152" t="s">
        <v>501</v>
      </c>
      <c r="D64" s="244" t="s">
        <v>3</v>
      </c>
      <c r="E64" s="302" t="s">
        <v>29</v>
      </c>
      <c r="F64" s="152" t="s">
        <v>500</v>
      </c>
      <c r="G64" s="152" t="s">
        <v>501</v>
      </c>
      <c r="H64" s="244" t="s">
        <v>3</v>
      </c>
      <c r="I64" s="302" t="s">
        <v>29</v>
      </c>
      <c r="J64" s="152" t="s">
        <v>500</v>
      </c>
      <c r="K64" s="152" t="s">
        <v>501</v>
      </c>
      <c r="L64" s="244" t="s">
        <v>3</v>
      </c>
      <c r="M64" s="162" t="s">
        <v>29</v>
      </c>
      <c r="O64" s="148"/>
    </row>
    <row r="65" spans="1:15" x14ac:dyDescent="0.2">
      <c r="A65" s="943"/>
      <c r="B65" s="156"/>
      <c r="C65" s="156"/>
      <c r="D65" s="245" t="s">
        <v>4</v>
      </c>
      <c r="E65" s="156" t="s">
        <v>30</v>
      </c>
      <c r="F65" s="161"/>
      <c r="G65" s="161"/>
      <c r="H65" s="244" t="s">
        <v>4</v>
      </c>
      <c r="I65" s="156" t="s">
        <v>30</v>
      </c>
      <c r="J65" s="161"/>
      <c r="K65" s="205"/>
      <c r="L65" s="156" t="s">
        <v>4</v>
      </c>
      <c r="M65" s="156" t="s">
        <v>30</v>
      </c>
      <c r="O65" s="148"/>
    </row>
    <row r="66" spans="1:15" ht="15.75" x14ac:dyDescent="0.2">
      <c r="A66" s="14" t="s">
        <v>23</v>
      </c>
      <c r="B66" s="350">
        <v>102993.24800000001</v>
      </c>
      <c r="C66" s="350">
        <v>108899.624</v>
      </c>
      <c r="D66" s="347">
        <f t="shared" ref="D66:D124" si="14">IF(B66=0, "    ---- ", IF(ABS(ROUND(100/B66*C66-100,1))&lt;999,ROUND(100/B66*C66-100,1),IF(ROUND(100/B66*C66-100,1)&gt;999,999,-999)))</f>
        <v>5.7</v>
      </c>
      <c r="E66" s="11">
        <f>IFERROR(100/'Skjema total MA'!C66*C66,0)</f>
        <v>1.2335737299471676</v>
      </c>
      <c r="F66" s="349">
        <v>1316682.6440000001</v>
      </c>
      <c r="G66" s="349">
        <v>1430863.943</v>
      </c>
      <c r="H66" s="347">
        <f t="shared" ref="H66:H125" si="15">IF(F66=0, "    ---- ", IF(ABS(ROUND(100/F66*G66-100,1))&lt;999,ROUND(100/F66*G66-100,1),IF(ROUND(100/F66*G66-100,1)&gt;999,999,-999)))</f>
        <v>8.6999999999999993</v>
      </c>
      <c r="I66" s="11">
        <f>IFERROR(100/'Skjema total MA'!F66*G66,0)</f>
        <v>4.9417400161755403</v>
      </c>
      <c r="J66" s="306">
        <f t="shared" ref="J66:K85" si="16">SUM(B66,F66)</f>
        <v>1419675.892</v>
      </c>
      <c r="K66" s="313">
        <f t="shared" si="16"/>
        <v>1539763.567</v>
      </c>
      <c r="L66" s="423">
        <f t="shared" ref="L66:L125" si="17">IF(J66=0, "    ---- ", IF(ABS(ROUND(100/J66*K66-100,1))&lt;999,ROUND(100/J66*K66-100,1),IF(ROUND(100/J66*K66-100,1)&gt;999,999,-999)))</f>
        <v>8.5</v>
      </c>
      <c r="M66" s="11">
        <f>IFERROR(100/'Skjema total MA'!I66*K66,0)</f>
        <v>4.075320544883291</v>
      </c>
      <c r="O66" s="148"/>
    </row>
    <row r="67" spans="1:15" x14ac:dyDescent="0.2">
      <c r="A67" s="21" t="s">
        <v>9</v>
      </c>
      <c r="B67" s="44">
        <v>102993.24800000001</v>
      </c>
      <c r="C67" s="145">
        <v>108899.624</v>
      </c>
      <c r="D67" s="166">
        <f t="shared" si="14"/>
        <v>5.7</v>
      </c>
      <c r="E67" s="27">
        <f>IFERROR(100/'Skjema total MA'!C67*C67,0)</f>
        <v>1.5470427193257645</v>
      </c>
      <c r="F67" s="233"/>
      <c r="G67" s="145"/>
      <c r="H67" s="166"/>
      <c r="I67" s="27"/>
      <c r="J67" s="284">
        <f t="shared" si="16"/>
        <v>102993.24800000001</v>
      </c>
      <c r="K67" s="44">
        <f t="shared" si="16"/>
        <v>108899.624</v>
      </c>
      <c r="L67" s="253">
        <f t="shared" si="17"/>
        <v>5.7</v>
      </c>
      <c r="M67" s="27">
        <f>IFERROR(100/'Skjema total MA'!I67*K67,0)</f>
        <v>1.5470427193257645</v>
      </c>
      <c r="O67" s="148"/>
    </row>
    <row r="68" spans="1:15" x14ac:dyDescent="0.2">
      <c r="A68" s="21" t="s">
        <v>10</v>
      </c>
      <c r="B68" s="289"/>
      <c r="C68" s="290"/>
      <c r="D68" s="166"/>
      <c r="E68" s="27"/>
      <c r="F68" s="289">
        <v>1316682.6440000001</v>
      </c>
      <c r="G68" s="290">
        <v>1430863.943</v>
      </c>
      <c r="H68" s="166">
        <f t="shared" si="15"/>
        <v>8.6999999999999993</v>
      </c>
      <c r="I68" s="27">
        <f>IFERROR(100/'Skjema total MA'!F68*G68,0)</f>
        <v>5.0120904385720841</v>
      </c>
      <c r="J68" s="284">
        <f t="shared" si="16"/>
        <v>1316682.6440000001</v>
      </c>
      <c r="K68" s="44">
        <f t="shared" si="16"/>
        <v>1430863.943</v>
      </c>
      <c r="L68" s="253">
        <f t="shared" si="17"/>
        <v>8.6999999999999993</v>
      </c>
      <c r="M68" s="27">
        <f>IFERROR(100/'Skjema total MA'!I68*K68,0)</f>
        <v>4.9860533851191198</v>
      </c>
      <c r="O68" s="148"/>
    </row>
    <row r="69" spans="1:15" ht="15.75" x14ac:dyDescent="0.2">
      <c r="A69" s="293" t="s">
        <v>471</v>
      </c>
      <c r="B69" s="278"/>
      <c r="C69" s="278"/>
      <c r="D69" s="253"/>
      <c r="E69" s="27"/>
      <c r="F69" s="278"/>
      <c r="G69" s="278"/>
      <c r="H69" s="253"/>
      <c r="I69" s="27"/>
      <c r="J69" s="287"/>
      <c r="K69" s="287"/>
      <c r="L69" s="253"/>
      <c r="M69" s="23"/>
      <c r="O69" s="148"/>
    </row>
    <row r="70" spans="1:15" x14ac:dyDescent="0.2">
      <c r="A70" s="293" t="s">
        <v>12</v>
      </c>
      <c r="B70" s="291"/>
      <c r="C70" s="292"/>
      <c r="D70" s="253"/>
      <c r="E70" s="27"/>
      <c r="F70" s="278"/>
      <c r="G70" s="278"/>
      <c r="H70" s="253"/>
      <c r="I70" s="27"/>
      <c r="J70" s="287"/>
      <c r="K70" s="287"/>
      <c r="L70" s="253"/>
      <c r="M70" s="23"/>
      <c r="O70" s="148"/>
    </row>
    <row r="71" spans="1:15" x14ac:dyDescent="0.2">
      <c r="A71" s="293" t="s">
        <v>13</v>
      </c>
      <c r="B71" s="234"/>
      <c r="C71" s="286"/>
      <c r="D71" s="253"/>
      <c r="E71" s="27"/>
      <c r="F71" s="278"/>
      <c r="G71" s="278"/>
      <c r="H71" s="253"/>
      <c r="I71" s="27"/>
      <c r="J71" s="287"/>
      <c r="K71" s="287"/>
      <c r="L71" s="253"/>
      <c r="M71" s="23"/>
      <c r="O71" s="148"/>
    </row>
    <row r="72" spans="1:15" ht="15.75" x14ac:dyDescent="0.2">
      <c r="A72" s="293" t="s">
        <v>472</v>
      </c>
      <c r="B72" s="278"/>
      <c r="C72" s="278"/>
      <c r="D72" s="253"/>
      <c r="E72" s="27"/>
      <c r="F72" s="278">
        <v>1316682.6440000001</v>
      </c>
      <c r="G72" s="278">
        <v>1430863.943</v>
      </c>
      <c r="H72" s="253">
        <f t="shared" si="15"/>
        <v>8.6999999999999993</v>
      </c>
      <c r="I72" s="27">
        <f>IFERROR(100/'Skjema total MA'!F72*G72,0)</f>
        <v>5.0127752186973309</v>
      </c>
      <c r="J72" s="287">
        <f t="shared" ref="J72:J74" si="18">SUM(B72,F72)</f>
        <v>1316682.6440000001</v>
      </c>
      <c r="K72" s="287">
        <f t="shared" si="16"/>
        <v>1430863.943</v>
      </c>
      <c r="L72" s="253">
        <f t="shared" si="17"/>
        <v>8.6999999999999993</v>
      </c>
      <c r="M72" s="23">
        <f>IFERROR(100/'Skjema total MA'!I72*K72,0)</f>
        <v>4.9894626863374381</v>
      </c>
      <c r="O72" s="148"/>
    </row>
    <row r="73" spans="1:15" x14ac:dyDescent="0.2">
      <c r="A73" s="293" t="s">
        <v>12</v>
      </c>
      <c r="B73" s="234"/>
      <c r="C73" s="286"/>
      <c r="D73" s="253"/>
      <c r="E73" s="27"/>
      <c r="F73" s="278"/>
      <c r="G73" s="278"/>
      <c r="H73" s="253"/>
      <c r="I73" s="27"/>
      <c r="J73" s="287"/>
      <c r="K73" s="287"/>
      <c r="L73" s="253"/>
      <c r="M73" s="23"/>
      <c r="O73" s="148"/>
    </row>
    <row r="74" spans="1:15" s="3" customFormat="1" x14ac:dyDescent="0.2">
      <c r="A74" s="293" t="s">
        <v>13</v>
      </c>
      <c r="B74" s="234"/>
      <c r="C74" s="286"/>
      <c r="D74" s="253"/>
      <c r="E74" s="27"/>
      <c r="F74" s="278">
        <v>1316682.6440000001</v>
      </c>
      <c r="G74" s="278">
        <v>1430863.943</v>
      </c>
      <c r="H74" s="253">
        <f t="shared" si="15"/>
        <v>8.6999999999999993</v>
      </c>
      <c r="I74" s="27">
        <f>IFERROR(100/'Skjema total MA'!F74*G74,0)</f>
        <v>5.0656295493926962</v>
      </c>
      <c r="J74" s="287">
        <f t="shared" si="18"/>
        <v>1316682.6440000001</v>
      </c>
      <c r="K74" s="287">
        <f t="shared" si="16"/>
        <v>1430863.943</v>
      </c>
      <c r="L74" s="253">
        <f t="shared" si="17"/>
        <v>8.6999999999999993</v>
      </c>
      <c r="M74" s="23">
        <f>IFERROR(100/'Skjema total MA'!I74*K74,0)</f>
        <v>5.0656295493926962</v>
      </c>
      <c r="N74" s="148"/>
      <c r="O74" s="148"/>
    </row>
    <row r="75" spans="1:15" s="3" customFormat="1" x14ac:dyDescent="0.2">
      <c r="A75" s="21" t="s">
        <v>357</v>
      </c>
      <c r="B75" s="233"/>
      <c r="C75" s="145"/>
      <c r="D75" s="166"/>
      <c r="E75" s="27"/>
      <c r="F75" s="233"/>
      <c r="G75" s="145"/>
      <c r="H75" s="166"/>
      <c r="I75" s="27"/>
      <c r="J75" s="284"/>
      <c r="K75" s="44"/>
      <c r="L75" s="253"/>
      <c r="M75" s="27"/>
      <c r="N75" s="148"/>
      <c r="O75" s="148"/>
    </row>
    <row r="76" spans="1:15" s="3" customFormat="1" x14ac:dyDescent="0.2">
      <c r="A76" s="21" t="s">
        <v>356</v>
      </c>
      <c r="B76" s="233"/>
      <c r="C76" s="145"/>
      <c r="D76" s="166"/>
      <c r="E76" s="27"/>
      <c r="F76" s="233"/>
      <c r="G76" s="145"/>
      <c r="H76" s="166"/>
      <c r="I76" s="27"/>
      <c r="J76" s="284"/>
      <c r="K76" s="44"/>
      <c r="L76" s="253"/>
      <c r="M76" s="27"/>
      <c r="N76" s="148"/>
      <c r="O76" s="148"/>
    </row>
    <row r="77" spans="1:15" ht="15.75" x14ac:dyDescent="0.2">
      <c r="A77" s="21" t="s">
        <v>473</v>
      </c>
      <c r="B77" s="233">
        <v>102993.24800000001</v>
      </c>
      <c r="C77" s="233">
        <v>108899.624</v>
      </c>
      <c r="D77" s="166">
        <f t="shared" si="14"/>
        <v>5.7</v>
      </c>
      <c r="E77" s="27">
        <f>IFERROR(100/'Skjema total MA'!C77*C77,0)</f>
        <v>1.5415190206185192</v>
      </c>
      <c r="F77" s="233">
        <v>1316682.6440000001</v>
      </c>
      <c r="G77" s="145">
        <v>1430863.943</v>
      </c>
      <c r="H77" s="166">
        <f t="shared" si="15"/>
        <v>8.6999999999999993</v>
      </c>
      <c r="I77" s="27">
        <f>IFERROR(100/'Skjema total MA'!F77*G77,0)</f>
        <v>5.014279112127924</v>
      </c>
      <c r="J77" s="284">
        <f t="shared" si="16"/>
        <v>1419675.892</v>
      </c>
      <c r="K77" s="44">
        <f t="shared" si="16"/>
        <v>1539763.567</v>
      </c>
      <c r="L77" s="253">
        <f t="shared" si="17"/>
        <v>8.5</v>
      </c>
      <c r="M77" s="27">
        <f>IFERROR(100/'Skjema total MA'!I77*K77,0)</f>
        <v>4.3251516262064111</v>
      </c>
      <c r="O77" s="148"/>
    </row>
    <row r="78" spans="1:15" x14ac:dyDescent="0.2">
      <c r="A78" s="21" t="s">
        <v>9</v>
      </c>
      <c r="B78" s="233">
        <v>102993.24800000001</v>
      </c>
      <c r="C78" s="145">
        <v>108899.624</v>
      </c>
      <c r="D78" s="166">
        <f t="shared" si="14"/>
        <v>5.7</v>
      </c>
      <c r="E78" s="27">
        <f>IFERROR(100/'Skjema total MA'!C78*C78,0)</f>
        <v>1.5738615621582011</v>
      </c>
      <c r="F78" s="233"/>
      <c r="G78" s="145"/>
      <c r="H78" s="166"/>
      <c r="I78" s="27"/>
      <c r="J78" s="284">
        <f t="shared" si="16"/>
        <v>102993.24800000001</v>
      </c>
      <c r="K78" s="44">
        <f t="shared" si="16"/>
        <v>108899.624</v>
      </c>
      <c r="L78" s="253">
        <f t="shared" si="17"/>
        <v>5.7</v>
      </c>
      <c r="M78" s="27">
        <f>IFERROR(100/'Skjema total MA'!I78*K78,0)</f>
        <v>1.5738615621582011</v>
      </c>
      <c r="O78" s="148"/>
    </row>
    <row r="79" spans="1:15" x14ac:dyDescent="0.2">
      <c r="A79" s="21" t="s">
        <v>10</v>
      </c>
      <c r="B79" s="289"/>
      <c r="C79" s="290"/>
      <c r="D79" s="166"/>
      <c r="E79" s="27"/>
      <c r="F79" s="289">
        <v>1316682.6440000001</v>
      </c>
      <c r="G79" s="290">
        <v>1430863.943</v>
      </c>
      <c r="H79" s="166">
        <f t="shared" si="15"/>
        <v>8.6999999999999993</v>
      </c>
      <c r="I79" s="27">
        <f>IFERROR(100/'Skjema total MA'!F79*G79,0)</f>
        <v>5.014279112127924</v>
      </c>
      <c r="J79" s="284">
        <f t="shared" si="16"/>
        <v>1316682.6440000001</v>
      </c>
      <c r="K79" s="44">
        <f t="shared" si="16"/>
        <v>1430863.943</v>
      </c>
      <c r="L79" s="253">
        <f t="shared" si="17"/>
        <v>8.6999999999999993</v>
      </c>
      <c r="M79" s="27">
        <f>IFERROR(100/'Skjema total MA'!I79*K79,0)</f>
        <v>4.9888986250675345</v>
      </c>
      <c r="O79" s="148"/>
    </row>
    <row r="80" spans="1:15" ht="15.75" x14ac:dyDescent="0.2">
      <c r="A80" s="293" t="s">
        <v>471</v>
      </c>
      <c r="B80" s="278"/>
      <c r="C80" s="278"/>
      <c r="D80" s="253"/>
      <c r="E80" s="27"/>
      <c r="F80" s="278"/>
      <c r="G80" s="278"/>
      <c r="H80" s="253"/>
      <c r="I80" s="412"/>
      <c r="J80" s="287"/>
      <c r="K80" s="287"/>
      <c r="L80" s="253"/>
      <c r="M80" s="23"/>
      <c r="O80" s="148"/>
    </row>
    <row r="81" spans="1:15" x14ac:dyDescent="0.2">
      <c r="A81" s="293" t="s">
        <v>12</v>
      </c>
      <c r="B81" s="234"/>
      <c r="C81" s="286"/>
      <c r="D81" s="166"/>
      <c r="E81" s="27"/>
      <c r="F81" s="278"/>
      <c r="G81" s="278"/>
      <c r="H81" s="253"/>
      <c r="I81" s="412"/>
      <c r="J81" s="287"/>
      <c r="K81" s="287"/>
      <c r="L81" s="253"/>
      <c r="M81" s="23"/>
      <c r="O81" s="148"/>
    </row>
    <row r="82" spans="1:15" x14ac:dyDescent="0.2">
      <c r="A82" s="293" t="s">
        <v>13</v>
      </c>
      <c r="B82" s="234"/>
      <c r="C82" s="286"/>
      <c r="D82" s="166"/>
      <c r="E82" s="27"/>
      <c r="F82" s="278"/>
      <c r="G82" s="278"/>
      <c r="H82" s="253"/>
      <c r="I82" s="412"/>
      <c r="J82" s="287"/>
      <c r="K82" s="287"/>
      <c r="L82" s="253"/>
      <c r="M82" s="23"/>
      <c r="O82" s="148"/>
    </row>
    <row r="83" spans="1:15" ht="15.75" x14ac:dyDescent="0.2">
      <c r="A83" s="293" t="s">
        <v>472</v>
      </c>
      <c r="B83" s="278"/>
      <c r="C83" s="278"/>
      <c r="D83" s="253"/>
      <c r="E83" s="27"/>
      <c r="F83" s="278">
        <v>1316682.6440000001</v>
      </c>
      <c r="G83" s="278">
        <v>1430863.943</v>
      </c>
      <c r="H83" s="253">
        <f t="shared" si="15"/>
        <v>8.6999999999999993</v>
      </c>
      <c r="I83" s="412">
        <f>IFERROR(100/'Skjema total MA'!F83*G83,0)</f>
        <v>5.014279112127924</v>
      </c>
      <c r="J83" s="287">
        <f t="shared" si="16"/>
        <v>1316682.6440000001</v>
      </c>
      <c r="K83" s="287">
        <f t="shared" si="16"/>
        <v>1430863.943</v>
      </c>
      <c r="L83" s="253">
        <f t="shared" si="17"/>
        <v>8.6999999999999993</v>
      </c>
      <c r="M83" s="23">
        <f>IFERROR(100/'Skjema total MA'!I83*K83,0)</f>
        <v>4.9888986250675345</v>
      </c>
      <c r="O83" s="148"/>
    </row>
    <row r="84" spans="1:15" x14ac:dyDescent="0.2">
      <c r="A84" s="293" t="s">
        <v>12</v>
      </c>
      <c r="B84" s="234"/>
      <c r="C84" s="286"/>
      <c r="D84" s="166"/>
      <c r="E84" s="27"/>
      <c r="F84" s="278"/>
      <c r="G84" s="278"/>
      <c r="H84" s="253"/>
      <c r="I84" s="412"/>
      <c r="J84" s="287"/>
      <c r="K84" s="287"/>
      <c r="L84" s="253"/>
      <c r="M84" s="23"/>
      <c r="O84" s="148"/>
    </row>
    <row r="85" spans="1:15" x14ac:dyDescent="0.2">
      <c r="A85" s="293" t="s">
        <v>13</v>
      </c>
      <c r="B85" s="234"/>
      <c r="C85" s="286"/>
      <c r="D85" s="166"/>
      <c r="E85" s="27"/>
      <c r="F85" s="278">
        <v>1316682.6440000001</v>
      </c>
      <c r="G85" s="278">
        <v>1430863.943</v>
      </c>
      <c r="H85" s="253">
        <f t="shared" si="15"/>
        <v>8.6999999999999993</v>
      </c>
      <c r="I85" s="412">
        <f>IFERROR(100/'Skjema total MA'!F85*G85,0)</f>
        <v>5.0671542039114872</v>
      </c>
      <c r="J85" s="287">
        <f t="shared" si="16"/>
        <v>1316682.6440000001</v>
      </c>
      <c r="K85" s="287">
        <f t="shared" si="16"/>
        <v>1430863.943</v>
      </c>
      <c r="L85" s="253">
        <f t="shared" si="17"/>
        <v>8.6999999999999993</v>
      </c>
      <c r="M85" s="23">
        <f>IFERROR(100/'Skjema total MA'!I85*K85,0)</f>
        <v>5.0671542039114872</v>
      </c>
      <c r="O85" s="148"/>
    </row>
    <row r="86" spans="1:15" ht="15.75" x14ac:dyDescent="0.2">
      <c r="A86" s="21" t="s">
        <v>474</v>
      </c>
      <c r="B86" s="233"/>
      <c r="C86" s="145"/>
      <c r="D86" s="166"/>
      <c r="E86" s="27"/>
      <c r="F86" s="233"/>
      <c r="G86" s="145"/>
      <c r="H86" s="166"/>
      <c r="I86" s="27"/>
      <c r="J86" s="284"/>
      <c r="K86" s="44"/>
      <c r="L86" s="253"/>
      <c r="M86" s="27"/>
      <c r="O86" s="148"/>
    </row>
    <row r="87" spans="1:15" ht="15.75" x14ac:dyDescent="0.2">
      <c r="A87" s="13" t="s">
        <v>456</v>
      </c>
      <c r="B87" s="350">
        <v>607560.85</v>
      </c>
      <c r="C87" s="350">
        <v>682180.38</v>
      </c>
      <c r="D87" s="171">
        <f t="shared" si="14"/>
        <v>12.3</v>
      </c>
      <c r="E87" s="11">
        <f>IFERROR(100/'Skjema total MA'!C87*C87,0)</f>
        <v>0.17659314738102072</v>
      </c>
      <c r="F87" s="349">
        <v>12116668.290999999</v>
      </c>
      <c r="G87" s="349">
        <v>12464415.055</v>
      </c>
      <c r="H87" s="171">
        <f t="shared" si="15"/>
        <v>2.9</v>
      </c>
      <c r="I87" s="11">
        <f>IFERROR(100/'Skjema total MA'!F87*G87,0)</f>
        <v>5.0604558015972332</v>
      </c>
      <c r="J87" s="306">
        <f t="shared" ref="J87:K111" si="19">SUM(B87,F87)</f>
        <v>12724229.140999999</v>
      </c>
      <c r="K87" s="235">
        <f t="shared" si="19"/>
        <v>13146595.435000001</v>
      </c>
      <c r="L87" s="423">
        <f t="shared" si="17"/>
        <v>3.3</v>
      </c>
      <c r="M87" s="11">
        <f>IFERROR(100/'Skjema total MA'!I87*K87,0)</f>
        <v>2.0781493247034644</v>
      </c>
      <c r="O87" s="148"/>
    </row>
    <row r="88" spans="1:15" x14ac:dyDescent="0.2">
      <c r="A88" s="21" t="s">
        <v>9</v>
      </c>
      <c r="B88" s="233">
        <v>607560.85</v>
      </c>
      <c r="C88" s="145">
        <v>682180.38</v>
      </c>
      <c r="D88" s="166">
        <f t="shared" si="14"/>
        <v>12.3</v>
      </c>
      <c r="E88" s="27">
        <f>IFERROR(100/'Skjema total MA'!C88*C88,0)</f>
        <v>0.18079916888736666</v>
      </c>
      <c r="F88" s="233"/>
      <c r="G88" s="145"/>
      <c r="H88" s="166"/>
      <c r="I88" s="27"/>
      <c r="J88" s="284">
        <f t="shared" si="19"/>
        <v>607560.85</v>
      </c>
      <c r="K88" s="44">
        <f t="shared" si="19"/>
        <v>682180.38</v>
      </c>
      <c r="L88" s="253">
        <f t="shared" si="17"/>
        <v>12.3</v>
      </c>
      <c r="M88" s="27">
        <f>IFERROR(100/'Skjema total MA'!I88*K88,0)</f>
        <v>0.18079916888736666</v>
      </c>
      <c r="O88" s="148"/>
    </row>
    <row r="89" spans="1:15" x14ac:dyDescent="0.2">
      <c r="A89" s="21" t="s">
        <v>10</v>
      </c>
      <c r="B89" s="233"/>
      <c r="C89" s="145"/>
      <c r="D89" s="166"/>
      <c r="E89" s="27"/>
      <c r="F89" s="233">
        <v>12116668.290999999</v>
      </c>
      <c r="G89" s="145">
        <v>12464415.055</v>
      </c>
      <c r="H89" s="166">
        <f t="shared" si="15"/>
        <v>2.9</v>
      </c>
      <c r="I89" s="27">
        <f>IFERROR(100/'Skjema total MA'!F89*G89,0)</f>
        <v>5.0813124254059217</v>
      </c>
      <c r="J89" s="284">
        <f t="shared" si="19"/>
        <v>12116668.290999999</v>
      </c>
      <c r="K89" s="44">
        <f t="shared" si="19"/>
        <v>12464415.055</v>
      </c>
      <c r="L89" s="253">
        <f t="shared" si="17"/>
        <v>2.9</v>
      </c>
      <c r="M89" s="27">
        <f>IFERROR(100/'Skjema total MA'!I89*K89,0)</f>
        <v>5.0255889979634176</v>
      </c>
      <c r="O89" s="148"/>
    </row>
    <row r="90" spans="1:15" ht="15.75" x14ac:dyDescent="0.2">
      <c r="A90" s="293" t="s">
        <v>471</v>
      </c>
      <c r="B90" s="278"/>
      <c r="C90" s="278"/>
      <c r="D90" s="253"/>
      <c r="E90" s="27"/>
      <c r="F90" s="278"/>
      <c r="G90" s="278"/>
      <c r="H90" s="253"/>
      <c r="I90" s="412"/>
      <c r="J90" s="287"/>
      <c r="K90" s="287"/>
      <c r="L90" s="253"/>
      <c r="M90" s="23"/>
      <c r="O90" s="148"/>
    </row>
    <row r="91" spans="1:15" x14ac:dyDescent="0.2">
      <c r="A91" s="293" t="s">
        <v>12</v>
      </c>
      <c r="B91" s="234"/>
      <c r="C91" s="286"/>
      <c r="D91" s="166"/>
      <c r="E91" s="27"/>
      <c r="F91" s="278"/>
      <c r="G91" s="278"/>
      <c r="H91" s="253"/>
      <c r="I91" s="412"/>
      <c r="J91" s="287"/>
      <c r="K91" s="287"/>
      <c r="L91" s="253"/>
      <c r="M91" s="23"/>
      <c r="O91" s="148"/>
    </row>
    <row r="92" spans="1:15" x14ac:dyDescent="0.2">
      <c r="A92" s="293" t="s">
        <v>13</v>
      </c>
      <c r="B92" s="234"/>
      <c r="C92" s="286"/>
      <c r="D92" s="166"/>
      <c r="E92" s="27"/>
      <c r="F92" s="278"/>
      <c r="G92" s="278"/>
      <c r="H92" s="253"/>
      <c r="I92" s="412"/>
      <c r="J92" s="287"/>
      <c r="K92" s="287"/>
      <c r="L92" s="253"/>
      <c r="M92" s="23"/>
      <c r="O92" s="148"/>
    </row>
    <row r="93" spans="1:15" ht="15.75" x14ac:dyDescent="0.2">
      <c r="A93" s="293" t="s">
        <v>472</v>
      </c>
      <c r="B93" s="278"/>
      <c r="C93" s="278"/>
      <c r="D93" s="253"/>
      <c r="E93" s="27"/>
      <c r="F93" s="278">
        <v>12116668.290999999</v>
      </c>
      <c r="G93" s="278">
        <v>12464415.055</v>
      </c>
      <c r="H93" s="253">
        <f t="shared" si="15"/>
        <v>2.9</v>
      </c>
      <c r="I93" s="412">
        <f>IFERROR(100/'Skjema total MA'!F93*G93,0)</f>
        <v>5.08405918702198</v>
      </c>
      <c r="J93" s="287">
        <f t="shared" si="19"/>
        <v>12116668.290999999</v>
      </c>
      <c r="K93" s="287">
        <f t="shared" si="19"/>
        <v>12464415.055</v>
      </c>
      <c r="L93" s="253">
        <f t="shared" si="17"/>
        <v>2.9</v>
      </c>
      <c r="M93" s="23">
        <f>IFERROR(100/'Skjema total MA'!I93*K93,0)</f>
        <v>5.0282758301059935</v>
      </c>
      <c r="O93" s="148"/>
    </row>
    <row r="94" spans="1:15" x14ac:dyDescent="0.2">
      <c r="A94" s="293" t="s">
        <v>12</v>
      </c>
      <c r="B94" s="234"/>
      <c r="C94" s="286"/>
      <c r="D94" s="166"/>
      <c r="E94" s="27"/>
      <c r="F94" s="278"/>
      <c r="G94" s="278"/>
      <c r="H94" s="253"/>
      <c r="I94" s="412"/>
      <c r="J94" s="287"/>
      <c r="K94" s="287"/>
      <c r="L94" s="253"/>
      <c r="M94" s="23"/>
      <c r="O94" s="148"/>
    </row>
    <row r="95" spans="1:15" x14ac:dyDescent="0.2">
      <c r="A95" s="293" t="s">
        <v>13</v>
      </c>
      <c r="B95" s="234"/>
      <c r="C95" s="286"/>
      <c r="D95" s="166"/>
      <c r="E95" s="27"/>
      <c r="F95" s="278">
        <v>12116668.290999999</v>
      </c>
      <c r="G95" s="278">
        <v>12464415.055</v>
      </c>
      <c r="H95" s="253">
        <f t="shared" si="15"/>
        <v>2.9</v>
      </c>
      <c r="I95" s="412">
        <f>IFERROR(100/'Skjema total MA'!F95*G95,0)</f>
        <v>5.1495385145688513</v>
      </c>
      <c r="J95" s="287">
        <f t="shared" si="19"/>
        <v>12116668.290999999</v>
      </c>
      <c r="K95" s="287">
        <f t="shared" si="19"/>
        <v>12464415.055</v>
      </c>
      <c r="L95" s="253">
        <f t="shared" si="17"/>
        <v>2.9</v>
      </c>
      <c r="M95" s="23">
        <f>IFERROR(100/'Skjema total MA'!I95*K95,0)</f>
        <v>5.1495385145688513</v>
      </c>
      <c r="O95" s="148"/>
    </row>
    <row r="96" spans="1:15" x14ac:dyDescent="0.2">
      <c r="A96" s="21" t="s">
        <v>355</v>
      </c>
      <c r="B96" s="233"/>
      <c r="C96" s="145"/>
      <c r="D96" s="166"/>
      <c r="E96" s="27"/>
      <c r="F96" s="233"/>
      <c r="G96" s="145"/>
      <c r="H96" s="166"/>
      <c r="I96" s="27"/>
      <c r="J96" s="284"/>
      <c r="K96" s="44"/>
      <c r="L96" s="253"/>
      <c r="M96" s="27"/>
      <c r="O96" s="148"/>
    </row>
    <row r="97" spans="1:15" x14ac:dyDescent="0.2">
      <c r="A97" s="21" t="s">
        <v>354</v>
      </c>
      <c r="B97" s="233"/>
      <c r="C97" s="145"/>
      <c r="D97" s="166"/>
      <c r="E97" s="27"/>
      <c r="F97" s="233"/>
      <c r="G97" s="145"/>
      <c r="H97" s="166"/>
      <c r="I97" s="27"/>
      <c r="J97" s="284"/>
      <c r="K97" s="44"/>
      <c r="L97" s="253"/>
      <c r="M97" s="27"/>
      <c r="O97" s="148"/>
    </row>
    <row r="98" spans="1:15" ht="15.75" x14ac:dyDescent="0.2">
      <c r="A98" s="21" t="s">
        <v>473</v>
      </c>
      <c r="B98" s="233">
        <v>607560.85</v>
      </c>
      <c r="C98" s="233">
        <v>682180.38</v>
      </c>
      <c r="D98" s="166">
        <f t="shared" si="14"/>
        <v>12.3</v>
      </c>
      <c r="E98" s="27">
        <f>IFERROR(100/'Skjema total MA'!C98*C98,0)</f>
        <v>0.18185648864019577</v>
      </c>
      <c r="F98" s="289">
        <v>12116668.290999999</v>
      </c>
      <c r="G98" s="289">
        <v>12464415.055</v>
      </c>
      <c r="H98" s="166">
        <f t="shared" si="15"/>
        <v>2.9</v>
      </c>
      <c r="I98" s="27">
        <f>IFERROR(100/'Skjema total MA'!F98*G98,0)</f>
        <v>5.0954445607886276</v>
      </c>
      <c r="J98" s="284">
        <f t="shared" si="19"/>
        <v>12724229.140999999</v>
      </c>
      <c r="K98" s="44">
        <f t="shared" si="19"/>
        <v>13146595.435000001</v>
      </c>
      <c r="L98" s="253">
        <f t="shared" si="17"/>
        <v>3.3</v>
      </c>
      <c r="M98" s="27">
        <f>IFERROR(100/'Skjema total MA'!I98*K98,0)</f>
        <v>2.1213117240367674</v>
      </c>
      <c r="O98" s="148"/>
    </row>
    <row r="99" spans="1:15" x14ac:dyDescent="0.2">
      <c r="A99" s="21" t="s">
        <v>9</v>
      </c>
      <c r="B99" s="289">
        <v>607560.85</v>
      </c>
      <c r="C99" s="290">
        <v>682180.38</v>
      </c>
      <c r="D99" s="166">
        <f t="shared" si="14"/>
        <v>12.3</v>
      </c>
      <c r="E99" s="27">
        <f>IFERROR(100/'Skjema total MA'!C99*C99,0)</f>
        <v>0.18318469519626199</v>
      </c>
      <c r="F99" s="233"/>
      <c r="G99" s="145"/>
      <c r="H99" s="166"/>
      <c r="I99" s="27"/>
      <c r="J99" s="284">
        <f t="shared" si="19"/>
        <v>607560.85</v>
      </c>
      <c r="K99" s="44">
        <f t="shared" si="19"/>
        <v>682180.38</v>
      </c>
      <c r="L99" s="253">
        <f t="shared" si="17"/>
        <v>12.3</v>
      </c>
      <c r="M99" s="27">
        <f>IFERROR(100/'Skjema total MA'!I99*K99,0)</f>
        <v>0.18318469519626199</v>
      </c>
      <c r="O99" s="148"/>
    </row>
    <row r="100" spans="1:15" x14ac:dyDescent="0.2">
      <c r="A100" s="21" t="s">
        <v>10</v>
      </c>
      <c r="B100" s="289"/>
      <c r="C100" s="290"/>
      <c r="D100" s="166"/>
      <c r="E100" s="27"/>
      <c r="F100" s="233">
        <v>12116668.290999999</v>
      </c>
      <c r="G100" s="233">
        <v>12464415.055</v>
      </c>
      <c r="H100" s="166">
        <f t="shared" si="15"/>
        <v>2.9</v>
      </c>
      <c r="I100" s="27">
        <f>IFERROR(100/'Skjema total MA'!F100*G100,0)</f>
        <v>5.0954445607886276</v>
      </c>
      <c r="J100" s="284">
        <f t="shared" si="19"/>
        <v>12116668.290999999</v>
      </c>
      <c r="K100" s="44">
        <f t="shared" si="19"/>
        <v>12464415.055</v>
      </c>
      <c r="L100" s="253">
        <f t="shared" si="17"/>
        <v>2.9</v>
      </c>
      <c r="M100" s="27">
        <f>IFERROR(100/'Skjema total MA'!I100*K100,0)</f>
        <v>5.0394124555201119</v>
      </c>
      <c r="O100" s="148"/>
    </row>
    <row r="101" spans="1:15" ht="15.75" x14ac:dyDescent="0.2">
      <c r="A101" s="293" t="s">
        <v>471</v>
      </c>
      <c r="B101" s="278"/>
      <c r="C101" s="278"/>
      <c r="D101" s="253"/>
      <c r="E101" s="27"/>
      <c r="F101" s="278"/>
      <c r="G101" s="278"/>
      <c r="H101" s="253"/>
      <c r="I101" s="412"/>
      <c r="J101" s="287"/>
      <c r="K101" s="287"/>
      <c r="L101" s="253"/>
      <c r="M101" s="23"/>
      <c r="O101" s="148"/>
    </row>
    <row r="102" spans="1:15" x14ac:dyDescent="0.2">
      <c r="A102" s="293" t="s">
        <v>12</v>
      </c>
      <c r="B102" s="234"/>
      <c r="C102" s="286"/>
      <c r="D102" s="166"/>
      <c r="E102" s="27"/>
      <c r="F102" s="278"/>
      <c r="G102" s="278"/>
      <c r="H102" s="253"/>
      <c r="I102" s="412"/>
      <c r="J102" s="287"/>
      <c r="K102" s="287"/>
      <c r="L102" s="253"/>
      <c r="M102" s="23"/>
      <c r="O102" s="148"/>
    </row>
    <row r="103" spans="1:15" x14ac:dyDescent="0.2">
      <c r="A103" s="293" t="s">
        <v>13</v>
      </c>
      <c r="B103" s="234"/>
      <c r="C103" s="286"/>
      <c r="D103" s="166"/>
      <c r="E103" s="27"/>
      <c r="F103" s="278"/>
      <c r="G103" s="278"/>
      <c r="H103" s="253"/>
      <c r="I103" s="412"/>
      <c r="J103" s="287"/>
      <c r="K103" s="287"/>
      <c r="L103" s="253"/>
      <c r="M103" s="23"/>
      <c r="O103" s="148"/>
    </row>
    <row r="104" spans="1:15" ht="15.75" x14ac:dyDescent="0.2">
      <c r="A104" s="293" t="s">
        <v>472</v>
      </c>
      <c r="B104" s="278"/>
      <c r="C104" s="278"/>
      <c r="D104" s="253"/>
      <c r="E104" s="27"/>
      <c r="F104" s="278">
        <v>12116668.290999999</v>
      </c>
      <c r="G104" s="278">
        <v>12464415.055</v>
      </c>
      <c r="H104" s="253">
        <f t="shared" si="15"/>
        <v>2.9</v>
      </c>
      <c r="I104" s="412">
        <f>IFERROR(100/'Skjema total MA'!F104*G104,0)</f>
        <v>5.0954445607886276</v>
      </c>
      <c r="J104" s="287">
        <f t="shared" si="19"/>
        <v>12116668.290999999</v>
      </c>
      <c r="K104" s="287">
        <f t="shared" si="19"/>
        <v>12464415.055</v>
      </c>
      <c r="L104" s="253">
        <f t="shared" si="17"/>
        <v>2.9</v>
      </c>
      <c r="M104" s="23">
        <f>IFERROR(100/'Skjema total MA'!I104*K104,0)</f>
        <v>5.0394124555201119</v>
      </c>
      <c r="O104" s="148"/>
    </row>
    <row r="105" spans="1:15" x14ac:dyDescent="0.2">
      <c r="A105" s="293" t="s">
        <v>12</v>
      </c>
      <c r="B105" s="234"/>
      <c r="C105" s="286"/>
      <c r="D105" s="166"/>
      <c r="E105" s="27"/>
      <c r="F105" s="278"/>
      <c r="G105" s="278"/>
      <c r="H105" s="253"/>
      <c r="I105" s="412"/>
      <c r="J105" s="287"/>
      <c r="K105" s="287"/>
      <c r="L105" s="253"/>
      <c r="M105" s="23"/>
      <c r="O105" s="148"/>
    </row>
    <row r="106" spans="1:15" x14ac:dyDescent="0.2">
      <c r="A106" s="293" t="s">
        <v>13</v>
      </c>
      <c r="B106" s="234"/>
      <c r="C106" s="286"/>
      <c r="D106" s="166"/>
      <c r="E106" s="27"/>
      <c r="F106" s="278">
        <v>12116668.290999999</v>
      </c>
      <c r="G106" s="278">
        <v>12464415.055</v>
      </c>
      <c r="H106" s="253">
        <f t="shared" si="15"/>
        <v>2.9</v>
      </c>
      <c r="I106" s="412">
        <f>IFERROR(100/'Skjema total MA'!F106*G106,0)</f>
        <v>5.150890213710615</v>
      </c>
      <c r="J106" s="287">
        <f t="shared" si="19"/>
        <v>12116668.290999999</v>
      </c>
      <c r="K106" s="287">
        <f t="shared" si="19"/>
        <v>12464415.055</v>
      </c>
      <c r="L106" s="253">
        <f t="shared" si="17"/>
        <v>2.9</v>
      </c>
      <c r="M106" s="23">
        <f>IFERROR(100/'Skjema total MA'!I106*K106,0)</f>
        <v>5.150890213710615</v>
      </c>
      <c r="O106" s="148"/>
    </row>
    <row r="107" spans="1:15" ht="15.75" x14ac:dyDescent="0.2">
      <c r="A107" s="21" t="s">
        <v>474</v>
      </c>
      <c r="B107" s="233"/>
      <c r="C107" s="145"/>
      <c r="D107" s="166"/>
      <c r="E107" s="27"/>
      <c r="F107" s="233"/>
      <c r="G107" s="145"/>
      <c r="H107" s="166"/>
      <c r="I107" s="27"/>
      <c r="J107" s="284"/>
      <c r="K107" s="44"/>
      <c r="L107" s="253"/>
      <c r="M107" s="27"/>
      <c r="O107" s="148"/>
    </row>
    <row r="108" spans="1:15" ht="15.75" x14ac:dyDescent="0.2">
      <c r="A108" s="21" t="s">
        <v>475</v>
      </c>
      <c r="B108" s="233">
        <v>28102.420999999998</v>
      </c>
      <c r="C108" s="233">
        <v>270105</v>
      </c>
      <c r="D108" s="166">
        <f t="shared" si="14"/>
        <v>861.1</v>
      </c>
      <c r="E108" s="27">
        <f>IFERROR(100/'Skjema total MA'!C108*C108,0)</f>
        <v>8.6813929851523988E-2</v>
      </c>
      <c r="F108" s="233">
        <v>182422.91399999999</v>
      </c>
      <c r="G108" s="233">
        <v>164740.61799999999</v>
      </c>
      <c r="H108" s="166">
        <f t="shared" si="15"/>
        <v>-9.6999999999999993</v>
      </c>
      <c r="I108" s="27">
        <f>IFERROR(100/'Skjema total MA'!F108*G108,0)</f>
        <v>1.0928891820478637</v>
      </c>
      <c r="J108" s="284">
        <f t="shared" si="19"/>
        <v>210525.33499999999</v>
      </c>
      <c r="K108" s="44">
        <f t="shared" si="19"/>
        <v>434845.61800000002</v>
      </c>
      <c r="L108" s="253">
        <f t="shared" si="17"/>
        <v>106.6</v>
      </c>
      <c r="M108" s="27">
        <f>IFERROR(100/'Skjema total MA'!I108*K108,0)</f>
        <v>0.13330447861620348</v>
      </c>
      <c r="O108" s="148"/>
    </row>
    <row r="109" spans="1:15" ht="15.75" x14ac:dyDescent="0.2">
      <c r="A109" s="21" t="s">
        <v>476</v>
      </c>
      <c r="B109" s="233"/>
      <c r="C109" s="233"/>
      <c r="D109" s="166"/>
      <c r="E109" s="27"/>
      <c r="F109" s="233">
        <v>4256804.0480000004</v>
      </c>
      <c r="G109" s="233">
        <v>4405310.4869999997</v>
      </c>
      <c r="H109" s="166">
        <f t="shared" si="15"/>
        <v>3.5</v>
      </c>
      <c r="I109" s="27">
        <f>IFERROR(100/'Skjema total MA'!F109*G109,0)</f>
        <v>5.4720702637255236</v>
      </c>
      <c r="J109" s="284">
        <f t="shared" si="19"/>
        <v>4256804.0480000004</v>
      </c>
      <c r="K109" s="44">
        <f t="shared" si="19"/>
        <v>4405310.4869999997</v>
      </c>
      <c r="L109" s="253">
        <f t="shared" si="17"/>
        <v>3.5</v>
      </c>
      <c r="M109" s="27">
        <f>IFERROR(100/'Skjema total MA'!I109*K109,0)</f>
        <v>5.4125381029739383</v>
      </c>
      <c r="O109" s="148"/>
    </row>
    <row r="110" spans="1:15" ht="15.75" x14ac:dyDescent="0.2">
      <c r="A110" s="21" t="s">
        <v>477</v>
      </c>
      <c r="B110" s="233"/>
      <c r="C110" s="233"/>
      <c r="D110" s="166"/>
      <c r="E110" s="27"/>
      <c r="F110" s="233"/>
      <c r="G110" s="233"/>
      <c r="H110" s="166"/>
      <c r="I110" s="27"/>
      <c r="J110" s="284"/>
      <c r="K110" s="44"/>
      <c r="L110" s="253"/>
      <c r="M110" s="27"/>
      <c r="O110" s="148"/>
    </row>
    <row r="111" spans="1:15" ht="15.75" x14ac:dyDescent="0.2">
      <c r="A111" s="13" t="s">
        <v>457</v>
      </c>
      <c r="B111" s="305">
        <v>17679.491999999998</v>
      </c>
      <c r="C111" s="159">
        <v>26721.83</v>
      </c>
      <c r="D111" s="171">
        <f t="shared" si="14"/>
        <v>51.1</v>
      </c>
      <c r="E111" s="11">
        <f>IFERROR(100/'Skjema total MA'!C111*C111,0)</f>
        <v>4.9498726741442152</v>
      </c>
      <c r="F111" s="305">
        <v>757154.05700000003</v>
      </c>
      <c r="G111" s="159">
        <v>658509.79799999995</v>
      </c>
      <c r="H111" s="171">
        <f t="shared" si="15"/>
        <v>-13</v>
      </c>
      <c r="I111" s="11">
        <f>IFERROR(100/'Skjema total MA'!F111*G111,0)</f>
        <v>5.2693551899098567</v>
      </c>
      <c r="J111" s="306">
        <f t="shared" si="19"/>
        <v>774833.549</v>
      </c>
      <c r="K111" s="235">
        <f t="shared" si="19"/>
        <v>685231.62799999991</v>
      </c>
      <c r="L111" s="423">
        <f t="shared" si="17"/>
        <v>-11.6</v>
      </c>
      <c r="M111" s="11">
        <f>IFERROR(100/'Skjema total MA'!I111*K111,0)</f>
        <v>5.2561255630284416</v>
      </c>
      <c r="O111" s="148"/>
    </row>
    <row r="112" spans="1:15" x14ac:dyDescent="0.2">
      <c r="A112" s="21" t="s">
        <v>9</v>
      </c>
      <c r="B112" s="233">
        <v>17679.491999999998</v>
      </c>
      <c r="C112" s="145">
        <v>26721.83</v>
      </c>
      <c r="D112" s="166">
        <f t="shared" si="14"/>
        <v>51.1</v>
      </c>
      <c r="E112" s="27">
        <f>IFERROR(100/'Skjema total MA'!C112*C112,0)</f>
        <v>5.6007609757957635</v>
      </c>
      <c r="F112" s="233"/>
      <c r="G112" s="145"/>
      <c r="H112" s="166"/>
      <c r="I112" s="27"/>
      <c r="J112" s="284">
        <f t="shared" ref="J112:K125" si="20">SUM(B112,F112)</f>
        <v>17679.491999999998</v>
      </c>
      <c r="K112" s="44">
        <f t="shared" si="20"/>
        <v>26721.83</v>
      </c>
      <c r="L112" s="253">
        <f t="shared" si="17"/>
        <v>51.1</v>
      </c>
      <c r="M112" s="27">
        <f>IFERROR(100/'Skjema total MA'!I112*K112,0)</f>
        <v>5.5671017222408876</v>
      </c>
      <c r="O112" s="148"/>
    </row>
    <row r="113" spans="1:15" x14ac:dyDescent="0.2">
      <c r="A113" s="21" t="s">
        <v>10</v>
      </c>
      <c r="B113" s="233"/>
      <c r="C113" s="145"/>
      <c r="D113" s="166"/>
      <c r="E113" s="27"/>
      <c r="F113" s="233">
        <v>757154.05700000003</v>
      </c>
      <c r="G113" s="145">
        <v>658509.79799999995</v>
      </c>
      <c r="H113" s="166">
        <f t="shared" si="15"/>
        <v>-13</v>
      </c>
      <c r="I113" s="27">
        <f>IFERROR(100/'Skjema total MA'!F113*G113,0)</f>
        <v>5.2871662985603018</v>
      </c>
      <c r="J113" s="284">
        <f t="shared" si="20"/>
        <v>757154.05700000003</v>
      </c>
      <c r="K113" s="44">
        <f t="shared" si="20"/>
        <v>658509.79799999995</v>
      </c>
      <c r="L113" s="253">
        <f t="shared" si="17"/>
        <v>-13</v>
      </c>
      <c r="M113" s="27">
        <f>IFERROR(100/'Skjema total MA'!I113*K113,0)</f>
        <v>5.2861831359863496</v>
      </c>
      <c r="O113" s="148"/>
    </row>
    <row r="114" spans="1:15" x14ac:dyDescent="0.2">
      <c r="A114" s="21" t="s">
        <v>26</v>
      </c>
      <c r="B114" s="233"/>
      <c r="C114" s="145"/>
      <c r="D114" s="166"/>
      <c r="E114" s="27"/>
      <c r="F114" s="233"/>
      <c r="G114" s="145"/>
      <c r="H114" s="166"/>
      <c r="I114" s="27"/>
      <c r="J114" s="284"/>
      <c r="K114" s="44"/>
      <c r="L114" s="253"/>
      <c r="M114" s="27"/>
      <c r="O114" s="148"/>
    </row>
    <row r="115" spans="1:15" x14ac:dyDescent="0.2">
      <c r="A115" s="293" t="s">
        <v>15</v>
      </c>
      <c r="B115" s="278"/>
      <c r="C115" s="278"/>
      <c r="D115" s="253"/>
      <c r="E115" s="27"/>
      <c r="F115" s="278"/>
      <c r="G115" s="278"/>
      <c r="H115" s="253"/>
      <c r="I115" s="412"/>
      <c r="J115" s="287"/>
      <c r="K115" s="287"/>
      <c r="L115" s="253"/>
      <c r="M115" s="23"/>
      <c r="O115" s="148"/>
    </row>
    <row r="116" spans="1:15" ht="15.75" x14ac:dyDescent="0.2">
      <c r="A116" s="21" t="s">
        <v>478</v>
      </c>
      <c r="B116" s="233">
        <v>3250.7150000000001</v>
      </c>
      <c r="C116" s="233">
        <v>0</v>
      </c>
      <c r="D116" s="166">
        <f t="shared" si="14"/>
        <v>-100</v>
      </c>
      <c r="E116" s="27">
        <f>IFERROR(100/'Skjema total MA'!C116*C116,0)</f>
        <v>0</v>
      </c>
      <c r="F116" s="233">
        <v>16268.552</v>
      </c>
      <c r="G116" s="233">
        <v>0</v>
      </c>
      <c r="H116" s="166">
        <f t="shared" si="15"/>
        <v>-100</v>
      </c>
      <c r="I116" s="27">
        <f>IFERROR(100/'Skjema total MA'!F116*G116,0)</f>
        <v>0</v>
      </c>
      <c r="J116" s="284">
        <f t="shared" si="20"/>
        <v>19519.267</v>
      </c>
      <c r="K116" s="44">
        <f t="shared" si="20"/>
        <v>0</v>
      </c>
      <c r="L116" s="253">
        <f t="shared" si="17"/>
        <v>-100</v>
      </c>
      <c r="M116" s="27">
        <f>IFERROR(100/'Skjema total MA'!I116*K116,0)</f>
        <v>0</v>
      </c>
      <c r="O116" s="148"/>
    </row>
    <row r="117" spans="1:15" ht="15.75" x14ac:dyDescent="0.2">
      <c r="A117" s="21" t="s">
        <v>479</v>
      </c>
      <c r="B117" s="233"/>
      <c r="C117" s="233"/>
      <c r="D117" s="166"/>
      <c r="E117" s="27"/>
      <c r="F117" s="233">
        <v>96880.68</v>
      </c>
      <c r="G117" s="233">
        <v>77416.421000000002</v>
      </c>
      <c r="H117" s="166">
        <f t="shared" si="15"/>
        <v>-20.100000000000001</v>
      </c>
      <c r="I117" s="27">
        <f>IFERROR(100/'Skjema total MA'!F117*G117,0)</f>
        <v>3.5013731473096343</v>
      </c>
      <c r="J117" s="284">
        <f t="shared" si="20"/>
        <v>96880.68</v>
      </c>
      <c r="K117" s="44">
        <f t="shared" si="20"/>
        <v>77416.421000000002</v>
      </c>
      <c r="L117" s="253">
        <f t="shared" si="17"/>
        <v>-20.100000000000001</v>
      </c>
      <c r="M117" s="27">
        <f>IFERROR(100/'Skjema total MA'!I117*K117,0)</f>
        <v>3.5013731473096343</v>
      </c>
      <c r="O117" s="148"/>
    </row>
    <row r="118" spans="1:15" ht="15.75" x14ac:dyDescent="0.2">
      <c r="A118" s="21" t="s">
        <v>477</v>
      </c>
      <c r="B118" s="233"/>
      <c r="C118" s="233"/>
      <c r="D118" s="166"/>
      <c r="E118" s="27"/>
      <c r="F118" s="233"/>
      <c r="G118" s="233"/>
      <c r="H118" s="166"/>
      <c r="I118" s="27"/>
      <c r="J118" s="284"/>
      <c r="K118" s="44"/>
      <c r="L118" s="253"/>
      <c r="M118" s="27"/>
      <c r="O118" s="148"/>
    </row>
    <row r="119" spans="1:15" ht="15.75" x14ac:dyDescent="0.2">
      <c r="A119" s="13" t="s">
        <v>458</v>
      </c>
      <c r="B119" s="305">
        <v>9288.2710000000006</v>
      </c>
      <c r="C119" s="159">
        <v>19549.496999999999</v>
      </c>
      <c r="D119" s="171">
        <f t="shared" si="14"/>
        <v>110.5</v>
      </c>
      <c r="E119" s="11">
        <f>IFERROR(100/'Skjema total MA'!C119*C119,0)</f>
        <v>3.2538927105507383</v>
      </c>
      <c r="F119" s="305">
        <v>571613.75199999998</v>
      </c>
      <c r="G119" s="159">
        <v>843824.05500000005</v>
      </c>
      <c r="H119" s="171">
        <f t="shared" si="15"/>
        <v>47.6</v>
      </c>
      <c r="I119" s="11">
        <f>IFERROR(100/'Skjema total MA'!F119*G119,0)</f>
        <v>6.6149656028852233</v>
      </c>
      <c r="J119" s="306">
        <f t="shared" si="20"/>
        <v>580902.02299999993</v>
      </c>
      <c r="K119" s="235">
        <f t="shared" si="20"/>
        <v>863373.55200000003</v>
      </c>
      <c r="L119" s="423">
        <f t="shared" si="17"/>
        <v>48.6</v>
      </c>
      <c r="M119" s="11">
        <f>IFERROR(100/'Skjema total MA'!I119*K119,0)</f>
        <v>6.4637841908721141</v>
      </c>
      <c r="O119" s="148"/>
    </row>
    <row r="120" spans="1:15" x14ac:dyDescent="0.2">
      <c r="A120" s="21" t="s">
        <v>9</v>
      </c>
      <c r="B120" s="233">
        <v>9288.2710000000006</v>
      </c>
      <c r="C120" s="145">
        <v>19549.496999999999</v>
      </c>
      <c r="D120" s="166">
        <f t="shared" si="14"/>
        <v>110.5</v>
      </c>
      <c r="E120" s="27">
        <f>IFERROR(100/'Skjema total MA'!C120*C120,0)</f>
        <v>4.3199587703946749</v>
      </c>
      <c r="F120" s="233"/>
      <c r="G120" s="145"/>
      <c r="H120" s="166"/>
      <c r="I120" s="27"/>
      <c r="J120" s="284">
        <f t="shared" si="20"/>
        <v>9288.2710000000006</v>
      </c>
      <c r="K120" s="44">
        <f t="shared" si="20"/>
        <v>19549.496999999999</v>
      </c>
      <c r="L120" s="253">
        <f t="shared" si="17"/>
        <v>110.5</v>
      </c>
      <c r="M120" s="27">
        <f>IFERROR(100/'Skjema total MA'!I120*K120,0)</f>
        <v>4.3199587703946749</v>
      </c>
      <c r="O120" s="148"/>
    </row>
    <row r="121" spans="1:15" x14ac:dyDescent="0.2">
      <c r="A121" s="21" t="s">
        <v>10</v>
      </c>
      <c r="B121" s="233"/>
      <c r="C121" s="145"/>
      <c r="D121" s="166"/>
      <c r="E121" s="27"/>
      <c r="F121" s="233">
        <v>571613.75199999998</v>
      </c>
      <c r="G121" s="145">
        <v>843824.05500000005</v>
      </c>
      <c r="H121" s="166">
        <f t="shared" si="15"/>
        <v>47.6</v>
      </c>
      <c r="I121" s="27">
        <f>IFERROR(100/'Skjema total MA'!F121*G121,0)</f>
        <v>6.6149656028852233</v>
      </c>
      <c r="J121" s="284">
        <f t="shared" si="20"/>
        <v>571613.75199999998</v>
      </c>
      <c r="K121" s="44">
        <f t="shared" si="20"/>
        <v>843824.05500000005</v>
      </c>
      <c r="L121" s="253">
        <f t="shared" si="17"/>
        <v>47.6</v>
      </c>
      <c r="M121" s="27">
        <f>IFERROR(100/'Skjema total MA'!I121*K121,0)</f>
        <v>6.5966359163967248</v>
      </c>
      <c r="O121" s="148"/>
    </row>
    <row r="122" spans="1:15" x14ac:dyDescent="0.2">
      <c r="A122" s="21" t="s">
        <v>26</v>
      </c>
      <c r="B122" s="233"/>
      <c r="C122" s="145"/>
      <c r="D122" s="166"/>
      <c r="E122" s="27"/>
      <c r="F122" s="233"/>
      <c r="G122" s="145"/>
      <c r="H122" s="166"/>
      <c r="I122" s="27"/>
      <c r="J122" s="284"/>
      <c r="K122" s="44"/>
      <c r="L122" s="253"/>
      <c r="M122" s="27"/>
      <c r="O122" s="148"/>
    </row>
    <row r="123" spans="1:15" x14ac:dyDescent="0.2">
      <c r="A123" s="293" t="s">
        <v>14</v>
      </c>
      <c r="B123" s="278"/>
      <c r="C123" s="278"/>
      <c r="D123" s="253"/>
      <c r="E123" s="27"/>
      <c r="F123" s="278"/>
      <c r="G123" s="278"/>
      <c r="H123" s="253"/>
      <c r="I123" s="412"/>
      <c r="J123" s="287"/>
      <c r="K123" s="287"/>
      <c r="L123" s="253"/>
      <c r="M123" s="23"/>
      <c r="O123" s="148"/>
    </row>
    <row r="124" spans="1:15" ht="15.75" x14ac:dyDescent="0.2">
      <c r="A124" s="21" t="s">
        <v>484</v>
      </c>
      <c r="B124" s="233">
        <v>0</v>
      </c>
      <c r="C124" s="233">
        <v>16.984000000000002</v>
      </c>
      <c r="D124" s="166" t="str">
        <f t="shared" si="14"/>
        <v xml:space="preserve">    ---- </v>
      </c>
      <c r="E124" s="27">
        <f>IFERROR(100/'Skjema total MA'!C124*C124,0)</f>
        <v>1.1031585680417993E-2</v>
      </c>
      <c r="F124" s="233">
        <v>854</v>
      </c>
      <c r="G124" s="233">
        <v>124.96899999999999</v>
      </c>
      <c r="H124" s="166">
        <f t="shared" si="15"/>
        <v>-85.4</v>
      </c>
      <c r="I124" s="27">
        <f>IFERROR(100/'Skjema total MA'!F124*G124,0)</f>
        <v>0.43867796700604195</v>
      </c>
      <c r="J124" s="284">
        <f t="shared" si="20"/>
        <v>854</v>
      </c>
      <c r="K124" s="44">
        <f t="shared" si="20"/>
        <v>141.953</v>
      </c>
      <c r="L124" s="253">
        <f t="shared" si="17"/>
        <v>-83.4</v>
      </c>
      <c r="M124" s="27">
        <f>IFERROR(100/'Skjema total MA'!I124*K124,0)</f>
        <v>7.7805674738550074E-2</v>
      </c>
      <c r="O124" s="148"/>
    </row>
    <row r="125" spans="1:15" ht="15.75" x14ac:dyDescent="0.2">
      <c r="A125" s="21" t="s">
        <v>476</v>
      </c>
      <c r="B125" s="233"/>
      <c r="C125" s="233"/>
      <c r="D125" s="166"/>
      <c r="E125" s="27"/>
      <c r="F125" s="233">
        <v>135842.546</v>
      </c>
      <c r="G125" s="233">
        <v>164443.59899999999</v>
      </c>
      <c r="H125" s="166">
        <f t="shared" si="15"/>
        <v>21.1</v>
      </c>
      <c r="I125" s="27">
        <f>IFERROR(100/'Skjema total MA'!F125*G125,0)</f>
        <v>7.7094544294289173</v>
      </c>
      <c r="J125" s="284">
        <f t="shared" si="20"/>
        <v>135842.546</v>
      </c>
      <c r="K125" s="44">
        <f t="shared" si="20"/>
        <v>164443.59899999999</v>
      </c>
      <c r="L125" s="253">
        <f t="shared" si="17"/>
        <v>21.1</v>
      </c>
      <c r="M125" s="27">
        <f>IFERROR(100/'Skjema total MA'!I125*K125,0)</f>
        <v>7.6966222439397614</v>
      </c>
      <c r="O125" s="148"/>
    </row>
    <row r="126" spans="1:15" ht="15.75" x14ac:dyDescent="0.2">
      <c r="A126" s="10" t="s">
        <v>477</v>
      </c>
      <c r="B126" s="45"/>
      <c r="C126" s="45"/>
      <c r="D126" s="167"/>
      <c r="E126" s="413"/>
      <c r="F126" s="45"/>
      <c r="G126" s="45"/>
      <c r="H126" s="167"/>
      <c r="I126" s="22"/>
      <c r="J126" s="285"/>
      <c r="K126" s="45"/>
      <c r="L126" s="254"/>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979"/>
      <c r="C130" s="979"/>
      <c r="D130" s="979"/>
      <c r="E130" s="402"/>
      <c r="F130" s="979"/>
      <c r="G130" s="979"/>
      <c r="H130" s="979"/>
      <c r="I130" s="402"/>
      <c r="J130" s="979"/>
      <c r="K130" s="979"/>
      <c r="L130" s="979"/>
      <c r="M130" s="402"/>
      <c r="O130" s="148"/>
    </row>
    <row r="131" spans="1:15" s="3" customFormat="1" x14ac:dyDescent="0.2">
      <c r="A131" s="144"/>
      <c r="B131" s="975" t="s">
        <v>0</v>
      </c>
      <c r="C131" s="976"/>
      <c r="D131" s="976"/>
      <c r="E131" s="401"/>
      <c r="F131" s="975" t="s">
        <v>1</v>
      </c>
      <c r="G131" s="976"/>
      <c r="H131" s="976"/>
      <c r="I131" s="404"/>
      <c r="J131" s="975" t="s">
        <v>2</v>
      </c>
      <c r="K131" s="976"/>
      <c r="L131" s="976"/>
      <c r="M131" s="404"/>
      <c r="N131" s="148"/>
      <c r="O131" s="148"/>
    </row>
    <row r="132" spans="1:15" s="3" customFormat="1" x14ac:dyDescent="0.2">
      <c r="A132" s="140"/>
      <c r="B132" s="152" t="s">
        <v>500</v>
      </c>
      <c r="C132" s="152" t="s">
        <v>501</v>
      </c>
      <c r="D132" s="244" t="s">
        <v>3</v>
      </c>
      <c r="E132" s="302" t="s">
        <v>29</v>
      </c>
      <c r="F132" s="152" t="s">
        <v>500</v>
      </c>
      <c r="G132" s="152" t="s">
        <v>501</v>
      </c>
      <c r="H132" s="205" t="s">
        <v>3</v>
      </c>
      <c r="I132" s="162" t="s">
        <v>29</v>
      </c>
      <c r="J132" s="152" t="s">
        <v>500</v>
      </c>
      <c r="K132" s="152" t="s">
        <v>501</v>
      </c>
      <c r="L132" s="245" t="s">
        <v>3</v>
      </c>
      <c r="M132" s="162" t="s">
        <v>29</v>
      </c>
      <c r="N132" s="148"/>
      <c r="O132" s="148"/>
    </row>
    <row r="133" spans="1:15" s="3" customFormat="1" x14ac:dyDescent="0.2">
      <c r="A133" s="943"/>
      <c r="B133" s="156"/>
      <c r="C133" s="156"/>
      <c r="D133" s="245" t="s">
        <v>4</v>
      </c>
      <c r="E133" s="156" t="s">
        <v>30</v>
      </c>
      <c r="F133" s="161"/>
      <c r="G133" s="161"/>
      <c r="H133" s="205" t="s">
        <v>4</v>
      </c>
      <c r="I133" s="156" t="s">
        <v>30</v>
      </c>
      <c r="J133" s="156"/>
      <c r="K133" s="156"/>
      <c r="L133" s="150" t="s">
        <v>4</v>
      </c>
      <c r="M133" s="156" t="s">
        <v>30</v>
      </c>
      <c r="N133" s="148"/>
      <c r="O133" s="148"/>
    </row>
    <row r="134" spans="1:15" s="3" customFormat="1" ht="15.75" x14ac:dyDescent="0.2">
      <c r="A134" s="14" t="s">
        <v>480</v>
      </c>
      <c r="B134" s="235"/>
      <c r="C134" s="306"/>
      <c r="D134" s="347"/>
      <c r="E134" s="11"/>
      <c r="F134" s="313"/>
      <c r="G134" s="314"/>
      <c r="H134" s="426"/>
      <c r="I134" s="24"/>
      <c r="J134" s="315"/>
      <c r="K134" s="315"/>
      <c r="L134" s="422"/>
      <c r="M134" s="11"/>
      <c r="N134" s="148"/>
      <c r="O134" s="148"/>
    </row>
    <row r="135" spans="1:15" s="3" customFormat="1" ht="15.75" x14ac:dyDescent="0.2">
      <c r="A135" s="13" t="s">
        <v>485</v>
      </c>
      <c r="B135" s="235"/>
      <c r="C135" s="306"/>
      <c r="D135" s="171"/>
      <c r="E135" s="11"/>
      <c r="F135" s="235"/>
      <c r="G135" s="306"/>
      <c r="H135" s="427"/>
      <c r="I135" s="24"/>
      <c r="J135" s="305"/>
      <c r="K135" s="305"/>
      <c r="L135" s="423"/>
      <c r="M135" s="11"/>
      <c r="N135" s="148"/>
      <c r="O135" s="148"/>
    </row>
    <row r="136" spans="1:15" s="3" customFormat="1" ht="15.75" x14ac:dyDescent="0.2">
      <c r="A136" s="13" t="s">
        <v>482</v>
      </c>
      <c r="B136" s="235"/>
      <c r="C136" s="306"/>
      <c r="D136" s="171"/>
      <c r="E136" s="11"/>
      <c r="F136" s="235"/>
      <c r="G136" s="306"/>
      <c r="H136" s="427"/>
      <c r="I136" s="24"/>
      <c r="J136" s="305"/>
      <c r="K136" s="305"/>
      <c r="L136" s="423"/>
      <c r="M136" s="11"/>
      <c r="N136" s="148"/>
      <c r="O136" s="148"/>
    </row>
    <row r="137" spans="1:15" s="3" customFormat="1" ht="15.75" x14ac:dyDescent="0.2">
      <c r="A137" s="41" t="s">
        <v>483</v>
      </c>
      <c r="B137" s="273"/>
      <c r="C137" s="312"/>
      <c r="D137" s="169"/>
      <c r="E137" s="9"/>
      <c r="F137" s="273"/>
      <c r="G137" s="312"/>
      <c r="H137" s="428"/>
      <c r="I137" s="36"/>
      <c r="J137" s="311"/>
      <c r="K137" s="311"/>
      <c r="L137" s="424"/>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221" priority="89">
      <formula>kvartal &lt; 4</formula>
    </cfRule>
  </conditionalFormatting>
  <conditionalFormatting sqref="B69">
    <cfRule type="expression" dxfId="2220" priority="68">
      <formula>kvartal &lt; 4</formula>
    </cfRule>
  </conditionalFormatting>
  <conditionalFormatting sqref="C69">
    <cfRule type="expression" dxfId="2219" priority="67">
      <formula>kvartal &lt; 4</formula>
    </cfRule>
  </conditionalFormatting>
  <conditionalFormatting sqref="B72">
    <cfRule type="expression" dxfId="2218" priority="66">
      <formula>kvartal &lt; 4</formula>
    </cfRule>
  </conditionalFormatting>
  <conditionalFormatting sqref="C72">
    <cfRule type="expression" dxfId="2217" priority="65">
      <formula>kvartal &lt; 4</formula>
    </cfRule>
  </conditionalFormatting>
  <conditionalFormatting sqref="B80">
    <cfRule type="expression" dxfId="2216" priority="64">
      <formula>kvartal &lt; 4</formula>
    </cfRule>
  </conditionalFormatting>
  <conditionalFormatting sqref="C80">
    <cfRule type="expression" dxfId="2215" priority="63">
      <formula>kvartal &lt; 4</formula>
    </cfRule>
  </conditionalFormatting>
  <conditionalFormatting sqref="B83">
    <cfRule type="expression" dxfId="2214" priority="62">
      <formula>kvartal &lt; 4</formula>
    </cfRule>
  </conditionalFormatting>
  <conditionalFormatting sqref="C83">
    <cfRule type="expression" dxfId="2213" priority="61">
      <formula>kvartal &lt; 4</formula>
    </cfRule>
  </conditionalFormatting>
  <conditionalFormatting sqref="B90">
    <cfRule type="expression" dxfId="2212" priority="60">
      <formula>kvartal &lt; 4</formula>
    </cfRule>
  </conditionalFormatting>
  <conditionalFormatting sqref="C90">
    <cfRule type="expression" dxfId="2211" priority="59">
      <formula>kvartal &lt; 4</formula>
    </cfRule>
  </conditionalFormatting>
  <conditionalFormatting sqref="B93">
    <cfRule type="expression" dxfId="2210" priority="58">
      <formula>kvartal &lt; 4</formula>
    </cfRule>
  </conditionalFormatting>
  <conditionalFormatting sqref="C93">
    <cfRule type="expression" dxfId="2209" priority="57">
      <formula>kvartal &lt; 4</formula>
    </cfRule>
  </conditionalFormatting>
  <conditionalFormatting sqref="B101">
    <cfRule type="expression" dxfId="2208" priority="56">
      <formula>kvartal &lt; 4</formula>
    </cfRule>
  </conditionalFormatting>
  <conditionalFormatting sqref="C101">
    <cfRule type="expression" dxfId="2207" priority="55">
      <formula>kvartal &lt; 4</formula>
    </cfRule>
  </conditionalFormatting>
  <conditionalFormatting sqref="B104">
    <cfRule type="expression" dxfId="2206" priority="54">
      <formula>kvartal &lt; 4</formula>
    </cfRule>
  </conditionalFormatting>
  <conditionalFormatting sqref="C104">
    <cfRule type="expression" dxfId="2205" priority="53">
      <formula>kvartal &lt; 4</formula>
    </cfRule>
  </conditionalFormatting>
  <conditionalFormatting sqref="B115">
    <cfRule type="expression" dxfId="2204" priority="52">
      <formula>kvartal &lt; 4</formula>
    </cfRule>
  </conditionalFormatting>
  <conditionalFormatting sqref="C115">
    <cfRule type="expression" dxfId="2203" priority="51">
      <formula>kvartal &lt; 4</formula>
    </cfRule>
  </conditionalFormatting>
  <conditionalFormatting sqref="B123">
    <cfRule type="expression" dxfId="2202" priority="50">
      <formula>kvartal &lt; 4</formula>
    </cfRule>
  </conditionalFormatting>
  <conditionalFormatting sqref="C123">
    <cfRule type="expression" dxfId="2201" priority="49">
      <formula>kvartal &lt; 4</formula>
    </cfRule>
  </conditionalFormatting>
  <conditionalFormatting sqref="F70">
    <cfRule type="expression" dxfId="2200" priority="48">
      <formula>kvartal &lt; 4</formula>
    </cfRule>
  </conditionalFormatting>
  <conditionalFormatting sqref="G70">
    <cfRule type="expression" dxfId="2199" priority="47">
      <formula>kvartal &lt; 4</formula>
    </cfRule>
  </conditionalFormatting>
  <conditionalFormatting sqref="F71:G71">
    <cfRule type="expression" dxfId="2198" priority="46">
      <formula>kvartal &lt; 4</formula>
    </cfRule>
  </conditionalFormatting>
  <conditionalFormatting sqref="F73:G74">
    <cfRule type="expression" dxfId="2197" priority="45">
      <formula>kvartal &lt; 4</formula>
    </cfRule>
  </conditionalFormatting>
  <conditionalFormatting sqref="F81:G82">
    <cfRule type="expression" dxfId="2196" priority="44">
      <formula>kvartal &lt; 4</formula>
    </cfRule>
  </conditionalFormatting>
  <conditionalFormatting sqref="F84:G85">
    <cfRule type="expression" dxfId="2195" priority="43">
      <formula>kvartal &lt; 4</formula>
    </cfRule>
  </conditionalFormatting>
  <conditionalFormatting sqref="F91:G92">
    <cfRule type="expression" dxfId="2194" priority="42">
      <formula>kvartal &lt; 4</formula>
    </cfRule>
  </conditionalFormatting>
  <conditionalFormatting sqref="F94:G95">
    <cfRule type="expression" dxfId="2193" priority="41">
      <formula>kvartal &lt; 4</formula>
    </cfRule>
  </conditionalFormatting>
  <conditionalFormatting sqref="F102:G103">
    <cfRule type="expression" dxfId="2192" priority="40">
      <formula>kvartal &lt; 4</formula>
    </cfRule>
  </conditionalFormatting>
  <conditionalFormatting sqref="F105:G106">
    <cfRule type="expression" dxfId="2191" priority="39">
      <formula>kvartal &lt; 4</formula>
    </cfRule>
  </conditionalFormatting>
  <conditionalFormatting sqref="F115">
    <cfRule type="expression" dxfId="2190" priority="38">
      <formula>kvartal &lt; 4</formula>
    </cfRule>
  </conditionalFormatting>
  <conditionalFormatting sqref="G115">
    <cfRule type="expression" dxfId="2189" priority="37">
      <formula>kvartal &lt; 4</formula>
    </cfRule>
  </conditionalFormatting>
  <conditionalFormatting sqref="F123:G123">
    <cfRule type="expression" dxfId="2188" priority="36">
      <formula>kvartal &lt; 4</formula>
    </cfRule>
  </conditionalFormatting>
  <conditionalFormatting sqref="F69:G69">
    <cfRule type="expression" dxfId="2187" priority="35">
      <formula>kvartal &lt; 4</formula>
    </cfRule>
  </conditionalFormatting>
  <conditionalFormatting sqref="F72:G72">
    <cfRule type="expression" dxfId="2186" priority="34">
      <formula>kvartal &lt; 4</formula>
    </cfRule>
  </conditionalFormatting>
  <conditionalFormatting sqref="F80:G80">
    <cfRule type="expression" dxfId="2185" priority="33">
      <formula>kvartal &lt; 4</formula>
    </cfRule>
  </conditionalFormatting>
  <conditionalFormatting sqref="F83:G83">
    <cfRule type="expression" dxfId="2184" priority="32">
      <formula>kvartal &lt; 4</formula>
    </cfRule>
  </conditionalFormatting>
  <conditionalFormatting sqref="F90:G90">
    <cfRule type="expression" dxfId="2183" priority="31">
      <formula>kvartal &lt; 4</formula>
    </cfRule>
  </conditionalFormatting>
  <conditionalFormatting sqref="F93">
    <cfRule type="expression" dxfId="2182" priority="30">
      <formula>kvartal &lt; 4</formula>
    </cfRule>
  </conditionalFormatting>
  <conditionalFormatting sqref="G93">
    <cfRule type="expression" dxfId="2181" priority="29">
      <formula>kvartal &lt; 4</formula>
    </cfRule>
  </conditionalFormatting>
  <conditionalFormatting sqref="F101">
    <cfRule type="expression" dxfId="2180" priority="28">
      <formula>kvartal &lt; 4</formula>
    </cfRule>
  </conditionalFormatting>
  <conditionalFormatting sqref="G101">
    <cfRule type="expression" dxfId="2179" priority="27">
      <formula>kvartal &lt; 4</formula>
    </cfRule>
  </conditionalFormatting>
  <conditionalFormatting sqref="G104">
    <cfRule type="expression" dxfId="2178" priority="26">
      <formula>kvartal &lt; 4</formula>
    </cfRule>
  </conditionalFormatting>
  <conditionalFormatting sqref="F104">
    <cfRule type="expression" dxfId="2177" priority="25">
      <formula>kvartal &lt; 4</formula>
    </cfRule>
  </conditionalFormatting>
  <conditionalFormatting sqref="J69">
    <cfRule type="expression" dxfId="2176" priority="24">
      <formula>kvartal &lt; 4</formula>
    </cfRule>
  </conditionalFormatting>
  <conditionalFormatting sqref="A50:A52">
    <cfRule type="expression" dxfId="2175" priority="15">
      <formula>kvartal &lt; 4</formula>
    </cfRule>
  </conditionalFormatting>
  <conditionalFormatting sqref="A69:A74">
    <cfRule type="expression" dxfId="2174" priority="14">
      <formula>kvartal &lt; 4</formula>
    </cfRule>
  </conditionalFormatting>
  <conditionalFormatting sqref="A80:A85">
    <cfRule type="expression" dxfId="2173" priority="13">
      <formula>kvartal &lt; 4</formula>
    </cfRule>
  </conditionalFormatting>
  <conditionalFormatting sqref="A90:A95">
    <cfRule type="expression" dxfId="2172" priority="12">
      <formula>kvartal &lt; 4</formula>
    </cfRule>
  </conditionalFormatting>
  <conditionalFormatting sqref="A101:A106">
    <cfRule type="expression" dxfId="2171" priority="11">
      <formula>kvartal &lt; 4</formula>
    </cfRule>
  </conditionalFormatting>
  <conditionalFormatting sqref="A115">
    <cfRule type="expression" dxfId="2170" priority="10">
      <formula>kvartal &lt; 4</formula>
    </cfRule>
  </conditionalFormatting>
  <conditionalFormatting sqref="A123">
    <cfRule type="expression" dxfId="2169" priority="9">
      <formula>kvartal &lt; 4</formula>
    </cfRule>
  </conditionalFormatting>
  <conditionalFormatting sqref="J70:J74">
    <cfRule type="expression" dxfId="2168" priority="7">
      <formula>kvartal &lt; 4</formula>
    </cfRule>
  </conditionalFormatting>
  <conditionalFormatting sqref="K69:K74">
    <cfRule type="expression" dxfId="2167" priority="6">
      <formula>kvartal &lt; 4</formula>
    </cfRule>
  </conditionalFormatting>
  <conditionalFormatting sqref="J80:K85">
    <cfRule type="expression" dxfId="2166" priority="5">
      <formula>kvartal &lt; 4</formula>
    </cfRule>
  </conditionalFormatting>
  <conditionalFormatting sqref="J90:K95">
    <cfRule type="expression" dxfId="2165" priority="4">
      <formula>kvartal &lt; 4</formula>
    </cfRule>
  </conditionalFormatting>
  <conditionalFormatting sqref="J101:K106">
    <cfRule type="expression" dxfId="2164" priority="3">
      <formula>kvartal &lt; 4</formula>
    </cfRule>
  </conditionalFormatting>
  <conditionalFormatting sqref="J115:K115">
    <cfRule type="expression" dxfId="2163" priority="2">
      <formula>kvartal &lt; 4</formula>
    </cfRule>
  </conditionalFormatting>
  <conditionalFormatting sqref="J123:K123">
    <cfRule type="expression" dxfId="2162" priority="1">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X V Z z T j h t 4 s W o A A A A + Q A A A B I A H A B D b 2 5 m a W c v U G F j a 2 F n Z S 5 4 b W w g o h g A K K A U A A A A A A A A A A A A A A A A A A A A A A A A A A A A h Y 9 N D o I w G E S v Q r q n f 0 S j 5 K M s 3 I q a m B i 3 F S s 0 Q j G 0 W O 7 m w i N 5 B U k U d e d y J m + S N 4 / b H d K + r o K r a q 1 u T I I Y p i h Q J m + O 2 h Q J 6 t w p n K F U w E b m Z 1 m o Y I C N j X u r E 1 Q 6 d 4 k J 8 d 5 j H + G m L Q i n l J F 9 t t z m p a p l q I 1 1 0 u Q K f V b H / y s k Y P e S E R x P G Z 6 w O c c s o g z I 2 E O m z Z f h g z K m Q H 5 K W H S V 6 1 o l z C F c r Y G M E c j 7 h n g C U E s D B B Q A A g A I A F 1 W c 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V n N O 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B d V n N O O G 3 i x a g A A A D 5 A A A A E g A A A A A A A A A A A A A A A A A A A A A A Q 2 9 u Z m l n L 1 B h Y 2 t h Z 2 U u e G 1 s U E s B A i 0 A F A A C A A g A X V Z z T g / K 6 a u k A A A A 6 Q A A A B M A A A A A A A A A A A A A A A A A 9 A A A A F t D b 2 5 0 Z W 5 0 X 1 R 5 c G V z X S 5 4 b W x Q S w E C L Q A U A A I A C A B d V n N O 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H C w A A A A A A A K U 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U m V z d W x 0 V H l w Z S I g V m F s d W U 9 I n N F e G N l c H R p b 2 4 i I C 8 + P E V u d H J 5 I F R 5 c G U 9 I k J 1 Z m Z l c k 5 l e H R S Z W Z y Z X N o I i B W Y W x 1 Z T 0 i b D E i I C 8 + P E V u d H J 5 I F R 5 c G U 9 I k Z p b G x l Z E N v b X B s Z X R l U m V z d W x 0 V G 9 X b 3 J r c 2 h l Z X Q i I F Z h b H V l P S J s M S I g L z 4 8 R W 5 0 c n k g V H l w Z T 0 i U m V j b 3 Z l c n l U Y X J n Z X R T a G V l d C I g V m F s d W U 9 I n N B c m s y I i A v P j x F b n R y e S B U e X B l P S J S Z W N v d m V y e V R h c m d l d E N v b H V t b i I g V m F s d W U 9 I m w x I i A v P j x F b n R y e S B U e X B l P S J S Z W N v d m V y e V R h c m d l d F J v d y I g V m F s d W U 9 I m w x I i A v P j x F b n R y e S B U e X B l P S J R d W V y e U l E I i B W Y W x 1 Z T 0 i c z R l O D N h Z G Q 5 L W V j Y 2 I t N G V m N i 0 5 Y 2 Y 4 L T Z i M j k 4 Z G Y w N D R j O S I g L z 4 8 R W 5 0 c n k g V H l w Z T 0 i T m F 2 a W d h d G l v b l N 0 Z X B O Y W 1 l I i B W Y W x 1 Z T 0 i c 0 5 h d m l n Y X R p b 2 4 i I C 8 + P E V u d H J 5 I F R 5 c G U 9 I k Z p b G x M Y X N 0 V X B k Y X R l Z C I g V m F s d W U 9 I m Q y M D E 5 L T A z L T E 4 V D E z O j Q 3 O j I w L j A 1 N T Y z M T h a I i A v P j x F b n R y e S B U e X B l P S J G a W x s Q 2 9 s d W 1 u V H l w Z X M i I F Z h b H V l P S J z Q m d J Q 0 F n S U N B Z 1 U 9 I i A v P j x F b n R y e S B U e X B l P S J G a W x s R X J y b 3 J D b 3 V u d C I g V m F s d W U 9 I m w w 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2 R l I i B W Y W x 1 Z T 0 i c 1 V u a 2 5 v d 2 4 i I C 8 + P E V u d H J 5 I F R 5 c G U 9 I k Z p b G x T d G F 0 d X M i I F Z h b H V l P S J z Q 2 9 t c G x l d G U i I C 8 + P E V u d H J 5 I F R 5 c G U 9 I k Z p b G x D b 3 V u d C I g V m F s d W U 9 I m w 3 M D I w I i A v P j x F b n R y e S B U e X B l P S J B Z G R l Z F R v R G F 0 Y U 1 v Z G V s I i B W Y W x 1 Z T 0 i b D A 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P Y m p l Y 3 R U e X B l I i B W Y W x 1 Z T 0 i c 0 N v b m 5 l Y 3 R p b 2 5 P b m x 5 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N G w + F t m 0 g Z C p Q p m C 5 H P D 7 o A A A A A A g A A A A A A A 2 Y A A M A A A A A Q A A A A Z Y P d G J 7 8 i i l g m Z T z y x J 9 D Q A A A A A E g A A A o A A A A B A A A A C E A 7 5 e 5 c Q 5 i e 1 D j M j d k J i a U A A A A P / a 6 0 K P / z F t b b D Y J H e S p R 8 X F N P 8 Q o u A d j K t E t 8 D L 0 X n n 7 t T e u p p c 0 R V D N M q U C n g b 4 G x r b z I v L 3 T i s l g e Z 8 x y w U B 3 3 8 N i H l K q D O / g T R + G 8 r S F A A A A F g / O V o 6 T l r t i k A 2 F T a o L 9 Q C V a p r < / 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2020-123998358-374</_dlc_DocId>
    <_dlc_DocIdUrl xmlns="6edf9311-6556-4af2-85ff-d57844cfe120">
      <Url>https://finansnorge.sharepoint.com/sites/intranett/arkiv/_layouts/15/DocIdRedir.aspx?ID=2020-123998358-374</Url>
      <Description>2020-123998358-374</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C8E05473-CB8C-4067-8527-EF576BF60FF7}"/>
</file>

<file path=customXml/itemProps3.xml><?xml version="1.0" encoding="utf-8"?>
<ds:datastoreItem xmlns:ds="http://schemas.openxmlformats.org/officeDocument/2006/customXml" ds:itemID="{58345928-CFE3-44AC-A9D5-2B6C616715ED}"/>
</file>

<file path=customXml/itemProps4.xml><?xml version="1.0" encoding="utf-8"?>
<ds:datastoreItem xmlns:ds="http://schemas.openxmlformats.org/officeDocument/2006/customXml" ds:itemID="{BD523351-A4A6-49AA-A2F7-954168C56804}"/>
</file>

<file path=customXml/itemProps5.xml><?xml version="1.0" encoding="utf-8"?>
<ds:datastoreItem xmlns:ds="http://schemas.openxmlformats.org/officeDocument/2006/customXml" ds:itemID="{E47B2CCA-D395-459C-916D-DA36BA763C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Navngitte områder</vt:lpstr>
      </vt:variant>
      <vt:variant>
        <vt:i4>14</vt:i4>
      </vt:variant>
    </vt:vector>
  </HeadingPairs>
  <TitlesOfParts>
    <vt:vector size="53"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Landkreditt Forsikring</vt:lpstr>
      <vt:lpstr>NEMI Forsikring</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5.1</vt:lpstr>
      <vt:lpstr>Tabell 5.2</vt:lpstr>
      <vt:lpstr>Tabell 5.3</vt:lpstr>
      <vt:lpstr>Tabell 6</vt:lpstr>
      <vt:lpstr>Tabell 7a</vt:lpstr>
      <vt:lpstr>Tabell 7b</vt:lpstr>
      <vt:lpstr>Tabell 8</vt:lpstr>
      <vt:lpstr>Noter og kommentarer</vt:lpstr>
      <vt:lpstr>'ACE European Group'!Utskriftsområde</vt:lpstr>
      <vt:lpstr>'NEMI Forsikring'!Utskriftsområde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2019-04-08T11:10:20Z</cp:lastPrinted>
  <dcterms:created xsi:type="dcterms:W3CDTF">2010-12-15T10:21:26Z</dcterms:created>
  <dcterms:modified xsi:type="dcterms:W3CDTF">2019-05-07T07:57:47Z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8e8f1f33-4448-45db-bd04-5f28109ea9ac</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