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8.xml" ContentType="application/vnd.openxmlformats-officedocument.drawingml.char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charts/chart7.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sharedStrings.xml" ContentType="application/vnd.openxmlformats-officedocument.spreadsheetml.sharedStrings+xml"/>
  <Override PartName="/xl/worksheets/sheet1.xml" ContentType="application/vnd.openxmlformats-officedocument.spreadsheetml.worksheet+xml"/>
  <Override PartName="/xl/worksheets/sheet30.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1.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styles.xml" ContentType="application/vnd.openxmlformats-officedocument.spreadsheetml.styles+xml"/>
  <Override PartName="/xl/worksheets/sheet25.xml" ContentType="application/vnd.openxmlformats-officedocument.spreadsheetml.worksheet+xml"/>
  <Override PartName="/xl/worksheets/sheet32.xml" ContentType="application/vnd.openxmlformats-officedocument.spreadsheetml.worksheet+xml"/>
  <Override PartName="/xl/worksheets/sheet29.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34.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33.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connections.xml" ContentType="application/vnd.openxmlformats-officedocument.spreadsheetml.connections+xml"/>
  <Override PartName="/docProps/core.xml" ContentType="application/vnd.openxmlformats-package.core-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updateLinks="always" codeName="ThisWorkbook" defaultThemeVersion="124226"/>
  <mc:AlternateContent xmlns:mc="http://schemas.openxmlformats.org/markup-compatibility/2006">
    <mc:Choice Requires="x15">
      <x15ac:absPath xmlns:x15ac="http://schemas.microsoft.com/office/spreadsheetml/2010/11/ac" url="O:\SFA\Statistikk og analyse\Livstatistikk\Faste statistikker\MA\2016\Q4-16\Publisert\"/>
    </mc:Choice>
  </mc:AlternateContent>
  <bookViews>
    <workbookView xWindow="4275" yWindow="4305" windowWidth="10710" windowHeight="3225" tabRatio="835" activeTab="1"/>
  </bookViews>
  <sheets>
    <sheet name="Forside" sheetId="6" r:id="rId1"/>
    <sheet name="Innhold" sheetId="7" r:id="rId2"/>
    <sheet name="Figurer" sheetId="8" r:id="rId3"/>
    <sheet name="Tabel 1.1" sheetId="9" r:id="rId4"/>
    <sheet name="Tabell 1.2" sheetId="10" r:id="rId5"/>
    <sheet name="Tabell 1.3" sheetId="58" r:id="rId6"/>
    <sheet name="Skjema total MA" sheetId="4" r:id="rId7"/>
    <sheet name="ACE European Group" sheetId="16" r:id="rId8"/>
    <sheet name="Danica Pensjonsforsikring" sheetId="18" r:id="rId9"/>
    <sheet name="DNB Livsforsikring" sheetId="13" r:id="rId10"/>
    <sheet name="Eika Forsikring AS" sheetId="19" r:id="rId11"/>
    <sheet name="Frende Livsforsikring" sheetId="20" r:id="rId12"/>
    <sheet name="Frende Skadeforsikring" sheetId="21" r:id="rId13"/>
    <sheet name="Gjensidige Forsikring" sheetId="22" r:id="rId14"/>
    <sheet name="Gjensidige Pensjon" sheetId="23" r:id="rId15"/>
    <sheet name="Handelsbanken Liv" sheetId="24" r:id="rId16"/>
    <sheet name="If Skadeforsikring NUF" sheetId="25" r:id="rId17"/>
    <sheet name="KLP" sheetId="26" r:id="rId18"/>
    <sheet name="KLP Bedriftspensjon AS" sheetId="27" r:id="rId19"/>
    <sheet name="KLP Skadeforsikring AS" sheetId="51" r:id="rId20"/>
    <sheet name="Landbruksforsikring AS" sheetId="40" r:id="rId21"/>
    <sheet name="NEMI Forsikring" sheetId="41" r:id="rId22"/>
    <sheet name="Nordea Liv " sheetId="29" r:id="rId23"/>
    <sheet name="Oslo Pensjonsforsikring" sheetId="34" r:id="rId24"/>
    <sheet name="SHB Liv" sheetId="35" r:id="rId25"/>
    <sheet name="Silver Pensjonsforsikring AS" sheetId="36" r:id="rId26"/>
    <sheet name="Sparebank 1" sheetId="33" r:id="rId27"/>
    <sheet name="Storebrand Livsforsikring" sheetId="37" r:id="rId28"/>
    <sheet name="Telenor Forsikring" sheetId="38" r:id="rId29"/>
    <sheet name="Tryg Forsikring" sheetId="39" r:id="rId30"/>
    <sheet name="Tabell 4" sheetId="69" r:id="rId31"/>
    <sheet name="Tabell 5.1" sheetId="70" r:id="rId32"/>
    <sheet name="Tabell 5.2" sheetId="71" r:id="rId33"/>
    <sheet name="Tabell 5.3" sheetId="72" r:id="rId34"/>
    <sheet name="Tabell 6" sheetId="66" r:id="rId35"/>
    <sheet name="Tabell 7a" sheetId="74" r:id="rId36"/>
    <sheet name="Tabell 7b" sheetId="75" r:id="rId37"/>
    <sheet name="Tabell 8" sheetId="76" r:id="rId38"/>
    <sheet name="Noter og kommentarer" sheetId="3" r:id="rId39"/>
  </sheets>
  <externalReferences>
    <externalReference r:id="rId40"/>
    <externalReference r:id="rId41"/>
  </externalReferences>
  <definedNames>
    <definedName name="Dag">#REF!</definedName>
    <definedName name="Dager">#REF!</definedName>
    <definedName name="dato">#REF!</definedName>
    <definedName name="Feilmelding" localSheetId="34">#REF!</definedName>
    <definedName name="Feilmelding">#REF!</definedName>
    <definedName name="FilNavn">[1]Oppslagstabeller!$N$5</definedName>
    <definedName name="Fjorårstall">#REF!</definedName>
    <definedName name="Koder2a">[2]!Tabell2[#All]</definedName>
    <definedName name="Kvartal" localSheetId="34">#REF!</definedName>
    <definedName name="kvartal">#REF!</definedName>
    <definedName name="Måned">#REF!</definedName>
    <definedName name="OppslagsKolonneDataVerdi">#REF!</definedName>
    <definedName name="OppslagsKolonneSelskapNavn">#REF!</definedName>
    <definedName name="Selskap">[1]Oppslagstabeller!$N$4</definedName>
    <definedName name="SelskapKolonneIndeks">[1]!Tabell3[#All]</definedName>
    <definedName name="SelskapListe">#REF!</definedName>
    <definedName name="Selskapsliste">[1]Oppslagstabeller!$A$1:$G$36</definedName>
    <definedName name="UtfylteTall">#REF!</definedName>
    <definedName name="_xlnm.Print_Area" localSheetId="7">'ACE European Group'!$A$1:$M$169</definedName>
    <definedName name="_xlnm.Print_Area" localSheetId="21">'NEMI Forsikring'!$A$1:$M$169</definedName>
    <definedName name="_xlnm.Print_Area" localSheetId="38">'Noter og kommentarer'!$A$1:$L$43</definedName>
    <definedName name="_xlnm.Print_Area" localSheetId="6">'Skjema total MA'!$A$1:$J$170</definedName>
    <definedName name="_xlnm.Print_Area" localSheetId="30">'Tabell 4'!$A$2:$AT$61</definedName>
    <definedName name="_xlnm.Print_Area" localSheetId="31">'Tabell 5.1'!$A$2:$AT$109</definedName>
    <definedName name="_xlnm.Print_Area" localSheetId="32">'Tabell 5.2'!$A$2:$AT$145</definedName>
    <definedName name="_xlnm.Print_Area" localSheetId="34">'Tabell 6'!$A$2:$AT$96</definedName>
    <definedName name="_xlnm.Print_Area" localSheetId="35">'Tabell 7a'!$A$2:$AN$64</definedName>
    <definedName name="_xlnm.Print_Area" localSheetId="36">'Tabell 7b'!$A$2:$AN$49</definedName>
    <definedName name="_xlnm.Print_Titles" localSheetId="30">'Tabell 4'!$A:$A,'Tabell 4'!$2:$3</definedName>
    <definedName name="_xlnm.Print_Titles" localSheetId="31">'Tabell 5.1'!$A:$A,'Tabell 5.1'!$2:$9</definedName>
    <definedName name="_xlnm.Print_Titles" localSheetId="32">'Tabell 5.2'!$A:$A,'Tabell 5.2'!$2:$9</definedName>
    <definedName name="_xlnm.Print_Titles" localSheetId="34">'Tabell 6'!$A:$A</definedName>
    <definedName name="_xlnm.Print_Titles" localSheetId="35">'Tabell 7a'!$A:$A</definedName>
    <definedName name="_xlnm.Print_Titles" localSheetId="36">'Tabell 7b'!$A:$A</definedName>
    <definedName name="År" localSheetId="34">#REF!</definedName>
    <definedName name="år">#REF!</definedName>
    <definedName name="ÅrFratrekk">#REF!</definedName>
  </definedNames>
  <calcPr calcId="171027"/>
</workbook>
</file>

<file path=xl/calcChain.xml><?xml version="1.0" encoding="utf-8"?>
<calcChain xmlns="http://schemas.openxmlformats.org/spreadsheetml/2006/main">
  <c r="C54" i="33" l="1"/>
  <c r="C56" i="33"/>
  <c r="F81" i="4" l="1"/>
  <c r="F88" i="4"/>
  <c r="F89" i="4"/>
  <c r="F91" i="4"/>
  <c r="F98" i="4"/>
  <c r="F99" i="4"/>
  <c r="E99" i="4"/>
  <c r="E98" i="4"/>
  <c r="E91" i="4"/>
  <c r="E89" i="4"/>
  <c r="E88" i="4"/>
  <c r="C80" i="4"/>
  <c r="C81" i="4"/>
  <c r="C88" i="4"/>
  <c r="C89" i="4"/>
  <c r="C90" i="4"/>
  <c r="C91" i="4"/>
  <c r="C98" i="4"/>
  <c r="C99" i="4"/>
  <c r="B99" i="4"/>
  <c r="B98" i="4"/>
  <c r="B91" i="4"/>
  <c r="B90" i="4"/>
  <c r="B89" i="4"/>
  <c r="B88" i="4"/>
  <c r="B81" i="4"/>
  <c r="C54" i="4"/>
  <c r="B54" i="4"/>
  <c r="B55" i="4"/>
  <c r="K85" i="23"/>
  <c r="K97" i="23"/>
  <c r="J97" i="23"/>
  <c r="K95" i="23"/>
  <c r="J95" i="23"/>
  <c r="K91" i="23"/>
  <c r="J91" i="23"/>
  <c r="K90" i="23"/>
  <c r="J90" i="23"/>
  <c r="K89" i="23"/>
  <c r="J89" i="23"/>
  <c r="K87" i="23"/>
  <c r="J87" i="23"/>
  <c r="J85" i="23"/>
  <c r="J81" i="23"/>
  <c r="K81" i="23"/>
  <c r="K80" i="23"/>
  <c r="J80" i="23"/>
  <c r="K79" i="23"/>
  <c r="J79" i="23"/>
  <c r="C56" i="4"/>
  <c r="C57" i="4"/>
  <c r="B56" i="4"/>
  <c r="I79" i="4"/>
  <c r="F79" i="4"/>
  <c r="E79" i="4"/>
  <c r="C79" i="4"/>
  <c r="B79" i="4"/>
  <c r="D63" i="4" l="1"/>
  <c r="D64" i="4"/>
  <c r="D65" i="4"/>
  <c r="C63" i="4"/>
  <c r="C64" i="4"/>
  <c r="C65" i="4"/>
  <c r="B64" i="4"/>
  <c r="B65" i="4"/>
  <c r="B63" i="4"/>
  <c r="D57" i="4"/>
  <c r="D58" i="4"/>
  <c r="D59" i="4"/>
  <c r="B59" i="4"/>
  <c r="B57" i="4"/>
  <c r="B58" i="4"/>
  <c r="C58" i="4"/>
  <c r="C59" i="4"/>
  <c r="E81" i="4" l="1"/>
  <c r="B80" i="4"/>
  <c r="K30" i="37" l="1"/>
  <c r="C30" i="4"/>
  <c r="I30" i="4" s="1"/>
  <c r="B30" i="4"/>
  <c r="H30" i="4" s="1"/>
  <c r="C8" i="4" l="1"/>
  <c r="C9" i="4"/>
  <c r="E9" i="37" s="1"/>
  <c r="B9" i="4"/>
  <c r="B8" i="4"/>
  <c r="K9" i="37"/>
  <c r="K8" i="37"/>
  <c r="L9" i="37"/>
  <c r="E8" i="37"/>
  <c r="D9" i="37"/>
  <c r="D8" i="37"/>
  <c r="L8" i="37" l="1"/>
  <c r="G30" i="58"/>
  <c r="G29" i="58"/>
  <c r="G28" i="58"/>
  <c r="G27" i="58"/>
  <c r="G26" i="58"/>
  <c r="G25" i="58"/>
  <c r="F30" i="58"/>
  <c r="F29" i="58"/>
  <c r="F28" i="58"/>
  <c r="F27" i="58"/>
  <c r="F26" i="58"/>
  <c r="F25" i="58"/>
  <c r="C30" i="58"/>
  <c r="C29" i="58"/>
  <c r="C28" i="58"/>
  <c r="C27" i="58"/>
  <c r="C26" i="58"/>
  <c r="C25" i="58"/>
  <c r="B30" i="58"/>
  <c r="B29" i="58"/>
  <c r="B28" i="58"/>
  <c r="B27" i="58"/>
  <c r="B26" i="58"/>
  <c r="B25" i="58"/>
  <c r="G22" i="58"/>
  <c r="G21" i="58"/>
  <c r="G20" i="58"/>
  <c r="G19" i="58"/>
  <c r="G18" i="58"/>
  <c r="G17" i="58"/>
  <c r="F22" i="58"/>
  <c r="F21" i="58"/>
  <c r="F20" i="58"/>
  <c r="F19" i="58"/>
  <c r="F18" i="58"/>
  <c r="F17" i="58"/>
  <c r="C22" i="58"/>
  <c r="C21" i="58"/>
  <c r="C20" i="58"/>
  <c r="C19" i="58"/>
  <c r="C18" i="58"/>
  <c r="C17" i="58"/>
  <c r="B22" i="58"/>
  <c r="B21" i="58"/>
  <c r="B20" i="58"/>
  <c r="B19" i="58"/>
  <c r="B18" i="58"/>
  <c r="B17" i="58"/>
  <c r="G14" i="58"/>
  <c r="G13" i="58"/>
  <c r="G12" i="58"/>
  <c r="G11" i="58"/>
  <c r="G10" i="58"/>
  <c r="G9" i="58"/>
  <c r="F14" i="58"/>
  <c r="F13" i="58"/>
  <c r="F12" i="58"/>
  <c r="F11" i="58"/>
  <c r="F10" i="58"/>
  <c r="F9" i="58"/>
  <c r="C14" i="58" l="1"/>
  <c r="C13" i="58"/>
  <c r="C12" i="58"/>
  <c r="C11" i="58"/>
  <c r="C10" i="58"/>
  <c r="C9" i="58"/>
  <c r="B14" i="58"/>
  <c r="B13" i="58"/>
  <c r="B12" i="58"/>
  <c r="B11" i="58"/>
  <c r="B10" i="58"/>
  <c r="B9" i="58"/>
  <c r="D27" i="4" l="1"/>
  <c r="D28" i="4"/>
  <c r="D29" i="4"/>
  <c r="D26" i="4"/>
  <c r="D30" i="4"/>
  <c r="Q91" i="66" l="1"/>
  <c r="Q79" i="66"/>
  <c r="AK60" i="74" l="1"/>
  <c r="AH59" i="74"/>
  <c r="AB41" i="74"/>
  <c r="AB46" i="74"/>
  <c r="AB52" i="74"/>
  <c r="M50" i="74"/>
  <c r="M49" i="74"/>
  <c r="M48" i="74"/>
  <c r="M37" i="74"/>
  <c r="G34" i="74"/>
  <c r="G22" i="74"/>
  <c r="D37" i="74"/>
  <c r="D32" i="74"/>
  <c r="D31" i="74"/>
  <c r="D20" i="74"/>
  <c r="D23" i="74"/>
  <c r="D19" i="74"/>
  <c r="D15" i="74"/>
  <c r="AN46" i="66"/>
  <c r="AN50" i="66"/>
  <c r="AN53" i="66"/>
  <c r="AB78" i="66"/>
  <c r="AB77" i="66"/>
  <c r="Y15" i="66"/>
  <c r="Y33" i="66"/>
  <c r="Y57" i="66"/>
  <c r="V59" i="66"/>
  <c r="V44" i="66"/>
  <c r="V19" i="66"/>
  <c r="V16" i="66"/>
  <c r="S52" i="66"/>
  <c r="P85" i="66"/>
  <c r="P81" i="66"/>
  <c r="P73" i="66"/>
  <c r="M25" i="66"/>
  <c r="M40" i="66"/>
  <c r="M46" i="66"/>
  <c r="M71" i="66"/>
  <c r="M76" i="66"/>
  <c r="J88" i="66"/>
  <c r="J37" i="66"/>
  <c r="J35" i="66"/>
  <c r="J18" i="66"/>
  <c r="J16" i="66"/>
  <c r="G19" i="66"/>
  <c r="G18" i="66"/>
  <c r="G17" i="66"/>
  <c r="G16" i="66"/>
  <c r="G33" i="72"/>
  <c r="G25" i="72"/>
  <c r="AN45" i="72"/>
  <c r="AN41" i="72"/>
  <c r="AH41" i="72"/>
  <c r="AH45" i="72"/>
  <c r="AB45" i="72"/>
  <c r="AB41" i="72"/>
  <c r="V41" i="72"/>
  <c r="V45" i="72"/>
  <c r="P45" i="72"/>
  <c r="P41" i="72"/>
  <c r="J41" i="72"/>
  <c r="D45" i="72"/>
  <c r="D41" i="72"/>
  <c r="AN93" i="71"/>
  <c r="AK85" i="71"/>
  <c r="AK21" i="71"/>
  <c r="AK13" i="71"/>
  <c r="AH91" i="71"/>
  <c r="Y38" i="71"/>
  <c r="AB124" i="71"/>
  <c r="AB130" i="71"/>
  <c r="Y93" i="71"/>
  <c r="Y46" i="71"/>
  <c r="Y44" i="71"/>
  <c r="Y43" i="71"/>
  <c r="Y41" i="71"/>
  <c r="P58" i="71"/>
  <c r="P56" i="71"/>
  <c r="P50" i="71"/>
  <c r="V21" i="71"/>
  <c r="V13" i="71"/>
  <c r="O58" i="71"/>
  <c r="G123" i="71"/>
  <c r="D106" i="71"/>
  <c r="D104" i="71"/>
  <c r="D101" i="71"/>
  <c r="D98" i="71"/>
  <c r="G97" i="71"/>
  <c r="G57" i="71"/>
  <c r="D53" i="71"/>
  <c r="G13" i="71"/>
  <c r="AO15" i="70"/>
  <c r="AP15" i="70"/>
  <c r="AK72" i="70"/>
  <c r="AK29" i="70"/>
  <c r="Y29" i="70"/>
  <c r="G107" i="70"/>
  <c r="G57" i="70"/>
  <c r="G48" i="70"/>
  <c r="D74" i="70"/>
  <c r="D76" i="70"/>
  <c r="D79" i="70"/>
  <c r="D84" i="70"/>
  <c r="D83" i="70"/>
  <c r="D82" i="70"/>
  <c r="D88" i="70"/>
  <c r="D91" i="70"/>
  <c r="D94" i="70"/>
  <c r="D96" i="70"/>
  <c r="G98" i="70"/>
  <c r="AE40" i="69"/>
  <c r="AB28" i="69"/>
  <c r="AB13" i="69"/>
  <c r="AB12" i="69"/>
  <c r="V31" i="69"/>
  <c r="P23" i="69"/>
  <c r="P29" i="69"/>
  <c r="J30" i="69"/>
  <c r="F146" i="4" l="1"/>
  <c r="E146" i="4"/>
  <c r="H146" i="4" s="1"/>
  <c r="F154" i="4"/>
  <c r="E154" i="4"/>
  <c r="C154" i="4"/>
  <c r="B154" i="4"/>
  <c r="C146" i="4"/>
  <c r="I146" i="4" s="1"/>
  <c r="B146" i="4"/>
  <c r="D146" i="4" s="1"/>
  <c r="J146" i="4" l="1"/>
  <c r="G146" i="4"/>
  <c r="H135" i="36"/>
  <c r="H137" i="36"/>
  <c r="H127" i="36"/>
  <c r="H125" i="36"/>
  <c r="E146" i="29"/>
  <c r="E135" i="29"/>
  <c r="E125" i="29"/>
  <c r="E122" i="29"/>
  <c r="E95" i="29"/>
  <c r="E85" i="29"/>
  <c r="E82" i="29"/>
  <c r="H146" i="27"/>
  <c r="I146" i="27"/>
  <c r="L146" i="27"/>
  <c r="M146" i="27"/>
  <c r="E58" i="24"/>
  <c r="D58" i="24"/>
  <c r="L12" i="24"/>
  <c r="L11" i="24"/>
  <c r="L12" i="25"/>
  <c r="L11" i="25"/>
  <c r="L12" i="51"/>
  <c r="L11" i="51"/>
  <c r="L12" i="29"/>
  <c r="L11" i="29"/>
  <c r="L12" i="35"/>
  <c r="L11" i="35"/>
  <c r="L12" i="33"/>
  <c r="L11" i="33"/>
  <c r="L12" i="37"/>
  <c r="L11" i="37"/>
  <c r="L9" i="24"/>
  <c r="L8" i="24"/>
  <c r="L9" i="25"/>
  <c r="L8" i="25"/>
  <c r="L9" i="51"/>
  <c r="L8" i="51"/>
  <c r="L9" i="29"/>
  <c r="L8" i="29"/>
  <c r="L9" i="35"/>
  <c r="L8" i="35"/>
  <c r="L9" i="33"/>
  <c r="L8" i="33"/>
  <c r="L12" i="22"/>
  <c r="L11" i="22"/>
  <c r="L9" i="22"/>
  <c r="L8" i="22"/>
  <c r="L12" i="20"/>
  <c r="L11" i="20"/>
  <c r="L9" i="20"/>
  <c r="L8" i="20"/>
  <c r="L12" i="19"/>
  <c r="L11" i="19"/>
  <c r="L9" i="19"/>
  <c r="L8" i="19"/>
  <c r="L12" i="13"/>
  <c r="L11" i="13"/>
  <c r="L9" i="13"/>
  <c r="L8" i="13"/>
  <c r="L12" i="18"/>
  <c r="L11" i="18"/>
  <c r="L9" i="18"/>
  <c r="L8" i="18"/>
  <c r="G108" i="4"/>
  <c r="E63" i="16" l="1"/>
  <c r="E64" i="16"/>
  <c r="E65" i="16"/>
  <c r="E57" i="16"/>
  <c r="E58" i="16"/>
  <c r="E59" i="16"/>
  <c r="L117" i="18"/>
  <c r="L115" i="18"/>
  <c r="L107" i="18"/>
  <c r="L105" i="18"/>
  <c r="L97" i="18"/>
  <c r="L95" i="18"/>
  <c r="L87" i="18"/>
  <c r="L85" i="18"/>
  <c r="L125" i="18"/>
  <c r="L127" i="18"/>
  <c r="L135" i="18"/>
  <c r="L137" i="18"/>
  <c r="H85" i="18"/>
  <c r="H87" i="18"/>
  <c r="H95" i="18"/>
  <c r="H97" i="18"/>
  <c r="H105" i="18"/>
  <c r="H107" i="18"/>
  <c r="H115" i="18"/>
  <c r="H117" i="18"/>
  <c r="H125" i="18"/>
  <c r="H127" i="18"/>
  <c r="H135" i="18"/>
  <c r="H137" i="18"/>
  <c r="K137" i="18"/>
  <c r="J137" i="18"/>
  <c r="K135" i="18"/>
  <c r="J135" i="18"/>
  <c r="K127" i="18"/>
  <c r="J127" i="18"/>
  <c r="K117" i="18"/>
  <c r="J117" i="18"/>
  <c r="K115" i="18"/>
  <c r="J115" i="18"/>
  <c r="K125" i="18"/>
  <c r="J125" i="18"/>
  <c r="K107" i="18"/>
  <c r="J107" i="18"/>
  <c r="K105" i="18"/>
  <c r="J105" i="18"/>
  <c r="K97" i="18"/>
  <c r="J97" i="18"/>
  <c r="K95" i="18"/>
  <c r="J95" i="18"/>
  <c r="K87" i="18"/>
  <c r="J87" i="18"/>
  <c r="K85" i="18"/>
  <c r="J85" i="18"/>
  <c r="K39" i="18"/>
  <c r="J39" i="18"/>
  <c r="L39" i="18" s="1"/>
  <c r="K38" i="18"/>
  <c r="J38" i="18"/>
  <c r="L38" i="18" s="1"/>
  <c r="K37" i="18"/>
  <c r="J37" i="18"/>
  <c r="L37" i="18" s="1"/>
  <c r="K33" i="18"/>
  <c r="J33" i="18"/>
  <c r="L33" i="18" s="1"/>
  <c r="K32" i="18"/>
  <c r="J32" i="18"/>
  <c r="L32" i="18" s="1"/>
  <c r="K28" i="18"/>
  <c r="J28" i="18"/>
  <c r="L28" i="18" s="1"/>
  <c r="K26" i="18"/>
  <c r="J26" i="18"/>
  <c r="L26" i="18" s="1"/>
  <c r="H39" i="18"/>
  <c r="H38" i="18"/>
  <c r="H37" i="18"/>
  <c r="H33" i="18"/>
  <c r="H32" i="18"/>
  <c r="H28" i="18"/>
  <c r="H26" i="18"/>
  <c r="E29" i="13"/>
  <c r="E28" i="13"/>
  <c r="E26" i="13"/>
  <c r="E137" i="13"/>
  <c r="E135" i="13"/>
  <c r="E127" i="13"/>
  <c r="E126" i="13"/>
  <c r="E125" i="13"/>
  <c r="L137" i="13"/>
  <c r="L135" i="13"/>
  <c r="L127" i="13"/>
  <c r="L125" i="13"/>
  <c r="L123" i="13"/>
  <c r="L122" i="13"/>
  <c r="L117" i="13"/>
  <c r="L115" i="13"/>
  <c r="L107" i="13"/>
  <c r="L105" i="13"/>
  <c r="L97" i="13"/>
  <c r="L95" i="13"/>
  <c r="L87" i="13"/>
  <c r="L85" i="13"/>
  <c r="D125" i="13"/>
  <c r="D135" i="13"/>
  <c r="H137" i="13"/>
  <c r="H135" i="13"/>
  <c r="H127" i="13"/>
  <c r="H125" i="13"/>
  <c r="H123" i="13"/>
  <c r="H122" i="13"/>
  <c r="H117" i="13"/>
  <c r="H115" i="13"/>
  <c r="H107" i="13"/>
  <c r="H105" i="13"/>
  <c r="H97" i="13"/>
  <c r="H95" i="13"/>
  <c r="H87" i="13"/>
  <c r="H85" i="13"/>
  <c r="K137" i="13"/>
  <c r="J137" i="13"/>
  <c r="K135" i="13"/>
  <c r="J135" i="13"/>
  <c r="K127" i="13"/>
  <c r="J127" i="13"/>
  <c r="K125" i="13"/>
  <c r="J125" i="13"/>
  <c r="K123" i="13"/>
  <c r="J123" i="13"/>
  <c r="K122" i="13"/>
  <c r="J122" i="13"/>
  <c r="K117" i="13"/>
  <c r="J117" i="13"/>
  <c r="K115" i="13"/>
  <c r="J115" i="13"/>
  <c r="K107" i="13"/>
  <c r="J107" i="13"/>
  <c r="K105" i="13"/>
  <c r="J105" i="13"/>
  <c r="K97" i="13"/>
  <c r="J97" i="13"/>
  <c r="K95" i="13"/>
  <c r="J95" i="13"/>
  <c r="K87" i="13"/>
  <c r="J87" i="13"/>
  <c r="K85" i="13"/>
  <c r="J85" i="13"/>
  <c r="E57" i="13"/>
  <c r="E58" i="13"/>
  <c r="K39" i="13"/>
  <c r="J39" i="13"/>
  <c r="K38" i="13"/>
  <c r="J38" i="13"/>
  <c r="L38" i="13" s="1"/>
  <c r="K37" i="13"/>
  <c r="J37" i="13"/>
  <c r="L37" i="13" s="1"/>
  <c r="K33" i="13"/>
  <c r="J33" i="13"/>
  <c r="K32" i="13"/>
  <c r="J32" i="13"/>
  <c r="L32" i="13" s="1"/>
  <c r="K29" i="13"/>
  <c r="J29" i="13"/>
  <c r="L29" i="13" s="1"/>
  <c r="K28" i="13"/>
  <c r="J28" i="13"/>
  <c r="L28" i="13" s="1"/>
  <c r="K27" i="13"/>
  <c r="J27" i="13"/>
  <c r="L27" i="13" s="1"/>
  <c r="K26" i="13"/>
  <c r="J26" i="13"/>
  <c r="L26" i="13" s="1"/>
  <c r="L33" i="13"/>
  <c r="L39" i="13"/>
  <c r="H39" i="13"/>
  <c r="H38" i="13"/>
  <c r="H37" i="13"/>
  <c r="H33" i="13"/>
  <c r="H32" i="13"/>
  <c r="H28" i="13"/>
  <c r="H27" i="13"/>
  <c r="H26" i="13"/>
  <c r="D39" i="13"/>
  <c r="D38" i="13"/>
  <c r="D37" i="13"/>
  <c r="D33" i="13"/>
  <c r="D32" i="13"/>
  <c r="D29" i="13"/>
  <c r="D28" i="13"/>
  <c r="D26" i="13"/>
  <c r="E95" i="20"/>
  <c r="E87" i="20"/>
  <c r="E85" i="20"/>
  <c r="E105" i="20"/>
  <c r="E107" i="20"/>
  <c r="E115" i="20"/>
  <c r="E117" i="20"/>
  <c r="E125" i="20"/>
  <c r="E127" i="20"/>
  <c r="E135" i="20"/>
  <c r="E137" i="20"/>
  <c r="L137" i="20"/>
  <c r="L135" i="20"/>
  <c r="L127" i="20"/>
  <c r="L125" i="20"/>
  <c r="L117" i="20"/>
  <c r="L115" i="20"/>
  <c r="L107" i="20"/>
  <c r="L105" i="20"/>
  <c r="L97" i="20"/>
  <c r="L95" i="20"/>
  <c r="L87" i="20"/>
  <c r="L85" i="20"/>
  <c r="H85" i="20"/>
  <c r="H87" i="20"/>
  <c r="H95" i="20"/>
  <c r="H97" i="20"/>
  <c r="H105" i="20"/>
  <c r="H107" i="20"/>
  <c r="H115" i="20"/>
  <c r="H117" i="20"/>
  <c r="H125" i="20"/>
  <c r="H127" i="20"/>
  <c r="H135" i="20"/>
  <c r="H137" i="20"/>
  <c r="D135" i="20"/>
  <c r="D125" i="20"/>
  <c r="D115" i="20"/>
  <c r="D105" i="20"/>
  <c r="D95" i="20"/>
  <c r="D85" i="20"/>
  <c r="K137" i="20"/>
  <c r="J137" i="20"/>
  <c r="K135" i="20"/>
  <c r="J135" i="20"/>
  <c r="K127" i="20"/>
  <c r="J127" i="20"/>
  <c r="K125" i="20"/>
  <c r="J125" i="20"/>
  <c r="K117" i="20"/>
  <c r="J117" i="20"/>
  <c r="K115" i="20"/>
  <c r="J115" i="20"/>
  <c r="K107" i="20"/>
  <c r="J107" i="20"/>
  <c r="K105" i="20"/>
  <c r="J105" i="20"/>
  <c r="K97" i="20"/>
  <c r="J97" i="20"/>
  <c r="K95" i="20"/>
  <c r="J95" i="20"/>
  <c r="K87" i="20"/>
  <c r="J87" i="20"/>
  <c r="K85" i="20"/>
  <c r="J85" i="20"/>
  <c r="J32" i="20"/>
  <c r="J37" i="20"/>
  <c r="L37" i="20" s="1"/>
  <c r="J36" i="20"/>
  <c r="J39" i="20"/>
  <c r="L39" i="20" s="1"/>
  <c r="K39" i="20"/>
  <c r="K37" i="20"/>
  <c r="K32" i="20"/>
  <c r="L32" i="20"/>
  <c r="E26" i="20"/>
  <c r="E28" i="20"/>
  <c r="L28" i="20"/>
  <c r="J28" i="20"/>
  <c r="K28" i="20"/>
  <c r="K26" i="20"/>
  <c r="J26" i="20"/>
  <c r="H39" i="20"/>
  <c r="H28" i="20"/>
  <c r="D39" i="20"/>
  <c r="D37" i="20"/>
  <c r="D32" i="20"/>
  <c r="D28" i="20"/>
  <c r="D26" i="20"/>
  <c r="E65" i="22"/>
  <c r="E64" i="22"/>
  <c r="E63" i="22"/>
  <c r="E59" i="22"/>
  <c r="E58" i="22"/>
  <c r="L85" i="23"/>
  <c r="L87" i="23"/>
  <c r="L95" i="23"/>
  <c r="L97" i="23"/>
  <c r="L105" i="23"/>
  <c r="L107" i="23"/>
  <c r="L115" i="23"/>
  <c r="L117" i="23"/>
  <c r="L125" i="23"/>
  <c r="L127" i="23"/>
  <c r="L135" i="23"/>
  <c r="L137" i="23"/>
  <c r="H137" i="23"/>
  <c r="H135" i="23"/>
  <c r="H127" i="23"/>
  <c r="H125" i="23"/>
  <c r="H117" i="23"/>
  <c r="H115" i="23"/>
  <c r="H107" i="23"/>
  <c r="H105" i="23"/>
  <c r="H97" i="23"/>
  <c r="H95" i="23"/>
  <c r="H87" i="23"/>
  <c r="H85" i="23"/>
  <c r="E26" i="23"/>
  <c r="L26" i="23"/>
  <c r="L28" i="23"/>
  <c r="L32" i="23"/>
  <c r="L33" i="23"/>
  <c r="L37" i="23"/>
  <c r="L38" i="23"/>
  <c r="L39" i="23"/>
  <c r="H39" i="23"/>
  <c r="H38" i="23"/>
  <c r="H37" i="23"/>
  <c r="H33" i="23"/>
  <c r="H28" i="23"/>
  <c r="H26" i="23"/>
  <c r="D37" i="23"/>
  <c r="D32" i="23"/>
  <c r="D26" i="23"/>
  <c r="E27" i="24"/>
  <c r="L38" i="24"/>
  <c r="L27" i="24"/>
  <c r="D38" i="24"/>
  <c r="D27" i="24"/>
  <c r="L106" i="27"/>
  <c r="L105" i="27"/>
  <c r="L96" i="27"/>
  <c r="L95" i="27"/>
  <c r="L86" i="27"/>
  <c r="L85" i="27"/>
  <c r="L115" i="27"/>
  <c r="L116" i="27"/>
  <c r="L125" i="27"/>
  <c r="L126" i="27"/>
  <c r="L135" i="27"/>
  <c r="L136" i="27"/>
  <c r="H136" i="27"/>
  <c r="H135" i="27"/>
  <c r="H126" i="27"/>
  <c r="H125" i="27"/>
  <c r="H116" i="27"/>
  <c r="H115" i="27"/>
  <c r="H106" i="27"/>
  <c r="H105" i="27"/>
  <c r="H96" i="27"/>
  <c r="H95" i="27"/>
  <c r="H86" i="27"/>
  <c r="H85" i="27"/>
  <c r="L117" i="29"/>
  <c r="L116" i="29"/>
  <c r="L115" i="29"/>
  <c r="L107" i="29"/>
  <c r="L106" i="29"/>
  <c r="L105" i="29"/>
  <c r="L97" i="29"/>
  <c r="L96" i="29"/>
  <c r="L95" i="29"/>
  <c r="L87" i="29"/>
  <c r="L86" i="29"/>
  <c r="L85" i="29"/>
  <c r="L84" i="29"/>
  <c r="L83" i="29"/>
  <c r="L82" i="29"/>
  <c r="H83" i="29"/>
  <c r="H82" i="29"/>
  <c r="H81" i="29"/>
  <c r="H84" i="29"/>
  <c r="H85" i="29"/>
  <c r="H86" i="29"/>
  <c r="H87" i="29"/>
  <c r="H95" i="29"/>
  <c r="H96" i="29"/>
  <c r="H97" i="29"/>
  <c r="H105" i="29"/>
  <c r="H106" i="29"/>
  <c r="H107" i="29"/>
  <c r="H115" i="29"/>
  <c r="H116" i="29"/>
  <c r="H117" i="29"/>
  <c r="L146" i="29"/>
  <c r="L137" i="29"/>
  <c r="L136" i="29"/>
  <c r="L135" i="29"/>
  <c r="L127" i="29"/>
  <c r="L126" i="29"/>
  <c r="L125" i="29"/>
  <c r="L124" i="29"/>
  <c r="L123" i="29"/>
  <c r="L122" i="29"/>
  <c r="H122" i="29"/>
  <c r="H123" i="29"/>
  <c r="H124" i="29"/>
  <c r="H125" i="29"/>
  <c r="H126" i="29"/>
  <c r="H127" i="29"/>
  <c r="H135" i="29"/>
  <c r="H136" i="29"/>
  <c r="H137" i="29"/>
  <c r="D147" i="29"/>
  <c r="D146" i="29"/>
  <c r="D135" i="29"/>
  <c r="D125" i="29"/>
  <c r="D122" i="29"/>
  <c r="D95" i="29"/>
  <c r="D85" i="29"/>
  <c r="D82" i="29"/>
  <c r="E29" i="29"/>
  <c r="E28" i="29"/>
  <c r="E27" i="29"/>
  <c r="E26" i="29"/>
  <c r="L39" i="29"/>
  <c r="L38" i="29"/>
  <c r="L37" i="29"/>
  <c r="L33" i="29"/>
  <c r="L32" i="29"/>
  <c r="L29" i="29"/>
  <c r="L28" i="29"/>
  <c r="L27" i="29"/>
  <c r="L26" i="29"/>
  <c r="H26" i="29"/>
  <c r="H27" i="29"/>
  <c r="H28" i="29"/>
  <c r="H32" i="29"/>
  <c r="H33" i="29"/>
  <c r="H37" i="29"/>
  <c r="H38" i="29"/>
  <c r="H39" i="29"/>
  <c r="D39" i="29"/>
  <c r="D38" i="29"/>
  <c r="D37" i="29"/>
  <c r="D32" i="29"/>
  <c r="D29" i="29"/>
  <c r="D28" i="29"/>
  <c r="D27" i="29"/>
  <c r="D26" i="29"/>
  <c r="L38" i="35"/>
  <c r="L37" i="35"/>
  <c r="L26" i="35"/>
  <c r="H38" i="35"/>
  <c r="H37" i="35"/>
  <c r="H26" i="35"/>
  <c r="L126" i="35"/>
  <c r="L125" i="35"/>
  <c r="L86" i="35"/>
  <c r="L85" i="35"/>
  <c r="H85" i="35"/>
  <c r="H86" i="35"/>
  <c r="H125" i="35"/>
  <c r="H126" i="35"/>
  <c r="L27" i="36"/>
  <c r="L38" i="36"/>
  <c r="H38" i="36"/>
  <c r="H27" i="36"/>
  <c r="L137" i="36"/>
  <c r="L135" i="36"/>
  <c r="L127" i="36"/>
  <c r="L125" i="36"/>
  <c r="E135" i="33"/>
  <c r="E125" i="33"/>
  <c r="E115" i="33"/>
  <c r="E105" i="33"/>
  <c r="E95" i="33"/>
  <c r="E85" i="33"/>
  <c r="E81" i="33"/>
  <c r="L87" i="33"/>
  <c r="L85" i="33"/>
  <c r="L95" i="33"/>
  <c r="L97" i="33"/>
  <c r="L105" i="33"/>
  <c r="L107" i="33"/>
  <c r="L115" i="33"/>
  <c r="L117" i="33"/>
  <c r="L125" i="33"/>
  <c r="L127" i="33"/>
  <c r="L135" i="33"/>
  <c r="L137" i="33"/>
  <c r="H137" i="33"/>
  <c r="H135" i="33"/>
  <c r="H127" i="33"/>
  <c r="H125" i="33"/>
  <c r="H117" i="33"/>
  <c r="H115" i="33"/>
  <c r="H107" i="33"/>
  <c r="H105" i="33"/>
  <c r="H97" i="33"/>
  <c r="H95" i="33"/>
  <c r="H87" i="33"/>
  <c r="H85" i="33"/>
  <c r="D135" i="33"/>
  <c r="D125" i="33"/>
  <c r="D115" i="33"/>
  <c r="D105" i="33"/>
  <c r="D95" i="33"/>
  <c r="D85" i="33"/>
  <c r="D81" i="33"/>
  <c r="E64" i="33"/>
  <c r="E63" i="33"/>
  <c r="E59" i="33"/>
  <c r="E58" i="33"/>
  <c r="L39" i="33"/>
  <c r="L38" i="33"/>
  <c r="L37" i="33"/>
  <c r="L33" i="33"/>
  <c r="L32" i="33"/>
  <c r="L28" i="33"/>
  <c r="L27" i="33"/>
  <c r="L26" i="33"/>
  <c r="H39" i="33"/>
  <c r="H38" i="33"/>
  <c r="H37" i="33"/>
  <c r="H33" i="33"/>
  <c r="H32" i="33"/>
  <c r="H28" i="33"/>
  <c r="H27" i="33"/>
  <c r="H26" i="33"/>
  <c r="E27" i="33"/>
  <c r="D30" i="33"/>
  <c r="D38" i="33"/>
  <c r="D37" i="33"/>
  <c r="D32" i="33"/>
  <c r="D27" i="33"/>
  <c r="E26" i="33"/>
  <c r="D26" i="33"/>
  <c r="L137" i="37"/>
  <c r="L135" i="37"/>
  <c r="L127" i="37"/>
  <c r="L125" i="37"/>
  <c r="L117" i="37"/>
  <c r="L115" i="37"/>
  <c r="L107" i="37"/>
  <c r="L105" i="37"/>
  <c r="L97" i="37"/>
  <c r="L95" i="37"/>
  <c r="L87" i="37"/>
  <c r="L85" i="37"/>
  <c r="D135" i="37"/>
  <c r="D125" i="37"/>
  <c r="E137" i="37"/>
  <c r="E136" i="37"/>
  <c r="E135" i="37"/>
  <c r="E125" i="37"/>
  <c r="H137" i="37"/>
  <c r="H135" i="37"/>
  <c r="H127" i="37"/>
  <c r="H125" i="37"/>
  <c r="H117" i="37"/>
  <c r="H115" i="37"/>
  <c r="H107" i="37"/>
  <c r="H105" i="37"/>
  <c r="H97" i="37"/>
  <c r="H95" i="37"/>
  <c r="H87" i="37"/>
  <c r="H85" i="37"/>
  <c r="E57" i="37"/>
  <c r="E58" i="37"/>
  <c r="E59" i="37"/>
  <c r="L27" i="37"/>
  <c r="L28" i="37"/>
  <c r="L26" i="37"/>
  <c r="L37" i="37"/>
  <c r="L38" i="37"/>
  <c r="L39" i="37"/>
  <c r="L32" i="37"/>
  <c r="L33" i="37"/>
  <c r="H37" i="37"/>
  <c r="H38" i="37"/>
  <c r="H39" i="37"/>
  <c r="H32" i="37"/>
  <c r="H33" i="37"/>
  <c r="H27" i="37"/>
  <c r="H28" i="37"/>
  <c r="H26" i="37"/>
  <c r="E26" i="37"/>
  <c r="E27" i="37"/>
  <c r="E37" i="37"/>
  <c r="E38" i="37"/>
  <c r="E35" i="37"/>
  <c r="E36" i="37"/>
  <c r="E25" i="37"/>
  <c r="D37" i="37"/>
  <c r="D38" i="37"/>
  <c r="D26" i="37"/>
  <c r="D27" i="37"/>
  <c r="E58" i="39"/>
  <c r="E59" i="39"/>
  <c r="E60" i="39"/>
  <c r="E61" i="39"/>
  <c r="E62" i="39"/>
  <c r="E64" i="39"/>
  <c r="E65" i="39"/>
  <c r="AG36" i="76"/>
  <c r="AD36" i="76"/>
  <c r="AA36" i="76"/>
  <c r="X36" i="76"/>
  <c r="U36" i="76"/>
  <c r="R36" i="76"/>
  <c r="O36" i="76"/>
  <c r="L36" i="76"/>
  <c r="F36" i="76"/>
  <c r="C36" i="76"/>
  <c r="AG17" i="76"/>
  <c r="AD17" i="76"/>
  <c r="AA17" i="76"/>
  <c r="X17" i="76"/>
  <c r="U17" i="76"/>
  <c r="R17" i="76"/>
  <c r="O17" i="76"/>
  <c r="L17" i="76"/>
  <c r="F17" i="76"/>
  <c r="C17" i="76"/>
  <c r="AJ13" i="76"/>
  <c r="AI13" i="76"/>
  <c r="AK13" i="76" s="1"/>
  <c r="AH13" i="76"/>
  <c r="AE13" i="76"/>
  <c r="AB13" i="76"/>
  <c r="Y13" i="76"/>
  <c r="V13" i="76"/>
  <c r="S13" i="76"/>
  <c r="P13" i="76"/>
  <c r="G13" i="76"/>
  <c r="AJ12" i="76"/>
  <c r="AI12" i="76"/>
  <c r="AK12" i="76" s="1"/>
  <c r="AH12" i="76"/>
  <c r="AE12" i="76"/>
  <c r="AB12" i="76"/>
  <c r="Y12" i="76"/>
  <c r="V12" i="76"/>
  <c r="P12" i="76"/>
  <c r="M12" i="76"/>
  <c r="G12" i="76"/>
  <c r="D12" i="76"/>
  <c r="X11" i="76"/>
  <c r="S11" i="76"/>
  <c r="S10" i="76"/>
  <c r="AJ47" i="75"/>
  <c r="AI47" i="75"/>
  <c r="AK47" i="75" s="1"/>
  <c r="AJ46" i="75"/>
  <c r="AI46" i="75"/>
  <c r="O45" i="75"/>
  <c r="N45" i="75"/>
  <c r="AI45" i="75" s="1"/>
  <c r="AI44" i="75"/>
  <c r="AD44" i="75"/>
  <c r="AE44" i="75" s="1"/>
  <c r="Y44" i="75"/>
  <c r="X44" i="75"/>
  <c r="U44" i="75"/>
  <c r="V44" i="75" s="1"/>
  <c r="R44" i="75"/>
  <c r="S44" i="75" s="1"/>
  <c r="M44" i="75"/>
  <c r="L44" i="75"/>
  <c r="I44" i="75"/>
  <c r="J44" i="75" s="1"/>
  <c r="AJ43" i="75"/>
  <c r="AI43" i="75"/>
  <c r="AI42" i="75"/>
  <c r="AG42" i="75"/>
  <c r="AH42" i="75" s="1"/>
  <c r="AD42" i="75"/>
  <c r="AE42" i="75" s="1"/>
  <c r="AB42" i="75"/>
  <c r="X42" i="75"/>
  <c r="Y42" i="75" s="1"/>
  <c r="U42" i="75"/>
  <c r="V42" i="75" s="1"/>
  <c r="L42" i="75"/>
  <c r="M42" i="75" s="1"/>
  <c r="I42" i="75"/>
  <c r="J42" i="75" s="1"/>
  <c r="G42" i="75"/>
  <c r="F42" i="75"/>
  <c r="C42" i="75"/>
  <c r="AI41" i="75"/>
  <c r="AG41" i="75"/>
  <c r="AH41" i="75" s="1"/>
  <c r="AD41" i="75"/>
  <c r="AE41" i="75" s="1"/>
  <c r="X41" i="75"/>
  <c r="Y41" i="75" s="1"/>
  <c r="U41" i="75"/>
  <c r="V41" i="75" s="1"/>
  <c r="AJ41" i="75"/>
  <c r="L41" i="75"/>
  <c r="M41" i="75" s="1"/>
  <c r="G41" i="75"/>
  <c r="F41" i="75"/>
  <c r="C41" i="75"/>
  <c r="D41" i="75" s="1"/>
  <c r="AJ39" i="75"/>
  <c r="AI39" i="75"/>
  <c r="P39" i="75"/>
  <c r="AJ38" i="75"/>
  <c r="AI38" i="75"/>
  <c r="AE38" i="75"/>
  <c r="S38" i="75"/>
  <c r="M38" i="75"/>
  <c r="G38" i="75"/>
  <c r="D38" i="75"/>
  <c r="AJ37" i="75"/>
  <c r="AI37" i="75"/>
  <c r="AK37" i="75" s="1"/>
  <c r="AI36" i="75"/>
  <c r="AD36" i="75"/>
  <c r="AE36" i="75" s="1"/>
  <c r="R36" i="75"/>
  <c r="S36" i="75" s="1"/>
  <c r="O36" i="75"/>
  <c r="P36" i="75" s="1"/>
  <c r="M36" i="75"/>
  <c r="L36" i="75"/>
  <c r="F36" i="75"/>
  <c r="D36" i="75"/>
  <c r="C36" i="75"/>
  <c r="AJ35" i="75"/>
  <c r="AI35" i="75"/>
  <c r="AK35" i="75" s="1"/>
  <c r="AJ34" i="75"/>
  <c r="AI34" i="75"/>
  <c r="AE34" i="75"/>
  <c r="AJ33" i="75"/>
  <c r="AI33" i="75"/>
  <c r="AH33" i="75"/>
  <c r="AE33" i="75"/>
  <c r="AJ32" i="75"/>
  <c r="AI32" i="75"/>
  <c r="AE32" i="75"/>
  <c r="AI31" i="75"/>
  <c r="AH31" i="75"/>
  <c r="AG31" i="75"/>
  <c r="AD31" i="75"/>
  <c r="AE31" i="75" s="1"/>
  <c r="AJ30" i="75"/>
  <c r="AI30" i="75"/>
  <c r="P30" i="75"/>
  <c r="AJ29" i="75"/>
  <c r="AI29" i="75"/>
  <c r="AK29" i="75" s="1"/>
  <c r="AJ28" i="75"/>
  <c r="AI28" i="75"/>
  <c r="AK28" i="75" s="1"/>
  <c r="AJ27" i="75"/>
  <c r="AI27" i="75"/>
  <c r="AK27" i="75" s="1"/>
  <c r="AI26" i="75"/>
  <c r="O26" i="75"/>
  <c r="P26" i="75" s="1"/>
  <c r="AJ25" i="75"/>
  <c r="AI25" i="75"/>
  <c r="AK25" i="75" s="1"/>
  <c r="AJ24" i="75"/>
  <c r="AI24" i="75"/>
  <c r="V24" i="75"/>
  <c r="G24" i="75"/>
  <c r="AK23" i="75"/>
  <c r="AJ23" i="75"/>
  <c r="AI23" i="75"/>
  <c r="AJ22" i="75"/>
  <c r="AI22" i="75"/>
  <c r="AK22" i="75" s="1"/>
  <c r="AI21" i="75"/>
  <c r="V21" i="75"/>
  <c r="U21" i="75"/>
  <c r="F21" i="75"/>
  <c r="AJ20" i="75"/>
  <c r="AI20" i="75"/>
  <c r="P20" i="75"/>
  <c r="AJ19" i="75"/>
  <c r="AI19" i="75"/>
  <c r="V19" i="75"/>
  <c r="M19" i="75"/>
  <c r="AJ18" i="75"/>
  <c r="AI18" i="75"/>
  <c r="AK18" i="75" s="1"/>
  <c r="V18" i="75"/>
  <c r="M18" i="75"/>
  <c r="AJ17" i="75"/>
  <c r="AI17" i="75"/>
  <c r="V17" i="75"/>
  <c r="M17" i="75"/>
  <c r="AI16" i="75"/>
  <c r="V16" i="75"/>
  <c r="U16" i="75"/>
  <c r="O16" i="75"/>
  <c r="P16" i="75" s="1"/>
  <c r="N16" i="75"/>
  <c r="L16" i="75"/>
  <c r="AJ15" i="75"/>
  <c r="AK15" i="75" s="1"/>
  <c r="AI15" i="75"/>
  <c r="P15" i="75"/>
  <c r="AI14" i="75"/>
  <c r="AG14" i="75"/>
  <c r="AH14" i="75" s="1"/>
  <c r="AE14" i="75"/>
  <c r="Y14" i="75"/>
  <c r="V14" i="75"/>
  <c r="S14" i="75"/>
  <c r="M14" i="75"/>
  <c r="J14" i="75"/>
  <c r="F14" i="75"/>
  <c r="F44" i="75" s="1"/>
  <c r="G44" i="75" s="1"/>
  <c r="C14" i="75"/>
  <c r="AJ13" i="75"/>
  <c r="AK13" i="75" s="1"/>
  <c r="AI13" i="75"/>
  <c r="AH13" i="75"/>
  <c r="AE13" i="75"/>
  <c r="AB13" i="75"/>
  <c r="Y13" i="75"/>
  <c r="V13" i="75"/>
  <c r="M13" i="75"/>
  <c r="J13" i="75"/>
  <c r="G13" i="75"/>
  <c r="D13" i="75"/>
  <c r="AJ12" i="75"/>
  <c r="AI12" i="75"/>
  <c r="AH12" i="75"/>
  <c r="AE12" i="75"/>
  <c r="Y12" i="75"/>
  <c r="V12" i="75"/>
  <c r="M12" i="75"/>
  <c r="G12" i="75"/>
  <c r="D12" i="75"/>
  <c r="AE11" i="75"/>
  <c r="AD11" i="75"/>
  <c r="AD40" i="75" s="1"/>
  <c r="AB11" i="75"/>
  <c r="AB40" i="75"/>
  <c r="Y11" i="75"/>
  <c r="X11" i="75"/>
  <c r="V11" i="75"/>
  <c r="U11" i="75"/>
  <c r="S11" i="75"/>
  <c r="R11" i="75"/>
  <c r="O11" i="75"/>
  <c r="O40" i="75" s="1"/>
  <c r="N11" i="75"/>
  <c r="L11" i="75"/>
  <c r="M11" i="75" s="1"/>
  <c r="I11" i="75"/>
  <c r="J11" i="75" s="1"/>
  <c r="C11" i="75"/>
  <c r="D11" i="75" s="1"/>
  <c r="AK61" i="74"/>
  <c r="AJ61" i="74"/>
  <c r="AG61" i="74"/>
  <c r="AH61" i="74" s="1"/>
  <c r="AE61" i="74"/>
  <c r="AA61" i="74"/>
  <c r="AB61" i="74" s="1"/>
  <c r="Y61" i="74"/>
  <c r="X61" i="74"/>
  <c r="U61" i="74"/>
  <c r="V61" i="74" s="1"/>
  <c r="R61" i="74"/>
  <c r="Q61" i="74"/>
  <c r="M61" i="74"/>
  <c r="L61" i="74"/>
  <c r="I61" i="74"/>
  <c r="J61" i="74" s="1"/>
  <c r="F61" i="74"/>
  <c r="AM61" i="74" s="1"/>
  <c r="AM47" i="75" s="1"/>
  <c r="C61" i="74"/>
  <c r="D61" i="74" s="1"/>
  <c r="AL60" i="74"/>
  <c r="AJ60" i="74"/>
  <c r="AG60" i="74"/>
  <c r="AH60" i="74" s="1"/>
  <c r="X60" i="74"/>
  <c r="Y60" i="74" s="1"/>
  <c r="F60" i="74"/>
  <c r="G60" i="74" s="1"/>
  <c r="AJ59" i="74"/>
  <c r="AK59" i="74" s="1"/>
  <c r="AG59" i="74"/>
  <c r="AA59" i="74"/>
  <c r="AB59" i="74" s="1"/>
  <c r="R59" i="74"/>
  <c r="Q59" i="74"/>
  <c r="G59" i="74"/>
  <c r="F59" i="74"/>
  <c r="AL58" i="74"/>
  <c r="AL44" i="75" s="1"/>
  <c r="AH58" i="74"/>
  <c r="AG58" i="74"/>
  <c r="AE58" i="74"/>
  <c r="X58" i="74"/>
  <c r="Y58" i="74" s="1"/>
  <c r="U58" i="74"/>
  <c r="V58" i="74" s="1"/>
  <c r="L58" i="74"/>
  <c r="M58" i="74" s="1"/>
  <c r="J58" i="74"/>
  <c r="I58" i="74"/>
  <c r="AL57" i="74"/>
  <c r="AJ57" i="74"/>
  <c r="AK57" i="74" s="1"/>
  <c r="AG57" i="74"/>
  <c r="AH57" i="74" s="1"/>
  <c r="R57" i="74"/>
  <c r="S57" i="74" s="1"/>
  <c r="O57" i="74"/>
  <c r="P57" i="74" s="1"/>
  <c r="J57" i="74"/>
  <c r="I57" i="74"/>
  <c r="F57" i="74"/>
  <c r="G57" i="74" s="1"/>
  <c r="D57" i="74"/>
  <c r="C57" i="74"/>
  <c r="AL56" i="74"/>
  <c r="AL42" i="75" s="1"/>
  <c r="AG56" i="74"/>
  <c r="AH56" i="74" s="1"/>
  <c r="X56" i="74"/>
  <c r="Y56" i="74" s="1"/>
  <c r="O56" i="74"/>
  <c r="P56" i="74" s="1"/>
  <c r="L56" i="74"/>
  <c r="M56" i="74" s="1"/>
  <c r="I56" i="74"/>
  <c r="J56" i="74" s="1"/>
  <c r="F56" i="74"/>
  <c r="G56" i="74" s="1"/>
  <c r="C56" i="74"/>
  <c r="AL55" i="74"/>
  <c r="AH55" i="74"/>
  <c r="AG55" i="74"/>
  <c r="Y55" i="74"/>
  <c r="X55" i="74"/>
  <c r="P55" i="74"/>
  <c r="O55" i="74"/>
  <c r="F55" i="74"/>
  <c r="G55" i="74" s="1"/>
  <c r="C55" i="74"/>
  <c r="D55" i="74" s="1"/>
  <c r="AM52" i="74"/>
  <c r="AL52" i="74"/>
  <c r="AK52" i="74"/>
  <c r="AH52" i="74"/>
  <c r="Y52" i="74"/>
  <c r="J52" i="74"/>
  <c r="G52" i="74"/>
  <c r="D52" i="74"/>
  <c r="AM51" i="74"/>
  <c r="AL51" i="74"/>
  <c r="AK51" i="74"/>
  <c r="AB51" i="74"/>
  <c r="S51" i="74"/>
  <c r="G51" i="74"/>
  <c r="AM50" i="74"/>
  <c r="AL50" i="74"/>
  <c r="AJ50" i="74"/>
  <c r="AK50" i="74" s="1"/>
  <c r="AH50" i="74"/>
  <c r="Y50" i="74"/>
  <c r="V50" i="74"/>
  <c r="G50" i="74"/>
  <c r="D50" i="74"/>
  <c r="AM49" i="74"/>
  <c r="AL49" i="74"/>
  <c r="Y49" i="74"/>
  <c r="G49" i="74"/>
  <c r="AG48" i="74"/>
  <c r="AA48" i="74"/>
  <c r="AB48" i="74" s="1"/>
  <c r="X48" i="74"/>
  <c r="Y48" i="74" s="1"/>
  <c r="U48" i="74"/>
  <c r="V48" i="74" s="1"/>
  <c r="R48" i="74"/>
  <c r="Q48" i="74"/>
  <c r="AL48" i="74" s="1"/>
  <c r="L48" i="74"/>
  <c r="G48" i="74"/>
  <c r="F48" i="74"/>
  <c r="C48" i="74"/>
  <c r="D48" i="74" s="1"/>
  <c r="AL47" i="74"/>
  <c r="AH47" i="74"/>
  <c r="Y47" i="74"/>
  <c r="I47" i="74"/>
  <c r="G47" i="74"/>
  <c r="AM46" i="74"/>
  <c r="AL46" i="74"/>
  <c r="AK46" i="74"/>
  <c r="AM45" i="74"/>
  <c r="AL45" i="74"/>
  <c r="AK45" i="74"/>
  <c r="AH45" i="74"/>
  <c r="AE45" i="74"/>
  <c r="V45" i="74"/>
  <c r="M45" i="74"/>
  <c r="J45" i="74"/>
  <c r="G45" i="74"/>
  <c r="D45" i="74"/>
  <c r="AM44" i="74"/>
  <c r="AL44" i="74"/>
  <c r="AK44" i="74"/>
  <c r="AH44" i="74"/>
  <c r="P44" i="74"/>
  <c r="J44" i="74"/>
  <c r="G44" i="74"/>
  <c r="D44" i="74"/>
  <c r="AM43" i="74"/>
  <c r="AL43" i="74"/>
  <c r="AK43" i="74"/>
  <c r="AH43" i="74"/>
  <c r="Y43" i="74"/>
  <c r="P43" i="74"/>
  <c r="M43" i="74"/>
  <c r="J43" i="74"/>
  <c r="G43" i="74"/>
  <c r="D43" i="74"/>
  <c r="AL42" i="74"/>
  <c r="AK42" i="74"/>
  <c r="AH42" i="74"/>
  <c r="Y42" i="74"/>
  <c r="P42" i="74"/>
  <c r="I42" i="74"/>
  <c r="I55" i="74" s="1"/>
  <c r="J55" i="74" s="1"/>
  <c r="G42" i="74"/>
  <c r="D42" i="74"/>
  <c r="AK41" i="74"/>
  <c r="AJ41" i="74"/>
  <c r="AG41" i="74"/>
  <c r="AH41" i="74" s="1"/>
  <c r="AE41" i="74"/>
  <c r="AA41" i="74"/>
  <c r="X41" i="74"/>
  <c r="U41" i="74"/>
  <c r="P41" i="74"/>
  <c r="O41" i="74"/>
  <c r="L41" i="74"/>
  <c r="M41" i="74" s="1"/>
  <c r="G41" i="74"/>
  <c r="F41" i="74"/>
  <c r="C41" i="74"/>
  <c r="D41" i="74" s="1"/>
  <c r="AM40" i="74"/>
  <c r="AN40" i="74" s="1"/>
  <c r="AL40" i="74"/>
  <c r="AK40" i="74"/>
  <c r="AH40" i="74"/>
  <c r="AE40" i="74"/>
  <c r="AB40" i="74"/>
  <c r="Y40" i="74"/>
  <c r="V40" i="74"/>
  <c r="S40" i="74"/>
  <c r="M40" i="74"/>
  <c r="G40" i="74"/>
  <c r="D40" i="74"/>
  <c r="AM39" i="74"/>
  <c r="AL39" i="74"/>
  <c r="AK39" i="74"/>
  <c r="AB39" i="74"/>
  <c r="S39" i="74"/>
  <c r="G39" i="74"/>
  <c r="AL38" i="74"/>
  <c r="AK38" i="74"/>
  <c r="AH38" i="74"/>
  <c r="AE38" i="74"/>
  <c r="Y38" i="74"/>
  <c r="V38" i="74"/>
  <c r="M38" i="74"/>
  <c r="J38" i="74"/>
  <c r="G38" i="74"/>
  <c r="D38" i="74"/>
  <c r="C38" i="74"/>
  <c r="AM37" i="74"/>
  <c r="AL37" i="74"/>
  <c r="AK37" i="74"/>
  <c r="AH37" i="74"/>
  <c r="Y37" i="74"/>
  <c r="J37" i="74"/>
  <c r="G37" i="74"/>
  <c r="AM36" i="74"/>
  <c r="AL36" i="74"/>
  <c r="AK36" i="74"/>
  <c r="AH36" i="74"/>
  <c r="Y36" i="74"/>
  <c r="G36" i="74"/>
  <c r="AJ35" i="74"/>
  <c r="AG35" i="74"/>
  <c r="AH35" i="74" s="1"/>
  <c r="AE35" i="74"/>
  <c r="AA35" i="74"/>
  <c r="AB35" i="74" s="1"/>
  <c r="X35" i="74"/>
  <c r="Y35" i="74" s="1"/>
  <c r="U35" i="74"/>
  <c r="V35" i="74" s="1"/>
  <c r="R35" i="74"/>
  <c r="Q35" i="74"/>
  <c r="M35" i="74"/>
  <c r="L35" i="74"/>
  <c r="I35" i="74"/>
  <c r="J35" i="74" s="1"/>
  <c r="G35" i="74"/>
  <c r="F35" i="74"/>
  <c r="C35" i="74"/>
  <c r="D35" i="74" s="1"/>
  <c r="AM34" i="74"/>
  <c r="AL34" i="74"/>
  <c r="Y34" i="74"/>
  <c r="AM33" i="74"/>
  <c r="AL33" i="74"/>
  <c r="AK33" i="74"/>
  <c r="S33" i="74"/>
  <c r="G33" i="74"/>
  <c r="AN32" i="74"/>
  <c r="AM32" i="74"/>
  <c r="AL32" i="74"/>
  <c r="AK32" i="74"/>
  <c r="AH32" i="74"/>
  <c r="Y32" i="74"/>
  <c r="M32" i="74"/>
  <c r="G32" i="74"/>
  <c r="AL31" i="74"/>
  <c r="AJ31" i="74"/>
  <c r="AK31" i="74" s="1"/>
  <c r="AH31" i="74"/>
  <c r="Y31" i="74"/>
  <c r="M31" i="74"/>
  <c r="J31" i="74"/>
  <c r="F31" i="74"/>
  <c r="AM31" i="74" s="1"/>
  <c r="AM30" i="74"/>
  <c r="AL30" i="74"/>
  <c r="AK30" i="74"/>
  <c r="AH30" i="74"/>
  <c r="S30" i="74"/>
  <c r="G30" i="74"/>
  <c r="AM29" i="74"/>
  <c r="AL29" i="74"/>
  <c r="AN29" i="74" s="1"/>
  <c r="AH29" i="74"/>
  <c r="Y29" i="74"/>
  <c r="M29" i="74"/>
  <c r="J29" i="74"/>
  <c r="G29" i="74"/>
  <c r="AM28" i="74"/>
  <c r="AL28" i="74"/>
  <c r="AK28" i="74"/>
  <c r="AH28" i="74"/>
  <c r="Y28" i="74"/>
  <c r="G28" i="74"/>
  <c r="AM27" i="74"/>
  <c r="AL27" i="74"/>
  <c r="AK27" i="74"/>
  <c r="AJ27" i="74"/>
  <c r="AH27" i="74"/>
  <c r="Y27" i="74"/>
  <c r="M27" i="74"/>
  <c r="J27" i="74"/>
  <c r="G27" i="74"/>
  <c r="AM26" i="74"/>
  <c r="AL26" i="74"/>
  <c r="AH26" i="74"/>
  <c r="Y26" i="74"/>
  <c r="G26" i="74"/>
  <c r="AM25" i="74"/>
  <c r="AN25" i="74" s="1"/>
  <c r="AL25" i="74"/>
  <c r="AK25" i="74"/>
  <c r="AH25" i="74"/>
  <c r="Y25" i="74"/>
  <c r="G25" i="74"/>
  <c r="AL24" i="74"/>
  <c r="AJ24" i="74"/>
  <c r="AH24" i="74"/>
  <c r="Y24" i="74"/>
  <c r="G24" i="74"/>
  <c r="D24" i="74"/>
  <c r="AH23" i="74"/>
  <c r="AG23" i="74"/>
  <c r="X23" i="74"/>
  <c r="Y23" i="74" s="1"/>
  <c r="R23" i="74"/>
  <c r="Q23" i="74"/>
  <c r="L23" i="74"/>
  <c r="I23" i="74"/>
  <c r="F23" i="74"/>
  <c r="G23" i="74" s="1"/>
  <c r="C23" i="74"/>
  <c r="AM22" i="74"/>
  <c r="AL22" i="74"/>
  <c r="AN22" i="74" s="1"/>
  <c r="Y22" i="74"/>
  <c r="AM21" i="74"/>
  <c r="AL21" i="74"/>
  <c r="AK21" i="74"/>
  <c r="AB21" i="74"/>
  <c r="S21" i="74"/>
  <c r="G21" i="74"/>
  <c r="AM20" i="74"/>
  <c r="AN20" i="74" s="1"/>
  <c r="AL20" i="74"/>
  <c r="AK20" i="74"/>
  <c r="AH20" i="74"/>
  <c r="AE20" i="74"/>
  <c r="Y20" i="74"/>
  <c r="V20" i="74"/>
  <c r="M20" i="74"/>
  <c r="G20" i="74"/>
  <c r="AL19" i="74"/>
  <c r="AJ19" i="74"/>
  <c r="AH19" i="74"/>
  <c r="AE19" i="74"/>
  <c r="Y19" i="74"/>
  <c r="V19" i="74"/>
  <c r="M19" i="74"/>
  <c r="J19" i="74"/>
  <c r="F19" i="74"/>
  <c r="F58" i="74" s="1"/>
  <c r="G58" i="74" s="1"/>
  <c r="AM18" i="74"/>
  <c r="AL18" i="74"/>
  <c r="AK18" i="74"/>
  <c r="AH18" i="74"/>
  <c r="S18" i="74"/>
  <c r="G18" i="74"/>
  <c r="AM17" i="74"/>
  <c r="AL17" i="74"/>
  <c r="AH17" i="74"/>
  <c r="Y17" i="74"/>
  <c r="M17" i="74"/>
  <c r="J17" i="74"/>
  <c r="G17" i="74"/>
  <c r="AM16" i="74"/>
  <c r="AL16" i="74"/>
  <c r="AN16" i="74" s="1"/>
  <c r="AK16" i="74"/>
  <c r="AH16" i="74"/>
  <c r="Y16" i="74"/>
  <c r="G16" i="74"/>
  <c r="AL15" i="74"/>
  <c r="AJ15" i="74"/>
  <c r="AM15" i="74" s="1"/>
  <c r="AH15" i="74"/>
  <c r="Y15" i="74"/>
  <c r="M15" i="74"/>
  <c r="J15" i="74"/>
  <c r="G15" i="74"/>
  <c r="AM14" i="74"/>
  <c r="AL14" i="74"/>
  <c r="AH14" i="74"/>
  <c r="Y14" i="74"/>
  <c r="G14" i="74"/>
  <c r="AM13" i="74"/>
  <c r="AL13" i="74"/>
  <c r="AN13" i="74" s="1"/>
  <c r="AK13" i="74"/>
  <c r="AH13" i="74"/>
  <c r="Y13" i="74"/>
  <c r="G13" i="74"/>
  <c r="AL12" i="74"/>
  <c r="AJ12" i="74"/>
  <c r="AH12" i="74"/>
  <c r="Y12" i="74"/>
  <c r="G12" i="74"/>
  <c r="D12" i="74"/>
  <c r="AG11" i="74"/>
  <c r="AH11" i="74" s="1"/>
  <c r="AA11" i="74"/>
  <c r="AA54" i="74" s="1"/>
  <c r="AB54" i="74" s="1"/>
  <c r="X11" i="74"/>
  <c r="Y11" i="74" s="1"/>
  <c r="U11" i="74"/>
  <c r="V11" i="74" s="1"/>
  <c r="R11" i="74"/>
  <c r="Q11" i="74"/>
  <c r="AL11" i="74" s="1"/>
  <c r="L11" i="74"/>
  <c r="M11" i="74" s="1"/>
  <c r="I11" i="74"/>
  <c r="C11" i="74"/>
  <c r="AM48" i="72"/>
  <c r="AL48" i="72"/>
  <c r="AI48" i="72"/>
  <c r="AG48" i="72"/>
  <c r="AF48" i="72"/>
  <c r="AD48" i="72"/>
  <c r="AC48" i="72"/>
  <c r="AA48" i="72"/>
  <c r="Z48" i="72"/>
  <c r="X48" i="72"/>
  <c r="W48" i="72"/>
  <c r="U48" i="72"/>
  <c r="T48" i="72"/>
  <c r="R48" i="72"/>
  <c r="Q48" i="72"/>
  <c r="O48" i="72"/>
  <c r="N48" i="72"/>
  <c r="K48" i="72"/>
  <c r="I48" i="72"/>
  <c r="H48" i="72"/>
  <c r="E48" i="72"/>
  <c r="B48" i="72"/>
  <c r="AM47" i="72"/>
  <c r="AL47" i="72"/>
  <c r="AI47" i="72"/>
  <c r="AG47" i="72"/>
  <c r="AF47" i="72"/>
  <c r="AD47" i="72"/>
  <c r="AC47" i="72"/>
  <c r="AE47" i="72" s="1"/>
  <c r="AA47" i="72"/>
  <c r="Z47" i="72"/>
  <c r="X47" i="72"/>
  <c r="W47" i="72"/>
  <c r="U47" i="72"/>
  <c r="T47" i="72"/>
  <c r="R47" i="72"/>
  <c r="Q47" i="72"/>
  <c r="O47" i="72"/>
  <c r="N47" i="72"/>
  <c r="L47" i="72"/>
  <c r="K47" i="72"/>
  <c r="I47" i="72"/>
  <c r="H47" i="72"/>
  <c r="J47" i="72" s="1"/>
  <c r="E47" i="72"/>
  <c r="C47" i="72"/>
  <c r="B47" i="72"/>
  <c r="AL46" i="72"/>
  <c r="AI46" i="72"/>
  <c r="AF46" i="72"/>
  <c r="AC46" i="72"/>
  <c r="Z46" i="72"/>
  <c r="W46" i="72"/>
  <c r="T46" i="72"/>
  <c r="Q46" i="72"/>
  <c r="N46" i="72"/>
  <c r="K46" i="72"/>
  <c r="H46" i="72"/>
  <c r="B46" i="72"/>
  <c r="AM45" i="72"/>
  <c r="AL45" i="72"/>
  <c r="AI45" i="72"/>
  <c r="AG45" i="72"/>
  <c r="AF45" i="72"/>
  <c r="AD45" i="72"/>
  <c r="AC45" i="72"/>
  <c r="AE45" i="72" s="1"/>
  <c r="AA45" i="72"/>
  <c r="Z45" i="72"/>
  <c r="X45" i="72"/>
  <c r="W45" i="72"/>
  <c r="U45" i="72"/>
  <c r="T45" i="72"/>
  <c r="R45" i="72"/>
  <c r="Q45" i="72"/>
  <c r="S45" i="72" s="1"/>
  <c r="O45" i="72"/>
  <c r="N45" i="72"/>
  <c r="L45" i="72"/>
  <c r="K45" i="72"/>
  <c r="M45" i="72" s="1"/>
  <c r="I45" i="72"/>
  <c r="H45" i="72"/>
  <c r="F45" i="72"/>
  <c r="E45" i="72"/>
  <c r="G45" i="72" s="1"/>
  <c r="C45" i="72"/>
  <c r="B45" i="72"/>
  <c r="AM44" i="72"/>
  <c r="AL44" i="72"/>
  <c r="AJ44" i="72"/>
  <c r="AI44" i="72"/>
  <c r="AK44" i="72" s="1"/>
  <c r="AG44" i="72"/>
  <c r="AF44" i="72"/>
  <c r="AH44" i="72" s="1"/>
  <c r="AD44" i="72"/>
  <c r="AC44" i="72"/>
  <c r="AE44" i="72" s="1"/>
  <c r="AA44" i="72"/>
  <c r="Z44" i="72"/>
  <c r="X44" i="72"/>
  <c r="W44" i="72"/>
  <c r="U44" i="72"/>
  <c r="T44" i="72"/>
  <c r="V44" i="72" s="1"/>
  <c r="R44" i="72"/>
  <c r="Q44" i="72"/>
  <c r="O44" i="72"/>
  <c r="N44" i="72"/>
  <c r="P44" i="72" s="1"/>
  <c r="L44" i="72"/>
  <c r="K44" i="72"/>
  <c r="M44" i="72" s="1"/>
  <c r="I44" i="72"/>
  <c r="H44" i="72"/>
  <c r="J44" i="72" s="1"/>
  <c r="F44" i="72"/>
  <c r="E44" i="72"/>
  <c r="G44" i="72" s="1"/>
  <c r="C44" i="72"/>
  <c r="B44" i="72"/>
  <c r="AM43" i="72"/>
  <c r="AL43" i="72"/>
  <c r="AI43" i="72"/>
  <c r="AG43" i="72"/>
  <c r="AF43" i="72"/>
  <c r="AD43" i="72"/>
  <c r="AC43" i="72"/>
  <c r="AE43" i="72" s="1"/>
  <c r="AA43" i="72"/>
  <c r="Z43" i="72"/>
  <c r="X43" i="72"/>
  <c r="W43" i="72"/>
  <c r="U43" i="72"/>
  <c r="T43" i="72"/>
  <c r="R43" i="72"/>
  <c r="Q43" i="72"/>
  <c r="O43" i="72"/>
  <c r="N43" i="72"/>
  <c r="K43" i="72"/>
  <c r="I43" i="72"/>
  <c r="H43" i="72"/>
  <c r="E43" i="72"/>
  <c r="B43" i="72"/>
  <c r="AM42" i="72"/>
  <c r="AL42" i="72"/>
  <c r="AN42" i="72" s="1"/>
  <c r="AI42" i="72"/>
  <c r="AG42" i="72"/>
  <c r="AF42" i="72"/>
  <c r="AH42" i="72" s="1"/>
  <c r="AD42" i="72"/>
  <c r="AC42" i="72"/>
  <c r="AE42" i="72" s="1"/>
  <c r="AA42" i="72"/>
  <c r="Z42" i="72"/>
  <c r="X42" i="72"/>
  <c r="W42" i="72"/>
  <c r="U42" i="72"/>
  <c r="T42" i="72"/>
  <c r="V42" i="72" s="1"/>
  <c r="R42" i="72"/>
  <c r="Q42" i="72"/>
  <c r="O42" i="72"/>
  <c r="N42" i="72"/>
  <c r="P42" i="72" s="1"/>
  <c r="L42" i="72"/>
  <c r="K42" i="72"/>
  <c r="M42" i="72" s="1"/>
  <c r="I42" i="72"/>
  <c r="H42" i="72"/>
  <c r="J42" i="72" s="1"/>
  <c r="F42" i="72"/>
  <c r="E42" i="72"/>
  <c r="C42" i="72"/>
  <c r="B42" i="72"/>
  <c r="AM41" i="72"/>
  <c r="AL41" i="72"/>
  <c r="AJ41" i="72"/>
  <c r="AI41" i="72"/>
  <c r="AK41" i="72" s="1"/>
  <c r="AG41" i="72"/>
  <c r="AF41" i="72"/>
  <c r="AD41" i="72"/>
  <c r="AC41" i="72"/>
  <c r="AE41" i="72" s="1"/>
  <c r="AA41" i="72"/>
  <c r="Z41" i="72"/>
  <c r="X41" i="72"/>
  <c r="W41" i="72"/>
  <c r="U41" i="72"/>
  <c r="T41" i="72"/>
  <c r="R41" i="72"/>
  <c r="Q41" i="72"/>
  <c r="S41" i="72" s="1"/>
  <c r="O41" i="72"/>
  <c r="N41" i="72"/>
  <c r="L41" i="72"/>
  <c r="K41" i="72"/>
  <c r="M41" i="72" s="1"/>
  <c r="I41" i="72"/>
  <c r="H41" i="72"/>
  <c r="F41" i="72"/>
  <c r="E41" i="72"/>
  <c r="C41" i="72"/>
  <c r="B41" i="72"/>
  <c r="AM40" i="72"/>
  <c r="AL40" i="72"/>
  <c r="AI40" i="72"/>
  <c r="AG40" i="72"/>
  <c r="AF40" i="72"/>
  <c r="AD40" i="72"/>
  <c r="AC40" i="72"/>
  <c r="AA40" i="72"/>
  <c r="Z40" i="72"/>
  <c r="X40" i="72"/>
  <c r="W40" i="72"/>
  <c r="U40" i="72"/>
  <c r="T40" i="72"/>
  <c r="R40" i="72"/>
  <c r="Q40" i="72"/>
  <c r="O40" i="72"/>
  <c r="N40" i="72"/>
  <c r="K40" i="72"/>
  <c r="I40" i="72"/>
  <c r="H40" i="72"/>
  <c r="E40" i="72"/>
  <c r="B40" i="72"/>
  <c r="AM39" i="72"/>
  <c r="AL39" i="72"/>
  <c r="AJ39" i="72"/>
  <c r="AI39" i="72"/>
  <c r="AK39" i="72" s="1"/>
  <c r="AG39" i="72"/>
  <c r="AF39" i="72"/>
  <c r="AH39" i="72" s="1"/>
  <c r="AD39" i="72"/>
  <c r="AC39" i="72"/>
  <c r="AE39" i="72" s="1"/>
  <c r="AA39" i="72"/>
  <c r="Z39" i="72"/>
  <c r="X39" i="72"/>
  <c r="W39" i="72"/>
  <c r="Y39" i="72" s="1"/>
  <c r="U39" i="72"/>
  <c r="T39" i="72"/>
  <c r="R39" i="72"/>
  <c r="Q39" i="72"/>
  <c r="O39" i="72"/>
  <c r="N39" i="72"/>
  <c r="P39" i="72" s="1"/>
  <c r="L39" i="72"/>
  <c r="K39" i="72"/>
  <c r="M39" i="72" s="1"/>
  <c r="I39" i="72"/>
  <c r="H39" i="72"/>
  <c r="J39" i="72" s="1"/>
  <c r="F39" i="72"/>
  <c r="E39" i="72"/>
  <c r="C39" i="72"/>
  <c r="B39" i="72"/>
  <c r="D39" i="72" s="1"/>
  <c r="AM38" i="72"/>
  <c r="AL38" i="72"/>
  <c r="AN38" i="72" s="1"/>
  <c r="AI38" i="72"/>
  <c r="AG38" i="72"/>
  <c r="AF38" i="72"/>
  <c r="AD38" i="72"/>
  <c r="AC38" i="72"/>
  <c r="AE38" i="72" s="1"/>
  <c r="Z38" i="72"/>
  <c r="X38" i="72"/>
  <c r="W38" i="72"/>
  <c r="Y38" i="72" s="1"/>
  <c r="U38" i="72"/>
  <c r="T38" i="72"/>
  <c r="R38" i="72"/>
  <c r="Q38" i="72"/>
  <c r="S38" i="72" s="1"/>
  <c r="O38" i="72"/>
  <c r="N38" i="72"/>
  <c r="P38" i="72" s="1"/>
  <c r="L38" i="72"/>
  <c r="K38" i="72"/>
  <c r="M38" i="72" s="1"/>
  <c r="I38" i="72"/>
  <c r="H38" i="72"/>
  <c r="E38" i="72"/>
  <c r="C38" i="72"/>
  <c r="B38" i="72"/>
  <c r="AR34" i="72"/>
  <c r="AO34" i="72"/>
  <c r="AN34" i="72"/>
  <c r="AK34" i="72"/>
  <c r="Y34" i="72"/>
  <c r="J34" i="72"/>
  <c r="G34" i="72"/>
  <c r="C34" i="72"/>
  <c r="AP34" i="72" s="1"/>
  <c r="AS33" i="72"/>
  <c r="AR33" i="72"/>
  <c r="AT33" i="72" s="1"/>
  <c r="AP33" i="72"/>
  <c r="AO33" i="72"/>
  <c r="AQ33" i="72" s="1"/>
  <c r="AR32" i="72"/>
  <c r="AO32" i="72"/>
  <c r="AM32" i="72"/>
  <c r="AJ32" i="72"/>
  <c r="Y32" i="72"/>
  <c r="I32" i="72"/>
  <c r="F32" i="72"/>
  <c r="AS31" i="72"/>
  <c r="AR31" i="72"/>
  <c r="AP31" i="72"/>
  <c r="AO31" i="72"/>
  <c r="AQ31" i="72" s="1"/>
  <c r="Y31" i="72"/>
  <c r="J31" i="72"/>
  <c r="AS30" i="72"/>
  <c r="AR30" i="72"/>
  <c r="AT30" i="72" s="1"/>
  <c r="AP30" i="72"/>
  <c r="AO30" i="72"/>
  <c r="AQ30" i="72" s="1"/>
  <c r="AR29" i="72"/>
  <c r="AO29" i="72"/>
  <c r="AN29" i="72"/>
  <c r="AK29" i="72"/>
  <c r="Y29" i="72"/>
  <c r="J29" i="72"/>
  <c r="G29" i="72"/>
  <c r="C29" i="72"/>
  <c r="AP29" i="72" s="1"/>
  <c r="AQ29" i="72" s="1"/>
  <c r="AS28" i="72"/>
  <c r="AR28" i="72"/>
  <c r="AT28" i="72" s="1"/>
  <c r="AQ28" i="72"/>
  <c r="AP28" i="72"/>
  <c r="AO28" i="72"/>
  <c r="AS27" i="72"/>
  <c r="AR27" i="72"/>
  <c r="AT27" i="72" s="1"/>
  <c r="AP27" i="72"/>
  <c r="AO27" i="72"/>
  <c r="AQ27" i="72" s="1"/>
  <c r="AS26" i="72"/>
  <c r="AR26" i="72"/>
  <c r="AT26" i="72" s="1"/>
  <c r="AP26" i="72"/>
  <c r="AO26" i="72"/>
  <c r="AQ26" i="72" s="1"/>
  <c r="AN26" i="72"/>
  <c r="AK26" i="72"/>
  <c r="Y26" i="72"/>
  <c r="J26" i="72"/>
  <c r="G26" i="72"/>
  <c r="D26" i="72"/>
  <c r="AS25" i="72"/>
  <c r="AR25" i="72"/>
  <c r="AT25" i="72" s="1"/>
  <c r="AQ25" i="72"/>
  <c r="AP25" i="72"/>
  <c r="AO25" i="72"/>
  <c r="AS24" i="72"/>
  <c r="AR24" i="72"/>
  <c r="AP24" i="72"/>
  <c r="AO24" i="72"/>
  <c r="AQ24" i="72" s="1"/>
  <c r="AN24" i="72"/>
  <c r="AK24" i="72"/>
  <c r="Y24" i="72"/>
  <c r="J24" i="72"/>
  <c r="G24" i="72"/>
  <c r="AS22" i="72"/>
  <c r="AR22" i="72"/>
  <c r="AP22" i="72"/>
  <c r="AO22" i="72"/>
  <c r="AQ22" i="72" s="1"/>
  <c r="AN22" i="72"/>
  <c r="AK22" i="72"/>
  <c r="S22" i="72"/>
  <c r="P22" i="72"/>
  <c r="J22" i="72"/>
  <c r="G22" i="72"/>
  <c r="D22" i="72"/>
  <c r="AT21" i="72"/>
  <c r="AS21" i="72"/>
  <c r="AR21" i="72"/>
  <c r="AP21" i="72"/>
  <c r="AO21" i="72"/>
  <c r="AK21" i="72"/>
  <c r="G21" i="72"/>
  <c r="AR20" i="72"/>
  <c r="AO20" i="72"/>
  <c r="AM20" i="72"/>
  <c r="AN20" i="72" s="1"/>
  <c r="AJ20" i="72"/>
  <c r="AK20" i="72" s="1"/>
  <c r="R20" i="72"/>
  <c r="S20" i="72" s="1"/>
  <c r="O20" i="72"/>
  <c r="P20" i="72" s="1"/>
  <c r="I20" i="72"/>
  <c r="F20" i="72"/>
  <c r="C20" i="72"/>
  <c r="AS19" i="72"/>
  <c r="AR19" i="72"/>
  <c r="AT19" i="72" s="1"/>
  <c r="AP19" i="72"/>
  <c r="AQ19" i="72" s="1"/>
  <c r="AO19" i="72"/>
  <c r="J19" i="72"/>
  <c r="AT18" i="72"/>
  <c r="AS18" i="72"/>
  <c r="AR18" i="72"/>
  <c r="AP18" i="72"/>
  <c r="AO18" i="72"/>
  <c r="AQ18" i="72" s="1"/>
  <c r="AR17" i="72"/>
  <c r="AO17" i="72"/>
  <c r="AN17" i="72"/>
  <c r="AK17" i="72"/>
  <c r="S17" i="72"/>
  <c r="P17" i="72"/>
  <c r="J17" i="72"/>
  <c r="G17" i="72"/>
  <c r="C17" i="72"/>
  <c r="AS17" i="72" s="1"/>
  <c r="AT16" i="72"/>
  <c r="AS16" i="72"/>
  <c r="AR16" i="72"/>
  <c r="AQ16" i="72"/>
  <c r="AP16" i="72"/>
  <c r="AO16" i="72"/>
  <c r="AS15" i="72"/>
  <c r="AR15" i="72"/>
  <c r="AT15" i="72" s="1"/>
  <c r="AP15" i="72"/>
  <c r="AO15" i="72"/>
  <c r="AQ15" i="72" s="1"/>
  <c r="AS14" i="72"/>
  <c r="AR14" i="72"/>
  <c r="AT14" i="72" s="1"/>
  <c r="AP14" i="72"/>
  <c r="AO14" i="72"/>
  <c r="AN14" i="72"/>
  <c r="AK14" i="72"/>
  <c r="S14" i="72"/>
  <c r="P14" i="72"/>
  <c r="J14" i="72"/>
  <c r="G14" i="72"/>
  <c r="D14" i="72"/>
  <c r="AS13" i="72"/>
  <c r="AR13" i="72"/>
  <c r="AT13" i="72" s="1"/>
  <c r="AQ13" i="72"/>
  <c r="AP13" i="72"/>
  <c r="AO13" i="72"/>
  <c r="AS12" i="72"/>
  <c r="AR12" i="72"/>
  <c r="AP12" i="72"/>
  <c r="AO12" i="72"/>
  <c r="AN12" i="72"/>
  <c r="AK12" i="72"/>
  <c r="J12" i="72"/>
  <c r="G12" i="72"/>
  <c r="AS144" i="71"/>
  <c r="AR144" i="71"/>
  <c r="AT144" i="71" s="1"/>
  <c r="AQ144" i="71"/>
  <c r="AP144" i="71"/>
  <c r="AO144" i="71"/>
  <c r="S144" i="71"/>
  <c r="AS143" i="71"/>
  <c r="AR143" i="71"/>
  <c r="AP143" i="71"/>
  <c r="AO143" i="71"/>
  <c r="AQ143" i="71" s="1"/>
  <c r="S143" i="71"/>
  <c r="AR142" i="71"/>
  <c r="AO142" i="71"/>
  <c r="R142" i="71"/>
  <c r="AS141" i="71"/>
  <c r="AR141" i="71"/>
  <c r="AT141" i="71" s="1"/>
  <c r="AP141" i="71"/>
  <c r="AO141" i="71"/>
  <c r="AQ141" i="71" s="1"/>
  <c r="AS140" i="71"/>
  <c r="AR140" i="71"/>
  <c r="AP140" i="71"/>
  <c r="AO140" i="71"/>
  <c r="AQ140" i="71" s="1"/>
  <c r="AS139" i="71"/>
  <c r="AR139" i="71"/>
  <c r="AP139" i="71"/>
  <c r="AO139" i="71"/>
  <c r="S139" i="71"/>
  <c r="AS138" i="71"/>
  <c r="AR138" i="71"/>
  <c r="AP138" i="71"/>
  <c r="AQ138" i="71" s="1"/>
  <c r="AO138" i="71"/>
  <c r="S138" i="71"/>
  <c r="AS137" i="71"/>
  <c r="AR137" i="71"/>
  <c r="AT137" i="71" s="1"/>
  <c r="AP137" i="71"/>
  <c r="AO137" i="71"/>
  <c r="AQ137" i="71" s="1"/>
  <c r="AS136" i="71"/>
  <c r="AR136" i="71"/>
  <c r="AP136" i="71"/>
  <c r="AO136" i="71"/>
  <c r="AQ136" i="71" s="1"/>
  <c r="S136" i="71"/>
  <c r="AS135" i="71"/>
  <c r="AR135" i="71"/>
  <c r="AP135" i="71"/>
  <c r="AO135" i="71"/>
  <c r="AS134" i="71"/>
  <c r="AR134" i="71"/>
  <c r="AP134" i="71"/>
  <c r="AO134" i="71"/>
  <c r="S134" i="71"/>
  <c r="AS132" i="71"/>
  <c r="AR132" i="71"/>
  <c r="AP132" i="71"/>
  <c r="AO132" i="71"/>
  <c r="AN132" i="71"/>
  <c r="AB132" i="71"/>
  <c r="S132" i="71"/>
  <c r="G132" i="71"/>
  <c r="AS131" i="71"/>
  <c r="AR131" i="71"/>
  <c r="AT131" i="71" s="1"/>
  <c r="AP131" i="71"/>
  <c r="AO131" i="71"/>
  <c r="AQ131" i="71" s="1"/>
  <c r="AN131" i="71"/>
  <c r="AB131" i="71"/>
  <c r="S131" i="71"/>
  <c r="G131" i="71"/>
  <c r="AM130" i="71"/>
  <c r="R130" i="71"/>
  <c r="F130" i="71"/>
  <c r="E130" i="71"/>
  <c r="AO130" i="71" s="1"/>
  <c r="AS129" i="71"/>
  <c r="AR129" i="71"/>
  <c r="AT129" i="71" s="1"/>
  <c r="AP129" i="71"/>
  <c r="AO129" i="71"/>
  <c r="AQ129" i="71" s="1"/>
  <c r="AN129" i="71"/>
  <c r="AS128" i="71"/>
  <c r="AR128" i="71"/>
  <c r="AT128" i="71" s="1"/>
  <c r="AP128" i="71"/>
  <c r="AO128" i="71"/>
  <c r="AN128" i="71"/>
  <c r="AB128" i="71"/>
  <c r="S128" i="71"/>
  <c r="AS127" i="71"/>
  <c r="AR127" i="71"/>
  <c r="AT127" i="71" s="1"/>
  <c r="AP127" i="71"/>
  <c r="AO127" i="71"/>
  <c r="AN127" i="71"/>
  <c r="AB127" i="71"/>
  <c r="S127" i="71"/>
  <c r="G127" i="71"/>
  <c r="AS126" i="71"/>
  <c r="AR126" i="71"/>
  <c r="AP126" i="71"/>
  <c r="AO126" i="71"/>
  <c r="AQ126" i="71" s="1"/>
  <c r="AN126" i="71"/>
  <c r="S126" i="71"/>
  <c r="G126" i="71"/>
  <c r="AS125" i="71"/>
  <c r="AR125" i="71"/>
  <c r="AP125" i="71"/>
  <c r="AO125" i="71"/>
  <c r="AN125" i="71"/>
  <c r="G125" i="71"/>
  <c r="AS124" i="71"/>
  <c r="AR124" i="71"/>
  <c r="AT124" i="71" s="1"/>
  <c r="AP124" i="71"/>
  <c r="AQ124" i="71" s="1"/>
  <c r="AO124" i="71"/>
  <c r="AN124" i="71"/>
  <c r="S124" i="71"/>
  <c r="G124" i="71"/>
  <c r="AS123" i="71"/>
  <c r="AR123" i="71"/>
  <c r="AT123" i="71" s="1"/>
  <c r="AQ123" i="71"/>
  <c r="AP123" i="71"/>
  <c r="AO123" i="71"/>
  <c r="AN123" i="71"/>
  <c r="AB123" i="71"/>
  <c r="S123" i="71"/>
  <c r="AR122" i="71"/>
  <c r="AP122" i="71"/>
  <c r="AO122" i="71"/>
  <c r="AN122" i="71"/>
  <c r="AA122" i="71"/>
  <c r="AA38" i="72" s="1"/>
  <c r="S122" i="71"/>
  <c r="G122" i="71"/>
  <c r="AS118" i="71"/>
  <c r="AR118" i="71"/>
  <c r="AT118" i="71" s="1"/>
  <c r="AP118" i="71"/>
  <c r="AO118" i="71"/>
  <c r="AQ118" i="71" s="1"/>
  <c r="AN118" i="71"/>
  <c r="AS117" i="71"/>
  <c r="AR117" i="71"/>
  <c r="AT117" i="71" s="1"/>
  <c r="AP117" i="71"/>
  <c r="AO117" i="71"/>
  <c r="AQ117" i="71" s="1"/>
  <c r="AN117" i="71"/>
  <c r="AK117" i="71"/>
  <c r="AR116" i="71"/>
  <c r="AO116" i="71"/>
  <c r="AN116" i="71"/>
  <c r="AM116" i="71"/>
  <c r="AK116" i="71"/>
  <c r="AP116" i="71"/>
  <c r="AS115" i="71"/>
  <c r="AR115" i="71"/>
  <c r="AT115" i="71" s="1"/>
  <c r="AP115" i="71"/>
  <c r="AO115" i="71"/>
  <c r="AQ115" i="71" s="1"/>
  <c r="AS114" i="71"/>
  <c r="AR114" i="71"/>
  <c r="AT114" i="71" s="1"/>
  <c r="AP114" i="71"/>
  <c r="AO114" i="71"/>
  <c r="AQ114" i="71" s="1"/>
  <c r="AS113" i="71"/>
  <c r="AR113" i="71"/>
  <c r="AT113" i="71" s="1"/>
  <c r="AP113" i="71"/>
  <c r="AO113" i="71"/>
  <c r="AQ113" i="71" s="1"/>
  <c r="AS112" i="71"/>
  <c r="AR112" i="71"/>
  <c r="AT112" i="71" s="1"/>
  <c r="AP112" i="71"/>
  <c r="AO112" i="71"/>
  <c r="AQ112" i="71" s="1"/>
  <c r="AS111" i="71"/>
  <c r="AR111" i="71"/>
  <c r="AT111" i="71" s="1"/>
  <c r="AP111" i="71"/>
  <c r="AO111" i="71"/>
  <c r="AQ111" i="71" s="1"/>
  <c r="AS110" i="71"/>
  <c r="AR110" i="71"/>
  <c r="AT110" i="71" s="1"/>
  <c r="AP110" i="71"/>
  <c r="AO110" i="71"/>
  <c r="AQ110" i="71" s="1"/>
  <c r="AN110" i="71"/>
  <c r="AS109" i="71"/>
  <c r="AR109" i="71"/>
  <c r="AT109" i="71" s="1"/>
  <c r="AP109" i="71"/>
  <c r="AO109" i="71"/>
  <c r="AQ109" i="71" s="1"/>
  <c r="AS108" i="71"/>
  <c r="AR108" i="71"/>
  <c r="AT108" i="71" s="1"/>
  <c r="AP108" i="71"/>
  <c r="AO108" i="71"/>
  <c r="AQ108" i="71" s="1"/>
  <c r="AN108" i="71"/>
  <c r="AK108" i="71"/>
  <c r="AR106" i="71"/>
  <c r="AO106" i="71"/>
  <c r="AN106" i="71"/>
  <c r="AJ106" i="71"/>
  <c r="AP106" i="71" s="1"/>
  <c r="Y106" i="71"/>
  <c r="G106" i="71"/>
  <c r="AR105" i="71"/>
  <c r="AO105" i="71"/>
  <c r="AK105" i="71"/>
  <c r="AJ105" i="71"/>
  <c r="G105" i="71"/>
  <c r="AM104" i="71"/>
  <c r="AN104" i="71" s="1"/>
  <c r="X104" i="71"/>
  <c r="U104" i="71"/>
  <c r="F104" i="71"/>
  <c r="E104" i="71"/>
  <c r="AS103" i="71"/>
  <c r="AR103" i="71"/>
  <c r="AT103" i="71" s="1"/>
  <c r="AP103" i="71"/>
  <c r="AO103" i="71"/>
  <c r="AQ103" i="71" s="1"/>
  <c r="AT102" i="71"/>
  <c r="AS102" i="71"/>
  <c r="AR102" i="71"/>
  <c r="AP102" i="71"/>
  <c r="AO102" i="71"/>
  <c r="AQ102" i="71" s="1"/>
  <c r="AR101" i="71"/>
  <c r="AO101" i="71"/>
  <c r="AN101" i="71"/>
  <c r="AJ101" i="71"/>
  <c r="Y101" i="71"/>
  <c r="G101" i="71"/>
  <c r="C101" i="71"/>
  <c r="C104" i="71" s="1"/>
  <c r="AS100" i="71"/>
  <c r="AR100" i="71"/>
  <c r="AP100" i="71"/>
  <c r="AO100" i="71"/>
  <c r="G100" i="71"/>
  <c r="AS99" i="71"/>
  <c r="AR99" i="71"/>
  <c r="AP99" i="71"/>
  <c r="AO99" i="71"/>
  <c r="AN99" i="71"/>
  <c r="G99" i="71"/>
  <c r="AR98" i="71"/>
  <c r="AO98" i="71"/>
  <c r="AN98" i="71"/>
  <c r="AJ98" i="71"/>
  <c r="AP98" i="71" s="1"/>
  <c r="Y98" i="71"/>
  <c r="G98" i="71"/>
  <c r="AS97" i="71"/>
  <c r="AR97" i="71"/>
  <c r="AP97" i="71"/>
  <c r="AQ97" i="71" s="1"/>
  <c r="AO97" i="71"/>
  <c r="AS96" i="71"/>
  <c r="AT96" i="71" s="1"/>
  <c r="AR96" i="71"/>
  <c r="AO96" i="71"/>
  <c r="AN96" i="71"/>
  <c r="AK96" i="71"/>
  <c r="AJ96" i="71"/>
  <c r="Y96" i="71"/>
  <c r="G96" i="71"/>
  <c r="AS94" i="71"/>
  <c r="AR94" i="71"/>
  <c r="AP94" i="71"/>
  <c r="AO94" i="71"/>
  <c r="AN94" i="71"/>
  <c r="AK94" i="71"/>
  <c r="AH94" i="71"/>
  <c r="Y94" i="71"/>
  <c r="M94" i="71"/>
  <c r="G94" i="71"/>
  <c r="AR93" i="71"/>
  <c r="AO93" i="71"/>
  <c r="AK93" i="71"/>
  <c r="AH93" i="71"/>
  <c r="M93" i="71"/>
  <c r="F93" i="71"/>
  <c r="AR92" i="71"/>
  <c r="AO92" i="71"/>
  <c r="AM92" i="71"/>
  <c r="X92" i="71"/>
  <c r="U92" i="71"/>
  <c r="L92" i="71"/>
  <c r="M92" i="71" s="1"/>
  <c r="F92" i="71"/>
  <c r="AR91" i="71"/>
  <c r="AO91" i="71"/>
  <c r="AN91" i="71"/>
  <c r="AJ91" i="71"/>
  <c r="AJ45" i="72" s="1"/>
  <c r="Y91" i="71"/>
  <c r="AS90" i="71"/>
  <c r="AR90" i="71"/>
  <c r="AP90" i="71"/>
  <c r="AO90" i="71"/>
  <c r="AN90" i="71"/>
  <c r="Y90" i="71"/>
  <c r="AS89" i="71"/>
  <c r="AR89" i="71"/>
  <c r="AP89" i="71"/>
  <c r="AO89" i="71"/>
  <c r="AQ89" i="71" s="1"/>
  <c r="AN89" i="71"/>
  <c r="AK89" i="71"/>
  <c r="AH89" i="71"/>
  <c r="Y89" i="71"/>
  <c r="M89" i="71"/>
  <c r="G89" i="71"/>
  <c r="AS88" i="71"/>
  <c r="AR88" i="71"/>
  <c r="AT88" i="71" s="1"/>
  <c r="AP88" i="71"/>
  <c r="AO88" i="71"/>
  <c r="AQ88" i="71" s="1"/>
  <c r="AS87" i="71"/>
  <c r="AR87" i="71"/>
  <c r="AT87" i="71" s="1"/>
  <c r="AP87" i="71"/>
  <c r="AO87" i="71"/>
  <c r="AQ87" i="71" s="1"/>
  <c r="AS86" i="71"/>
  <c r="AR86" i="71"/>
  <c r="AP86" i="71"/>
  <c r="AO86" i="71"/>
  <c r="AN86" i="71"/>
  <c r="AK86" i="71"/>
  <c r="AH86" i="71"/>
  <c r="Y86" i="71"/>
  <c r="M86" i="71"/>
  <c r="G86" i="71"/>
  <c r="AS85" i="71"/>
  <c r="AR85" i="71"/>
  <c r="AP85" i="71"/>
  <c r="AO85" i="71"/>
  <c r="AN85" i="71"/>
  <c r="Y85" i="71"/>
  <c r="AS84" i="71"/>
  <c r="AR84" i="71"/>
  <c r="AP84" i="71"/>
  <c r="AO84" i="71"/>
  <c r="AN84" i="71"/>
  <c r="AK84" i="71"/>
  <c r="AH84" i="71"/>
  <c r="Y84" i="71"/>
  <c r="M84" i="71"/>
  <c r="G84" i="71"/>
  <c r="AS82" i="71"/>
  <c r="AR82" i="71"/>
  <c r="AT82" i="71" s="1"/>
  <c r="AK82" i="71"/>
  <c r="AS81" i="71"/>
  <c r="AR81" i="71"/>
  <c r="AT81" i="71" s="1"/>
  <c r="AR80" i="71"/>
  <c r="AO80" i="71"/>
  <c r="AK80" i="71"/>
  <c r="AJ80" i="71"/>
  <c r="AP80" i="71"/>
  <c r="AS79" i="71"/>
  <c r="AR79" i="71"/>
  <c r="AT79" i="71" s="1"/>
  <c r="AS78" i="71"/>
  <c r="AR78" i="71"/>
  <c r="AT78" i="71" s="1"/>
  <c r="AS77" i="71"/>
  <c r="AR77" i="71"/>
  <c r="AT77" i="71" s="1"/>
  <c r="AK77" i="71"/>
  <c r="AS76" i="71"/>
  <c r="AR76" i="71"/>
  <c r="AT76" i="71" s="1"/>
  <c r="AS75" i="71"/>
  <c r="AR75" i="71"/>
  <c r="AT75" i="71" s="1"/>
  <c r="AS74" i="71"/>
  <c r="AR74" i="71"/>
  <c r="AT74" i="71" s="1"/>
  <c r="AK74" i="71"/>
  <c r="AS73" i="71"/>
  <c r="AR73" i="71"/>
  <c r="AT73" i="71" s="1"/>
  <c r="AS72" i="71"/>
  <c r="AR72" i="71"/>
  <c r="AT72" i="71" s="1"/>
  <c r="AK72" i="71"/>
  <c r="AS70" i="71"/>
  <c r="AR70" i="71"/>
  <c r="AK70" i="71"/>
  <c r="AS69" i="71"/>
  <c r="AR69" i="71"/>
  <c r="AK69" i="71"/>
  <c r="AR68" i="71"/>
  <c r="AO68" i="71"/>
  <c r="AK68" i="71"/>
  <c r="AJ68" i="71"/>
  <c r="AP68" i="71"/>
  <c r="AS67" i="71"/>
  <c r="AR67" i="71"/>
  <c r="AT67" i="71" s="1"/>
  <c r="AS66" i="71"/>
  <c r="AR66" i="71"/>
  <c r="AT66" i="71" s="1"/>
  <c r="AS65" i="71"/>
  <c r="AR65" i="71"/>
  <c r="AK65" i="71"/>
  <c r="AS64" i="71"/>
  <c r="AR64" i="71"/>
  <c r="AK64" i="71"/>
  <c r="AS63" i="71"/>
  <c r="AR63" i="71"/>
  <c r="AT63" i="71" s="1"/>
  <c r="AS62" i="71"/>
  <c r="AR62" i="71"/>
  <c r="AK62" i="71"/>
  <c r="AS61" i="71"/>
  <c r="AR61" i="71"/>
  <c r="AT61" i="71" s="1"/>
  <c r="AK61" i="71"/>
  <c r="AS60" i="71"/>
  <c r="AR60" i="71"/>
  <c r="AK60" i="71"/>
  <c r="AS59" i="71"/>
  <c r="AR59" i="71"/>
  <c r="AT59" i="71" s="1"/>
  <c r="AR58" i="71"/>
  <c r="AO58" i="71"/>
  <c r="AN58" i="71"/>
  <c r="AJ58" i="71"/>
  <c r="AP58" i="71" s="1"/>
  <c r="AQ58" i="71" s="1"/>
  <c r="Y58" i="71"/>
  <c r="V58" i="71"/>
  <c r="M58" i="71"/>
  <c r="J58" i="71"/>
  <c r="G58" i="71"/>
  <c r="D58" i="71"/>
  <c r="AS57" i="71"/>
  <c r="AR57" i="71"/>
  <c r="AP57" i="71"/>
  <c r="AO57" i="71"/>
  <c r="M57" i="71"/>
  <c r="AR56" i="71"/>
  <c r="AO56" i="71"/>
  <c r="AM56" i="71"/>
  <c r="Y56" i="71"/>
  <c r="X56" i="71"/>
  <c r="V56" i="71"/>
  <c r="U56" i="71"/>
  <c r="O56" i="71"/>
  <c r="M56" i="71"/>
  <c r="L56" i="71"/>
  <c r="J56" i="71"/>
  <c r="I56" i="71"/>
  <c r="G56" i="71"/>
  <c r="F56" i="71"/>
  <c r="D56" i="71"/>
  <c r="C56" i="71"/>
  <c r="AS55" i="71"/>
  <c r="AR55" i="71"/>
  <c r="AP55" i="71"/>
  <c r="AO55" i="71"/>
  <c r="Y55" i="71"/>
  <c r="J55" i="71"/>
  <c r="AS54" i="71"/>
  <c r="AR54" i="71"/>
  <c r="AT54" i="71" s="1"/>
  <c r="AP54" i="71"/>
  <c r="AO54" i="71"/>
  <c r="AQ54" i="71" s="1"/>
  <c r="AR53" i="71"/>
  <c r="AO53" i="71"/>
  <c r="AN53" i="71"/>
  <c r="AJ53" i="71"/>
  <c r="AP53" i="71" s="1"/>
  <c r="AQ53" i="71" s="1"/>
  <c r="Y53" i="71"/>
  <c r="M53" i="71"/>
  <c r="J53" i="71"/>
  <c r="G53" i="71"/>
  <c r="AS52" i="71"/>
  <c r="AR52" i="71"/>
  <c r="AT52" i="71" s="1"/>
  <c r="AP52" i="71"/>
  <c r="AO52" i="71"/>
  <c r="AQ52" i="71" s="1"/>
  <c r="AS51" i="71"/>
  <c r="AR51" i="71"/>
  <c r="AT51" i="71" s="1"/>
  <c r="AP51" i="71"/>
  <c r="AO51" i="71"/>
  <c r="AQ51" i="71" s="1"/>
  <c r="AR50" i="71"/>
  <c r="AO50" i="71"/>
  <c r="AN50" i="71"/>
  <c r="AJ50" i="71"/>
  <c r="AP50" i="71" s="1"/>
  <c r="AQ50" i="71" s="1"/>
  <c r="Y50" i="71"/>
  <c r="V50" i="71"/>
  <c r="M50" i="71"/>
  <c r="J50" i="71"/>
  <c r="G50" i="71"/>
  <c r="D50" i="71"/>
  <c r="AS49" i="71"/>
  <c r="AR49" i="71"/>
  <c r="AT49" i="71" s="1"/>
  <c r="AP49" i="71"/>
  <c r="AO49" i="71"/>
  <c r="AQ49" i="71" s="1"/>
  <c r="AS48" i="71"/>
  <c r="AR48" i="71"/>
  <c r="AP48" i="71"/>
  <c r="AO48" i="71"/>
  <c r="AN48" i="71"/>
  <c r="AK48" i="71"/>
  <c r="M48" i="71"/>
  <c r="J48" i="71"/>
  <c r="G48" i="71"/>
  <c r="AR46" i="71"/>
  <c r="AO46" i="71"/>
  <c r="AJ46" i="71"/>
  <c r="AR45" i="71"/>
  <c r="AO45" i="71"/>
  <c r="AJ45" i="71"/>
  <c r="AR44" i="71"/>
  <c r="AO44" i="71"/>
  <c r="X44" i="71"/>
  <c r="AS43" i="71"/>
  <c r="AR43" i="71"/>
  <c r="AT43" i="71" s="1"/>
  <c r="AQ43" i="71"/>
  <c r="AP43" i="71"/>
  <c r="AO43" i="71"/>
  <c r="AS42" i="71"/>
  <c r="AR42" i="71"/>
  <c r="AT42" i="71" s="1"/>
  <c r="AP42" i="71"/>
  <c r="AO42" i="71"/>
  <c r="AQ42" i="71" s="1"/>
  <c r="AS41" i="71"/>
  <c r="AR41" i="71"/>
  <c r="AP41" i="71"/>
  <c r="AO41" i="71"/>
  <c r="AQ41" i="71" s="1"/>
  <c r="AK41" i="71"/>
  <c r="AR40" i="71"/>
  <c r="AO40" i="71"/>
  <c r="AJ40" i="71"/>
  <c r="AJ42" i="72" s="1"/>
  <c r="AS39" i="71"/>
  <c r="AR39" i="71"/>
  <c r="AT39" i="71" s="1"/>
  <c r="AP39" i="71"/>
  <c r="AO39" i="71"/>
  <c r="AQ39" i="71" s="1"/>
  <c r="AR38" i="71"/>
  <c r="AO38" i="71"/>
  <c r="AJ38" i="71"/>
  <c r="AS37" i="71"/>
  <c r="AR37" i="71"/>
  <c r="AT37" i="71" s="1"/>
  <c r="AP37" i="71"/>
  <c r="AO37" i="71"/>
  <c r="AQ37" i="71" s="1"/>
  <c r="AR36" i="71"/>
  <c r="AP36" i="71"/>
  <c r="AQ36" i="71" s="1"/>
  <c r="AO36" i="71"/>
  <c r="AK36" i="71"/>
  <c r="AJ36" i="71"/>
  <c r="AT34" i="71"/>
  <c r="AS34" i="71"/>
  <c r="AR34" i="71"/>
  <c r="AP34" i="71"/>
  <c r="AO34" i="71"/>
  <c r="AQ34" i="71" s="1"/>
  <c r="AS33" i="71"/>
  <c r="AR33" i="71"/>
  <c r="AT33" i="71" s="1"/>
  <c r="AP33" i="71"/>
  <c r="AO33" i="71"/>
  <c r="AQ33" i="71" s="1"/>
  <c r="AR32" i="71"/>
  <c r="AO32" i="71"/>
  <c r="AS31" i="71"/>
  <c r="AR31" i="71"/>
  <c r="AT31" i="71" s="1"/>
  <c r="AP31" i="71"/>
  <c r="AO31" i="71"/>
  <c r="AQ31" i="71" s="1"/>
  <c r="AS30" i="71"/>
  <c r="AR30" i="71"/>
  <c r="AT30" i="71" s="1"/>
  <c r="AQ30" i="71"/>
  <c r="AP30" i="71"/>
  <c r="AO30" i="71"/>
  <c r="AT29" i="71"/>
  <c r="AS29" i="71"/>
  <c r="AR29" i="71"/>
  <c r="AP29" i="71"/>
  <c r="AO29" i="71"/>
  <c r="AQ29" i="71" s="1"/>
  <c r="AS28" i="71"/>
  <c r="AR28" i="71"/>
  <c r="AT28" i="71" s="1"/>
  <c r="AP28" i="71"/>
  <c r="AO28" i="71"/>
  <c r="AQ28" i="71" s="1"/>
  <c r="AS27" i="71"/>
  <c r="AR27" i="71"/>
  <c r="AT27" i="71" s="1"/>
  <c r="AP27" i="71"/>
  <c r="AO27" i="71"/>
  <c r="AQ27" i="71" s="1"/>
  <c r="AS26" i="71"/>
  <c r="AR26" i="71"/>
  <c r="AT26" i="71" s="1"/>
  <c r="AQ26" i="71"/>
  <c r="AP26" i="71"/>
  <c r="AO26" i="71"/>
  <c r="AT25" i="71"/>
  <c r="AS25" i="71"/>
  <c r="AR25" i="71"/>
  <c r="AP25" i="71"/>
  <c r="AO25" i="71"/>
  <c r="AQ25" i="71" s="1"/>
  <c r="AS24" i="71"/>
  <c r="AR24" i="71"/>
  <c r="AT24" i="71" s="1"/>
  <c r="AP24" i="71"/>
  <c r="AO24" i="71"/>
  <c r="AQ24" i="71" s="1"/>
  <c r="AR22" i="71"/>
  <c r="AP22" i="71"/>
  <c r="AO22" i="71"/>
  <c r="AN22" i="71"/>
  <c r="AK22" i="71"/>
  <c r="Y22" i="71"/>
  <c r="V22" i="71"/>
  <c r="G22" i="71"/>
  <c r="D22" i="71"/>
  <c r="C22" i="71"/>
  <c r="AS21" i="71"/>
  <c r="AT21" i="71" s="1"/>
  <c r="AR21" i="71"/>
  <c r="AP21" i="71"/>
  <c r="AO21" i="71"/>
  <c r="AN21" i="71"/>
  <c r="Y21" i="71"/>
  <c r="G21" i="71"/>
  <c r="D21" i="71"/>
  <c r="AR20" i="71"/>
  <c r="AO20" i="71"/>
  <c r="AM20" i="71"/>
  <c r="AJ20" i="71"/>
  <c r="AK20" i="71" s="1"/>
  <c r="X20" i="71"/>
  <c r="U20" i="71"/>
  <c r="F20" i="71"/>
  <c r="G20" i="71" s="1"/>
  <c r="AS19" i="71"/>
  <c r="AR19" i="71"/>
  <c r="AP19" i="71"/>
  <c r="AQ19" i="71" s="1"/>
  <c r="AO19" i="71"/>
  <c r="AN19" i="71"/>
  <c r="Y19" i="71"/>
  <c r="V19" i="71"/>
  <c r="AS18" i="71"/>
  <c r="AR18" i="71"/>
  <c r="AP18" i="71"/>
  <c r="AO18" i="71"/>
  <c r="AN18" i="71"/>
  <c r="Y18" i="71"/>
  <c r="D18" i="71"/>
  <c r="AR17" i="71"/>
  <c r="AP17" i="71"/>
  <c r="AO17" i="71"/>
  <c r="AN17" i="71"/>
  <c r="AK17" i="71"/>
  <c r="Y17" i="71"/>
  <c r="V17" i="71"/>
  <c r="G17" i="71"/>
  <c r="D17" i="71"/>
  <c r="C17" i="71"/>
  <c r="AS17" i="71" s="1"/>
  <c r="AS16" i="71"/>
  <c r="AR16" i="71"/>
  <c r="AP16" i="71"/>
  <c r="AO16" i="71"/>
  <c r="AN16" i="71"/>
  <c r="AK16" i="71"/>
  <c r="Y16" i="71"/>
  <c r="V16" i="71"/>
  <c r="G16" i="71"/>
  <c r="D16" i="71"/>
  <c r="AS15" i="71"/>
  <c r="AR15" i="71"/>
  <c r="AP15" i="71"/>
  <c r="AO15" i="71"/>
  <c r="AN15" i="71"/>
  <c r="Y15" i="71"/>
  <c r="V15" i="71"/>
  <c r="G15" i="71"/>
  <c r="AR14" i="71"/>
  <c r="AO14" i="71"/>
  <c r="AN14" i="71"/>
  <c r="AK14" i="71"/>
  <c r="Y14" i="71"/>
  <c r="V14" i="71"/>
  <c r="G14" i="71"/>
  <c r="C14" i="71"/>
  <c r="AP14" i="71" s="1"/>
  <c r="AQ14" i="71" s="1"/>
  <c r="AS13" i="71"/>
  <c r="AR13" i="71"/>
  <c r="AP13" i="71"/>
  <c r="AO13" i="71"/>
  <c r="AN13" i="71"/>
  <c r="Y13" i="71"/>
  <c r="AS12" i="71"/>
  <c r="AR12" i="71"/>
  <c r="AP12" i="71"/>
  <c r="AO12" i="71"/>
  <c r="AN12" i="71"/>
  <c r="AK12" i="71"/>
  <c r="Y12" i="71"/>
  <c r="V12" i="71"/>
  <c r="G12" i="71"/>
  <c r="D12" i="71"/>
  <c r="AR108" i="70"/>
  <c r="AO108" i="70"/>
  <c r="AN108" i="70"/>
  <c r="AK108" i="70"/>
  <c r="AH108" i="70"/>
  <c r="Y108" i="70"/>
  <c r="L108" i="70"/>
  <c r="L48" i="72" s="1"/>
  <c r="G108" i="70"/>
  <c r="D108" i="70"/>
  <c r="AS107" i="70"/>
  <c r="AR107" i="70"/>
  <c r="AT107" i="70" s="1"/>
  <c r="AP107" i="70"/>
  <c r="AO107" i="70"/>
  <c r="AQ107" i="70" s="1"/>
  <c r="AM106" i="70"/>
  <c r="AJ106" i="70"/>
  <c r="AD106" i="70"/>
  <c r="X106" i="70"/>
  <c r="F106" i="70"/>
  <c r="E106" i="70"/>
  <c r="AO106" i="70" s="1"/>
  <c r="D106" i="70"/>
  <c r="C106" i="70"/>
  <c r="AS105" i="70"/>
  <c r="AR105" i="70"/>
  <c r="AT105" i="70" s="1"/>
  <c r="AP105" i="70"/>
  <c r="AO105" i="70"/>
  <c r="AQ105" i="70" s="1"/>
  <c r="AS104" i="70"/>
  <c r="AR104" i="70"/>
  <c r="AT104" i="70" s="1"/>
  <c r="AP104" i="70"/>
  <c r="AO104" i="70"/>
  <c r="AQ104" i="70" s="1"/>
  <c r="AR103" i="70"/>
  <c r="AO103" i="70"/>
  <c r="AN103" i="70"/>
  <c r="AK103" i="70"/>
  <c r="AH103" i="70"/>
  <c r="Y103" i="70"/>
  <c r="L103" i="70"/>
  <c r="L43" i="72" s="1"/>
  <c r="G103" i="70"/>
  <c r="D103" i="70"/>
  <c r="AS102" i="70"/>
  <c r="AR102" i="70"/>
  <c r="AT102" i="70" s="1"/>
  <c r="AP102" i="70"/>
  <c r="AO102" i="70"/>
  <c r="AQ102" i="70" s="1"/>
  <c r="AS101" i="70"/>
  <c r="AR101" i="70"/>
  <c r="AT101" i="70" s="1"/>
  <c r="AP101" i="70"/>
  <c r="AO101" i="70"/>
  <c r="AQ101" i="70" s="1"/>
  <c r="AR100" i="70"/>
  <c r="AO100" i="70"/>
  <c r="AN100" i="70"/>
  <c r="AK100" i="70"/>
  <c r="AH100" i="70"/>
  <c r="AE100" i="70"/>
  <c r="Y100" i="70"/>
  <c r="L100" i="70"/>
  <c r="L40" i="72" s="1"/>
  <c r="G100" i="70"/>
  <c r="D100" i="70"/>
  <c r="AS99" i="70"/>
  <c r="AR99" i="70"/>
  <c r="AT99" i="70" s="1"/>
  <c r="AQ99" i="70"/>
  <c r="AP99" i="70"/>
  <c r="AO99" i="70"/>
  <c r="AS98" i="70"/>
  <c r="AR98" i="70"/>
  <c r="AP98" i="70"/>
  <c r="AO98" i="70"/>
  <c r="AQ98" i="70" s="1"/>
  <c r="AK98" i="70"/>
  <c r="AS96" i="70"/>
  <c r="AR96" i="70"/>
  <c r="AP96" i="70"/>
  <c r="AO96" i="70"/>
  <c r="AK96" i="70"/>
  <c r="Y96" i="70"/>
  <c r="M96" i="70"/>
  <c r="J96" i="70"/>
  <c r="AS95" i="70"/>
  <c r="AR95" i="70"/>
  <c r="AP95" i="70"/>
  <c r="AO95" i="70"/>
  <c r="M95" i="70"/>
  <c r="AR94" i="70"/>
  <c r="AO94" i="70"/>
  <c r="AJ94" i="70"/>
  <c r="AK94" i="70" s="1"/>
  <c r="X94" i="70"/>
  <c r="Y94" i="70" s="1"/>
  <c r="M94" i="70"/>
  <c r="L94" i="70"/>
  <c r="I94" i="70"/>
  <c r="J94" i="70" s="1"/>
  <c r="AS93" i="70"/>
  <c r="AR93" i="70"/>
  <c r="AP93" i="70"/>
  <c r="AQ93" i="70" s="1"/>
  <c r="AO93" i="70"/>
  <c r="J93" i="70"/>
  <c r="AS92" i="70"/>
  <c r="AR92" i="70"/>
  <c r="AT92" i="70" s="1"/>
  <c r="AP92" i="70"/>
  <c r="AO92" i="70"/>
  <c r="AQ92" i="70" s="1"/>
  <c r="AR91" i="70"/>
  <c r="AO91" i="70"/>
  <c r="AK91" i="70"/>
  <c r="Y91" i="70"/>
  <c r="M91" i="70"/>
  <c r="J91" i="70"/>
  <c r="C91" i="70"/>
  <c r="AS91" i="70" s="1"/>
  <c r="AT91" i="70" s="1"/>
  <c r="AS90" i="70"/>
  <c r="AR90" i="70"/>
  <c r="AT90" i="70" s="1"/>
  <c r="AP90" i="70"/>
  <c r="AO90" i="70"/>
  <c r="AQ90" i="70" s="1"/>
  <c r="AS89" i="70"/>
  <c r="AR89" i="70"/>
  <c r="AT89" i="70" s="1"/>
  <c r="AP89" i="70"/>
  <c r="AO89" i="70"/>
  <c r="AQ89" i="70" s="1"/>
  <c r="AS88" i="70"/>
  <c r="AR88" i="70"/>
  <c r="AP88" i="70"/>
  <c r="AO88" i="70"/>
  <c r="AK88" i="70"/>
  <c r="Y88" i="70"/>
  <c r="M88" i="70"/>
  <c r="J88" i="70"/>
  <c r="AS87" i="70"/>
  <c r="AR87" i="70"/>
  <c r="AT87" i="70" s="1"/>
  <c r="AP87" i="70"/>
  <c r="AO87" i="70"/>
  <c r="AQ87" i="70" s="1"/>
  <c r="AS86" i="70"/>
  <c r="AR86" i="70"/>
  <c r="AP86" i="70"/>
  <c r="AO86" i="70"/>
  <c r="AQ86" i="70" s="1"/>
  <c r="AK86" i="70"/>
  <c r="Y86" i="70"/>
  <c r="M86" i="70"/>
  <c r="J86" i="70"/>
  <c r="AS84" i="70"/>
  <c r="AR84" i="70"/>
  <c r="AP84" i="70"/>
  <c r="AO84" i="70"/>
  <c r="AK84" i="70"/>
  <c r="Y84" i="70"/>
  <c r="G84" i="70"/>
  <c r="AS83" i="70"/>
  <c r="AR83" i="70"/>
  <c r="AP83" i="70"/>
  <c r="AO83" i="70"/>
  <c r="AK83" i="70"/>
  <c r="Y83" i="70"/>
  <c r="G83" i="70"/>
  <c r="AK82" i="70"/>
  <c r="AJ82" i="70"/>
  <c r="X82" i="70"/>
  <c r="Y82" i="70" s="1"/>
  <c r="F82" i="70"/>
  <c r="E82" i="70"/>
  <c r="AO82" i="70" s="1"/>
  <c r="C82" i="70"/>
  <c r="AS81" i="70"/>
  <c r="AR81" i="70"/>
  <c r="AT81" i="70" s="1"/>
  <c r="AP81" i="70"/>
  <c r="AO81" i="70"/>
  <c r="AQ81" i="70" s="1"/>
  <c r="AS80" i="70"/>
  <c r="AR80" i="70"/>
  <c r="AP80" i="70"/>
  <c r="AO80" i="70"/>
  <c r="AQ80" i="70" s="1"/>
  <c r="Y80" i="70"/>
  <c r="AS79" i="70"/>
  <c r="AR79" i="70"/>
  <c r="AP79" i="70"/>
  <c r="AO79" i="70"/>
  <c r="AK79" i="70"/>
  <c r="Y79" i="70"/>
  <c r="G79" i="70"/>
  <c r="AS78" i="70"/>
  <c r="AR78" i="70"/>
  <c r="AT78" i="70" s="1"/>
  <c r="AP78" i="70"/>
  <c r="AO78" i="70"/>
  <c r="AQ78" i="70" s="1"/>
  <c r="AK78" i="70"/>
  <c r="Y78" i="70"/>
  <c r="G78" i="70"/>
  <c r="AS77" i="70"/>
  <c r="AR77" i="70"/>
  <c r="AT77" i="70" s="1"/>
  <c r="AP77" i="70"/>
  <c r="AO77" i="70"/>
  <c r="AQ77" i="70" s="1"/>
  <c r="G77" i="70"/>
  <c r="AS76" i="70"/>
  <c r="AR76" i="70"/>
  <c r="AT76" i="70" s="1"/>
  <c r="AP76" i="70"/>
  <c r="AO76" i="70"/>
  <c r="AK76" i="70"/>
  <c r="Y76" i="70"/>
  <c r="G76" i="70"/>
  <c r="AS75" i="70"/>
  <c r="AR75" i="70"/>
  <c r="AP75" i="70"/>
  <c r="AO75" i="70"/>
  <c r="AQ75" i="70" s="1"/>
  <c r="Y75" i="70"/>
  <c r="G75" i="70"/>
  <c r="AS74" i="70"/>
  <c r="AR74" i="70"/>
  <c r="AT74" i="70" s="1"/>
  <c r="AP74" i="70"/>
  <c r="AO74" i="70"/>
  <c r="AK74" i="70"/>
  <c r="Y74" i="70"/>
  <c r="G74" i="70"/>
  <c r="AS72" i="70"/>
  <c r="AR72" i="70"/>
  <c r="AO72" i="70"/>
  <c r="AN72" i="70"/>
  <c r="Y72" i="70"/>
  <c r="G72" i="70"/>
  <c r="F72" i="70"/>
  <c r="F48" i="72" s="1"/>
  <c r="AR71" i="70"/>
  <c r="AP71" i="70"/>
  <c r="AQ71" i="70" s="1"/>
  <c r="AO71" i="70"/>
  <c r="AN71" i="70"/>
  <c r="AK71" i="70"/>
  <c r="Y71" i="70"/>
  <c r="F71" i="70"/>
  <c r="AS71" i="70" s="1"/>
  <c r="AT71" i="70" s="1"/>
  <c r="AN70" i="70"/>
  <c r="AM70" i="70"/>
  <c r="AJ70" i="70"/>
  <c r="AK70" i="70" s="1"/>
  <c r="Y70" i="70"/>
  <c r="X70" i="70"/>
  <c r="E70" i="70"/>
  <c r="AO70" i="70" s="1"/>
  <c r="AS69" i="70"/>
  <c r="AR69" i="70"/>
  <c r="AP69" i="70"/>
  <c r="AQ69" i="70" s="1"/>
  <c r="AO69" i="70"/>
  <c r="AN69" i="70"/>
  <c r="AS68" i="70"/>
  <c r="AR68" i="70"/>
  <c r="AT68" i="70" s="1"/>
  <c r="AP68" i="70"/>
  <c r="AO68" i="70"/>
  <c r="AQ68" i="70" s="1"/>
  <c r="AR67" i="70"/>
  <c r="AO67" i="70"/>
  <c r="AN67" i="70"/>
  <c r="AK67" i="70"/>
  <c r="Y67" i="70"/>
  <c r="F67" i="70"/>
  <c r="F43" i="72" s="1"/>
  <c r="AS66" i="70"/>
  <c r="AR66" i="70"/>
  <c r="AT66" i="70" s="1"/>
  <c r="AP66" i="70"/>
  <c r="AO66" i="70"/>
  <c r="AQ66" i="70" s="1"/>
  <c r="AT65" i="70"/>
  <c r="AS65" i="70"/>
  <c r="AR65" i="70"/>
  <c r="AQ65" i="70"/>
  <c r="AP65" i="70"/>
  <c r="AO65" i="70"/>
  <c r="AS64" i="70"/>
  <c r="AR64" i="70"/>
  <c r="AO64" i="70"/>
  <c r="AN64" i="70"/>
  <c r="AK64" i="70"/>
  <c r="Y64" i="70"/>
  <c r="F64" i="70"/>
  <c r="F40" i="72" s="1"/>
  <c r="AS63" i="70"/>
  <c r="AR63" i="70"/>
  <c r="AP63" i="70"/>
  <c r="AO63" i="70"/>
  <c r="AN63" i="70"/>
  <c r="Y63" i="70"/>
  <c r="G63" i="70"/>
  <c r="AR62" i="70"/>
  <c r="AO62" i="70"/>
  <c r="AN62" i="70"/>
  <c r="AK62" i="70"/>
  <c r="Y62" i="70"/>
  <c r="F62" i="70"/>
  <c r="F38" i="72" s="1"/>
  <c r="AS58" i="70"/>
  <c r="AR58" i="70"/>
  <c r="AQ58" i="70"/>
  <c r="AP58" i="70"/>
  <c r="AO58" i="70"/>
  <c r="AN58" i="70"/>
  <c r="AK58" i="70"/>
  <c r="AE58" i="70"/>
  <c r="Y58" i="70"/>
  <c r="G58" i="70"/>
  <c r="D58" i="70"/>
  <c r="AS57" i="70"/>
  <c r="AR57" i="70"/>
  <c r="AT57" i="70" s="1"/>
  <c r="AP57" i="70"/>
  <c r="AO57" i="70"/>
  <c r="AQ57" i="70" s="1"/>
  <c r="AR56" i="70"/>
  <c r="AO56" i="70"/>
  <c r="AM56" i="70"/>
  <c r="AN56" i="70" s="1"/>
  <c r="AK56" i="70"/>
  <c r="AJ56" i="70"/>
  <c r="AD56" i="70"/>
  <c r="X56" i="70"/>
  <c r="G56" i="70"/>
  <c r="F56" i="70"/>
  <c r="C56" i="70"/>
  <c r="D56" i="70" s="1"/>
  <c r="AT55" i="70"/>
  <c r="AS55" i="70"/>
  <c r="AR55" i="70"/>
  <c r="AP55" i="70"/>
  <c r="AO55" i="70"/>
  <c r="AQ55" i="70" s="1"/>
  <c r="AS54" i="70"/>
  <c r="AR54" i="70"/>
  <c r="AT54" i="70" s="1"/>
  <c r="AP54" i="70"/>
  <c r="AO54" i="70"/>
  <c r="AQ54" i="70" s="1"/>
  <c r="AS53" i="70"/>
  <c r="AR53" i="70"/>
  <c r="AT53" i="70" s="1"/>
  <c r="AP53" i="70"/>
  <c r="AO53" i="70"/>
  <c r="AN53" i="70"/>
  <c r="AK53" i="70"/>
  <c r="Y53" i="70"/>
  <c r="G53" i="70"/>
  <c r="D53" i="70"/>
  <c r="AS52" i="70"/>
  <c r="AR52" i="70"/>
  <c r="AT52" i="70" s="1"/>
  <c r="AP52" i="70"/>
  <c r="AO52" i="70"/>
  <c r="AQ52" i="70" s="1"/>
  <c r="AS51" i="70"/>
  <c r="AR51" i="70"/>
  <c r="AT51" i="70" s="1"/>
  <c r="AP51" i="70"/>
  <c r="AO51" i="70"/>
  <c r="AQ51" i="70" s="1"/>
  <c r="AS50" i="70"/>
  <c r="AR50" i="70"/>
  <c r="AP50" i="70"/>
  <c r="AO50" i="70"/>
  <c r="AN50" i="70"/>
  <c r="AK50" i="70"/>
  <c r="AE50" i="70"/>
  <c r="Y50" i="70"/>
  <c r="G50" i="70"/>
  <c r="D50" i="70"/>
  <c r="AS49" i="70"/>
  <c r="AR49" i="70"/>
  <c r="AT49" i="70" s="1"/>
  <c r="AQ49" i="70"/>
  <c r="AP49" i="70"/>
  <c r="AO49" i="70"/>
  <c r="AS48" i="70"/>
  <c r="AR48" i="70"/>
  <c r="AP48" i="70"/>
  <c r="AO48" i="70"/>
  <c r="AK48" i="70"/>
  <c r="AS46" i="70"/>
  <c r="AR46" i="70"/>
  <c r="AP46" i="70"/>
  <c r="AO46" i="70"/>
  <c r="AN46" i="70"/>
  <c r="AK46" i="70"/>
  <c r="Y46" i="70"/>
  <c r="P46" i="70"/>
  <c r="J46" i="70"/>
  <c r="D46" i="70"/>
  <c r="AS45" i="70"/>
  <c r="AR45" i="70"/>
  <c r="AT45" i="70" s="1"/>
  <c r="AP45" i="70"/>
  <c r="AO45" i="70"/>
  <c r="AQ45" i="70" s="1"/>
  <c r="AR44" i="70"/>
  <c r="AO44" i="70"/>
  <c r="AN44" i="70"/>
  <c r="AM44" i="70"/>
  <c r="AJ44" i="70"/>
  <c r="AK44" i="70" s="1"/>
  <c r="X44" i="70"/>
  <c r="Y44" i="70" s="1"/>
  <c r="P44" i="70"/>
  <c r="O44" i="70"/>
  <c r="I44" i="70"/>
  <c r="AS43" i="70"/>
  <c r="AR43" i="70"/>
  <c r="AP43" i="70"/>
  <c r="AO43" i="70"/>
  <c r="J43" i="70"/>
  <c r="AS42" i="70"/>
  <c r="AR42" i="70"/>
  <c r="AT42" i="70" s="1"/>
  <c r="AP42" i="70"/>
  <c r="AO42" i="70"/>
  <c r="AQ42" i="70" s="1"/>
  <c r="AR41" i="70"/>
  <c r="AP41" i="70"/>
  <c r="AO41" i="70"/>
  <c r="AQ41" i="70" s="1"/>
  <c r="AN41" i="70"/>
  <c r="AK41" i="70"/>
  <c r="Y41" i="70"/>
  <c r="P41" i="70"/>
  <c r="J41" i="70"/>
  <c r="C41" i="70"/>
  <c r="C44" i="70" s="1"/>
  <c r="AS40" i="70"/>
  <c r="AR40" i="70"/>
  <c r="AT40" i="70" s="1"/>
  <c r="AP40" i="70"/>
  <c r="AO40" i="70"/>
  <c r="AQ40" i="70" s="1"/>
  <c r="AS39" i="70"/>
  <c r="AR39" i="70"/>
  <c r="AT39" i="70" s="1"/>
  <c r="AP39" i="70"/>
  <c r="AO39" i="70"/>
  <c r="AQ39" i="70" s="1"/>
  <c r="AS38" i="70"/>
  <c r="AR38" i="70"/>
  <c r="AP38" i="70"/>
  <c r="AO38" i="70"/>
  <c r="AN38" i="70"/>
  <c r="AK38" i="70"/>
  <c r="Y38" i="70"/>
  <c r="P38" i="70"/>
  <c r="J38" i="70"/>
  <c r="D38" i="70"/>
  <c r="AS37" i="70"/>
  <c r="AR37" i="70"/>
  <c r="AT37" i="70" s="1"/>
  <c r="AP37" i="70"/>
  <c r="AO37" i="70"/>
  <c r="AQ37" i="70" s="1"/>
  <c r="AS36" i="70"/>
  <c r="AR36" i="70"/>
  <c r="AP36" i="70"/>
  <c r="AO36" i="70"/>
  <c r="AN36" i="70"/>
  <c r="AK36" i="70"/>
  <c r="Y36" i="70"/>
  <c r="J36" i="70"/>
  <c r="AS34" i="70"/>
  <c r="AT34" i="70" s="1"/>
  <c r="AR34" i="70"/>
  <c r="AP34" i="70"/>
  <c r="AO34" i="70"/>
  <c r="AK34" i="70"/>
  <c r="Y34" i="70"/>
  <c r="G34" i="70"/>
  <c r="AS33" i="70"/>
  <c r="AR33" i="70"/>
  <c r="AT33" i="70" s="1"/>
  <c r="AP33" i="70"/>
  <c r="AO33" i="70"/>
  <c r="Y33" i="70"/>
  <c r="G33" i="70"/>
  <c r="AR32" i="70"/>
  <c r="AO32" i="70"/>
  <c r="AJ32" i="70"/>
  <c r="X32" i="70"/>
  <c r="F32" i="70"/>
  <c r="G32" i="70" s="1"/>
  <c r="AS31" i="70"/>
  <c r="AR31" i="70"/>
  <c r="AT31" i="70" s="1"/>
  <c r="AP31" i="70"/>
  <c r="AO31" i="70"/>
  <c r="AQ31" i="70" s="1"/>
  <c r="AS30" i="70"/>
  <c r="AR30" i="70"/>
  <c r="AT30" i="70" s="1"/>
  <c r="AQ30" i="70"/>
  <c r="AP30" i="70"/>
  <c r="AO30" i="70"/>
  <c r="AS29" i="70"/>
  <c r="AR29" i="70"/>
  <c r="AP29" i="70"/>
  <c r="AQ29" i="70" s="1"/>
  <c r="AO29" i="70"/>
  <c r="G29" i="70"/>
  <c r="AS28" i="70"/>
  <c r="AR28" i="70"/>
  <c r="AP28" i="70"/>
  <c r="AO28" i="70"/>
  <c r="Y28" i="70"/>
  <c r="G28" i="70"/>
  <c r="AS27" i="70"/>
  <c r="AR27" i="70"/>
  <c r="AT27" i="70" s="1"/>
  <c r="AP27" i="70"/>
  <c r="AO27" i="70"/>
  <c r="G27" i="70"/>
  <c r="AS26" i="70"/>
  <c r="AR26" i="70"/>
  <c r="AP26" i="70"/>
  <c r="AO26" i="70"/>
  <c r="AK26" i="70"/>
  <c r="Y26" i="70"/>
  <c r="G26" i="70"/>
  <c r="AS25" i="70"/>
  <c r="AR25" i="70"/>
  <c r="AP25" i="70"/>
  <c r="AO25" i="70"/>
  <c r="AQ25" i="70" s="1"/>
  <c r="Y25" i="70"/>
  <c r="G25" i="70"/>
  <c r="AS24" i="70"/>
  <c r="AR24" i="70"/>
  <c r="AP24" i="70"/>
  <c r="AO24" i="70"/>
  <c r="AK24" i="70"/>
  <c r="Y24" i="70"/>
  <c r="G24" i="70"/>
  <c r="AS22" i="70"/>
  <c r="AR22" i="70"/>
  <c r="AP22" i="70"/>
  <c r="AO22" i="70"/>
  <c r="AN22" i="70"/>
  <c r="AK22" i="70"/>
  <c r="Y22" i="70"/>
  <c r="G22" i="70"/>
  <c r="AS21" i="70"/>
  <c r="AT21" i="70" s="1"/>
  <c r="AR21" i="70"/>
  <c r="AP21" i="70"/>
  <c r="AO21" i="70"/>
  <c r="AN21" i="70"/>
  <c r="AK21" i="70"/>
  <c r="Y21" i="70"/>
  <c r="G21" i="70"/>
  <c r="AR20" i="70"/>
  <c r="AO20" i="70"/>
  <c r="AM20" i="70"/>
  <c r="AN20" i="70" s="1"/>
  <c r="X20" i="70"/>
  <c r="Y20" i="70" s="1"/>
  <c r="G20" i="70"/>
  <c r="F20" i="70"/>
  <c r="AS19" i="70"/>
  <c r="AR19" i="70"/>
  <c r="AP19" i="70"/>
  <c r="AO19" i="70"/>
  <c r="AN19" i="70"/>
  <c r="AS18" i="70"/>
  <c r="AR18" i="70"/>
  <c r="AP18" i="70"/>
  <c r="AO18" i="70"/>
  <c r="AS17" i="70"/>
  <c r="AR17" i="70"/>
  <c r="AP17" i="70"/>
  <c r="AQ17" i="70" s="1"/>
  <c r="AO17" i="70"/>
  <c r="AN17" i="70"/>
  <c r="AK17" i="70"/>
  <c r="Y17" i="70"/>
  <c r="G17" i="70"/>
  <c r="AS16" i="70"/>
  <c r="AR16" i="70"/>
  <c r="AT16" i="70" s="1"/>
  <c r="AP16" i="70"/>
  <c r="AO16" i="70"/>
  <c r="AQ16" i="70" s="1"/>
  <c r="AS15" i="70"/>
  <c r="AR15" i="70"/>
  <c r="AT15" i="70" s="1"/>
  <c r="AS14" i="70"/>
  <c r="AR14" i="70"/>
  <c r="AP14" i="70"/>
  <c r="AO14" i="70"/>
  <c r="AN14" i="70"/>
  <c r="AK14" i="70"/>
  <c r="Y14" i="70"/>
  <c r="G14" i="70"/>
  <c r="AS13" i="70"/>
  <c r="AR13" i="70"/>
  <c r="AP13" i="70"/>
  <c r="AO13" i="70"/>
  <c r="AN13" i="70"/>
  <c r="Y13" i="70"/>
  <c r="G13" i="70"/>
  <c r="AS12" i="70"/>
  <c r="AR12" i="70"/>
  <c r="AT12" i="70" s="1"/>
  <c r="AP12" i="70"/>
  <c r="AO12" i="70"/>
  <c r="AN12" i="70"/>
  <c r="AK12" i="70"/>
  <c r="Y12" i="70"/>
  <c r="G12" i="70"/>
  <c r="AP57" i="69"/>
  <c r="AO57" i="69"/>
  <c r="AP56" i="69"/>
  <c r="AO56" i="69"/>
  <c r="AP55" i="69"/>
  <c r="AO55" i="69"/>
  <c r="AP54" i="69"/>
  <c r="AO54" i="69"/>
  <c r="AP53" i="69"/>
  <c r="AO53" i="69"/>
  <c r="AP52" i="69"/>
  <c r="AO52" i="69"/>
  <c r="AP51" i="69"/>
  <c r="AO51" i="69"/>
  <c r="AP50" i="69"/>
  <c r="AO50" i="69"/>
  <c r="AP49" i="69"/>
  <c r="AO49" i="69"/>
  <c r="AP48" i="69"/>
  <c r="AO48" i="69"/>
  <c r="AO44" i="69"/>
  <c r="AN44" i="69"/>
  <c r="AK44" i="69"/>
  <c r="Y44" i="69"/>
  <c r="V44" i="69"/>
  <c r="S44" i="69"/>
  <c r="M44" i="69"/>
  <c r="L44" i="69"/>
  <c r="AP44" i="69" s="1"/>
  <c r="G44" i="69"/>
  <c r="AP42" i="69"/>
  <c r="AO42" i="69"/>
  <c r="AN42" i="69"/>
  <c r="AK42" i="69"/>
  <c r="AB42" i="69"/>
  <c r="Y42" i="69"/>
  <c r="P42" i="69"/>
  <c r="M42" i="69"/>
  <c r="J42" i="69"/>
  <c r="G42" i="69"/>
  <c r="D42" i="69"/>
  <c r="AM40" i="69"/>
  <c r="AN40" i="69" s="1"/>
  <c r="AK40" i="69"/>
  <c r="AJ40" i="69"/>
  <c r="AH40" i="69"/>
  <c r="AD40" i="69"/>
  <c r="AA40" i="69"/>
  <c r="AB40" i="69" s="1"/>
  <c r="X40" i="69"/>
  <c r="Y40" i="69" s="1"/>
  <c r="U40" i="69"/>
  <c r="V40" i="69" s="1"/>
  <c r="R40" i="69"/>
  <c r="O40" i="69"/>
  <c r="P40" i="69" s="1"/>
  <c r="M40" i="69"/>
  <c r="L40" i="69"/>
  <c r="I40" i="69"/>
  <c r="J40" i="69"/>
  <c r="F40" i="69"/>
  <c r="G40" i="69" s="1"/>
  <c r="D40" i="69"/>
  <c r="AP39" i="69"/>
  <c r="AO39" i="69"/>
  <c r="AN39" i="69"/>
  <c r="AK39" i="69"/>
  <c r="AH39" i="69"/>
  <c r="AB39" i="69"/>
  <c r="Y39" i="69"/>
  <c r="V39" i="69"/>
  <c r="S39" i="69"/>
  <c r="M39" i="69"/>
  <c r="J39" i="69"/>
  <c r="G39" i="69"/>
  <c r="AP38" i="69"/>
  <c r="AO38" i="69"/>
  <c r="AN38" i="69"/>
  <c r="AK38" i="69"/>
  <c r="AH38" i="69"/>
  <c r="AB38" i="69"/>
  <c r="Y38" i="69"/>
  <c r="V38" i="69"/>
  <c r="S38" i="69"/>
  <c r="M38" i="69"/>
  <c r="J38" i="69"/>
  <c r="G38" i="69"/>
  <c r="AP37" i="69"/>
  <c r="AO37" i="69"/>
  <c r="AN37" i="69"/>
  <c r="AK37" i="69"/>
  <c r="AH37" i="69"/>
  <c r="AB37" i="69"/>
  <c r="Y37" i="69"/>
  <c r="V37" i="69"/>
  <c r="S37" i="69"/>
  <c r="P37" i="69"/>
  <c r="M37" i="69"/>
  <c r="J37" i="69"/>
  <c r="G37" i="69"/>
  <c r="D37" i="69"/>
  <c r="AP33" i="69"/>
  <c r="AO33" i="69"/>
  <c r="AN33" i="69"/>
  <c r="AK33" i="69"/>
  <c r="AH33" i="69"/>
  <c r="Y33" i="69"/>
  <c r="V33" i="69"/>
  <c r="S33" i="69"/>
  <c r="G33" i="69"/>
  <c r="AP32" i="69"/>
  <c r="AO32" i="69"/>
  <c r="AN32" i="69"/>
  <c r="AK32" i="69"/>
  <c r="AH32" i="69"/>
  <c r="AE32" i="69"/>
  <c r="AB32" i="69"/>
  <c r="Y32" i="69"/>
  <c r="V32" i="69"/>
  <c r="S32" i="69"/>
  <c r="P32" i="69"/>
  <c r="M32" i="69"/>
  <c r="J32" i="69"/>
  <c r="G32" i="69"/>
  <c r="D32" i="69"/>
  <c r="AP31" i="69"/>
  <c r="AO31" i="69"/>
  <c r="AN31" i="69"/>
  <c r="AK31" i="69"/>
  <c r="AH31" i="69"/>
  <c r="AB31" i="69"/>
  <c r="Y31" i="69"/>
  <c r="S31" i="69"/>
  <c r="M31" i="69"/>
  <c r="G31" i="69"/>
  <c r="D31" i="69"/>
  <c r="AP30" i="69"/>
  <c r="AO30" i="69"/>
  <c r="AN30" i="69"/>
  <c r="AK30" i="69"/>
  <c r="AH30" i="69"/>
  <c r="AE30" i="69"/>
  <c r="Y30" i="69"/>
  <c r="V30" i="69"/>
  <c r="S30" i="69"/>
  <c r="M30" i="69"/>
  <c r="G30" i="69"/>
  <c r="D30" i="69"/>
  <c r="AM29" i="69"/>
  <c r="AJ29" i="69"/>
  <c r="AA29" i="69"/>
  <c r="X29" i="69"/>
  <c r="R29" i="69"/>
  <c r="O29" i="69"/>
  <c r="I29" i="69"/>
  <c r="F29" i="69"/>
  <c r="AP28" i="69"/>
  <c r="AO28" i="69"/>
  <c r="AN28" i="69"/>
  <c r="AK28" i="69"/>
  <c r="AH28" i="69"/>
  <c r="Y28" i="69"/>
  <c r="V28" i="69"/>
  <c r="S28" i="69"/>
  <c r="G28" i="69"/>
  <c r="AP27" i="69"/>
  <c r="AO27" i="69"/>
  <c r="AN27" i="69"/>
  <c r="AK27" i="69"/>
  <c r="Y27" i="69"/>
  <c r="J27" i="69"/>
  <c r="G27" i="69"/>
  <c r="D27" i="69"/>
  <c r="AP26" i="69"/>
  <c r="AO26" i="69"/>
  <c r="AN26" i="69"/>
  <c r="AK26" i="69"/>
  <c r="AB26" i="69"/>
  <c r="Y26" i="69"/>
  <c r="V26" i="69"/>
  <c r="S26" i="69"/>
  <c r="G26" i="69"/>
  <c r="AP25" i="69"/>
  <c r="AO25" i="69"/>
  <c r="AQ25" i="69" s="1"/>
  <c r="AN25" i="69"/>
  <c r="AK25" i="69"/>
  <c r="AH25" i="69"/>
  <c r="AB25" i="69"/>
  <c r="Y25" i="69"/>
  <c r="V25" i="69"/>
  <c r="S25" i="69"/>
  <c r="M25" i="69"/>
  <c r="G25" i="69"/>
  <c r="D25" i="69"/>
  <c r="AP24" i="69"/>
  <c r="AO24" i="69"/>
  <c r="AN24" i="69"/>
  <c r="AK24" i="69"/>
  <c r="AH24" i="69"/>
  <c r="AB24" i="69"/>
  <c r="Y24" i="69"/>
  <c r="V24" i="69"/>
  <c r="S24" i="69"/>
  <c r="M24" i="69"/>
  <c r="J24" i="69"/>
  <c r="G24" i="69"/>
  <c r="AH23" i="69"/>
  <c r="AB23" i="69"/>
  <c r="Y23" i="69"/>
  <c r="U23" i="69"/>
  <c r="U29" i="69" s="1"/>
  <c r="L23" i="69"/>
  <c r="M23" i="69" s="1"/>
  <c r="J23" i="69"/>
  <c r="AO23" i="69"/>
  <c r="AP23" i="69"/>
  <c r="AM21" i="69"/>
  <c r="AK21" i="69"/>
  <c r="AJ21" i="69"/>
  <c r="AH21" i="69"/>
  <c r="AD21" i="69"/>
  <c r="AA21" i="69"/>
  <c r="U21" i="69"/>
  <c r="R21" i="69"/>
  <c r="S21" i="69"/>
  <c r="I21" i="69"/>
  <c r="J21" i="69"/>
  <c r="F21" i="69"/>
  <c r="AS20" i="69"/>
  <c r="AR20" i="69"/>
  <c r="AO20" i="69"/>
  <c r="AN20" i="69"/>
  <c r="AK20" i="69"/>
  <c r="AH20" i="69"/>
  <c r="AE20" i="69"/>
  <c r="Y20" i="69"/>
  <c r="X20" i="69"/>
  <c r="X21" i="69" s="1"/>
  <c r="V20" i="69"/>
  <c r="S20" i="69"/>
  <c r="M20" i="69"/>
  <c r="J20" i="69"/>
  <c r="G20" i="69"/>
  <c r="D20" i="69"/>
  <c r="AR19" i="69"/>
  <c r="AO19" i="69"/>
  <c r="AN19" i="69"/>
  <c r="AK19" i="69"/>
  <c r="AH19" i="69"/>
  <c r="AE19" i="69"/>
  <c r="AB19" i="69"/>
  <c r="Y19" i="69"/>
  <c r="V19" i="69"/>
  <c r="S19" i="69"/>
  <c r="P19" i="69"/>
  <c r="O19" i="69"/>
  <c r="O21" i="69" s="1"/>
  <c r="M19" i="69"/>
  <c r="L19" i="69"/>
  <c r="L21" i="69" s="1"/>
  <c r="J19" i="69"/>
  <c r="G19" i="69"/>
  <c r="D19" i="69"/>
  <c r="AS17" i="69"/>
  <c r="AR17" i="69"/>
  <c r="AT17" i="69" s="1"/>
  <c r="AP17" i="69"/>
  <c r="AO17" i="69"/>
  <c r="AQ17" i="69" s="1"/>
  <c r="AN17" i="69"/>
  <c r="AK17" i="69"/>
  <c r="AH17" i="69"/>
  <c r="AB17" i="69"/>
  <c r="Y17" i="69"/>
  <c r="V17" i="69"/>
  <c r="S17" i="69"/>
  <c r="J17" i="69"/>
  <c r="G17" i="69"/>
  <c r="AS16" i="69"/>
  <c r="AR16" i="69"/>
  <c r="AP16" i="69"/>
  <c r="AO16" i="69"/>
  <c r="AN16" i="69"/>
  <c r="AK16" i="69"/>
  <c r="AH16" i="69"/>
  <c r="AE16" i="69"/>
  <c r="Y16" i="69"/>
  <c r="V16" i="69"/>
  <c r="S16" i="69"/>
  <c r="M16" i="69"/>
  <c r="J16" i="69"/>
  <c r="G16" i="69"/>
  <c r="D16" i="69"/>
  <c r="AS15" i="69"/>
  <c r="AR15" i="69"/>
  <c r="AP15" i="69"/>
  <c r="AO15" i="69"/>
  <c r="AN15" i="69"/>
  <c r="AK15" i="69"/>
  <c r="AH15" i="69"/>
  <c r="AB15" i="69"/>
  <c r="Y15" i="69"/>
  <c r="V15" i="69"/>
  <c r="S15" i="69"/>
  <c r="M15" i="69"/>
  <c r="J15" i="69"/>
  <c r="G15" i="69"/>
  <c r="D15" i="69"/>
  <c r="AR14" i="69"/>
  <c r="AO14" i="69"/>
  <c r="AM14" i="69"/>
  <c r="AM34" i="69" s="1"/>
  <c r="AJ14" i="69"/>
  <c r="AJ34" i="69" s="1"/>
  <c r="AD14" i="69"/>
  <c r="AD34" i="69" s="1"/>
  <c r="AA14" i="69"/>
  <c r="X14" i="69"/>
  <c r="U14" i="69"/>
  <c r="R14" i="69"/>
  <c r="R34" i="69" s="1"/>
  <c r="O14" i="69"/>
  <c r="L14" i="69"/>
  <c r="I14" i="69"/>
  <c r="F14" i="69"/>
  <c r="F34" i="69" s="1"/>
  <c r="AS13" i="69"/>
  <c r="AR13" i="69"/>
  <c r="AP13" i="69"/>
  <c r="AO13" i="69"/>
  <c r="AQ13" i="69" s="1"/>
  <c r="AN13" i="69"/>
  <c r="AK13" i="69"/>
  <c r="AH13" i="69"/>
  <c r="AE13" i="69"/>
  <c r="Y13" i="69"/>
  <c r="V13" i="69"/>
  <c r="S13" i="69"/>
  <c r="M13" i="69"/>
  <c r="J13" i="69"/>
  <c r="G13" i="69"/>
  <c r="D13" i="69"/>
  <c r="AS12" i="69"/>
  <c r="AR12" i="69"/>
  <c r="AP12" i="69"/>
  <c r="AO12" i="69"/>
  <c r="AN12" i="69"/>
  <c r="AK12" i="69"/>
  <c r="Y12" i="69"/>
  <c r="S12" i="69"/>
  <c r="M12" i="69"/>
  <c r="J12" i="69"/>
  <c r="G12" i="69"/>
  <c r="D12" i="69"/>
  <c r="AS11" i="69"/>
  <c r="AR11" i="69"/>
  <c r="AP11" i="69"/>
  <c r="AO11" i="69"/>
  <c r="AQ11" i="69" s="1"/>
  <c r="AN11" i="69"/>
  <c r="AK11" i="69"/>
  <c r="AE11" i="69"/>
  <c r="AB11" i="69"/>
  <c r="Y11" i="69"/>
  <c r="V11" i="69"/>
  <c r="S11" i="69"/>
  <c r="P11" i="69"/>
  <c r="M11" i="69"/>
  <c r="J11" i="69"/>
  <c r="G11" i="69"/>
  <c r="D11" i="69"/>
  <c r="E37" i="29"/>
  <c r="E38" i="29"/>
  <c r="E39" i="29"/>
  <c r="E32" i="29"/>
  <c r="E38" i="24"/>
  <c r="E37" i="23"/>
  <c r="E32" i="23"/>
  <c r="E37" i="20"/>
  <c r="E39" i="20"/>
  <c r="E32" i="20"/>
  <c r="E46" i="13"/>
  <c r="E45" i="13"/>
  <c r="E36" i="13"/>
  <c r="E37" i="13"/>
  <c r="E38" i="13"/>
  <c r="E39" i="13"/>
  <c r="E32" i="13"/>
  <c r="E33" i="13"/>
  <c r="N117" i="8"/>
  <c r="M117" i="8"/>
  <c r="N116" i="8"/>
  <c r="M116" i="8"/>
  <c r="N121" i="8"/>
  <c r="N115" i="8"/>
  <c r="M115" i="8"/>
  <c r="E37" i="33"/>
  <c r="E38" i="33"/>
  <c r="E32" i="33"/>
  <c r="AJ91" i="66"/>
  <c r="AL91" i="66"/>
  <c r="AD91" i="66"/>
  <c r="N91" i="66"/>
  <c r="AS89" i="66"/>
  <c r="AR89" i="66"/>
  <c r="AP89" i="66"/>
  <c r="AO89" i="66"/>
  <c r="AN89" i="66"/>
  <c r="AK89" i="66"/>
  <c r="AH89" i="66"/>
  <c r="AB89" i="66"/>
  <c r="Y89" i="66"/>
  <c r="V89" i="66"/>
  <c r="S89" i="66"/>
  <c r="P89" i="66"/>
  <c r="M89" i="66"/>
  <c r="J89" i="66"/>
  <c r="G89" i="66"/>
  <c r="D89" i="66"/>
  <c r="AS88" i="66"/>
  <c r="AR88" i="66"/>
  <c r="AP88" i="66"/>
  <c r="AO88" i="66"/>
  <c r="AN88" i="66"/>
  <c r="AK88" i="66"/>
  <c r="AH88" i="66"/>
  <c r="AE88" i="66"/>
  <c r="AB88" i="66"/>
  <c r="Y88" i="66"/>
  <c r="V88" i="66"/>
  <c r="S88" i="66"/>
  <c r="P88" i="66"/>
  <c r="M88" i="66"/>
  <c r="G88" i="66"/>
  <c r="D88" i="66"/>
  <c r="AS87" i="66"/>
  <c r="AR87" i="66"/>
  <c r="AP87" i="66"/>
  <c r="AO87" i="66"/>
  <c r="AK87" i="66"/>
  <c r="AH87" i="66"/>
  <c r="AS86" i="66"/>
  <c r="AR86" i="66"/>
  <c r="AP86" i="66"/>
  <c r="AO86" i="66"/>
  <c r="AN86" i="66"/>
  <c r="AK86" i="66"/>
  <c r="AH86" i="66"/>
  <c r="AB86" i="66"/>
  <c r="Y86" i="66"/>
  <c r="V86" i="66"/>
  <c r="S86" i="66"/>
  <c r="P86" i="66"/>
  <c r="M86" i="66"/>
  <c r="J86" i="66"/>
  <c r="G86" i="66"/>
  <c r="D86" i="66"/>
  <c r="AE85" i="66"/>
  <c r="S85" i="66"/>
  <c r="M85" i="66"/>
  <c r="D85" i="66"/>
  <c r="AS84" i="66"/>
  <c r="AR84" i="66"/>
  <c r="AT84" i="66" s="1"/>
  <c r="AP84" i="66"/>
  <c r="AO84" i="66"/>
  <c r="AQ84" i="66" s="1"/>
  <c r="AS83" i="66"/>
  <c r="AR83" i="66"/>
  <c r="AP83" i="66"/>
  <c r="AO83" i="66"/>
  <c r="AK83" i="66"/>
  <c r="V83" i="66"/>
  <c r="S83" i="66"/>
  <c r="M83" i="66"/>
  <c r="G83" i="66"/>
  <c r="D83" i="66"/>
  <c r="AS82" i="66"/>
  <c r="AR82" i="66"/>
  <c r="AP82" i="66"/>
  <c r="AO82" i="66"/>
  <c r="S82" i="66"/>
  <c r="AN81" i="66"/>
  <c r="AH81" i="66"/>
  <c r="AE81" i="66"/>
  <c r="V81" i="66"/>
  <c r="S81" i="66"/>
  <c r="M81" i="66"/>
  <c r="J81" i="66"/>
  <c r="G81" i="66"/>
  <c r="D81" i="66"/>
  <c r="AH79" i="66"/>
  <c r="P79" i="66"/>
  <c r="AS78" i="66"/>
  <c r="AR78" i="66"/>
  <c r="AT78" i="66" s="1"/>
  <c r="AP78" i="66"/>
  <c r="AO78" i="66"/>
  <c r="AQ78" i="66" s="1"/>
  <c r="AS77" i="66"/>
  <c r="AR77" i="66"/>
  <c r="AP77" i="66"/>
  <c r="AO77" i="66"/>
  <c r="AN77" i="66"/>
  <c r="AK77" i="66"/>
  <c r="Y77" i="66"/>
  <c r="J77" i="66"/>
  <c r="G77" i="66"/>
  <c r="D77" i="66"/>
  <c r="AS76" i="66"/>
  <c r="AR76" i="66"/>
  <c r="AP76" i="66"/>
  <c r="AO76" i="66"/>
  <c r="AN76" i="66"/>
  <c r="AK76" i="66"/>
  <c r="Y76" i="66"/>
  <c r="V76" i="66"/>
  <c r="S76" i="66"/>
  <c r="G76" i="66"/>
  <c r="D76" i="66"/>
  <c r="AS75" i="66"/>
  <c r="AR75" i="66"/>
  <c r="AP75" i="66"/>
  <c r="AO75" i="66"/>
  <c r="AN75" i="66"/>
  <c r="AK75" i="66"/>
  <c r="AH75" i="66"/>
  <c r="AB75" i="66"/>
  <c r="Y75" i="66"/>
  <c r="V75" i="66"/>
  <c r="S75" i="66"/>
  <c r="M75" i="66"/>
  <c r="G75" i="66"/>
  <c r="D75" i="66"/>
  <c r="AS74" i="66"/>
  <c r="AP74" i="66"/>
  <c r="AN74" i="66"/>
  <c r="AK74" i="66"/>
  <c r="AH74" i="66"/>
  <c r="AB74" i="66"/>
  <c r="Y74" i="66"/>
  <c r="V74" i="66"/>
  <c r="S74" i="66"/>
  <c r="AR74" i="66"/>
  <c r="M74" i="66"/>
  <c r="J74" i="66"/>
  <c r="G74" i="66"/>
  <c r="D74" i="66"/>
  <c r="AS73" i="66"/>
  <c r="AN73" i="66"/>
  <c r="AK73" i="66"/>
  <c r="AH73" i="66"/>
  <c r="Y73" i="66"/>
  <c r="V73" i="66"/>
  <c r="S73" i="66"/>
  <c r="J73" i="66"/>
  <c r="D73" i="66"/>
  <c r="AS71" i="66"/>
  <c r="AR71" i="66"/>
  <c r="AP71" i="66"/>
  <c r="AO71" i="66"/>
  <c r="AN71" i="66"/>
  <c r="AK71" i="66"/>
  <c r="AB71" i="66"/>
  <c r="Y71" i="66"/>
  <c r="S71" i="66"/>
  <c r="G71" i="66"/>
  <c r="AS70" i="66"/>
  <c r="AR70" i="66"/>
  <c r="AP70" i="66"/>
  <c r="AO70" i="66"/>
  <c r="AN70" i="66"/>
  <c r="AK70" i="66"/>
  <c r="AB70" i="66"/>
  <c r="Y70" i="66"/>
  <c r="V70" i="66"/>
  <c r="S70" i="66"/>
  <c r="M70" i="66"/>
  <c r="G70" i="66"/>
  <c r="AS69" i="66"/>
  <c r="AR69" i="66"/>
  <c r="AP69" i="66"/>
  <c r="AO69" i="66"/>
  <c r="AN69" i="66"/>
  <c r="AK69" i="66"/>
  <c r="AH69" i="66"/>
  <c r="AE69" i="66"/>
  <c r="AB69" i="66"/>
  <c r="Y69" i="66"/>
  <c r="V69" i="66"/>
  <c r="S69" i="66"/>
  <c r="P69" i="66"/>
  <c r="M69" i="66"/>
  <c r="J69" i="66"/>
  <c r="G69" i="66"/>
  <c r="D69" i="66"/>
  <c r="AS68" i="66"/>
  <c r="AR68" i="66"/>
  <c r="AP68" i="66"/>
  <c r="AO68" i="66"/>
  <c r="AN68" i="66"/>
  <c r="AK68" i="66"/>
  <c r="AH68" i="66"/>
  <c r="AE68" i="66"/>
  <c r="AB68" i="66"/>
  <c r="Y68" i="66"/>
  <c r="V68" i="66"/>
  <c r="S68" i="66"/>
  <c r="P68" i="66"/>
  <c r="M68" i="66"/>
  <c r="J68" i="66"/>
  <c r="G68" i="66"/>
  <c r="D68" i="66"/>
  <c r="AS61" i="66"/>
  <c r="AR61" i="66"/>
  <c r="AP61" i="66"/>
  <c r="AO61" i="66"/>
  <c r="AH61" i="66"/>
  <c r="AS59" i="66"/>
  <c r="AR59" i="66"/>
  <c r="AP59" i="66"/>
  <c r="AO59" i="66"/>
  <c r="AN59" i="66"/>
  <c r="AK59" i="66"/>
  <c r="AH59" i="66"/>
  <c r="Y59" i="66"/>
  <c r="S59" i="66"/>
  <c r="M59" i="66"/>
  <c r="J59" i="66"/>
  <c r="D59" i="66"/>
  <c r="AS58" i="66"/>
  <c r="AR58" i="66"/>
  <c r="AP58" i="66"/>
  <c r="AO58" i="66"/>
  <c r="AN58" i="66"/>
  <c r="S58" i="66"/>
  <c r="AS57" i="66"/>
  <c r="AR57" i="66"/>
  <c r="AP57" i="66"/>
  <c r="AO57" i="66"/>
  <c r="V57" i="66"/>
  <c r="S57" i="66"/>
  <c r="M57" i="66"/>
  <c r="G57" i="66"/>
  <c r="AS56" i="66"/>
  <c r="AR56" i="66"/>
  <c r="AP56" i="66"/>
  <c r="AO56" i="66"/>
  <c r="AN56" i="66"/>
  <c r="AK56" i="66"/>
  <c r="AH56" i="66"/>
  <c r="V56" i="66"/>
  <c r="S56" i="66"/>
  <c r="M56" i="66"/>
  <c r="J56" i="66"/>
  <c r="G56" i="66"/>
  <c r="D56" i="66"/>
  <c r="AS55" i="66"/>
  <c r="AR55" i="66"/>
  <c r="AP55" i="66"/>
  <c r="AO55" i="66"/>
  <c r="AN55" i="66"/>
  <c r="AK55" i="66"/>
  <c r="AH55" i="66"/>
  <c r="AE55" i="66"/>
  <c r="Y55" i="66"/>
  <c r="V55" i="66"/>
  <c r="S55" i="66"/>
  <c r="M55" i="66"/>
  <c r="J55" i="66"/>
  <c r="G55" i="66"/>
  <c r="D55" i="66"/>
  <c r="AP54" i="66"/>
  <c r="AN54" i="66"/>
  <c r="AK54" i="66"/>
  <c r="AH54" i="66"/>
  <c r="AE54" i="66"/>
  <c r="Y54" i="66"/>
  <c r="V54" i="66"/>
  <c r="M54" i="66"/>
  <c r="J54" i="66"/>
  <c r="G54" i="66"/>
  <c r="D54" i="66"/>
  <c r="AR53" i="66"/>
  <c r="AP53" i="66"/>
  <c r="AO53" i="66"/>
  <c r="S53" i="66"/>
  <c r="AS52" i="66"/>
  <c r="AR52" i="66"/>
  <c r="AP52" i="66"/>
  <c r="AO52" i="66"/>
  <c r="AS51" i="66"/>
  <c r="AR51" i="66"/>
  <c r="AP51" i="66"/>
  <c r="AO51" i="66"/>
  <c r="S51" i="66"/>
  <c r="AO50" i="66"/>
  <c r="S50" i="66"/>
  <c r="AS49" i="66"/>
  <c r="AR49" i="66"/>
  <c r="AP49" i="66"/>
  <c r="AO49" i="66"/>
  <c r="AN49" i="66"/>
  <c r="S49" i="66"/>
  <c r="AS48" i="66"/>
  <c r="AR48" i="66"/>
  <c r="AT48" i="66" s="1"/>
  <c r="AP48" i="66"/>
  <c r="AO48" i="66"/>
  <c r="AQ48" i="66" s="1"/>
  <c r="AS46" i="66"/>
  <c r="AR46" i="66"/>
  <c r="AP46" i="66"/>
  <c r="AO46" i="66"/>
  <c r="AK46" i="66"/>
  <c r="AH46" i="66"/>
  <c r="Y46" i="66"/>
  <c r="J46" i="66"/>
  <c r="D46" i="66"/>
  <c r="AS44" i="66"/>
  <c r="AR44" i="66"/>
  <c r="AP44" i="66"/>
  <c r="AO44" i="66"/>
  <c r="AN44" i="66"/>
  <c r="AK44" i="66"/>
  <c r="AH44" i="66"/>
  <c r="AB44" i="66"/>
  <c r="Y44" i="66"/>
  <c r="S44" i="66"/>
  <c r="M44" i="66"/>
  <c r="J44" i="66"/>
  <c r="G44" i="66"/>
  <c r="D44" i="66"/>
  <c r="AS43" i="66"/>
  <c r="AR43" i="66"/>
  <c r="AP43" i="66"/>
  <c r="AO43" i="66"/>
  <c r="AN43" i="66"/>
  <c r="AK43" i="66"/>
  <c r="Y43" i="66"/>
  <c r="S43" i="66"/>
  <c r="G43" i="66"/>
  <c r="D43" i="66"/>
  <c r="AS42" i="66"/>
  <c r="AR42" i="66"/>
  <c r="AP42" i="66"/>
  <c r="AO42" i="66"/>
  <c r="AH42" i="66"/>
  <c r="AB42" i="66"/>
  <c r="V42" i="66"/>
  <c r="S42" i="66"/>
  <c r="M42" i="66"/>
  <c r="G42" i="66"/>
  <c r="AS41" i="66"/>
  <c r="AR41" i="66"/>
  <c r="AP41" i="66"/>
  <c r="AO41" i="66"/>
  <c r="AN41" i="66"/>
  <c r="AK41" i="66"/>
  <c r="AH41" i="66"/>
  <c r="AB41" i="66"/>
  <c r="Y41" i="66"/>
  <c r="V41" i="66"/>
  <c r="S41" i="66"/>
  <c r="M41" i="66"/>
  <c r="J41" i="66"/>
  <c r="G41" i="66"/>
  <c r="D41" i="66"/>
  <c r="AS40" i="66"/>
  <c r="AR40" i="66"/>
  <c r="AP40" i="66"/>
  <c r="AO40" i="66"/>
  <c r="AN40" i="66"/>
  <c r="AK40" i="66"/>
  <c r="AH40" i="66"/>
  <c r="AB40" i="66"/>
  <c r="Y40" i="66"/>
  <c r="V40" i="66"/>
  <c r="S40" i="66"/>
  <c r="J40" i="66"/>
  <c r="G40" i="66"/>
  <c r="D40" i="66"/>
  <c r="AR39" i="66"/>
  <c r="AN39" i="66"/>
  <c r="AK39" i="66"/>
  <c r="AH39" i="66"/>
  <c r="Y39" i="66"/>
  <c r="G39" i="66"/>
  <c r="D39" i="66"/>
  <c r="AS38" i="66"/>
  <c r="AR38" i="66"/>
  <c r="AP38" i="66"/>
  <c r="AO38" i="66"/>
  <c r="AN38" i="66"/>
  <c r="AK38" i="66"/>
  <c r="AH38" i="66"/>
  <c r="AB38" i="66"/>
  <c r="Y38" i="66"/>
  <c r="V38" i="66"/>
  <c r="S38" i="66"/>
  <c r="M38" i="66"/>
  <c r="AS37" i="66"/>
  <c r="AR37" i="66"/>
  <c r="AP37" i="66"/>
  <c r="AO37" i="66"/>
  <c r="AN37" i="66"/>
  <c r="AK37" i="66"/>
  <c r="AB37" i="66"/>
  <c r="Y37" i="66"/>
  <c r="S37" i="66"/>
  <c r="M37" i="66"/>
  <c r="G37" i="66"/>
  <c r="AS36" i="66"/>
  <c r="AR36" i="66"/>
  <c r="AP36" i="66"/>
  <c r="AO36" i="66"/>
  <c r="AN36" i="66"/>
  <c r="AK36" i="66"/>
  <c r="AB36" i="66"/>
  <c r="Y36" i="66"/>
  <c r="V36" i="66"/>
  <c r="S36" i="66"/>
  <c r="M36" i="66"/>
  <c r="G36" i="66"/>
  <c r="AB35" i="66"/>
  <c r="Y35" i="66"/>
  <c r="V35" i="66"/>
  <c r="M35" i="66"/>
  <c r="G35" i="66"/>
  <c r="AR34" i="66"/>
  <c r="AO34" i="66"/>
  <c r="AN34" i="66"/>
  <c r="AK34" i="66"/>
  <c r="Y34" i="66"/>
  <c r="V34" i="66"/>
  <c r="S34" i="66"/>
  <c r="G34" i="66"/>
  <c r="AS33" i="66"/>
  <c r="AR33" i="66"/>
  <c r="AP33" i="66"/>
  <c r="AO33" i="66"/>
  <c r="AK33" i="66"/>
  <c r="G33" i="66"/>
  <c r="Y29" i="66"/>
  <c r="AR28" i="66"/>
  <c r="AP28" i="66"/>
  <c r="AO28" i="66"/>
  <c r="AN28" i="66"/>
  <c r="AK28" i="66"/>
  <c r="AH28" i="66"/>
  <c r="AE28" i="66"/>
  <c r="AB28" i="66"/>
  <c r="Y28" i="66"/>
  <c r="V28" i="66"/>
  <c r="S28" i="66"/>
  <c r="P28" i="66"/>
  <c r="M28" i="66"/>
  <c r="J28" i="66"/>
  <c r="G28" i="66"/>
  <c r="D28" i="66"/>
  <c r="AS28" i="66"/>
  <c r="Y27" i="66"/>
  <c r="AS26" i="66"/>
  <c r="AR26" i="66"/>
  <c r="AP26" i="66"/>
  <c r="AO26" i="66"/>
  <c r="AH26" i="66"/>
  <c r="AS25" i="66"/>
  <c r="AR25" i="66"/>
  <c r="AP25" i="66"/>
  <c r="AO25" i="66"/>
  <c r="AN25" i="66"/>
  <c r="AK25" i="66"/>
  <c r="S25" i="66"/>
  <c r="J25" i="66"/>
  <c r="G25" i="66"/>
  <c r="AS24" i="66"/>
  <c r="AR24" i="66"/>
  <c r="AP24" i="66"/>
  <c r="AO24" i="66"/>
  <c r="AN24" i="66"/>
  <c r="S24" i="66"/>
  <c r="G24" i="66"/>
  <c r="AS23" i="66"/>
  <c r="AR23" i="66"/>
  <c r="AP23" i="66"/>
  <c r="AO23" i="66"/>
  <c r="AH23" i="66"/>
  <c r="Y23" i="66"/>
  <c r="V23" i="66"/>
  <c r="S23" i="66"/>
  <c r="G23" i="66"/>
  <c r="AS22" i="66"/>
  <c r="AR22" i="66"/>
  <c r="AP22" i="66"/>
  <c r="AO22" i="66"/>
  <c r="AN22" i="66"/>
  <c r="AK22" i="66"/>
  <c r="AH22" i="66"/>
  <c r="AB22" i="66"/>
  <c r="Y22" i="66"/>
  <c r="V22" i="66"/>
  <c r="S22" i="66"/>
  <c r="M22" i="66"/>
  <c r="J22" i="66"/>
  <c r="G22" i="66"/>
  <c r="D22" i="66"/>
  <c r="AS21" i="66"/>
  <c r="AR21" i="66"/>
  <c r="AP21" i="66"/>
  <c r="AO21" i="66"/>
  <c r="AN21" i="66"/>
  <c r="AK21" i="66"/>
  <c r="AH21" i="66"/>
  <c r="Y21" i="66"/>
  <c r="V21" i="66"/>
  <c r="S21" i="66"/>
  <c r="M21" i="66"/>
  <c r="J21" i="66"/>
  <c r="G21" i="66"/>
  <c r="D21" i="66"/>
  <c r="AO20" i="66"/>
  <c r="AN20" i="66"/>
  <c r="AK20" i="66"/>
  <c r="AH20" i="66"/>
  <c r="AB20" i="66"/>
  <c r="Y20" i="66"/>
  <c r="V20" i="66"/>
  <c r="AS20" i="66"/>
  <c r="AR20" i="66"/>
  <c r="M20" i="66"/>
  <c r="J20" i="66"/>
  <c r="G20" i="66"/>
  <c r="D20" i="66"/>
  <c r="AP20" i="66"/>
  <c r="AS19" i="66"/>
  <c r="AR19" i="66"/>
  <c r="AP19" i="66"/>
  <c r="AO19" i="66"/>
  <c r="AN19" i="66"/>
  <c r="AK19" i="66"/>
  <c r="AB19" i="66"/>
  <c r="S19" i="66"/>
  <c r="AS18" i="66"/>
  <c r="AR18" i="66"/>
  <c r="AP18" i="66"/>
  <c r="AO18" i="66"/>
  <c r="AK18" i="66"/>
  <c r="S18" i="66"/>
  <c r="AS17" i="66"/>
  <c r="AR17" i="66"/>
  <c r="AP17" i="66"/>
  <c r="AO17" i="66"/>
  <c r="AK17" i="66"/>
  <c r="AB17" i="66"/>
  <c r="S17" i="66"/>
  <c r="AB16" i="66"/>
  <c r="S16" i="66"/>
  <c r="AO16" i="66"/>
  <c r="AP16" i="66"/>
  <c r="AS15" i="66"/>
  <c r="AR15" i="66"/>
  <c r="AP15" i="66"/>
  <c r="AO15" i="66"/>
  <c r="AN15" i="66"/>
  <c r="AK15" i="66"/>
  <c r="AB15" i="66"/>
  <c r="S15" i="66"/>
  <c r="G15" i="66"/>
  <c r="AS14" i="66"/>
  <c r="AR14" i="66"/>
  <c r="AP14" i="66"/>
  <c r="AO14" i="66"/>
  <c r="AK14" i="66"/>
  <c r="S14" i="66"/>
  <c r="D57" i="37"/>
  <c r="D58" i="37"/>
  <c r="D59" i="37"/>
  <c r="D58" i="33"/>
  <c r="D59" i="33"/>
  <c r="D58" i="39"/>
  <c r="D59" i="39"/>
  <c r="D64" i="13"/>
  <c r="D66" i="13"/>
  <c r="D60" i="13"/>
  <c r="D57" i="13"/>
  <c r="D58" i="13"/>
  <c r="D59" i="22"/>
  <c r="D60" i="22"/>
  <c r="D61" i="22"/>
  <c r="D58" i="22"/>
  <c r="D55" i="41"/>
  <c r="D60" i="41"/>
  <c r="D61" i="41"/>
  <c r="D99" i="29"/>
  <c r="D100" i="29"/>
  <c r="AK17" i="75" l="1"/>
  <c r="AK39" i="75"/>
  <c r="AK33" i="75"/>
  <c r="AK30" i="75"/>
  <c r="AN45" i="74"/>
  <c r="AN51" i="74"/>
  <c r="AN52" i="74"/>
  <c r="AN21" i="74"/>
  <c r="AN36" i="74"/>
  <c r="AN33" i="74"/>
  <c r="AN46" i="74"/>
  <c r="AT12" i="71"/>
  <c r="AH43" i="72"/>
  <c r="AT17" i="71"/>
  <c r="AT57" i="71"/>
  <c r="AT48" i="71"/>
  <c r="AT19" i="71"/>
  <c r="AT60" i="71"/>
  <c r="AQ84" i="71"/>
  <c r="AT85" i="71"/>
  <c r="AQ86" i="71"/>
  <c r="AQ90" i="71"/>
  <c r="AQ12" i="71"/>
  <c r="AT13" i="71"/>
  <c r="AQ48" i="71"/>
  <c r="AT97" i="71"/>
  <c r="AT99" i="71"/>
  <c r="AQ100" i="71"/>
  <c r="AQ106" i="71"/>
  <c r="AT139" i="71"/>
  <c r="AT134" i="71"/>
  <c r="AT136" i="71"/>
  <c r="AT138" i="71"/>
  <c r="Y41" i="72"/>
  <c r="AT65" i="71"/>
  <c r="AQ17" i="71"/>
  <c r="P43" i="72"/>
  <c r="V43" i="72"/>
  <c r="AQ94" i="71"/>
  <c r="J43" i="72"/>
  <c r="V47" i="72"/>
  <c r="G38" i="72"/>
  <c r="AQ13" i="71"/>
  <c r="AQ22" i="70"/>
  <c r="AT29" i="70"/>
  <c r="AQ34" i="70"/>
  <c r="AQ36" i="70"/>
  <c r="AT38" i="70"/>
  <c r="AT50" i="70"/>
  <c r="AQ53" i="70"/>
  <c r="AT58" i="70"/>
  <c r="AT72" i="70"/>
  <c r="AT79" i="70"/>
  <c r="AQ84" i="70"/>
  <c r="AQ95" i="70"/>
  <c r="AT98" i="70"/>
  <c r="AQ14" i="70"/>
  <c r="AT25" i="70"/>
  <c r="AQ26" i="70"/>
  <c r="AQ46" i="70"/>
  <c r="AT48" i="70"/>
  <c r="AT69" i="70"/>
  <c r="AT75" i="70"/>
  <c r="AT83" i="70"/>
  <c r="AT84" i="70"/>
  <c r="AT88" i="70"/>
  <c r="AT95" i="70"/>
  <c r="AB40" i="72"/>
  <c r="AT93" i="70"/>
  <c r="G39" i="72"/>
  <c r="AT46" i="70"/>
  <c r="AT43" i="70"/>
  <c r="AQ38" i="70"/>
  <c r="AQ43" i="70"/>
  <c r="G42" i="72"/>
  <c r="AQ37" i="69"/>
  <c r="AQ38" i="69"/>
  <c r="AT11" i="69"/>
  <c r="AT13" i="69"/>
  <c r="AT20" i="69"/>
  <c r="AQ27" i="69"/>
  <c r="AQ31" i="69"/>
  <c r="AT15" i="69"/>
  <c r="AQ24" i="69"/>
  <c r="AQ32" i="69"/>
  <c r="AQ12" i="69"/>
  <c r="L26" i="20"/>
  <c r="G14" i="75"/>
  <c r="AK20" i="75"/>
  <c r="AJ26" i="75"/>
  <c r="AJ31" i="75"/>
  <c r="AK31" i="75" s="1"/>
  <c r="AJ42" i="75"/>
  <c r="AK42" i="75" s="1"/>
  <c r="F11" i="75"/>
  <c r="G11" i="75" s="1"/>
  <c r="AK12" i="75"/>
  <c r="AJ14" i="75"/>
  <c r="AK14" i="75" s="1"/>
  <c r="AJ16" i="75"/>
  <c r="AK16" i="75" s="1"/>
  <c r="AK34" i="75"/>
  <c r="AK38" i="75"/>
  <c r="J11" i="74"/>
  <c r="G61" i="74"/>
  <c r="AL41" i="75"/>
  <c r="AB11" i="74"/>
  <c r="AK15" i="74"/>
  <c r="AL41" i="74"/>
  <c r="AJ56" i="74"/>
  <c r="AK56" i="74" s="1"/>
  <c r="AE54" i="74"/>
  <c r="AN14" i="74"/>
  <c r="AN15" i="74"/>
  <c r="AN18" i="74"/>
  <c r="AJ58" i="74"/>
  <c r="AK58" i="74" s="1"/>
  <c r="AN27" i="74"/>
  <c r="AN31" i="74"/>
  <c r="AJ48" i="74"/>
  <c r="AK48" i="74" s="1"/>
  <c r="AM59" i="74"/>
  <c r="S59" i="74"/>
  <c r="D11" i="74"/>
  <c r="S11" i="74"/>
  <c r="AE11" i="74"/>
  <c r="AN17" i="74"/>
  <c r="AN28" i="74"/>
  <c r="AN34" i="74"/>
  <c r="AN43" i="74"/>
  <c r="AN49" i="74"/>
  <c r="O54" i="74"/>
  <c r="AQ21" i="72"/>
  <c r="AT24" i="72"/>
  <c r="C32" i="72"/>
  <c r="D32" i="72" s="1"/>
  <c r="AO44" i="72"/>
  <c r="C48" i="72"/>
  <c r="D17" i="72"/>
  <c r="AP17" i="72"/>
  <c r="AQ17" i="72" s="1"/>
  <c r="AT12" i="72"/>
  <c r="M40" i="72"/>
  <c r="M48" i="72"/>
  <c r="AQ14" i="72"/>
  <c r="AT22" i="72"/>
  <c r="AT31" i="72"/>
  <c r="AN43" i="72"/>
  <c r="Y44" i="72"/>
  <c r="P48" i="72"/>
  <c r="AS44" i="72"/>
  <c r="AJ40" i="72"/>
  <c r="AK40" i="72" s="1"/>
  <c r="AQ57" i="71"/>
  <c r="AT69" i="71"/>
  <c r="AT84" i="71"/>
  <c r="AQ85" i="71"/>
  <c r="AT86" i="71"/>
  <c r="AT89" i="71"/>
  <c r="AT90" i="71"/>
  <c r="AK45" i="72"/>
  <c r="AQ99" i="71"/>
  <c r="AT100" i="71"/>
  <c r="AS122" i="71"/>
  <c r="AQ125" i="71"/>
  <c r="AQ127" i="71"/>
  <c r="AQ128" i="71"/>
  <c r="AT132" i="71"/>
  <c r="AQ134" i="71"/>
  <c r="AT135" i="71"/>
  <c r="AQ139" i="71"/>
  <c r="AT140" i="71"/>
  <c r="AT143" i="71"/>
  <c r="J38" i="72"/>
  <c r="V39" i="72"/>
  <c r="AB39" i="72"/>
  <c r="AN39" i="72"/>
  <c r="D44" i="72"/>
  <c r="AB48" i="72"/>
  <c r="R46" i="72"/>
  <c r="S46" i="72" s="1"/>
  <c r="AQ15" i="71"/>
  <c r="AT16" i="71"/>
  <c r="AT18" i="71"/>
  <c r="AK38" i="71"/>
  <c r="AS38" i="71"/>
  <c r="AT38" i="71" s="1"/>
  <c r="AK40" i="71"/>
  <c r="AT41" i="71"/>
  <c r="AQ55" i="71"/>
  <c r="AT62" i="71"/>
  <c r="AT94" i="71"/>
  <c r="AJ104" i="71"/>
  <c r="AP101" i="71"/>
  <c r="AQ101" i="71" s="1"/>
  <c r="AQ122" i="71"/>
  <c r="AT126" i="71"/>
  <c r="AQ132" i="71"/>
  <c r="AQ135" i="71"/>
  <c r="Y40" i="72"/>
  <c r="AE40" i="72"/>
  <c r="S42" i="72"/>
  <c r="Y42" i="72"/>
  <c r="Y43" i="72"/>
  <c r="D47" i="72"/>
  <c r="AH47" i="72"/>
  <c r="S48" i="72"/>
  <c r="Y48" i="72"/>
  <c r="AJ56" i="71"/>
  <c r="AO48" i="72"/>
  <c r="AT15" i="71"/>
  <c r="AQ16" i="71"/>
  <c r="AQ18" i="71"/>
  <c r="AN20" i="71"/>
  <c r="AQ21" i="71"/>
  <c r="D48" i="72"/>
  <c r="AQ22" i="71"/>
  <c r="AJ38" i="72"/>
  <c r="AP38" i="71"/>
  <c r="AQ38" i="71" s="1"/>
  <c r="AP40" i="71"/>
  <c r="AQ40" i="71" s="1"/>
  <c r="AK50" i="71"/>
  <c r="AS50" i="71"/>
  <c r="AT50" i="71" s="1"/>
  <c r="AT55" i="71"/>
  <c r="AK58" i="71"/>
  <c r="AS58" i="71"/>
  <c r="AT58" i="71" s="1"/>
  <c r="AT64" i="71"/>
  <c r="AT70" i="71"/>
  <c r="AT122" i="71"/>
  <c r="AT125" i="71"/>
  <c r="AA130" i="71"/>
  <c r="AS130" i="71" s="1"/>
  <c r="AR39" i="72"/>
  <c r="AO45" i="72"/>
  <c r="AT22" i="70"/>
  <c r="AT24" i="70"/>
  <c r="AT26" i="70"/>
  <c r="AQ27" i="70"/>
  <c r="AQ28" i="70"/>
  <c r="AT36" i="70"/>
  <c r="D41" i="70"/>
  <c r="AS41" i="70"/>
  <c r="AT41" i="70" s="1"/>
  <c r="AQ50" i="70"/>
  <c r="AP56" i="70"/>
  <c r="AQ56" i="70" s="1"/>
  <c r="AQ63" i="70"/>
  <c r="G71" i="70"/>
  <c r="AQ79" i="70"/>
  <c r="AT86" i="70"/>
  <c r="AQ88" i="70"/>
  <c r="AQ96" i="70"/>
  <c r="AB42" i="72"/>
  <c r="AN44" i="72"/>
  <c r="Y47" i="72"/>
  <c r="AP41" i="72"/>
  <c r="O46" i="72"/>
  <c r="P46" i="72" s="1"/>
  <c r="AA46" i="72"/>
  <c r="AB46" i="72" s="1"/>
  <c r="AT28" i="70"/>
  <c r="AQ33" i="70"/>
  <c r="AQ48" i="70"/>
  <c r="AQ74" i="70"/>
  <c r="AQ76" i="70"/>
  <c r="AT80" i="70"/>
  <c r="AQ83" i="70"/>
  <c r="AT96" i="70"/>
  <c r="V38" i="72"/>
  <c r="AH38" i="72"/>
  <c r="P40" i="72"/>
  <c r="V40" i="72"/>
  <c r="AN40" i="72"/>
  <c r="G41" i="72"/>
  <c r="AB43" i="72"/>
  <c r="AB47" i="72"/>
  <c r="AN47" i="72"/>
  <c r="AH48" i="72"/>
  <c r="AN48" i="72"/>
  <c r="AR70" i="70"/>
  <c r="AQ13" i="70"/>
  <c r="AR43" i="72"/>
  <c r="AQ24" i="70"/>
  <c r="AT63" i="70"/>
  <c r="AT64" i="70"/>
  <c r="AS82" i="70"/>
  <c r="J40" i="72"/>
  <c r="S40" i="72"/>
  <c r="S43" i="72"/>
  <c r="S44" i="72"/>
  <c r="AB44" i="72"/>
  <c r="M47" i="72"/>
  <c r="AE48" i="72"/>
  <c r="AP19" i="69"/>
  <c r="AQ19" i="69" s="1"/>
  <c r="J29" i="69"/>
  <c r="S40" i="69"/>
  <c r="AT12" i="69"/>
  <c r="U34" i="69"/>
  <c r="U41" i="69" s="1"/>
  <c r="AQ15" i="69"/>
  <c r="AQ16" i="69"/>
  <c r="AQ28" i="69"/>
  <c r="AQ33" i="69"/>
  <c r="AQ42" i="69"/>
  <c r="AB29" i="69"/>
  <c r="O34" i="69"/>
  <c r="O41" i="69" s="1"/>
  <c r="AT16" i="69"/>
  <c r="AP20" i="69"/>
  <c r="AQ20" i="69" s="1"/>
  <c r="G21" i="69"/>
  <c r="AQ26" i="69"/>
  <c r="AQ30" i="69"/>
  <c r="AQ39" i="69"/>
  <c r="F41" i="69"/>
  <c r="Y29" i="69"/>
  <c r="AH34" i="69"/>
  <c r="AQ23" i="69"/>
  <c r="V29" i="69"/>
  <c r="AN29" i="69"/>
  <c r="R41" i="69"/>
  <c r="R43" i="69" s="1"/>
  <c r="R45" i="69" s="1"/>
  <c r="S29" i="69"/>
  <c r="AK29" i="69"/>
  <c r="AM41" i="69"/>
  <c r="AN34" i="69"/>
  <c r="D21" i="69"/>
  <c r="AP21" i="69"/>
  <c r="AS21" i="69"/>
  <c r="M21" i="69"/>
  <c r="AQ44" i="69"/>
  <c r="AO21" i="69"/>
  <c r="AD41" i="69"/>
  <c r="AJ41" i="69"/>
  <c r="Y92" i="71"/>
  <c r="AS14" i="69"/>
  <c r="G14" i="69"/>
  <c r="M14" i="69"/>
  <c r="S14" i="69"/>
  <c r="Y14" i="69"/>
  <c r="AE14" i="69"/>
  <c r="AK14" i="69"/>
  <c r="AP14" i="69"/>
  <c r="V21" i="69"/>
  <c r="AE21" i="69"/>
  <c r="AN21" i="69"/>
  <c r="AR21" i="69"/>
  <c r="D23" i="69"/>
  <c r="S23" i="69"/>
  <c r="AN23" i="69"/>
  <c r="L29" i="69"/>
  <c r="L34" i="69" s="1"/>
  <c r="X34" i="69"/>
  <c r="AO40" i="69"/>
  <c r="AO38" i="72"/>
  <c r="AR40" i="72"/>
  <c r="AO41" i="72"/>
  <c r="AS41" i="72"/>
  <c r="AP42" i="72"/>
  <c r="AR44" i="72"/>
  <c r="AR45" i="72"/>
  <c r="AG46" i="72"/>
  <c r="AO47" i="72"/>
  <c r="Y32" i="70"/>
  <c r="AS32" i="70"/>
  <c r="Y56" i="70"/>
  <c r="AE56" i="70"/>
  <c r="AP62" i="70"/>
  <c r="AQ62" i="70" s="1"/>
  <c r="G64" i="70"/>
  <c r="AP67" i="70"/>
  <c r="AQ67" i="70" s="1"/>
  <c r="AP72" i="70"/>
  <c r="AQ72" i="70" s="1"/>
  <c r="G82" i="70"/>
  <c r="AP82" i="70"/>
  <c r="AP91" i="70"/>
  <c r="AQ91" i="70" s="1"/>
  <c r="C94" i="70"/>
  <c r="M100" i="70"/>
  <c r="AP100" i="70"/>
  <c r="AQ100" i="70" s="1"/>
  <c r="L106" i="70"/>
  <c r="AP106" i="70" s="1"/>
  <c r="AH106" i="70"/>
  <c r="AN106" i="70"/>
  <c r="AR106" i="70"/>
  <c r="AS108" i="70"/>
  <c r="AT108" i="70" s="1"/>
  <c r="AT32" i="71"/>
  <c r="AJ43" i="72"/>
  <c r="AK43" i="72" s="1"/>
  <c r="AK53" i="71"/>
  <c r="AS53" i="71"/>
  <c r="AT53" i="71" s="1"/>
  <c r="AH92" i="71"/>
  <c r="AP104" i="71"/>
  <c r="AS104" i="71"/>
  <c r="Y104" i="71"/>
  <c r="AS105" i="71"/>
  <c r="AT105" i="71" s="1"/>
  <c r="AP105" i="71"/>
  <c r="AQ105" i="71" s="1"/>
  <c r="AQ12" i="72"/>
  <c r="I34" i="69"/>
  <c r="AP40" i="69"/>
  <c r="AO46" i="72"/>
  <c r="AS20" i="70"/>
  <c r="AT20" i="70" s="1"/>
  <c r="AP108" i="70"/>
  <c r="AQ108" i="70" s="1"/>
  <c r="AK56" i="71"/>
  <c r="AN92" i="71"/>
  <c r="AP93" i="71"/>
  <c r="AQ93" i="71" s="1"/>
  <c r="AS93" i="71"/>
  <c r="AT93" i="71" s="1"/>
  <c r="G93" i="71"/>
  <c r="G104" i="71"/>
  <c r="AO104" i="71"/>
  <c r="AK35" i="74"/>
  <c r="D14" i="69"/>
  <c r="J14" i="69"/>
  <c r="P14" i="69"/>
  <c r="V14" i="69"/>
  <c r="AB14" i="69"/>
  <c r="AH14" i="69"/>
  <c r="AN14" i="69"/>
  <c r="AS19" i="69"/>
  <c r="AT19" i="69" s="1"/>
  <c r="P21" i="69"/>
  <c r="AB21" i="69"/>
  <c r="G23" i="69"/>
  <c r="AK23" i="69"/>
  <c r="AH29" i="69"/>
  <c r="AE34" i="69"/>
  <c r="AK34" i="69"/>
  <c r="AQ12" i="70"/>
  <c r="AO39" i="72"/>
  <c r="AS39" i="72"/>
  <c r="AT14" i="70"/>
  <c r="AQ15" i="70"/>
  <c r="AR42" i="72"/>
  <c r="AO43" i="72"/>
  <c r="AP44" i="72"/>
  <c r="AT18" i="70"/>
  <c r="AT19" i="70"/>
  <c r="I46" i="72"/>
  <c r="U46" i="72"/>
  <c r="AK20" i="70"/>
  <c r="AP20" i="70"/>
  <c r="AQ20" i="70" s="1"/>
  <c r="AQ21" i="70"/>
  <c r="AR48" i="72"/>
  <c r="AK32" i="70"/>
  <c r="C43" i="72"/>
  <c r="D44" i="70"/>
  <c r="J44" i="70"/>
  <c r="AS44" i="70"/>
  <c r="AS56" i="70"/>
  <c r="AT56" i="70" s="1"/>
  <c r="G62" i="70"/>
  <c r="AP64" i="70"/>
  <c r="AQ64" i="70" s="1"/>
  <c r="G67" i="70"/>
  <c r="E46" i="72"/>
  <c r="F47" i="72"/>
  <c r="G47" i="72" s="1"/>
  <c r="AR82" i="70"/>
  <c r="M103" i="70"/>
  <c r="AP103" i="70"/>
  <c r="AQ103" i="70" s="1"/>
  <c r="G106" i="70"/>
  <c r="Y106" i="70"/>
  <c r="AE106" i="70"/>
  <c r="AK106" i="70"/>
  <c r="M108" i="70"/>
  <c r="C40" i="72"/>
  <c r="D40" i="72" s="1"/>
  <c r="C20" i="71"/>
  <c r="D14" i="71"/>
  <c r="AS14" i="71"/>
  <c r="AT14" i="71" s="1"/>
  <c r="AP32" i="71"/>
  <c r="AS32" i="71"/>
  <c r="AJ47" i="72"/>
  <c r="AK47" i="72" s="1"/>
  <c r="AS45" i="71"/>
  <c r="AK45" i="71"/>
  <c r="AP45" i="71"/>
  <c r="AQ45" i="71" s="1"/>
  <c r="AJ48" i="72"/>
  <c r="AK48" i="72" s="1"/>
  <c r="AS46" i="71"/>
  <c r="AT46" i="71" s="1"/>
  <c r="AK46" i="71"/>
  <c r="AP46" i="71"/>
  <c r="AQ46" i="71" s="1"/>
  <c r="AT80" i="71"/>
  <c r="G92" i="71"/>
  <c r="AQ98" i="71"/>
  <c r="AR104" i="71"/>
  <c r="AS142" i="71"/>
  <c r="AT142" i="71" s="1"/>
  <c r="S142" i="71"/>
  <c r="AO40" i="72"/>
  <c r="AP32" i="70"/>
  <c r="AS103" i="70"/>
  <c r="AT103" i="70" s="1"/>
  <c r="AT45" i="71"/>
  <c r="AS56" i="71"/>
  <c r="P47" i="72"/>
  <c r="Y21" i="69"/>
  <c r="V23" i="69"/>
  <c r="AA34" i="69"/>
  <c r="AR38" i="72"/>
  <c r="AP39" i="72"/>
  <c r="AT13" i="70"/>
  <c r="AR41" i="72"/>
  <c r="AO42" i="72"/>
  <c r="AT17" i="70"/>
  <c r="AQ18" i="70"/>
  <c r="AQ19" i="70"/>
  <c r="X46" i="72"/>
  <c r="Y46" i="72" s="1"/>
  <c r="AD46" i="72"/>
  <c r="AM46" i="72"/>
  <c r="AN46" i="72" s="1"/>
  <c r="AR47" i="72"/>
  <c r="AP44" i="70"/>
  <c r="AS62" i="70"/>
  <c r="AT62" i="70" s="1"/>
  <c r="AS67" i="70"/>
  <c r="AT67" i="70" s="1"/>
  <c r="F70" i="70"/>
  <c r="AS100" i="70"/>
  <c r="AT100" i="70" s="1"/>
  <c r="Y20" i="71"/>
  <c r="AK104" i="71"/>
  <c r="AT116" i="71"/>
  <c r="G130" i="71"/>
  <c r="AR130" i="71"/>
  <c r="AP20" i="72"/>
  <c r="AB38" i="72"/>
  <c r="G40" i="72"/>
  <c r="G43" i="72"/>
  <c r="V20" i="71"/>
  <c r="AQ32" i="71"/>
  <c r="AS36" i="71"/>
  <c r="AT36" i="71" s="1"/>
  <c r="AS40" i="71"/>
  <c r="AT40" i="71" s="1"/>
  <c r="AJ44" i="71"/>
  <c r="AJ46" i="72" s="1"/>
  <c r="AK46" i="72" s="1"/>
  <c r="AN56" i="71"/>
  <c r="AQ68" i="71"/>
  <c r="AQ80" i="71"/>
  <c r="AK91" i="71"/>
  <c r="AK98" i="71"/>
  <c r="AK101" i="71"/>
  <c r="AK106" i="71"/>
  <c r="AQ116" i="71"/>
  <c r="S130" i="71"/>
  <c r="AN130" i="71"/>
  <c r="AP142" i="71"/>
  <c r="D20" i="72"/>
  <c r="AS20" i="72"/>
  <c r="AS32" i="72"/>
  <c r="AN32" i="72"/>
  <c r="D38" i="72"/>
  <c r="AK38" i="72"/>
  <c r="AK42" i="72"/>
  <c r="D43" i="72"/>
  <c r="Y45" i="72"/>
  <c r="J48" i="72"/>
  <c r="V48" i="72"/>
  <c r="AS22" i="71"/>
  <c r="AT22" i="71" s="1"/>
  <c r="AP56" i="71"/>
  <c r="AS68" i="71"/>
  <c r="AT68" i="71" s="1"/>
  <c r="AS80" i="71"/>
  <c r="AS91" i="71"/>
  <c r="AT91" i="71" s="1"/>
  <c r="AP96" i="71"/>
  <c r="AQ96" i="71" s="1"/>
  <c r="AS98" i="71"/>
  <c r="AT98" i="71" s="1"/>
  <c r="AS101" i="71"/>
  <c r="AT101" i="71" s="1"/>
  <c r="AS106" i="71"/>
  <c r="AT106" i="71" s="1"/>
  <c r="AS116" i="71"/>
  <c r="AP130" i="71"/>
  <c r="AQ130" i="71" s="1"/>
  <c r="J20" i="72"/>
  <c r="D29" i="72"/>
  <c r="AS29" i="72"/>
  <c r="AT29" i="72" s="1"/>
  <c r="J32" i="72"/>
  <c r="AQ34" i="72"/>
  <c r="M43" i="72"/>
  <c r="AP91" i="71"/>
  <c r="AP45" i="72" s="1"/>
  <c r="AJ92" i="71"/>
  <c r="AS92" i="71" s="1"/>
  <c r="AT17" i="72"/>
  <c r="S39" i="72"/>
  <c r="AH40" i="72"/>
  <c r="D42" i="72"/>
  <c r="S47" i="72"/>
  <c r="G48" i="72"/>
  <c r="G20" i="72"/>
  <c r="G32" i="72"/>
  <c r="AK32" i="72"/>
  <c r="D34" i="72"/>
  <c r="AS34" i="72"/>
  <c r="AT34" i="72" s="1"/>
  <c r="AJ55" i="74"/>
  <c r="AK55" i="74" s="1"/>
  <c r="AK12" i="74"/>
  <c r="AM12" i="74"/>
  <c r="AN12" i="74" s="1"/>
  <c r="AJ11" i="74"/>
  <c r="J23" i="74"/>
  <c r="AL35" i="74"/>
  <c r="S35" i="74"/>
  <c r="V41" i="74"/>
  <c r="P54" i="74"/>
  <c r="AM55" i="74"/>
  <c r="AN55" i="74" s="1"/>
  <c r="AK24" i="74"/>
  <c r="AM24" i="74"/>
  <c r="AN24" i="74" s="1"/>
  <c r="AJ23" i="74"/>
  <c r="AN26" i="74"/>
  <c r="AN30" i="74"/>
  <c r="I60" i="74"/>
  <c r="J60" i="74" s="1"/>
  <c r="AM47" i="74"/>
  <c r="AN47" i="74" s="1"/>
  <c r="J47" i="74"/>
  <c r="S48" i="74"/>
  <c r="F11" i="74"/>
  <c r="L54" i="74"/>
  <c r="R54" i="74"/>
  <c r="X54" i="74"/>
  <c r="G19" i="74"/>
  <c r="AK19" i="74"/>
  <c r="M23" i="74"/>
  <c r="S23" i="74"/>
  <c r="G31" i="74"/>
  <c r="AM35" i="74"/>
  <c r="AN37" i="74"/>
  <c r="AM57" i="74"/>
  <c r="AM43" i="75" s="1"/>
  <c r="AI11" i="75"/>
  <c r="P11" i="75"/>
  <c r="N40" i="75"/>
  <c r="AK26" i="75"/>
  <c r="U54" i="74"/>
  <c r="AG54" i="74"/>
  <c r="AM19" i="74"/>
  <c r="AN19" i="74" s="1"/>
  <c r="AL23" i="74"/>
  <c r="C58" i="74"/>
  <c r="AM38" i="74"/>
  <c r="AN38" i="74" s="1"/>
  <c r="AN39" i="74"/>
  <c r="Y41" i="74"/>
  <c r="AM42" i="74"/>
  <c r="AN42" i="74" s="1"/>
  <c r="I41" i="74"/>
  <c r="I54" i="74" s="1"/>
  <c r="J42" i="74"/>
  <c r="AN44" i="74"/>
  <c r="AM48" i="74"/>
  <c r="AN50" i="74"/>
  <c r="AM56" i="74"/>
  <c r="AN56" i="74" s="1"/>
  <c r="Q54" i="74"/>
  <c r="AH48" i="74"/>
  <c r="C54" i="74"/>
  <c r="S61" i="74"/>
  <c r="AL61" i="74"/>
  <c r="AJ36" i="75"/>
  <c r="AK36" i="75" s="1"/>
  <c r="G36" i="75"/>
  <c r="D56" i="74"/>
  <c r="F40" i="75"/>
  <c r="R40" i="75"/>
  <c r="X40" i="75"/>
  <c r="AG11" i="75"/>
  <c r="AG44" i="75"/>
  <c r="AH44" i="75" s="1"/>
  <c r="M16" i="75"/>
  <c r="AK19" i="75"/>
  <c r="AK32" i="75"/>
  <c r="AJ45" i="75"/>
  <c r="AL59" i="74"/>
  <c r="U40" i="75"/>
  <c r="AJ21" i="75"/>
  <c r="AK21" i="75" s="1"/>
  <c r="AK24" i="75"/>
  <c r="C40" i="75"/>
  <c r="AL43" i="75"/>
  <c r="AL46" i="75"/>
  <c r="L40" i="75"/>
  <c r="G21" i="75"/>
  <c r="I40" i="75"/>
  <c r="AE40" i="75"/>
  <c r="AK41" i="75"/>
  <c r="AK43" i="75"/>
  <c r="C44" i="75"/>
  <c r="P45" i="75"/>
  <c r="AK46" i="75"/>
  <c r="D14" i="75"/>
  <c r="D42" i="75"/>
  <c r="AT89" i="66"/>
  <c r="AQ18" i="66"/>
  <c r="AQ22" i="66"/>
  <c r="AQ25" i="66"/>
  <c r="AQ26" i="66"/>
  <c r="AT21" i="66"/>
  <c r="AT49" i="66"/>
  <c r="AQ21" i="66"/>
  <c r="AQ82" i="66"/>
  <c r="AT17" i="66"/>
  <c r="AQ56" i="66"/>
  <c r="AQ36" i="66"/>
  <c r="AQ55" i="66"/>
  <c r="AQ70" i="66"/>
  <c r="AT71" i="66"/>
  <c r="AQ83" i="66"/>
  <c r="AT88" i="66"/>
  <c r="AQ17" i="66"/>
  <c r="AT52" i="66"/>
  <c r="AT68" i="66"/>
  <c r="AT69" i="66"/>
  <c r="AT70" i="66"/>
  <c r="AT74" i="66"/>
  <c r="AQ89" i="66"/>
  <c r="AT76" i="66"/>
  <c r="AT20" i="66"/>
  <c r="AT22" i="66"/>
  <c r="AQ24" i="66"/>
  <c r="AT26" i="66"/>
  <c r="AQ41" i="66"/>
  <c r="AT46" i="66"/>
  <c r="AQ51" i="66"/>
  <c r="AT75" i="66"/>
  <c r="AT77" i="66"/>
  <c r="AT83" i="66"/>
  <c r="AQ77" i="66"/>
  <c r="AT14" i="66"/>
  <c r="AT19" i="66"/>
  <c r="AT23" i="66"/>
  <c r="AT42" i="66"/>
  <c r="AT43" i="66"/>
  <c r="AT51" i="66"/>
  <c r="AT57" i="66"/>
  <c r="AT61" i="66"/>
  <c r="AQ20" i="66"/>
  <c r="AQ33" i="66"/>
  <c r="AT37" i="66"/>
  <c r="AT38" i="66"/>
  <c r="AT40" i="66"/>
  <c r="AT44" i="66"/>
  <c r="AQ46" i="66"/>
  <c r="AQ52" i="66"/>
  <c r="AT56" i="66"/>
  <c r="AT58" i="66"/>
  <c r="AT59" i="66"/>
  <c r="AQ68" i="66"/>
  <c r="AQ75" i="66"/>
  <c r="AT15" i="66"/>
  <c r="AT18" i="66"/>
  <c r="AQ23" i="66"/>
  <c r="AQ28" i="66"/>
  <c r="AQ38" i="66"/>
  <c r="AQ40" i="66"/>
  <c r="AQ43" i="66"/>
  <c r="AT55" i="66"/>
  <c r="AQ58" i="66"/>
  <c r="AT82" i="66"/>
  <c r="AQ86" i="66"/>
  <c r="AT87" i="66"/>
  <c r="AQ14" i="66"/>
  <c r="AQ15" i="66"/>
  <c r="AQ19" i="66"/>
  <c r="AT24" i="66"/>
  <c r="AT25" i="66"/>
  <c r="AT33" i="66"/>
  <c r="AT36" i="66"/>
  <c r="AQ37" i="66"/>
  <c r="AT41" i="66"/>
  <c r="AQ42" i="66"/>
  <c r="AQ44" i="66"/>
  <c r="AQ49" i="66"/>
  <c r="AQ57" i="66"/>
  <c r="AQ61" i="66"/>
  <c r="AQ69" i="66"/>
  <c r="AT86" i="66"/>
  <c r="AQ87" i="66"/>
  <c r="AQ88" i="66"/>
  <c r="G27" i="66"/>
  <c r="AE29" i="66"/>
  <c r="J27" i="66"/>
  <c r="M27" i="66"/>
  <c r="AH27" i="66"/>
  <c r="P29" i="66"/>
  <c r="V27" i="66"/>
  <c r="AK27" i="66"/>
  <c r="AT28" i="66"/>
  <c r="AQ16" i="66"/>
  <c r="AN27" i="66"/>
  <c r="AS34" i="66"/>
  <c r="AT34" i="66" s="1"/>
  <c r="AO35" i="66"/>
  <c r="AS35" i="66"/>
  <c r="AO54" i="66"/>
  <c r="AR54" i="66"/>
  <c r="AH60" i="66"/>
  <c r="D79" i="66"/>
  <c r="H91" i="66"/>
  <c r="J79" i="66"/>
  <c r="AB73" i="66"/>
  <c r="AN79" i="66"/>
  <c r="K91" i="66"/>
  <c r="AK79" i="66"/>
  <c r="AS81" i="66"/>
  <c r="AP81" i="66"/>
  <c r="AN16" i="66"/>
  <c r="AR16" i="66"/>
  <c r="S20" i="66"/>
  <c r="AB34" i="66"/>
  <c r="AP34" i="66"/>
  <c r="AQ34" i="66" s="1"/>
  <c r="AK35" i="66"/>
  <c r="AP35" i="66"/>
  <c r="J39" i="66"/>
  <c r="V39" i="66"/>
  <c r="AB39" i="66"/>
  <c r="AO39" i="66"/>
  <c r="AS39" i="66"/>
  <c r="AP73" i="66"/>
  <c r="G85" i="66"/>
  <c r="AN85" i="66"/>
  <c r="S35" i="66"/>
  <c r="AP39" i="66"/>
  <c r="AR50" i="66"/>
  <c r="AS50" i="66"/>
  <c r="AS53" i="66"/>
  <c r="AT53" i="66" s="1"/>
  <c r="S54" i="66"/>
  <c r="AQ59" i="66"/>
  <c r="AP79" i="66"/>
  <c r="M73" i="66"/>
  <c r="Y79" i="66"/>
  <c r="X91" i="66"/>
  <c r="AM91" i="66"/>
  <c r="AS16" i="66"/>
  <c r="AK16" i="66"/>
  <c r="AH35" i="66"/>
  <c r="AN35" i="66"/>
  <c r="AR35" i="66"/>
  <c r="M39" i="66"/>
  <c r="S39" i="66"/>
  <c r="AB45" i="66"/>
  <c r="AQ53" i="66"/>
  <c r="AQ71" i="66"/>
  <c r="G73" i="66"/>
  <c r="AR73" i="66"/>
  <c r="AT73" i="66" s="1"/>
  <c r="S79" i="66"/>
  <c r="AO73" i="66"/>
  <c r="AQ76" i="66"/>
  <c r="Y81" i="66"/>
  <c r="AK81" i="66"/>
  <c r="AR81" i="66"/>
  <c r="AO74" i="66"/>
  <c r="AQ74" i="66" s="1"/>
  <c r="AR85" i="66"/>
  <c r="I91" i="66"/>
  <c r="U91" i="66"/>
  <c r="AA91" i="66"/>
  <c r="AP50" i="66"/>
  <c r="AO85" i="66"/>
  <c r="AS85" i="66"/>
  <c r="R91" i="66"/>
  <c r="AP85" i="66"/>
  <c r="O91" i="66"/>
  <c r="AS54" i="66"/>
  <c r="AO81" i="66"/>
  <c r="J85" i="66"/>
  <c r="V85" i="66"/>
  <c r="AH85" i="66"/>
  <c r="AE91" i="66"/>
  <c r="D54" i="41"/>
  <c r="AN57" i="74" l="1"/>
  <c r="AM41" i="75"/>
  <c r="AN41" i="75" s="1"/>
  <c r="AM42" i="75"/>
  <c r="AN42" i="75" s="1"/>
  <c r="AS47" i="72"/>
  <c r="AT47" i="72" s="1"/>
  <c r="AQ41" i="72"/>
  <c r="AT44" i="72"/>
  <c r="AM45" i="75"/>
  <c r="AM60" i="74"/>
  <c r="AM46" i="75" s="1"/>
  <c r="AN46" i="75" s="1"/>
  <c r="AT39" i="72"/>
  <c r="AQ44" i="72"/>
  <c r="AP32" i="72"/>
  <c r="AQ32" i="72" s="1"/>
  <c r="AS42" i="72"/>
  <c r="AT42" i="72" s="1"/>
  <c r="AS106" i="70"/>
  <c r="AT106" i="70" s="1"/>
  <c r="AS38" i="72"/>
  <c r="AT38" i="72" s="1"/>
  <c r="L46" i="72"/>
  <c r="M46" i="72" s="1"/>
  <c r="AP43" i="72"/>
  <c r="AQ43" i="72" s="1"/>
  <c r="AQ39" i="72"/>
  <c r="AS40" i="72"/>
  <c r="AT40" i="72" s="1"/>
  <c r="AQ45" i="72"/>
  <c r="AJ44" i="75"/>
  <c r="D44" i="75"/>
  <c r="Y54" i="74"/>
  <c r="AN35" i="74"/>
  <c r="AJ54" i="74"/>
  <c r="AK11" i="74"/>
  <c r="AQ91" i="71"/>
  <c r="AQ44" i="70"/>
  <c r="AT104" i="71"/>
  <c r="J46" i="72"/>
  <c r="P34" i="69"/>
  <c r="AT32" i="70"/>
  <c r="L41" i="69"/>
  <c r="L43" i="69" s="1"/>
  <c r="L45" i="69" s="1"/>
  <c r="M34" i="69"/>
  <c r="M40" i="75"/>
  <c r="AG40" i="75"/>
  <c r="AH11" i="75"/>
  <c r="S40" i="75"/>
  <c r="AL54" i="74"/>
  <c r="S54" i="74"/>
  <c r="AM58" i="74"/>
  <c r="AN58" i="74" s="1"/>
  <c r="D58" i="74"/>
  <c r="P40" i="75"/>
  <c r="AI40" i="75"/>
  <c r="M54" i="74"/>
  <c r="AK23" i="74"/>
  <c r="AM23" i="74"/>
  <c r="AN23" i="74" s="1"/>
  <c r="AQ142" i="71"/>
  <c r="AK44" i="71"/>
  <c r="AT130" i="71"/>
  <c r="AQ106" i="70"/>
  <c r="AS48" i="72"/>
  <c r="AT48" i="72" s="1"/>
  <c r="AT56" i="71"/>
  <c r="AP47" i="72"/>
  <c r="AQ47" i="72" s="1"/>
  <c r="AT82" i="70"/>
  <c r="AS43" i="72"/>
  <c r="AT43" i="72" s="1"/>
  <c r="AP70" i="70"/>
  <c r="AP38" i="72"/>
  <c r="AQ38" i="72" s="1"/>
  <c r="AQ82" i="70"/>
  <c r="G70" i="70"/>
  <c r="AR46" i="72"/>
  <c r="F46" i="72"/>
  <c r="G46" i="72" s="1"/>
  <c r="AQ40" i="69"/>
  <c r="J34" i="69"/>
  <c r="AS45" i="72"/>
  <c r="AD43" i="69"/>
  <c r="AE41" i="69"/>
  <c r="Y34" i="69"/>
  <c r="AP34" i="69"/>
  <c r="D34" i="69"/>
  <c r="S34" i="69"/>
  <c r="J40" i="75"/>
  <c r="AN43" i="75"/>
  <c r="V40" i="75"/>
  <c r="AK45" i="75"/>
  <c r="AJ11" i="75"/>
  <c r="AK11" i="75" s="1"/>
  <c r="D54" i="74"/>
  <c r="AM41" i="74"/>
  <c r="J41" i="74"/>
  <c r="V54" i="74"/>
  <c r="F54" i="74"/>
  <c r="G54" i="74" s="1"/>
  <c r="AM11" i="74"/>
  <c r="G11" i="74"/>
  <c r="AT32" i="72"/>
  <c r="AT20" i="72"/>
  <c r="AT92" i="71"/>
  <c r="AE46" i="72"/>
  <c r="AQ42" i="72"/>
  <c r="AS44" i="71"/>
  <c r="AP40" i="72"/>
  <c r="AQ40" i="72" s="1"/>
  <c r="AO29" i="69"/>
  <c r="G29" i="69"/>
  <c r="AQ104" i="71"/>
  <c r="I41" i="69"/>
  <c r="I43" i="69" s="1"/>
  <c r="I45" i="69" s="1"/>
  <c r="M106" i="70"/>
  <c r="AP48" i="72"/>
  <c r="AQ48" i="72" s="1"/>
  <c r="AH46" i="72"/>
  <c r="X41" i="69"/>
  <c r="M29" i="69"/>
  <c r="AT14" i="69"/>
  <c r="AQ21" i="69"/>
  <c r="AM43" i="69"/>
  <c r="AN41" i="69"/>
  <c r="U43" i="69"/>
  <c r="V41" i="69"/>
  <c r="F43" i="69"/>
  <c r="G41" i="69"/>
  <c r="AH54" i="74"/>
  <c r="AA41" i="69"/>
  <c r="AA43" i="69" s="1"/>
  <c r="AA45" i="69" s="1"/>
  <c r="AQ32" i="70"/>
  <c r="M41" i="69"/>
  <c r="AS70" i="70"/>
  <c r="AJ43" i="69"/>
  <c r="AK41" i="69"/>
  <c r="D40" i="75"/>
  <c r="AN59" i="74"/>
  <c r="AL45" i="75"/>
  <c r="Y40" i="75"/>
  <c r="G40" i="75"/>
  <c r="AN61" i="74"/>
  <c r="AL47" i="75"/>
  <c r="AN47" i="75" s="1"/>
  <c r="J54" i="74"/>
  <c r="AN48" i="74"/>
  <c r="AK92" i="71"/>
  <c r="AP92" i="71"/>
  <c r="AQ20" i="72"/>
  <c r="AQ56" i="71"/>
  <c r="AP44" i="71"/>
  <c r="AP20" i="71"/>
  <c r="D20" i="71"/>
  <c r="AS20" i="71"/>
  <c r="V46" i="72"/>
  <c r="AB34" i="69"/>
  <c r="AP94" i="70"/>
  <c r="AS94" i="70"/>
  <c r="V34" i="69"/>
  <c r="AP29" i="69"/>
  <c r="D29" i="69"/>
  <c r="AT21" i="69"/>
  <c r="AQ14" i="69"/>
  <c r="C46" i="72"/>
  <c r="AT44" i="70"/>
  <c r="O43" i="69"/>
  <c r="P41" i="69"/>
  <c r="AH41" i="69"/>
  <c r="AT39" i="66"/>
  <c r="AQ81" i="66"/>
  <c r="AQ73" i="66"/>
  <c r="AT81" i="66"/>
  <c r="AT85" i="66"/>
  <c r="V60" i="66"/>
  <c r="P91" i="66"/>
  <c r="AH91" i="66"/>
  <c r="AK85" i="66"/>
  <c r="G79" i="66"/>
  <c r="AE60" i="66"/>
  <c r="AR45" i="66"/>
  <c r="AO45" i="66"/>
  <c r="J45" i="66"/>
  <c r="AT35" i="66"/>
  <c r="AS27" i="66"/>
  <c r="D27" i="66"/>
  <c r="AP27" i="66"/>
  <c r="S45" i="66"/>
  <c r="AT16" i="66"/>
  <c r="T91" i="66"/>
  <c r="V79" i="66"/>
  <c r="AS79" i="66"/>
  <c r="AN91" i="66"/>
  <c r="AO79" i="66"/>
  <c r="M60" i="66"/>
  <c r="V29" i="66"/>
  <c r="AH29" i="66"/>
  <c r="J60" i="66"/>
  <c r="AB91" i="66"/>
  <c r="Y85" i="66"/>
  <c r="S91" i="66"/>
  <c r="AR60" i="66"/>
  <c r="AO60" i="66"/>
  <c r="S60" i="66"/>
  <c r="AP45" i="66"/>
  <c r="AS45" i="66"/>
  <c r="D45" i="66"/>
  <c r="Y91" i="66"/>
  <c r="AT50" i="66"/>
  <c r="AK45" i="66"/>
  <c r="AK60" i="66"/>
  <c r="G45" i="66"/>
  <c r="M79" i="66"/>
  <c r="D91" i="66"/>
  <c r="AT54" i="66"/>
  <c r="AH45" i="66"/>
  <c r="AI91" i="66"/>
  <c r="AR91" i="66" s="1"/>
  <c r="J91" i="66"/>
  <c r="AN45" i="66"/>
  <c r="AN29" i="66"/>
  <c r="AK29" i="66"/>
  <c r="M29" i="66"/>
  <c r="AP60" i="66"/>
  <c r="D60" i="66"/>
  <c r="AS60" i="66"/>
  <c r="AQ85" i="66"/>
  <c r="AQ50" i="66"/>
  <c r="V45" i="66"/>
  <c r="L91" i="66"/>
  <c r="Y60" i="66"/>
  <c r="G60" i="66"/>
  <c r="M45" i="66"/>
  <c r="AB27" i="66"/>
  <c r="Y45" i="66"/>
  <c r="AQ39" i="66"/>
  <c r="AB79" i="66"/>
  <c r="AR79" i="66"/>
  <c r="AQ54" i="66"/>
  <c r="AQ35" i="66"/>
  <c r="AO27" i="66"/>
  <c r="AR27" i="66"/>
  <c r="S27" i="66"/>
  <c r="J29" i="66"/>
  <c r="G29" i="66"/>
  <c r="H31" i="37"/>
  <c r="H25" i="37"/>
  <c r="H108" i="37"/>
  <c r="H148" i="37"/>
  <c r="D147" i="37"/>
  <c r="H144" i="37"/>
  <c r="H40" i="37"/>
  <c r="D7" i="37"/>
  <c r="D169" i="37"/>
  <c r="H152" i="37"/>
  <c r="H139" i="37"/>
  <c r="D80" i="37"/>
  <c r="H7" i="37"/>
  <c r="D167" i="37"/>
  <c r="H155" i="37"/>
  <c r="D139" i="37"/>
  <c r="D35" i="37"/>
  <c r="D30" i="37"/>
  <c r="D156" i="37"/>
  <c r="D100" i="37"/>
  <c r="D40" i="37"/>
  <c r="D141" i="37"/>
  <c r="H41" i="37"/>
  <c r="D36" i="37"/>
  <c r="L147" i="37"/>
  <c r="D41" i="37"/>
  <c r="H88" i="37"/>
  <c r="D55" i="37"/>
  <c r="H156" i="37"/>
  <c r="D155" i="37"/>
  <c r="H128" i="37"/>
  <c r="D68" i="37"/>
  <c r="D138" i="37"/>
  <c r="D166" i="37"/>
  <c r="D130" i="37"/>
  <c r="D165" i="37"/>
  <c r="D151" i="37"/>
  <c r="D131" i="37"/>
  <c r="L118" i="37"/>
  <c r="D118" i="37"/>
  <c r="L110" i="37"/>
  <c r="D110" i="37"/>
  <c r="D90" i="37"/>
  <c r="D88" i="37"/>
  <c r="D143" i="37"/>
  <c r="D108" i="37"/>
  <c r="L167" i="37"/>
  <c r="D168" i="37"/>
  <c r="L128" i="37"/>
  <c r="D128" i="37"/>
  <c r="H140" i="37"/>
  <c r="D98" i="37"/>
  <c r="D120" i="37"/>
  <c r="H14" i="37"/>
  <c r="D13" i="37"/>
  <c r="H10" i="37"/>
  <c r="D70" i="37"/>
  <c r="D67" i="37"/>
  <c r="H15" i="37"/>
  <c r="D12" i="37"/>
  <c r="D44" i="37"/>
  <c r="D10" i="37"/>
  <c r="D61" i="37"/>
  <c r="H13" i="37"/>
  <c r="D11" i="37"/>
  <c r="D42" i="37"/>
  <c r="AN45" i="75" l="1"/>
  <c r="AN60" i="74"/>
  <c r="AS46" i="72"/>
  <c r="G43" i="69"/>
  <c r="F45" i="69"/>
  <c r="X43" i="69"/>
  <c r="Y41" i="69"/>
  <c r="AP41" i="69"/>
  <c r="D41" i="69"/>
  <c r="AH40" i="75"/>
  <c r="AQ94" i="70"/>
  <c r="AJ40" i="75"/>
  <c r="AK40" i="75" s="1"/>
  <c r="AK43" i="69"/>
  <c r="AJ45" i="69"/>
  <c r="AT70" i="70"/>
  <c r="AQ29" i="69"/>
  <c r="AT44" i="71"/>
  <c r="AN11" i="74"/>
  <c r="P43" i="69"/>
  <c r="O45" i="69"/>
  <c r="M43" i="69"/>
  <c r="AT20" i="71"/>
  <c r="AQ44" i="71"/>
  <c r="G34" i="69"/>
  <c r="AO34" i="69"/>
  <c r="AE43" i="69"/>
  <c r="AD45" i="69"/>
  <c r="AQ70" i="70"/>
  <c r="AL40" i="75"/>
  <c r="AM44" i="75"/>
  <c r="AN44" i="75" s="1"/>
  <c r="AK44" i="75"/>
  <c r="AQ20" i="71"/>
  <c r="AQ92" i="71"/>
  <c r="AN43" i="69"/>
  <c r="AM45" i="69"/>
  <c r="S41" i="69"/>
  <c r="J41" i="69"/>
  <c r="AO41" i="69"/>
  <c r="AP46" i="72"/>
  <c r="AH43" i="69"/>
  <c r="D46" i="72"/>
  <c r="AT94" i="70"/>
  <c r="AB41" i="69"/>
  <c r="U45" i="69"/>
  <c r="V43" i="69"/>
  <c r="AN41" i="74"/>
  <c r="AM54" i="74"/>
  <c r="AN54" i="74" s="1"/>
  <c r="AK54" i="74"/>
  <c r="AT27" i="66"/>
  <c r="AQ27" i="66"/>
  <c r="V64" i="66"/>
  <c r="AH64" i="66"/>
  <c r="AN64" i="66"/>
  <c r="G64" i="66"/>
  <c r="Y62" i="66"/>
  <c r="M91" i="66"/>
  <c r="J62" i="66"/>
  <c r="AO91" i="66"/>
  <c r="AQ60" i="66"/>
  <c r="V91" i="66"/>
  <c r="G91" i="66"/>
  <c r="AE62" i="66"/>
  <c r="AT79" i="66"/>
  <c r="M62" i="66"/>
  <c r="AS91" i="66"/>
  <c r="AH62" i="66"/>
  <c r="AN60" i="66"/>
  <c r="AS62" i="66"/>
  <c r="AP62" i="66"/>
  <c r="D62" i="66"/>
  <c r="AP29" i="66"/>
  <c r="AS29" i="66"/>
  <c r="D29" i="66"/>
  <c r="AQ45" i="66"/>
  <c r="J64" i="66"/>
  <c r="V62" i="66"/>
  <c r="AP91" i="66"/>
  <c r="G62" i="66"/>
  <c r="AT60" i="66"/>
  <c r="AT45" i="66"/>
  <c r="S29" i="66"/>
  <c r="AO29" i="66"/>
  <c r="AR29" i="66"/>
  <c r="AB29" i="66"/>
  <c r="AK64" i="66"/>
  <c r="AN62" i="66"/>
  <c r="AK91" i="66"/>
  <c r="AB62" i="66"/>
  <c r="AK62" i="66"/>
  <c r="AQ79" i="66"/>
  <c r="AO62" i="66"/>
  <c r="AR62" i="66"/>
  <c r="S62" i="66"/>
  <c r="L169" i="37"/>
  <c r="L138" i="37"/>
  <c r="L168" i="37"/>
  <c r="D69" i="37"/>
  <c r="L152" i="37"/>
  <c r="D25" i="37"/>
  <c r="L108" i="37"/>
  <c r="L35" i="37"/>
  <c r="L90" i="37"/>
  <c r="L36" i="37"/>
  <c r="L120" i="37"/>
  <c r="D56" i="37"/>
  <c r="L31" i="37"/>
  <c r="L165" i="37"/>
  <c r="L141" i="37"/>
  <c r="D121" i="37"/>
  <c r="L148" i="37"/>
  <c r="L139" i="37"/>
  <c r="D60" i="37"/>
  <c r="L41" i="37"/>
  <c r="L100" i="37"/>
  <c r="H36" i="37"/>
  <c r="D119" i="37"/>
  <c r="L130" i="37"/>
  <c r="L88" i="37"/>
  <c r="L80" i="37"/>
  <c r="H111" i="37"/>
  <c r="D54" i="37"/>
  <c r="L40" i="37"/>
  <c r="D150" i="37"/>
  <c r="L140" i="37"/>
  <c r="L7" i="37"/>
  <c r="L10" i="37"/>
  <c r="L155" i="37"/>
  <c r="L166" i="37"/>
  <c r="L13" i="37"/>
  <c r="L15" i="37"/>
  <c r="H150" i="37"/>
  <c r="L30" i="37"/>
  <c r="L151" i="37"/>
  <c r="L14" i="37"/>
  <c r="H142" i="37"/>
  <c r="D66" i="37"/>
  <c r="L98" i="37"/>
  <c r="L156" i="37"/>
  <c r="L144" i="37"/>
  <c r="D142" i="37"/>
  <c r="D109" i="37"/>
  <c r="D79" i="37"/>
  <c r="D129" i="37"/>
  <c r="D99" i="37"/>
  <c r="L143" i="37"/>
  <c r="D89" i="37"/>
  <c r="G137" i="4"/>
  <c r="G136" i="4"/>
  <c r="G135" i="4"/>
  <c r="G134" i="4"/>
  <c r="G133" i="4"/>
  <c r="G132" i="4"/>
  <c r="G127" i="4"/>
  <c r="G126" i="4"/>
  <c r="G125" i="4"/>
  <c r="G124" i="4"/>
  <c r="G123" i="4"/>
  <c r="G122" i="4"/>
  <c r="G117" i="4"/>
  <c r="G116" i="4"/>
  <c r="G115" i="4"/>
  <c r="G114" i="4"/>
  <c r="G113" i="4"/>
  <c r="G112" i="4"/>
  <c r="G107" i="4"/>
  <c r="G106" i="4"/>
  <c r="G105" i="4"/>
  <c r="G104" i="4"/>
  <c r="G103" i="4"/>
  <c r="G102" i="4"/>
  <c r="G97" i="4"/>
  <c r="G96" i="4"/>
  <c r="G95" i="4"/>
  <c r="G94" i="4"/>
  <c r="G93" i="4"/>
  <c r="G92" i="4"/>
  <c r="G87" i="4"/>
  <c r="G86" i="4"/>
  <c r="G85" i="4"/>
  <c r="G84" i="4"/>
  <c r="G83" i="4"/>
  <c r="G82" i="4"/>
  <c r="G46" i="4"/>
  <c r="G45" i="4"/>
  <c r="G44" i="4"/>
  <c r="G43" i="4"/>
  <c r="G42" i="4"/>
  <c r="G39" i="4"/>
  <c r="G38" i="4"/>
  <c r="G37" i="4"/>
  <c r="G35" i="4"/>
  <c r="G34" i="4"/>
  <c r="G33" i="4"/>
  <c r="G32" i="4"/>
  <c r="G29" i="4"/>
  <c r="G28" i="4"/>
  <c r="G27" i="4"/>
  <c r="G26" i="4"/>
  <c r="D137" i="4"/>
  <c r="D136" i="4"/>
  <c r="D135" i="4"/>
  <c r="D134" i="4"/>
  <c r="D133" i="4"/>
  <c r="D132" i="4"/>
  <c r="D127" i="4"/>
  <c r="D126" i="4"/>
  <c r="D125" i="4"/>
  <c r="D124" i="4"/>
  <c r="D123" i="4"/>
  <c r="D122" i="4"/>
  <c r="D117" i="4"/>
  <c r="D116" i="4"/>
  <c r="D115" i="4"/>
  <c r="D114" i="4"/>
  <c r="D113" i="4"/>
  <c r="D107" i="4"/>
  <c r="D106" i="4"/>
  <c r="D105" i="4"/>
  <c r="D104" i="4"/>
  <c r="D103" i="4"/>
  <c r="D102" i="4"/>
  <c r="D97" i="4"/>
  <c r="D96" i="4"/>
  <c r="D95" i="4"/>
  <c r="D94" i="4"/>
  <c r="D93" i="4"/>
  <c r="D87" i="4"/>
  <c r="D86" i="4"/>
  <c r="D84" i="4"/>
  <c r="D83" i="4"/>
  <c r="D112" i="4"/>
  <c r="D92" i="4"/>
  <c r="D85" i="4"/>
  <c r="D82" i="4"/>
  <c r="D39" i="4"/>
  <c r="D38" i="4"/>
  <c r="D37" i="4"/>
  <c r="D34" i="4"/>
  <c r="D33" i="4"/>
  <c r="D32" i="4"/>
  <c r="I137" i="37"/>
  <c r="I135" i="37"/>
  <c r="I127" i="37"/>
  <c r="I125" i="37"/>
  <c r="I117" i="37"/>
  <c r="I115" i="37"/>
  <c r="I107" i="37"/>
  <c r="I105" i="37"/>
  <c r="I97" i="37"/>
  <c r="I95" i="37"/>
  <c r="I87" i="37"/>
  <c r="I85" i="37"/>
  <c r="I39" i="37"/>
  <c r="I38" i="37"/>
  <c r="I37" i="37"/>
  <c r="I33" i="37"/>
  <c r="I32" i="37"/>
  <c r="I26" i="37"/>
  <c r="I28" i="37"/>
  <c r="I27" i="37"/>
  <c r="AT46" i="72" l="1"/>
  <c r="AQ34" i="69"/>
  <c r="AQ41" i="69"/>
  <c r="S43" i="69"/>
  <c r="AE45" i="69"/>
  <c r="M45" i="69"/>
  <c r="AP43" i="69"/>
  <c r="D43" i="69"/>
  <c r="G45" i="69"/>
  <c r="AH45" i="69"/>
  <c r="AO43" i="69"/>
  <c r="AQ43" i="69" s="1"/>
  <c r="J43" i="69"/>
  <c r="P45" i="69"/>
  <c r="V45" i="69"/>
  <c r="AB43" i="69"/>
  <c r="AN45" i="69"/>
  <c r="AK45" i="69"/>
  <c r="AQ46" i="72"/>
  <c r="AM40" i="75"/>
  <c r="X45" i="69"/>
  <c r="Y43" i="69"/>
  <c r="AQ29" i="66"/>
  <c r="AT29" i="66"/>
  <c r="AS64" i="66"/>
  <c r="AP64" i="66"/>
  <c r="D64" i="66"/>
  <c r="AE64" i="66"/>
  <c r="Y64" i="66"/>
  <c r="AT62" i="66"/>
  <c r="AT91" i="66"/>
  <c r="P64" i="66"/>
  <c r="AQ62" i="66"/>
  <c r="AB64" i="66"/>
  <c r="S64" i="66"/>
  <c r="AR64" i="66"/>
  <c r="AO64" i="66"/>
  <c r="M64" i="66"/>
  <c r="AQ91" i="66"/>
  <c r="L25" i="37"/>
  <c r="H121" i="37"/>
  <c r="H81" i="37"/>
  <c r="H131" i="37"/>
  <c r="H101" i="37"/>
  <c r="L150" i="37"/>
  <c r="L142" i="37"/>
  <c r="H91" i="37"/>
  <c r="L111" i="37"/>
  <c r="L121" i="37"/>
  <c r="L131" i="37"/>
  <c r="I162" i="24"/>
  <c r="Y45" i="69" l="1"/>
  <c r="AO45" i="69"/>
  <c r="J45" i="69"/>
  <c r="AP45" i="69"/>
  <c r="D45" i="69"/>
  <c r="AB45" i="69"/>
  <c r="S45" i="69"/>
  <c r="AN40" i="75"/>
  <c r="AT64" i="66"/>
  <c r="AQ64" i="66"/>
  <c r="L101" i="37"/>
  <c r="L81" i="37"/>
  <c r="H99" i="37"/>
  <c r="L99" i="37"/>
  <c r="H79" i="37"/>
  <c r="L79" i="37"/>
  <c r="L109" i="37"/>
  <c r="H109" i="37"/>
  <c r="H119" i="37"/>
  <c r="L119" i="37"/>
  <c r="H89" i="37"/>
  <c r="L89" i="37"/>
  <c r="H129" i="37"/>
  <c r="L129" i="37"/>
  <c r="L91" i="37"/>
  <c r="C8" i="58"/>
  <c r="AQ45" i="69" l="1"/>
  <c r="I44" i="37" l="1"/>
  <c r="I42" i="37"/>
  <c r="F45" i="10"/>
  <c r="F37" i="10"/>
  <c r="F27" i="10"/>
  <c r="F16" i="10"/>
  <c r="G16" i="10" l="1"/>
  <c r="G27" i="10"/>
  <c r="G37" i="10"/>
  <c r="G45" i="10"/>
  <c r="I12" i="37"/>
  <c r="I11" i="37"/>
  <c r="I9" i="37"/>
  <c r="I8" i="37"/>
  <c r="I12" i="29" l="1"/>
  <c r="I12" i="18"/>
  <c r="I9" i="29"/>
  <c r="I9" i="18"/>
  <c r="I8" i="29"/>
  <c r="I8" i="18"/>
  <c r="I11" i="29"/>
  <c r="I11" i="18"/>
  <c r="H30" i="58"/>
  <c r="H29" i="58"/>
  <c r="D29" i="58"/>
  <c r="H28" i="58"/>
  <c r="D28" i="58"/>
  <c r="H27" i="58"/>
  <c r="D27" i="58"/>
  <c r="H25" i="58"/>
  <c r="C24" i="58"/>
  <c r="D25" i="58"/>
  <c r="D22" i="58"/>
  <c r="H21" i="58"/>
  <c r="D20" i="58"/>
  <c r="H19" i="58"/>
  <c r="D18" i="58"/>
  <c r="G16" i="58"/>
  <c r="F16" i="58"/>
  <c r="H13" i="58"/>
  <c r="H12" i="58"/>
  <c r="H11" i="58"/>
  <c r="H10" i="58"/>
  <c r="H9" i="58"/>
  <c r="C38" i="58"/>
  <c r="C35" i="58"/>
  <c r="C34" i="58"/>
  <c r="B36" i="58"/>
  <c r="D11" i="58"/>
  <c r="D9" i="58"/>
  <c r="D30" i="58"/>
  <c r="D26" i="58"/>
  <c r="H22" i="58"/>
  <c r="H20" i="58"/>
  <c r="H18" i="58"/>
  <c r="H14" i="58"/>
  <c r="D13" i="58"/>
  <c r="G8" i="58"/>
  <c r="B24" i="58" l="1"/>
  <c r="D24" i="58" s="1"/>
  <c r="B37" i="58"/>
  <c r="B34" i="58"/>
  <c r="D34" i="58" s="1"/>
  <c r="B38" i="58"/>
  <c r="D38" i="58" s="1"/>
  <c r="C37" i="58"/>
  <c r="B35" i="58"/>
  <c r="D35" i="58" s="1"/>
  <c r="C36" i="58"/>
  <c r="H26" i="58"/>
  <c r="C33" i="58"/>
  <c r="C16" i="58"/>
  <c r="G24" i="58"/>
  <c r="H16" i="58"/>
  <c r="B8" i="58"/>
  <c r="D8" i="58" s="1"/>
  <c r="B33" i="58"/>
  <c r="D36" i="58"/>
  <c r="H17" i="58"/>
  <c r="D10" i="58"/>
  <c r="D12" i="58"/>
  <c r="D14" i="58"/>
  <c r="B16" i="58"/>
  <c r="D17" i="58"/>
  <c r="D19" i="58"/>
  <c r="D21" i="58"/>
  <c r="F8" i="58"/>
  <c r="H8" i="58" s="1"/>
  <c r="F24" i="58"/>
  <c r="D16" i="58" l="1"/>
  <c r="C32" i="58"/>
  <c r="G33" i="58" s="1"/>
  <c r="D37" i="58"/>
  <c r="D33" i="58"/>
  <c r="H24" i="58"/>
  <c r="G34" i="58"/>
  <c r="B32" i="58"/>
  <c r="G37" i="58" l="1"/>
  <c r="G35" i="58"/>
  <c r="G36" i="58"/>
  <c r="D32" i="58"/>
  <c r="G38" i="58"/>
  <c r="F36" i="58"/>
  <c r="F35" i="58"/>
  <c r="F33" i="58"/>
  <c r="H33" i="58" s="1"/>
  <c r="F37" i="58"/>
  <c r="H37" i="58" s="1"/>
  <c r="F38" i="58"/>
  <c r="F34" i="58"/>
  <c r="H34" i="58" s="1"/>
  <c r="H36" i="58" l="1"/>
  <c r="G32" i="58"/>
  <c r="H38" i="58"/>
  <c r="H35" i="58"/>
  <c r="F32" i="58"/>
  <c r="H32" i="58" l="1"/>
  <c r="D57" i="16"/>
  <c r="D59" i="16"/>
  <c r="D58" i="16"/>
  <c r="D65" i="16"/>
  <c r="D63" i="16"/>
  <c r="D64" i="16"/>
  <c r="G67" i="10" l="1"/>
  <c r="G71" i="10"/>
  <c r="I82" i="29" l="1"/>
  <c r="F71" i="10"/>
  <c r="F67" i="10"/>
  <c r="K39" i="10" l="1"/>
  <c r="J39" i="10"/>
  <c r="H152" i="33" l="1"/>
  <c r="H140" i="36"/>
  <c r="H36" i="29"/>
  <c r="J11" i="22"/>
  <c r="K8" i="22"/>
  <c r="K12" i="22"/>
  <c r="K9" i="22"/>
  <c r="K12" i="20"/>
  <c r="K9" i="20"/>
  <c r="K11" i="20"/>
  <c r="K8" i="20"/>
  <c r="K12" i="19"/>
  <c r="K8" i="19"/>
  <c r="J42" i="13"/>
  <c r="K12" i="13"/>
  <c r="K11" i="19"/>
  <c r="K9" i="19"/>
  <c r="K46" i="13"/>
  <c r="K45" i="13"/>
  <c r="K44" i="13"/>
  <c r="K11" i="18"/>
  <c r="K8" i="18"/>
  <c r="H36" i="20"/>
  <c r="J46" i="13"/>
  <c r="J45" i="13"/>
  <c r="J44" i="13"/>
  <c r="K42" i="13"/>
  <c r="K11" i="13"/>
  <c r="K8" i="13"/>
  <c r="K12" i="18"/>
  <c r="K9" i="18"/>
  <c r="K9" i="13"/>
  <c r="D56" i="16"/>
  <c r="K111" i="20" l="1"/>
  <c r="H111" i="23"/>
  <c r="H101" i="13"/>
  <c r="J167" i="13"/>
  <c r="K152" i="13"/>
  <c r="H156" i="33"/>
  <c r="H81" i="35"/>
  <c r="H108" i="33"/>
  <c r="H147" i="18"/>
  <c r="K147" i="18"/>
  <c r="H36" i="13"/>
  <c r="K81" i="20"/>
  <c r="H25" i="33"/>
  <c r="H41" i="29"/>
  <c r="H36" i="18"/>
  <c r="K148" i="18"/>
  <c r="H40" i="13"/>
  <c r="H152" i="27"/>
  <c r="D68" i="39"/>
  <c r="H31" i="29"/>
  <c r="H152" i="35"/>
  <c r="H131" i="29"/>
  <c r="M42" i="9"/>
  <c r="H131" i="36"/>
  <c r="H121" i="29"/>
  <c r="H40" i="33"/>
  <c r="H15" i="33"/>
  <c r="H101" i="33"/>
  <c r="H91" i="27"/>
  <c r="H156" i="29"/>
  <c r="D62" i="33"/>
  <c r="D62" i="13"/>
  <c r="H40" i="18"/>
  <c r="K101" i="13"/>
  <c r="M40" i="9"/>
  <c r="H98" i="35"/>
  <c r="H36" i="33"/>
  <c r="D71" i="39"/>
  <c r="H88" i="33"/>
  <c r="D44" i="13"/>
  <c r="K165" i="13"/>
  <c r="K121" i="20"/>
  <c r="K144" i="18"/>
  <c r="K101" i="20"/>
  <c r="H131" i="20"/>
  <c r="H167" i="26"/>
  <c r="H25" i="29"/>
  <c r="H111" i="33"/>
  <c r="H15" i="35"/>
  <c r="H128" i="33"/>
  <c r="H148" i="33"/>
  <c r="K131" i="20"/>
  <c r="H41" i="33"/>
  <c r="D56" i="33"/>
  <c r="H131" i="27"/>
  <c r="H101" i="29"/>
  <c r="H25" i="36"/>
  <c r="H140" i="35"/>
  <c r="H111" i="29"/>
  <c r="M41" i="9"/>
  <c r="K144" i="20"/>
  <c r="H148" i="36"/>
  <c r="D71" i="33"/>
  <c r="H144" i="35"/>
  <c r="D70" i="16"/>
  <c r="D71" i="16"/>
  <c r="D61" i="16"/>
  <c r="D67" i="16"/>
  <c r="D62" i="16"/>
  <c r="D68" i="16"/>
  <c r="D55" i="16"/>
  <c r="H131" i="23"/>
  <c r="C37" i="9"/>
  <c r="B32" i="10"/>
  <c r="H31" i="33"/>
  <c r="H101" i="27"/>
  <c r="H140" i="27"/>
  <c r="H111" i="27"/>
  <c r="K40" i="13"/>
  <c r="K138" i="13"/>
  <c r="K36" i="18"/>
  <c r="K139" i="18"/>
  <c r="H37" i="9"/>
  <c r="H140" i="23"/>
  <c r="H25" i="23"/>
  <c r="C40" i="9"/>
  <c r="H121" i="35"/>
  <c r="H36" i="36"/>
  <c r="C42" i="9"/>
  <c r="H131" i="33"/>
  <c r="H81" i="33"/>
  <c r="D56" i="39"/>
  <c r="K7" i="13"/>
  <c r="K7" i="19"/>
  <c r="H10" i="23"/>
  <c r="H7" i="23"/>
  <c r="H7" i="29"/>
  <c r="H7" i="33"/>
  <c r="H10" i="33"/>
  <c r="H13" i="13"/>
  <c r="K7" i="18"/>
  <c r="J13" i="18"/>
  <c r="K7" i="23"/>
  <c r="H10" i="18"/>
  <c r="H13" i="35"/>
  <c r="H14" i="13"/>
  <c r="K10" i="18"/>
  <c r="H121" i="20"/>
  <c r="K25" i="13"/>
  <c r="K36" i="13"/>
  <c r="H91" i="13"/>
  <c r="K131" i="13"/>
  <c r="K147" i="13"/>
  <c r="K13" i="19"/>
  <c r="K13" i="13"/>
  <c r="H7" i="18"/>
  <c r="H152" i="13"/>
  <c r="K7" i="20"/>
  <c r="K13" i="20"/>
  <c r="C39" i="9"/>
  <c r="H25" i="35"/>
  <c r="H144" i="29"/>
  <c r="H7" i="35"/>
  <c r="H14" i="35"/>
  <c r="H144" i="36"/>
  <c r="H40" i="36"/>
  <c r="H121" i="33"/>
  <c r="H138" i="33"/>
  <c r="D62" i="39"/>
  <c r="H121" i="13"/>
  <c r="K140" i="13"/>
  <c r="K80" i="13"/>
  <c r="K14" i="13"/>
  <c r="H25" i="20"/>
  <c r="H144" i="33"/>
  <c r="K81" i="18"/>
  <c r="H131" i="18"/>
  <c r="H111" i="20"/>
  <c r="H138" i="35"/>
  <c r="D45" i="13"/>
  <c r="H15" i="23"/>
  <c r="H168" i="26"/>
  <c r="H121" i="27"/>
  <c r="H165" i="26"/>
  <c r="H41" i="35"/>
  <c r="K10" i="20"/>
  <c r="H91" i="23"/>
  <c r="H121" i="23"/>
  <c r="H10" i="35"/>
  <c r="H148" i="23"/>
  <c r="H148" i="29"/>
  <c r="H14" i="18"/>
  <c r="D56" i="13"/>
  <c r="H101" i="20"/>
  <c r="H34" i="9"/>
  <c r="H35" i="9"/>
  <c r="H36" i="9"/>
  <c r="M38" i="9"/>
  <c r="M44" i="9"/>
  <c r="H139" i="18"/>
  <c r="K41" i="18"/>
  <c r="D46" i="13"/>
  <c r="H148" i="18"/>
  <c r="H25" i="13"/>
  <c r="H144" i="20"/>
  <c r="H25" i="18"/>
  <c r="H7" i="13"/>
  <c r="B55" i="10"/>
  <c r="H111" i="18"/>
  <c r="K25" i="18"/>
  <c r="K40" i="18"/>
  <c r="K140" i="18"/>
  <c r="K156" i="18"/>
  <c r="K41" i="13"/>
  <c r="K139" i="13"/>
  <c r="H13" i="18"/>
  <c r="K111" i="18"/>
  <c r="K15" i="13"/>
  <c r="H15" i="18"/>
  <c r="H144" i="18"/>
  <c r="K31" i="18"/>
  <c r="K10" i="13"/>
  <c r="K35" i="13"/>
  <c r="K15" i="18"/>
  <c r="K101" i="18"/>
  <c r="H140" i="18"/>
  <c r="H138" i="13"/>
  <c r="J10" i="19"/>
  <c r="H38" i="9"/>
  <c r="C43" i="9"/>
  <c r="C44" i="9"/>
  <c r="H44" i="9"/>
  <c r="M37" i="9"/>
  <c r="M39" i="9"/>
  <c r="C41" i="9"/>
  <c r="H42" i="9"/>
  <c r="D55" i="13"/>
  <c r="J40" i="18"/>
  <c r="J11" i="18"/>
  <c r="D11" i="18"/>
  <c r="J80" i="18"/>
  <c r="D80" i="18"/>
  <c r="J110" i="18"/>
  <c r="D110" i="18"/>
  <c r="J144" i="18"/>
  <c r="J13" i="13"/>
  <c r="D13" i="13"/>
  <c r="K30" i="13"/>
  <c r="K81" i="13"/>
  <c r="K143" i="13"/>
  <c r="K148" i="13"/>
  <c r="D9" i="18"/>
  <c r="J9" i="18"/>
  <c r="D167" i="13"/>
  <c r="K167" i="13"/>
  <c r="D13" i="18"/>
  <c r="K13" i="18"/>
  <c r="K110" i="18"/>
  <c r="J121" i="18"/>
  <c r="H31" i="13"/>
  <c r="H41" i="13"/>
  <c r="B35" i="9"/>
  <c r="D118" i="13"/>
  <c r="J118" i="13"/>
  <c r="H140" i="13"/>
  <c r="J12" i="18"/>
  <c r="D12" i="18"/>
  <c r="J12" i="13"/>
  <c r="D12" i="13"/>
  <c r="D61" i="13"/>
  <c r="K110" i="13"/>
  <c r="K90" i="18"/>
  <c r="H101" i="18"/>
  <c r="K130" i="18"/>
  <c r="J140" i="18"/>
  <c r="J121" i="13"/>
  <c r="D121" i="13"/>
  <c r="D10" i="19"/>
  <c r="K10" i="19"/>
  <c r="J7" i="18"/>
  <c r="D7" i="18"/>
  <c r="J81" i="18"/>
  <c r="J100" i="18"/>
  <c r="D100" i="18"/>
  <c r="J111" i="18"/>
  <c r="D14" i="13"/>
  <c r="J14" i="13"/>
  <c r="K31" i="13"/>
  <c r="D100" i="13"/>
  <c r="J100" i="13"/>
  <c r="J9" i="19"/>
  <c r="D9" i="19"/>
  <c r="B34" i="9"/>
  <c r="K121" i="18"/>
  <c r="K111" i="13"/>
  <c r="K144" i="13"/>
  <c r="K14" i="18"/>
  <c r="H31" i="18"/>
  <c r="H41" i="18"/>
  <c r="K100" i="18"/>
  <c r="H156" i="18"/>
  <c r="J9" i="13"/>
  <c r="D9" i="13"/>
  <c r="H81" i="13"/>
  <c r="L11" i="9"/>
  <c r="J120" i="13"/>
  <c r="D120" i="13"/>
  <c r="H131" i="13"/>
  <c r="J10" i="20"/>
  <c r="D10" i="20"/>
  <c r="D61" i="20"/>
  <c r="H15" i="13"/>
  <c r="K118" i="13"/>
  <c r="C34" i="9"/>
  <c r="K91" i="18"/>
  <c r="M34" i="9"/>
  <c r="K131" i="18"/>
  <c r="L34" i="9"/>
  <c r="J152" i="18"/>
  <c r="D90" i="13"/>
  <c r="J90" i="13"/>
  <c r="J31" i="18"/>
  <c r="J8" i="18"/>
  <c r="D8" i="18"/>
  <c r="J14" i="18"/>
  <c r="J101" i="18"/>
  <c r="J147" i="18"/>
  <c r="L147" i="18" s="1"/>
  <c r="D147" i="18"/>
  <c r="J15" i="13"/>
  <c r="D15" i="13"/>
  <c r="H89" i="13"/>
  <c r="J101" i="13"/>
  <c r="K151" i="13"/>
  <c r="J25" i="18"/>
  <c r="J91" i="18"/>
  <c r="J131" i="18"/>
  <c r="C35" i="9"/>
  <c r="K120" i="13"/>
  <c r="M11" i="9"/>
  <c r="J11" i="20"/>
  <c r="D11" i="20"/>
  <c r="D55" i="18"/>
  <c r="K80" i="18"/>
  <c r="H152" i="18"/>
  <c r="H10" i="13"/>
  <c r="D110" i="13"/>
  <c r="J110" i="13"/>
  <c r="M35" i="9"/>
  <c r="H148" i="13"/>
  <c r="M13" i="9"/>
  <c r="G34" i="9"/>
  <c r="J151" i="18"/>
  <c r="D151" i="18"/>
  <c r="J12" i="19"/>
  <c r="D12" i="19"/>
  <c r="J36" i="18"/>
  <c r="H121" i="18"/>
  <c r="D143" i="18"/>
  <c r="J143" i="18"/>
  <c r="K152" i="18"/>
  <c r="D10" i="13"/>
  <c r="J10" i="13"/>
  <c r="D31" i="13"/>
  <c r="J31" i="13"/>
  <c r="D41" i="13"/>
  <c r="J41" i="13"/>
  <c r="J81" i="13"/>
  <c r="K98" i="13"/>
  <c r="K121" i="13"/>
  <c r="J138" i="13"/>
  <c r="D138" i="13"/>
  <c r="D143" i="13"/>
  <c r="J143" i="13"/>
  <c r="J148" i="13"/>
  <c r="J165" i="13"/>
  <c r="D165" i="13"/>
  <c r="J90" i="18"/>
  <c r="D90" i="18"/>
  <c r="D129" i="18"/>
  <c r="J130" i="18"/>
  <c r="D130" i="18"/>
  <c r="D98" i="13"/>
  <c r="J98" i="13"/>
  <c r="J156" i="13"/>
  <c r="D10" i="18"/>
  <c r="J10" i="18"/>
  <c r="J15" i="18"/>
  <c r="J120" i="18"/>
  <c r="D120" i="18"/>
  <c r="L10" i="9"/>
  <c r="K143" i="18"/>
  <c r="J148" i="18"/>
  <c r="D169" i="13"/>
  <c r="K169" i="13"/>
  <c r="D8" i="20"/>
  <c r="J8" i="20"/>
  <c r="J91" i="13"/>
  <c r="D130" i="13"/>
  <c r="J130" i="13"/>
  <c r="J155" i="13"/>
  <c r="D155" i="13"/>
  <c r="D61" i="18"/>
  <c r="H91" i="18"/>
  <c r="K120" i="18"/>
  <c r="D71" i="13"/>
  <c r="K100" i="13"/>
  <c r="J111" i="13"/>
  <c r="H139" i="13"/>
  <c r="H144" i="13"/>
  <c r="J81" i="20"/>
  <c r="D81" i="20"/>
  <c r="J131" i="20"/>
  <c r="D131" i="20"/>
  <c r="H81" i="18"/>
  <c r="G35" i="9"/>
  <c r="J41" i="18"/>
  <c r="D139" i="18"/>
  <c r="J139" i="18"/>
  <c r="D11" i="13"/>
  <c r="J11" i="13"/>
  <c r="D35" i="13"/>
  <c r="J35" i="13"/>
  <c r="D42" i="13"/>
  <c r="D67" i="13"/>
  <c r="H111" i="13"/>
  <c r="D139" i="13"/>
  <c r="J139" i="13"/>
  <c r="J144" i="13"/>
  <c r="K155" i="13"/>
  <c r="M12" i="9"/>
  <c r="J7" i="20"/>
  <c r="D7" i="20"/>
  <c r="J7" i="13"/>
  <c r="D7" i="13"/>
  <c r="D25" i="13"/>
  <c r="J25" i="13"/>
  <c r="J36" i="13"/>
  <c r="D36" i="13"/>
  <c r="D70" i="13"/>
  <c r="K90" i="13"/>
  <c r="K130" i="13"/>
  <c r="D140" i="13"/>
  <c r="J140" i="13"/>
  <c r="J151" i="13"/>
  <c r="D151" i="13"/>
  <c r="H156" i="13"/>
  <c r="J13" i="20"/>
  <c r="D13" i="20"/>
  <c r="J7" i="19"/>
  <c r="D7" i="19"/>
  <c r="D13" i="19"/>
  <c r="J13" i="19"/>
  <c r="J30" i="20"/>
  <c r="D30" i="20"/>
  <c r="B36" i="9"/>
  <c r="K91" i="20"/>
  <c r="M36" i="9"/>
  <c r="K152" i="20"/>
  <c r="L12" i="9"/>
  <c r="K35" i="20"/>
  <c r="H89" i="20"/>
  <c r="H150" i="20"/>
  <c r="D67" i="22"/>
  <c r="D25" i="23"/>
  <c r="D30" i="24"/>
  <c r="D30" i="25"/>
  <c r="L155" i="23"/>
  <c r="D11" i="22"/>
  <c r="K11" i="22"/>
  <c r="D143" i="23"/>
  <c r="D25" i="24"/>
  <c r="L20" i="9"/>
  <c r="D120" i="27"/>
  <c r="D8" i="22"/>
  <c r="J8" i="22"/>
  <c r="D36" i="23"/>
  <c r="L37" i="9"/>
  <c r="D7" i="24"/>
  <c r="D11" i="25"/>
  <c r="L21" i="9"/>
  <c r="K14" i="23"/>
  <c r="D110" i="23"/>
  <c r="D11" i="24"/>
  <c r="D55" i="25"/>
  <c r="D9" i="22"/>
  <c r="J9" i="22"/>
  <c r="K15" i="23"/>
  <c r="D90" i="23"/>
  <c r="H101" i="23"/>
  <c r="D139" i="23"/>
  <c r="H144" i="23"/>
  <c r="M20" i="9"/>
  <c r="D80" i="29"/>
  <c r="D88" i="33"/>
  <c r="M19" i="9"/>
  <c r="D10" i="51"/>
  <c r="D55" i="51"/>
  <c r="L23" i="9"/>
  <c r="D30" i="29"/>
  <c r="B41" i="9"/>
  <c r="D168" i="26"/>
  <c r="H81" i="27"/>
  <c r="H148" i="27"/>
  <c r="D7" i="29"/>
  <c r="D10" i="29"/>
  <c r="D15" i="29"/>
  <c r="H10" i="29"/>
  <c r="H15" i="29"/>
  <c r="D140" i="29"/>
  <c r="D81" i="29"/>
  <c r="D98" i="29"/>
  <c r="L110" i="29"/>
  <c r="D110" i="29"/>
  <c r="D143" i="29"/>
  <c r="L100" i="29"/>
  <c r="H152" i="29"/>
  <c r="D13" i="33"/>
  <c r="D67" i="33"/>
  <c r="D100" i="33"/>
  <c r="D147" i="36"/>
  <c r="D35" i="33"/>
  <c r="D70" i="33"/>
  <c r="D101" i="33"/>
  <c r="D151" i="36"/>
  <c r="D8" i="33"/>
  <c r="H14" i="33"/>
  <c r="D68" i="33"/>
  <c r="G43" i="9"/>
  <c r="D128" i="33"/>
  <c r="D139" i="33"/>
  <c r="G44" i="9"/>
  <c r="D147" i="33"/>
  <c r="D67" i="39"/>
  <c r="K151" i="18"/>
  <c r="J156" i="18"/>
  <c r="J8" i="13"/>
  <c r="D8" i="13"/>
  <c r="J30" i="13"/>
  <c r="D30" i="13"/>
  <c r="J40" i="13"/>
  <c r="D40" i="13"/>
  <c r="D80" i="13"/>
  <c r="J80" i="13"/>
  <c r="K91" i="13"/>
  <c r="L35" i="9"/>
  <c r="D131" i="13"/>
  <c r="J131" i="13"/>
  <c r="J147" i="13"/>
  <c r="D147" i="13"/>
  <c r="J152" i="13"/>
  <c r="J169" i="13"/>
  <c r="D144" i="20"/>
  <c r="J144" i="20"/>
  <c r="K156" i="13"/>
  <c r="J8" i="19"/>
  <c r="D8" i="19"/>
  <c r="D91" i="20"/>
  <c r="J91" i="20"/>
  <c r="J152" i="20"/>
  <c r="D152" i="20"/>
  <c r="D70" i="22"/>
  <c r="D69" i="22"/>
  <c r="J9" i="20"/>
  <c r="D9" i="20"/>
  <c r="J31" i="20"/>
  <c r="D31" i="20"/>
  <c r="H81" i="20"/>
  <c r="K25" i="20"/>
  <c r="K36" i="20"/>
  <c r="C36" i="9"/>
  <c r="H91" i="20"/>
  <c r="L13" i="9"/>
  <c r="H152" i="20"/>
  <c r="K7" i="22"/>
  <c r="D10" i="22"/>
  <c r="J10" i="22"/>
  <c r="D56" i="22"/>
  <c r="J13" i="23"/>
  <c r="D8" i="24"/>
  <c r="L17" i="9"/>
  <c r="D7" i="25"/>
  <c r="D13" i="25"/>
  <c r="J15" i="23"/>
  <c r="D13" i="24"/>
  <c r="D61" i="25"/>
  <c r="H36" i="23"/>
  <c r="L16" i="9"/>
  <c r="D120" i="23"/>
  <c r="D12" i="25"/>
  <c r="C38" i="9"/>
  <c r="D55" i="40"/>
  <c r="D36" i="29"/>
  <c r="L19" i="9"/>
  <c r="D143" i="27"/>
  <c r="D11" i="51"/>
  <c r="D61" i="51"/>
  <c r="D60" i="51"/>
  <c r="D35" i="29"/>
  <c r="D165" i="26"/>
  <c r="D169" i="26"/>
  <c r="H39" i="9"/>
  <c r="H144" i="27"/>
  <c r="D11" i="29"/>
  <c r="D90" i="29"/>
  <c r="D12" i="29"/>
  <c r="D25" i="29"/>
  <c r="L24" i="9"/>
  <c r="D120" i="29"/>
  <c r="D152" i="29"/>
  <c r="D165" i="34"/>
  <c r="H36" i="35"/>
  <c r="H40" i="9"/>
  <c r="L25" i="9"/>
  <c r="H150" i="35"/>
  <c r="H89" i="29"/>
  <c r="H138" i="29"/>
  <c r="D167" i="34"/>
  <c r="L148" i="35"/>
  <c r="D9" i="33"/>
  <c r="D90" i="33"/>
  <c r="H43" i="9"/>
  <c r="H41" i="9"/>
  <c r="D143" i="36"/>
  <c r="D12" i="33"/>
  <c r="D25" i="33"/>
  <c r="D36" i="33"/>
  <c r="B43" i="9"/>
  <c r="D108" i="33"/>
  <c r="M43" i="9"/>
  <c r="H148" i="35"/>
  <c r="D157" i="36"/>
  <c r="H89" i="33"/>
  <c r="D130" i="33"/>
  <c r="D140" i="33"/>
  <c r="D55" i="38"/>
  <c r="L44" i="9"/>
  <c r="M30" i="9"/>
  <c r="D143" i="33"/>
  <c r="D148" i="33"/>
  <c r="D55" i="39"/>
  <c r="D54" i="39"/>
  <c r="J35" i="20"/>
  <c r="D35" i="20"/>
  <c r="K30" i="20"/>
  <c r="J121" i="20"/>
  <c r="D121" i="20"/>
  <c r="J10" i="23"/>
  <c r="K10" i="22"/>
  <c r="D30" i="23"/>
  <c r="D12" i="24"/>
  <c r="D55" i="21"/>
  <c r="D54" i="21"/>
  <c r="D70" i="25"/>
  <c r="D62" i="22"/>
  <c r="J14" i="23"/>
  <c r="D31" i="23"/>
  <c r="D100" i="23"/>
  <c r="D10" i="24"/>
  <c r="D8" i="25"/>
  <c r="D9" i="51"/>
  <c r="D80" i="23"/>
  <c r="D130" i="23"/>
  <c r="D151" i="23"/>
  <c r="J12" i="22"/>
  <c r="D12" i="22"/>
  <c r="D55" i="22"/>
  <c r="H13" i="23"/>
  <c r="H40" i="23"/>
  <c r="H156" i="23"/>
  <c r="D9" i="24"/>
  <c r="D56" i="24"/>
  <c r="D67" i="25"/>
  <c r="D130" i="27"/>
  <c r="D61" i="40"/>
  <c r="D7" i="51"/>
  <c r="D13" i="51"/>
  <c r="L13" i="51"/>
  <c r="M22" i="9"/>
  <c r="D40" i="29"/>
  <c r="D166" i="26"/>
  <c r="H156" i="27"/>
  <c r="D13" i="29"/>
  <c r="D121" i="29"/>
  <c r="M23" i="9"/>
  <c r="H13" i="29"/>
  <c r="D151" i="29"/>
  <c r="D138" i="29"/>
  <c r="H40" i="35"/>
  <c r="D10" i="33"/>
  <c r="D156" i="29"/>
  <c r="M28" i="9"/>
  <c r="H91" i="29"/>
  <c r="D55" i="33"/>
  <c r="L26" i="9"/>
  <c r="D120" i="36"/>
  <c r="D80" i="33"/>
  <c r="D91" i="33"/>
  <c r="D139" i="36"/>
  <c r="D40" i="33"/>
  <c r="D110" i="33"/>
  <c r="H121" i="36"/>
  <c r="H91" i="33"/>
  <c r="D120" i="33"/>
  <c r="L27" i="9"/>
  <c r="D131" i="33"/>
  <c r="D144" i="33"/>
  <c r="L144" i="33"/>
  <c r="D61" i="39"/>
  <c r="C30" i="9"/>
  <c r="D70" i="39"/>
  <c r="J11" i="19"/>
  <c r="D11" i="19"/>
  <c r="D35" i="25"/>
  <c r="J12" i="20"/>
  <c r="D12" i="20"/>
  <c r="J25" i="20"/>
  <c r="D25" i="20"/>
  <c r="D36" i="20"/>
  <c r="D54" i="20"/>
  <c r="D55" i="20"/>
  <c r="K89" i="20"/>
  <c r="D101" i="20"/>
  <c r="J101" i="20"/>
  <c r="J7" i="23"/>
  <c r="K31" i="20"/>
  <c r="J111" i="20"/>
  <c r="D111" i="20"/>
  <c r="L15" i="9"/>
  <c r="L14" i="9"/>
  <c r="K13" i="22"/>
  <c r="D41" i="29"/>
  <c r="D7" i="22"/>
  <c r="J7" i="22"/>
  <c r="D13" i="22"/>
  <c r="J13" i="22"/>
  <c r="K10" i="23"/>
  <c r="D35" i="23"/>
  <c r="H152" i="23"/>
  <c r="D36" i="24"/>
  <c r="D10" i="25"/>
  <c r="M18" i="9"/>
  <c r="K13" i="23"/>
  <c r="H81" i="23"/>
  <c r="D147" i="23"/>
  <c r="D139" i="27"/>
  <c r="D31" i="29"/>
  <c r="H14" i="23"/>
  <c r="H31" i="23"/>
  <c r="H41" i="23"/>
  <c r="D9" i="25"/>
  <c r="H89" i="27"/>
  <c r="D12" i="51"/>
  <c r="D80" i="27"/>
  <c r="L22" i="9"/>
  <c r="D61" i="33"/>
  <c r="D90" i="27"/>
  <c r="D151" i="27"/>
  <c r="D8" i="51"/>
  <c r="L18" i="9"/>
  <c r="D167" i="26"/>
  <c r="L167" i="26"/>
  <c r="D70" i="40"/>
  <c r="D118" i="29"/>
  <c r="L118" i="29"/>
  <c r="D8" i="29"/>
  <c r="B40" i="9"/>
  <c r="G40" i="9"/>
  <c r="D130" i="29"/>
  <c r="D9" i="29"/>
  <c r="H14" i="29"/>
  <c r="H40" i="29"/>
  <c r="D131" i="29"/>
  <c r="D168" i="34"/>
  <c r="D139" i="29"/>
  <c r="D155" i="29"/>
  <c r="D156" i="33"/>
  <c r="D91" i="29"/>
  <c r="D11" i="33"/>
  <c r="H98" i="29"/>
  <c r="H140" i="29"/>
  <c r="D152" i="33"/>
  <c r="L152" i="35"/>
  <c r="D130" i="36"/>
  <c r="D31" i="33"/>
  <c r="D41" i="33"/>
  <c r="D111" i="33"/>
  <c r="D155" i="36"/>
  <c r="D7" i="33"/>
  <c r="H13" i="33"/>
  <c r="H98" i="33"/>
  <c r="D121" i="33"/>
  <c r="H140" i="33"/>
  <c r="L28" i="9"/>
  <c r="L29" i="9"/>
  <c r="L30" i="9"/>
  <c r="B31" i="10"/>
  <c r="E70" i="37"/>
  <c r="E42" i="37"/>
  <c r="B15" i="10"/>
  <c r="E168" i="37"/>
  <c r="E13" i="37"/>
  <c r="I31" i="37"/>
  <c r="B9" i="10"/>
  <c r="I139" i="37"/>
  <c r="E88" i="37"/>
  <c r="I144" i="37"/>
  <c r="I148" i="37"/>
  <c r="B10" i="10"/>
  <c r="B52" i="10"/>
  <c r="E10" i="37"/>
  <c r="E68" i="37"/>
  <c r="B53" i="10"/>
  <c r="I128" i="37"/>
  <c r="B20" i="10"/>
  <c r="B42" i="10"/>
  <c r="E165" i="37"/>
  <c r="B41" i="10"/>
  <c r="I101" i="37"/>
  <c r="E128" i="37"/>
  <c r="I152" i="37"/>
  <c r="B24" i="10"/>
  <c r="I25" i="37"/>
  <c r="E121" i="37"/>
  <c r="F34" i="10"/>
  <c r="E7" i="37"/>
  <c r="I40" i="37"/>
  <c r="B36" i="10"/>
  <c r="E40" i="37"/>
  <c r="I155" i="37"/>
  <c r="E167" i="37"/>
  <c r="E44" i="37"/>
  <c r="I108" i="37"/>
  <c r="I131" i="37"/>
  <c r="I156" i="37"/>
  <c r="E67" i="37"/>
  <c r="E56" i="37"/>
  <c r="I14" i="37"/>
  <c r="F9" i="10"/>
  <c r="I88" i="37"/>
  <c r="E108" i="37"/>
  <c r="E169" i="37"/>
  <c r="I13" i="37"/>
  <c r="F15" i="10"/>
  <c r="I15" i="37"/>
  <c r="B34" i="10"/>
  <c r="I10" i="37"/>
  <c r="F53" i="10"/>
  <c r="I140" i="37"/>
  <c r="E41" i="37"/>
  <c r="I41" i="37"/>
  <c r="B44" i="10"/>
  <c r="I121" i="37"/>
  <c r="F32" i="10"/>
  <c r="I111" i="37"/>
  <c r="B21" i="10"/>
  <c r="F36" i="10"/>
  <c r="F10" i="10"/>
  <c r="I7" i="37"/>
  <c r="I91" i="37"/>
  <c r="F20" i="10"/>
  <c r="I36" i="37"/>
  <c r="F42" i="10"/>
  <c r="B16" i="10"/>
  <c r="F41" i="10"/>
  <c r="F31" i="10"/>
  <c r="F52" i="10"/>
  <c r="B37" i="10"/>
  <c r="F24" i="10"/>
  <c r="B45" i="10"/>
  <c r="M9" i="9"/>
  <c r="F13" i="10"/>
  <c r="B13" i="10"/>
  <c r="I81" i="37"/>
  <c r="F21" i="10"/>
  <c r="L169" i="13" l="1"/>
  <c r="L152" i="13"/>
  <c r="L111" i="20"/>
  <c r="L140" i="23"/>
  <c r="L10" i="25"/>
  <c r="E55" i="37"/>
  <c r="E55" i="41"/>
  <c r="E61" i="37"/>
  <c r="E61" i="41"/>
  <c r="L138" i="29"/>
  <c r="L144" i="35"/>
  <c r="H142" i="35"/>
  <c r="L157" i="36"/>
  <c r="L139" i="33"/>
  <c r="D141" i="4"/>
  <c r="L7" i="35"/>
  <c r="L165" i="26"/>
  <c r="H89" i="23"/>
  <c r="L13" i="19"/>
  <c r="L139" i="18"/>
  <c r="D60" i="20"/>
  <c r="K129" i="18"/>
  <c r="I89" i="37"/>
  <c r="L7" i="51"/>
  <c r="H19" i="9"/>
  <c r="H89" i="18"/>
  <c r="G155" i="4"/>
  <c r="H142" i="20"/>
  <c r="K89" i="18"/>
  <c r="D157" i="4"/>
  <c r="L13" i="22"/>
  <c r="L13" i="25"/>
  <c r="L10" i="51"/>
  <c r="L35" i="25"/>
  <c r="H99" i="27"/>
  <c r="L15" i="33"/>
  <c r="E11" i="37"/>
  <c r="E100" i="37"/>
  <c r="E131" i="37"/>
  <c r="E149" i="37"/>
  <c r="E118" i="37"/>
  <c r="E90" i="37"/>
  <c r="E148" i="37"/>
  <c r="E30" i="37"/>
  <c r="E155" i="37"/>
  <c r="E80" i="37"/>
  <c r="E147" i="37"/>
  <c r="E156" i="37"/>
  <c r="E130" i="37"/>
  <c r="E12" i="37"/>
  <c r="E143" i="37"/>
  <c r="E141" i="37"/>
  <c r="E138" i="37"/>
  <c r="E166" i="37"/>
  <c r="E120" i="37"/>
  <c r="E98" i="37"/>
  <c r="E139" i="37"/>
  <c r="E151" i="37"/>
  <c r="E110" i="37"/>
  <c r="G147" i="4"/>
  <c r="D54" i="24"/>
  <c r="H79" i="27"/>
  <c r="D54" i="38"/>
  <c r="L128" i="33"/>
  <c r="D60" i="18"/>
  <c r="L144" i="29"/>
  <c r="L121" i="23"/>
  <c r="H109" i="13"/>
  <c r="L108" i="33"/>
  <c r="L88" i="33"/>
  <c r="H10" i="9"/>
  <c r="L81" i="20"/>
  <c r="L168" i="34"/>
  <c r="H129" i="20"/>
  <c r="L10" i="35"/>
  <c r="L81" i="33"/>
  <c r="L81" i="23"/>
  <c r="L30" i="24"/>
  <c r="H129" i="29"/>
  <c r="L121" i="20"/>
  <c r="H109" i="27"/>
  <c r="L25" i="23"/>
  <c r="K129" i="20"/>
  <c r="L166" i="26"/>
  <c r="L169" i="26"/>
  <c r="D54" i="40"/>
  <c r="L121" i="27"/>
  <c r="L31" i="29"/>
  <c r="L35" i="29"/>
  <c r="L144" i="20"/>
  <c r="L140" i="18"/>
  <c r="L30" i="23"/>
  <c r="L15" i="29"/>
  <c r="H99" i="23"/>
  <c r="H119" i="36"/>
  <c r="L111" i="27"/>
  <c r="L121" i="33"/>
  <c r="L101" i="27"/>
  <c r="H119" i="29"/>
  <c r="H109" i="29"/>
  <c r="L167" i="34"/>
  <c r="L140" i="27"/>
  <c r="L10" i="29"/>
  <c r="L13" i="29"/>
  <c r="L7" i="33"/>
  <c r="H129" i="27"/>
  <c r="H79" i="23"/>
  <c r="L41" i="29"/>
  <c r="D69" i="39"/>
  <c r="L14" i="35"/>
  <c r="H119" i="35"/>
  <c r="L156" i="18"/>
  <c r="L41" i="18"/>
  <c r="L147" i="29"/>
  <c r="L148" i="18"/>
  <c r="L14" i="29"/>
  <c r="H142" i="13"/>
  <c r="L139" i="27"/>
  <c r="L41" i="23"/>
  <c r="N193" i="8"/>
  <c r="C12" i="9"/>
  <c r="G18" i="9"/>
  <c r="N167" i="8"/>
  <c r="C24" i="9"/>
  <c r="C13" i="9"/>
  <c r="H25" i="9"/>
  <c r="C22" i="9"/>
  <c r="K109" i="13"/>
  <c r="C27" i="9"/>
  <c r="K109" i="20"/>
  <c r="K150" i="20"/>
  <c r="K142" i="13"/>
  <c r="L138" i="33"/>
  <c r="K99" i="20"/>
  <c r="L131" i="33"/>
  <c r="L131" i="20"/>
  <c r="N196" i="8"/>
  <c r="M167" i="8"/>
  <c r="L139" i="13"/>
  <c r="D69" i="40"/>
  <c r="L144" i="18"/>
  <c r="N198" i="8"/>
  <c r="L140" i="35"/>
  <c r="H150" i="23"/>
  <c r="L111" i="29"/>
  <c r="L147" i="33"/>
  <c r="L131" i="27"/>
  <c r="H15" i="9"/>
  <c r="C19" i="9"/>
  <c r="D66" i="22"/>
  <c r="L41" i="33"/>
  <c r="L101" i="29"/>
  <c r="G28" i="9"/>
  <c r="L40" i="36"/>
  <c r="H27" i="9"/>
  <c r="L80" i="29"/>
  <c r="L36" i="20"/>
  <c r="G22" i="9"/>
  <c r="D60" i="33"/>
  <c r="L147" i="23"/>
  <c r="H18" i="9"/>
  <c r="L15" i="35"/>
  <c r="H119" i="27"/>
  <c r="L155" i="36"/>
  <c r="L139" i="23"/>
  <c r="L30" i="25"/>
  <c r="H129" i="13"/>
  <c r="L36" i="18"/>
  <c r="N197" i="8"/>
  <c r="D66" i="16"/>
  <c r="L111" i="33"/>
  <c r="L101" i="20"/>
  <c r="D54" i="33"/>
  <c r="D69" i="25"/>
  <c r="L148" i="33"/>
  <c r="L13" i="35"/>
  <c r="K109" i="18"/>
  <c r="K119" i="18"/>
  <c r="L165" i="13"/>
  <c r="L15" i="13"/>
  <c r="D69" i="16"/>
  <c r="N191" i="8"/>
  <c r="L101" i="13"/>
  <c r="L130" i="23"/>
  <c r="L111" i="13"/>
  <c r="L25" i="18"/>
  <c r="L7" i="20"/>
  <c r="K150" i="13"/>
  <c r="M169" i="8"/>
  <c r="L31" i="13"/>
  <c r="M164" i="8"/>
  <c r="K79" i="18"/>
  <c r="L10" i="20"/>
  <c r="L14" i="33"/>
  <c r="L31" i="23"/>
  <c r="H150" i="13"/>
  <c r="C14" i="9"/>
  <c r="L9" i="9"/>
  <c r="D54" i="16"/>
  <c r="G9" i="9"/>
  <c r="D60" i="16"/>
  <c r="N195" i="8"/>
  <c r="L7" i="13"/>
  <c r="L10" i="18"/>
  <c r="M194" i="8"/>
  <c r="N190" i="8"/>
  <c r="B28" i="9"/>
  <c r="M171" i="8"/>
  <c r="M195" i="8"/>
  <c r="H11" i="9"/>
  <c r="N166" i="8"/>
  <c r="N192" i="8"/>
  <c r="N199" i="8"/>
  <c r="C9" i="9"/>
  <c r="H22" i="9"/>
  <c r="C28" i="9"/>
  <c r="C21" i="9"/>
  <c r="C17" i="9"/>
  <c r="M166" i="8"/>
  <c r="B11" i="9"/>
  <c r="L10" i="33"/>
  <c r="H17" i="9"/>
  <c r="B15" i="9"/>
  <c r="E166" i="26"/>
  <c r="B9" i="9"/>
  <c r="M172" i="8"/>
  <c r="H150" i="33"/>
  <c r="L140" i="36"/>
  <c r="L156" i="33"/>
  <c r="M197" i="8"/>
  <c r="L152" i="23"/>
  <c r="G13" i="9"/>
  <c r="M168" i="8"/>
  <c r="M193" i="8"/>
  <c r="L147" i="13"/>
  <c r="N171" i="8"/>
  <c r="C26" i="9"/>
  <c r="L13" i="33"/>
  <c r="C18" i="9"/>
  <c r="B18" i="9"/>
  <c r="H12" i="9"/>
  <c r="H52" i="9" s="1"/>
  <c r="L25" i="13"/>
  <c r="L138" i="13"/>
  <c r="B10" i="9"/>
  <c r="L13" i="13"/>
  <c r="H23" i="9"/>
  <c r="H24" i="9"/>
  <c r="H14" i="9"/>
  <c r="H9" i="9"/>
  <c r="L152" i="33"/>
  <c r="C25" i="9"/>
  <c r="G15" i="9"/>
  <c r="H119" i="23"/>
  <c r="L36" i="24"/>
  <c r="L7" i="23"/>
  <c r="G30" i="9"/>
  <c r="H119" i="33"/>
  <c r="L151" i="29"/>
  <c r="D54" i="22"/>
  <c r="L14" i="23"/>
  <c r="M170" i="8"/>
  <c r="L148" i="29"/>
  <c r="B23" i="9"/>
  <c r="N168" i="8"/>
  <c r="H99" i="20"/>
  <c r="L40" i="13"/>
  <c r="H28" i="9"/>
  <c r="M198" i="8"/>
  <c r="H21" i="9"/>
  <c r="B21" i="9"/>
  <c r="B19" i="9"/>
  <c r="N194" i="8"/>
  <c r="L25" i="24"/>
  <c r="L7" i="19"/>
  <c r="N164" i="8"/>
  <c r="M165" i="8"/>
  <c r="C10" i="9"/>
  <c r="L14" i="13"/>
  <c r="L7" i="18"/>
  <c r="G11" i="9"/>
  <c r="C11" i="9"/>
  <c r="M190" i="8"/>
  <c r="C29" i="9"/>
  <c r="I117" i="20"/>
  <c r="I117" i="13"/>
  <c r="I117" i="23"/>
  <c r="I117" i="29"/>
  <c r="I117" i="33"/>
  <c r="I117" i="18"/>
  <c r="F14" i="10"/>
  <c r="E55" i="39"/>
  <c r="E55" i="16"/>
  <c r="E62" i="16"/>
  <c r="I86" i="27"/>
  <c r="I86" i="29"/>
  <c r="I86" i="35"/>
  <c r="I121" i="20"/>
  <c r="I121" i="13"/>
  <c r="I121" i="29"/>
  <c r="I121" i="35"/>
  <c r="I121" i="33"/>
  <c r="I121" i="27"/>
  <c r="I121" i="18"/>
  <c r="I121" i="23"/>
  <c r="G34" i="10"/>
  <c r="I41" i="23"/>
  <c r="I41" i="29"/>
  <c r="I41" i="35"/>
  <c r="I41" i="33"/>
  <c r="I41" i="18"/>
  <c r="I41" i="13"/>
  <c r="G53" i="10"/>
  <c r="D166" i="4"/>
  <c r="B26" i="10"/>
  <c r="I165" i="26"/>
  <c r="G15" i="10"/>
  <c r="I13" i="23"/>
  <c r="I13" i="35"/>
  <c r="I13" i="29"/>
  <c r="I13" i="33"/>
  <c r="I13" i="18"/>
  <c r="I13" i="13"/>
  <c r="G31" i="10"/>
  <c r="C25" i="10"/>
  <c r="E56" i="39"/>
  <c r="E56" i="16"/>
  <c r="I26" i="33"/>
  <c r="I26" i="13"/>
  <c r="I26" i="23"/>
  <c r="I26" i="29"/>
  <c r="I26" i="18"/>
  <c r="I26" i="35"/>
  <c r="I33" i="23"/>
  <c r="I33" i="29"/>
  <c r="I33" i="33"/>
  <c r="I33" i="18"/>
  <c r="I33" i="13"/>
  <c r="E67" i="39"/>
  <c r="E67" i="16"/>
  <c r="C36" i="10"/>
  <c r="C42" i="10"/>
  <c r="C9" i="10"/>
  <c r="C34" i="10"/>
  <c r="I32" i="13"/>
  <c r="I32" i="33"/>
  <c r="I32" i="18"/>
  <c r="I32" i="29"/>
  <c r="G55" i="10"/>
  <c r="I101" i="13"/>
  <c r="I101" i="20"/>
  <c r="I101" i="23"/>
  <c r="I101" i="27"/>
  <c r="I101" i="29"/>
  <c r="I101" i="33"/>
  <c r="I101" i="18"/>
  <c r="G24" i="10"/>
  <c r="C52" i="10"/>
  <c r="C20" i="10"/>
  <c r="I98" i="29"/>
  <c r="I98" i="33"/>
  <c r="I98" i="35"/>
  <c r="C32" i="10"/>
  <c r="I31" i="13"/>
  <c r="I31" i="33"/>
  <c r="I31" i="23"/>
  <c r="I31" i="29"/>
  <c r="I31" i="18"/>
  <c r="G21" i="10"/>
  <c r="C44" i="10"/>
  <c r="C16" i="10"/>
  <c r="N170" i="8"/>
  <c r="G19" i="9"/>
  <c r="M16" i="9"/>
  <c r="B14" i="9"/>
  <c r="C26" i="10"/>
  <c r="M199" i="8"/>
  <c r="G16" i="9"/>
  <c r="G12" i="9"/>
  <c r="B12" i="9"/>
  <c r="M26" i="9"/>
  <c r="G41" i="9"/>
  <c r="G23" i="9"/>
  <c r="M17" i="9"/>
  <c r="M192" i="8"/>
  <c r="N165" i="8"/>
  <c r="B42" i="9"/>
  <c r="L39" i="9"/>
  <c r="G37" i="9"/>
  <c r="I36" i="33"/>
  <c r="I36" i="20"/>
  <c r="I36" i="23"/>
  <c r="I36" i="29"/>
  <c r="I36" i="18"/>
  <c r="I36" i="13"/>
  <c r="I36" i="35"/>
  <c r="G32" i="10"/>
  <c r="C21" i="10"/>
  <c r="C24" i="10"/>
  <c r="I28" i="20"/>
  <c r="I28" i="23"/>
  <c r="I28" i="29"/>
  <c r="I28" i="18"/>
  <c r="I28" i="33"/>
  <c r="I28" i="13"/>
  <c r="I37" i="23"/>
  <c r="I37" i="29"/>
  <c r="I37" i="35"/>
  <c r="I37" i="33"/>
  <c r="I37" i="18"/>
  <c r="I37" i="13"/>
  <c r="C41" i="10"/>
  <c r="I138" i="13"/>
  <c r="I138" i="29"/>
  <c r="I138" i="35"/>
  <c r="I138" i="33"/>
  <c r="C55" i="10"/>
  <c r="I88" i="33"/>
  <c r="G14" i="10"/>
  <c r="D108" i="4"/>
  <c r="B25" i="10"/>
  <c r="I39" i="13"/>
  <c r="I39" i="20"/>
  <c r="I39" i="23"/>
  <c r="I39" i="29"/>
  <c r="I39" i="18"/>
  <c r="I39" i="33"/>
  <c r="I131" i="13"/>
  <c r="I131" i="20"/>
  <c r="I131" i="23"/>
  <c r="I131" i="27"/>
  <c r="I131" i="29"/>
  <c r="I131" i="33"/>
  <c r="I131" i="18"/>
  <c r="I25" i="23"/>
  <c r="I25" i="29"/>
  <c r="I25" i="35"/>
  <c r="I25" i="33"/>
  <c r="I25" i="18"/>
  <c r="I25" i="20"/>
  <c r="I25" i="13"/>
  <c r="G10" i="10"/>
  <c r="C45" i="10"/>
  <c r="I152" i="20"/>
  <c r="I152" i="13"/>
  <c r="I152" i="23"/>
  <c r="I152" i="35"/>
  <c r="I152" i="27"/>
  <c r="I152" i="33"/>
  <c r="I152" i="29"/>
  <c r="I152" i="18"/>
  <c r="C27" i="10"/>
  <c r="I144" i="20"/>
  <c r="I144" i="23"/>
  <c r="I144" i="13"/>
  <c r="I144" i="27"/>
  <c r="I144" i="35"/>
  <c r="I144" i="33"/>
  <c r="I144" i="18"/>
  <c r="I144" i="29"/>
  <c r="I139" i="13"/>
  <c r="I139" i="18"/>
  <c r="G26" i="9"/>
  <c r="B26" i="9"/>
  <c r="M196" i="8"/>
  <c r="N169" i="8"/>
  <c r="B38" i="9"/>
  <c r="G39" i="9"/>
  <c r="B13" i="9"/>
  <c r="B30" i="9"/>
  <c r="L43" i="9"/>
  <c r="G27" i="9"/>
  <c r="B39" i="9"/>
  <c r="M21" i="9"/>
  <c r="G42" i="9"/>
  <c r="C15" i="9"/>
  <c r="H13" i="9"/>
  <c r="B29" i="9"/>
  <c r="M27" i="9"/>
  <c r="L42" i="9"/>
  <c r="B37" i="9"/>
  <c r="B17" i="9"/>
  <c r="I84" i="29"/>
  <c r="F26" i="10"/>
  <c r="I137" i="20"/>
  <c r="I137" i="23"/>
  <c r="I137" i="13"/>
  <c r="I137" i="29"/>
  <c r="I137" i="33"/>
  <c r="I137" i="18"/>
  <c r="I168" i="26"/>
  <c r="G44" i="10"/>
  <c r="I7" i="29"/>
  <c r="I7" i="33"/>
  <c r="I7" i="18"/>
  <c r="I7" i="23"/>
  <c r="I7" i="35"/>
  <c r="I7" i="13"/>
  <c r="G9" i="10"/>
  <c r="I147" i="18"/>
  <c r="I124" i="29"/>
  <c r="D46" i="4"/>
  <c r="B56" i="10"/>
  <c r="I123" i="13"/>
  <c r="I123" i="29"/>
  <c r="I38" i="35"/>
  <c r="I38" i="13"/>
  <c r="I38" i="33"/>
  <c r="I38" i="23"/>
  <c r="I38" i="29"/>
  <c r="I38" i="18"/>
  <c r="C56" i="10"/>
  <c r="I136" i="27"/>
  <c r="I136" i="29"/>
  <c r="C53" i="10"/>
  <c r="I27" i="13"/>
  <c r="I27" i="33"/>
  <c r="I27" i="29"/>
  <c r="I116" i="27"/>
  <c r="I116" i="29"/>
  <c r="I126" i="27"/>
  <c r="I126" i="29"/>
  <c r="I126" i="35"/>
  <c r="E61" i="16"/>
  <c r="C15" i="10"/>
  <c r="F23" i="10"/>
  <c r="H30" i="9"/>
  <c r="B27" i="9"/>
  <c r="G25" i="9"/>
  <c r="B20" i="9"/>
  <c r="M15" i="9"/>
  <c r="G10" i="9"/>
  <c r="M191" i="8"/>
  <c r="H29" i="9"/>
  <c r="B44" i="9"/>
  <c r="L41" i="9"/>
  <c r="C23" i="9"/>
  <c r="M10" i="9"/>
  <c r="N172" i="8"/>
  <c r="C16" i="9"/>
  <c r="M29" i="9"/>
  <c r="G24" i="9"/>
  <c r="G21" i="9"/>
  <c r="I83" i="29"/>
  <c r="I87" i="13"/>
  <c r="I87" i="20"/>
  <c r="I87" i="23"/>
  <c r="I87" i="29"/>
  <c r="I87" i="33"/>
  <c r="I87" i="18"/>
  <c r="C13" i="10"/>
  <c r="I97" i="20"/>
  <c r="I97" i="13"/>
  <c r="I97" i="29"/>
  <c r="I97" i="23"/>
  <c r="I97" i="18"/>
  <c r="I97" i="33"/>
  <c r="I111" i="13"/>
  <c r="I111" i="20"/>
  <c r="I111" i="27"/>
  <c r="I111" i="29"/>
  <c r="I111" i="18"/>
  <c r="I111" i="23"/>
  <c r="I111" i="33"/>
  <c r="I107" i="13"/>
  <c r="I107" i="20"/>
  <c r="I107" i="23"/>
  <c r="I107" i="29"/>
  <c r="I107" i="18"/>
  <c r="I107" i="33"/>
  <c r="F55" i="10"/>
  <c r="B27" i="10"/>
  <c r="I167" i="26"/>
  <c r="G36" i="10"/>
  <c r="G26" i="10"/>
  <c r="E71" i="39"/>
  <c r="E71" i="16"/>
  <c r="I106" i="27"/>
  <c r="I106" i="29"/>
  <c r="I108" i="33"/>
  <c r="G25" i="10"/>
  <c r="I128" i="33"/>
  <c r="G35" i="10"/>
  <c r="E68" i="39"/>
  <c r="E68" i="16"/>
  <c r="C14" i="10"/>
  <c r="I81" i="20"/>
  <c r="I81" i="23"/>
  <c r="I81" i="27"/>
  <c r="I81" i="29"/>
  <c r="I81" i="35"/>
  <c r="I81" i="18"/>
  <c r="I81" i="33"/>
  <c r="I81" i="13"/>
  <c r="G13" i="10"/>
  <c r="I127" i="13"/>
  <c r="I127" i="20"/>
  <c r="I127" i="23"/>
  <c r="I127" i="29"/>
  <c r="I127" i="18"/>
  <c r="I127" i="33"/>
  <c r="F25" i="10"/>
  <c r="G168" i="4"/>
  <c r="F44" i="10"/>
  <c r="I91" i="13"/>
  <c r="I91" i="20"/>
  <c r="I91" i="23"/>
  <c r="I91" i="33"/>
  <c r="I91" i="18"/>
  <c r="I91" i="27"/>
  <c r="I91" i="29"/>
  <c r="I140" i="13"/>
  <c r="I140" i="27"/>
  <c r="I140" i="35"/>
  <c r="I140" i="29"/>
  <c r="I140" i="23"/>
  <c r="I140" i="33"/>
  <c r="I140" i="18"/>
  <c r="I10" i="13"/>
  <c r="I10" i="29"/>
  <c r="I10" i="18"/>
  <c r="I10" i="33"/>
  <c r="I10" i="35"/>
  <c r="I10" i="23"/>
  <c r="G20" i="10"/>
  <c r="I15" i="29"/>
  <c r="I15" i="33"/>
  <c r="I15" i="18"/>
  <c r="I15" i="35"/>
  <c r="I15" i="23"/>
  <c r="I15" i="13"/>
  <c r="G52" i="10"/>
  <c r="I14" i="13"/>
  <c r="I14" i="23"/>
  <c r="I14" i="35"/>
  <c r="I14" i="33"/>
  <c r="I14" i="18"/>
  <c r="G41" i="10"/>
  <c r="I14" i="29"/>
  <c r="I96" i="27"/>
  <c r="I96" i="29"/>
  <c r="G128" i="4"/>
  <c r="F35" i="10"/>
  <c r="I156" i="13"/>
  <c r="I156" i="27"/>
  <c r="I156" i="23"/>
  <c r="I156" i="29"/>
  <c r="I156" i="33"/>
  <c r="I156" i="18"/>
  <c r="C37" i="10"/>
  <c r="I40" i="13"/>
  <c r="I40" i="35"/>
  <c r="I40" i="23"/>
  <c r="I40" i="18"/>
  <c r="I40" i="29"/>
  <c r="I40" i="33"/>
  <c r="G42" i="10"/>
  <c r="D128" i="4"/>
  <c r="B35" i="10"/>
  <c r="C35" i="10"/>
  <c r="I148" i="13"/>
  <c r="I148" i="23"/>
  <c r="I148" i="35"/>
  <c r="I148" i="29"/>
  <c r="I148" i="33"/>
  <c r="I148" i="27"/>
  <c r="I148" i="18"/>
  <c r="C10" i="10"/>
  <c r="C31" i="10"/>
  <c r="D88" i="4"/>
  <c r="B14" i="10"/>
  <c r="E70" i="39"/>
  <c r="E70" i="16"/>
  <c r="L121" i="36"/>
  <c r="L155" i="29"/>
  <c r="H99" i="29"/>
  <c r="L151" i="27"/>
  <c r="L151" i="23"/>
  <c r="L80" i="23"/>
  <c r="L100" i="23"/>
  <c r="H129" i="33"/>
  <c r="L25" i="35"/>
  <c r="H119" i="20"/>
  <c r="L131" i="13"/>
  <c r="D66" i="39"/>
  <c r="D69" i="33"/>
  <c r="L131" i="36"/>
  <c r="L140" i="29"/>
  <c r="L7" i="29"/>
  <c r="L30" i="29"/>
  <c r="L148" i="23"/>
  <c r="H129" i="23"/>
  <c r="L13" i="20"/>
  <c r="K129" i="13"/>
  <c r="L36" i="13"/>
  <c r="L110" i="13"/>
  <c r="L81" i="18"/>
  <c r="H26" i="9"/>
  <c r="H20" i="9"/>
  <c r="G20" i="9"/>
  <c r="L38" i="9"/>
  <c r="H16" i="9"/>
  <c r="B16" i="9"/>
  <c r="G29" i="9"/>
  <c r="L40" i="9"/>
  <c r="B22" i="9"/>
  <c r="G17" i="9"/>
  <c r="G36" i="9"/>
  <c r="M14" i="9"/>
  <c r="B25" i="9"/>
  <c r="C20" i="9"/>
  <c r="G38" i="9"/>
  <c r="G14" i="9"/>
  <c r="L36" i="9"/>
  <c r="M25" i="9"/>
  <c r="B24" i="9"/>
  <c r="M24" i="9"/>
  <c r="L31" i="33"/>
  <c r="L25" i="20"/>
  <c r="L140" i="33"/>
  <c r="L130" i="33"/>
  <c r="H142" i="29"/>
  <c r="L13" i="23"/>
  <c r="L30" i="13"/>
  <c r="L147" i="36"/>
  <c r="L121" i="35"/>
  <c r="D69" i="13"/>
  <c r="L35" i="13"/>
  <c r="L40" i="18"/>
  <c r="I119" i="37"/>
  <c r="L41" i="35"/>
  <c r="L130" i="29"/>
  <c r="L120" i="33"/>
  <c r="L30" i="33"/>
  <c r="L144" i="36"/>
  <c r="L91" i="33"/>
  <c r="H142" i="36"/>
  <c r="L40" i="29"/>
  <c r="H79" i="33"/>
  <c r="L90" i="33"/>
  <c r="L80" i="13"/>
  <c r="H79" i="35"/>
  <c r="L140" i="13"/>
  <c r="L143" i="13"/>
  <c r="L41" i="13"/>
  <c r="L10" i="13"/>
  <c r="L14" i="18"/>
  <c r="L91" i="29"/>
  <c r="H99" i="18"/>
  <c r="L98" i="29"/>
  <c r="L101" i="23"/>
  <c r="L7" i="22"/>
  <c r="L90" i="27"/>
  <c r="L120" i="36"/>
  <c r="L121" i="29"/>
  <c r="L143" i="27"/>
  <c r="L15" i="23"/>
  <c r="H119" i="13"/>
  <c r="L151" i="13"/>
  <c r="H99" i="13"/>
  <c r="K99" i="13"/>
  <c r="K142" i="18"/>
  <c r="L130" i="18"/>
  <c r="L90" i="18"/>
  <c r="L81" i="13"/>
  <c r="L101" i="18"/>
  <c r="L31" i="18"/>
  <c r="J79" i="18"/>
  <c r="L111" i="18"/>
  <c r="H109" i="18"/>
  <c r="H142" i="18"/>
  <c r="L7" i="25"/>
  <c r="K79" i="20"/>
  <c r="L165" i="34"/>
  <c r="L156" i="27"/>
  <c r="I79" i="37"/>
  <c r="L130" i="36"/>
  <c r="L139" i="29"/>
  <c r="L80" i="27"/>
  <c r="L35" i="23"/>
  <c r="D60" i="39"/>
  <c r="L40" i="35"/>
  <c r="D60" i="40"/>
  <c r="D66" i="25"/>
  <c r="L10" i="24"/>
  <c r="L143" i="33"/>
  <c r="L36" i="33"/>
  <c r="L152" i="29"/>
  <c r="L36" i="29"/>
  <c r="H142" i="23"/>
  <c r="L10" i="22"/>
  <c r="L31" i="20"/>
  <c r="L101" i="33"/>
  <c r="L25" i="36"/>
  <c r="L98" i="35"/>
  <c r="D66" i="33"/>
  <c r="L143" i="29"/>
  <c r="L81" i="29"/>
  <c r="L168" i="26"/>
  <c r="L91" i="27"/>
  <c r="D54" i="25"/>
  <c r="L120" i="27"/>
  <c r="L143" i="23"/>
  <c r="H79" i="20"/>
  <c r="L144" i="13"/>
  <c r="L15" i="18"/>
  <c r="L148" i="13"/>
  <c r="J99" i="18"/>
  <c r="K119" i="20"/>
  <c r="L131" i="18"/>
  <c r="L10" i="19"/>
  <c r="L81" i="35"/>
  <c r="L98" i="33"/>
  <c r="H150" i="29"/>
  <c r="L131" i="29"/>
  <c r="L40" i="33"/>
  <c r="L156" i="29"/>
  <c r="L130" i="27"/>
  <c r="L10" i="23"/>
  <c r="L36" i="35"/>
  <c r="L120" i="29"/>
  <c r="L90" i="29"/>
  <c r="L120" i="23"/>
  <c r="L111" i="23"/>
  <c r="L156" i="23"/>
  <c r="L144" i="23"/>
  <c r="L91" i="20"/>
  <c r="H142" i="33"/>
  <c r="L36" i="36"/>
  <c r="L138" i="35"/>
  <c r="H129" i="36"/>
  <c r="D54" i="51"/>
  <c r="L110" i="23"/>
  <c r="L7" i="24"/>
  <c r="L36" i="23"/>
  <c r="L30" i="20"/>
  <c r="L143" i="18"/>
  <c r="K99" i="18"/>
  <c r="L152" i="27"/>
  <c r="L131" i="23"/>
  <c r="L110" i="33"/>
  <c r="L139" i="36"/>
  <c r="L144" i="27"/>
  <c r="L91" i="23"/>
  <c r="L35" i="20"/>
  <c r="L80" i="33"/>
  <c r="L25" i="33"/>
  <c r="L148" i="36"/>
  <c r="L143" i="36"/>
  <c r="L25" i="29"/>
  <c r="L148" i="27"/>
  <c r="D60" i="25"/>
  <c r="L13" i="24"/>
  <c r="L90" i="23"/>
  <c r="L40" i="23"/>
  <c r="L152" i="20"/>
  <c r="H99" i="33"/>
  <c r="L151" i="36"/>
  <c r="L35" i="33"/>
  <c r="L100" i="33"/>
  <c r="H142" i="27"/>
  <c r="H109" i="33"/>
  <c r="L81" i="27"/>
  <c r="J150" i="18"/>
  <c r="D54" i="18"/>
  <c r="H79" i="18"/>
  <c r="H109" i="20"/>
  <c r="L100" i="18"/>
  <c r="L110" i="18"/>
  <c r="K142" i="20"/>
  <c r="B23" i="10"/>
  <c r="B33" i="10"/>
  <c r="I129" i="37"/>
  <c r="H109" i="23"/>
  <c r="I109" i="37"/>
  <c r="I99" i="37"/>
  <c r="L155" i="13"/>
  <c r="L91" i="13"/>
  <c r="L121" i="13"/>
  <c r="D79" i="18"/>
  <c r="L167" i="13"/>
  <c r="L130" i="13"/>
  <c r="L156" i="13"/>
  <c r="L90" i="13"/>
  <c r="L152" i="18"/>
  <c r="L118" i="13"/>
  <c r="L121" i="18"/>
  <c r="L13" i="18"/>
  <c r="L120" i="18"/>
  <c r="L151" i="18"/>
  <c r="L91" i="18"/>
  <c r="H150" i="18"/>
  <c r="L100" i="13"/>
  <c r="D99" i="18"/>
  <c r="K79" i="13"/>
  <c r="L98" i="13"/>
  <c r="K119" i="13"/>
  <c r="J89" i="13"/>
  <c r="L120" i="13"/>
  <c r="H79" i="13"/>
  <c r="L80" i="18"/>
  <c r="D54" i="13"/>
  <c r="D79" i="33"/>
  <c r="D89" i="27"/>
  <c r="L89" i="27"/>
  <c r="D129" i="23"/>
  <c r="D142" i="33"/>
  <c r="D119" i="20"/>
  <c r="J119" i="20"/>
  <c r="D79" i="13"/>
  <c r="J79" i="13"/>
  <c r="D150" i="18"/>
  <c r="K150" i="18"/>
  <c r="D142" i="29"/>
  <c r="D142" i="23"/>
  <c r="J89" i="20"/>
  <c r="L89" i="20" s="1"/>
  <c r="D89" i="20"/>
  <c r="J119" i="18"/>
  <c r="D119" i="18"/>
  <c r="J119" i="13"/>
  <c r="D119" i="13"/>
  <c r="D99" i="13"/>
  <c r="J99" i="13"/>
  <c r="D150" i="33"/>
  <c r="D150" i="27"/>
  <c r="D79" i="27"/>
  <c r="D109" i="33"/>
  <c r="D89" i="29"/>
  <c r="D129" i="27"/>
  <c r="D99" i="20"/>
  <c r="J99" i="20"/>
  <c r="J109" i="20"/>
  <c r="D109" i="20"/>
  <c r="D109" i="29"/>
  <c r="D89" i="13"/>
  <c r="K89" i="13"/>
  <c r="J89" i="18"/>
  <c r="D89" i="18"/>
  <c r="J129" i="18"/>
  <c r="L129" i="18" s="1"/>
  <c r="H129" i="18"/>
  <c r="D129" i="20"/>
  <c r="J129" i="20"/>
  <c r="D129" i="36"/>
  <c r="D119" i="33"/>
  <c r="D119" i="36"/>
  <c r="D150" i="29"/>
  <c r="D129" i="33"/>
  <c r="D142" i="36"/>
  <c r="L119" i="29"/>
  <c r="D119" i="29"/>
  <c r="D142" i="27"/>
  <c r="D119" i="23"/>
  <c r="D99" i="33"/>
  <c r="H150" i="27"/>
  <c r="D109" i="23"/>
  <c r="D150" i="13"/>
  <c r="J150" i="13"/>
  <c r="D129" i="13"/>
  <c r="J129" i="13"/>
  <c r="D142" i="13"/>
  <c r="J142" i="13"/>
  <c r="J109" i="13"/>
  <c r="D109" i="13"/>
  <c r="D129" i="29"/>
  <c r="L150" i="35"/>
  <c r="H79" i="29"/>
  <c r="D150" i="23"/>
  <c r="D79" i="23"/>
  <c r="L99" i="23"/>
  <c r="D99" i="23"/>
  <c r="D89" i="33"/>
  <c r="L89" i="33"/>
  <c r="L89" i="23"/>
  <c r="D89" i="23"/>
  <c r="D150" i="36"/>
  <c r="L99" i="29"/>
  <c r="D79" i="29"/>
  <c r="D119" i="27"/>
  <c r="D150" i="20"/>
  <c r="J150" i="20"/>
  <c r="J142" i="18"/>
  <c r="D142" i="18"/>
  <c r="J142" i="20"/>
  <c r="D142" i="20"/>
  <c r="H119" i="18"/>
  <c r="D79" i="20"/>
  <c r="J79" i="20"/>
  <c r="D109" i="18"/>
  <c r="J109" i="18"/>
  <c r="E55" i="38"/>
  <c r="E120" i="33"/>
  <c r="E139" i="33"/>
  <c r="E25" i="33"/>
  <c r="E70" i="33"/>
  <c r="E130" i="33"/>
  <c r="E9" i="33"/>
  <c r="E55" i="33"/>
  <c r="E62" i="33"/>
  <c r="E35" i="33"/>
  <c r="E148" i="33"/>
  <c r="E61" i="33"/>
  <c r="E68" i="33"/>
  <c r="E88" i="33"/>
  <c r="E110" i="33"/>
  <c r="E11" i="33"/>
  <c r="E31" i="33"/>
  <c r="E101" i="33"/>
  <c r="E30" i="33"/>
  <c r="E108" i="33"/>
  <c r="E147" i="33"/>
  <c r="E13" i="33"/>
  <c r="E100" i="33"/>
  <c r="E12" i="33"/>
  <c r="E91" i="33"/>
  <c r="E111" i="33"/>
  <c r="E71" i="33"/>
  <c r="E41" i="33"/>
  <c r="E56" i="33"/>
  <c r="E67" i="33"/>
  <c r="E40" i="33"/>
  <c r="E7" i="33"/>
  <c r="E121" i="33"/>
  <c r="E131" i="33"/>
  <c r="E10" i="33"/>
  <c r="E36" i="33"/>
  <c r="E156" i="33"/>
  <c r="E128" i="33"/>
  <c r="E8" i="33"/>
  <c r="E90" i="33"/>
  <c r="E80" i="33"/>
  <c r="E143" i="33"/>
  <c r="E140" i="33"/>
  <c r="E152" i="33"/>
  <c r="E144" i="33"/>
  <c r="G148" i="4"/>
  <c r="E130" i="29"/>
  <c r="E9" i="29"/>
  <c r="E35" i="29"/>
  <c r="E98" i="29"/>
  <c r="E118" i="29"/>
  <c r="E165" i="34"/>
  <c r="E110" i="29"/>
  <c r="E156" i="29"/>
  <c r="E81" i="29"/>
  <c r="E11" i="29"/>
  <c r="E120" i="29"/>
  <c r="E31" i="29"/>
  <c r="E30" i="29"/>
  <c r="E155" i="29"/>
  <c r="E139" i="29"/>
  <c r="E147" i="29"/>
  <c r="E25" i="29"/>
  <c r="E13" i="29"/>
  <c r="E100" i="29"/>
  <c r="E12" i="29"/>
  <c r="E91" i="29"/>
  <c r="E41" i="29"/>
  <c r="E167" i="34"/>
  <c r="E40" i="29"/>
  <c r="E7" i="29"/>
  <c r="E121" i="29"/>
  <c r="E131" i="29"/>
  <c r="E138" i="29"/>
  <c r="E15" i="29"/>
  <c r="E10" i="29"/>
  <c r="E36" i="29"/>
  <c r="E168" i="34"/>
  <c r="E8" i="29"/>
  <c r="E90" i="29"/>
  <c r="E80" i="29"/>
  <c r="E143" i="29"/>
  <c r="E140" i="29"/>
  <c r="E152" i="29"/>
  <c r="E151" i="29"/>
  <c r="E55" i="40"/>
  <c r="E61" i="40"/>
  <c r="E70" i="40"/>
  <c r="E130" i="27"/>
  <c r="E9" i="51"/>
  <c r="E55" i="51"/>
  <c r="E61" i="51"/>
  <c r="E11" i="51"/>
  <c r="E120" i="27"/>
  <c r="E139" i="27"/>
  <c r="E13" i="51"/>
  <c r="E12" i="51"/>
  <c r="E7" i="51"/>
  <c r="E10" i="51"/>
  <c r="E8" i="51"/>
  <c r="E90" i="27"/>
  <c r="E80" i="27"/>
  <c r="E143" i="27"/>
  <c r="E151" i="27"/>
  <c r="E9" i="25"/>
  <c r="E61" i="25"/>
  <c r="E11" i="25"/>
  <c r="E30" i="25"/>
  <c r="E13" i="25"/>
  <c r="E70" i="25"/>
  <c r="E55" i="25"/>
  <c r="E12" i="25"/>
  <c r="E169" i="26"/>
  <c r="E67" i="25"/>
  <c r="E167" i="26"/>
  <c r="E7" i="25"/>
  <c r="E10" i="25"/>
  <c r="E168" i="26"/>
  <c r="E35" i="25"/>
  <c r="E165" i="26"/>
  <c r="E8" i="25"/>
  <c r="E130" i="23"/>
  <c r="E9" i="24"/>
  <c r="E35" i="23"/>
  <c r="E110" i="23"/>
  <c r="E11" i="24"/>
  <c r="E120" i="23"/>
  <c r="E31" i="23"/>
  <c r="E30" i="23"/>
  <c r="E30" i="24"/>
  <c r="E139" i="23"/>
  <c r="E147" i="23"/>
  <c r="E25" i="23"/>
  <c r="E25" i="24"/>
  <c r="E13" i="24"/>
  <c r="E100" i="23"/>
  <c r="E12" i="24"/>
  <c r="E56" i="24"/>
  <c r="E7" i="24"/>
  <c r="E10" i="24"/>
  <c r="E36" i="23"/>
  <c r="E36" i="24"/>
  <c r="E8" i="24"/>
  <c r="E90" i="23"/>
  <c r="E80" i="23"/>
  <c r="E143" i="23"/>
  <c r="E151" i="23"/>
  <c r="E9" i="22"/>
  <c r="E55" i="21"/>
  <c r="E55" i="22"/>
  <c r="E62" i="22"/>
  <c r="E61" i="22"/>
  <c r="E11" i="22"/>
  <c r="E13" i="22"/>
  <c r="E70" i="22"/>
  <c r="E12" i="22"/>
  <c r="E56" i="22"/>
  <c r="E67" i="22"/>
  <c r="E7" i="22"/>
  <c r="E10" i="22"/>
  <c r="E8" i="22"/>
  <c r="E61" i="20"/>
  <c r="E35" i="20"/>
  <c r="E81" i="20"/>
  <c r="E11" i="19"/>
  <c r="E11" i="20"/>
  <c r="E31" i="20"/>
  <c r="E101" i="20"/>
  <c r="E30" i="20"/>
  <c r="E25" i="20"/>
  <c r="E13" i="19"/>
  <c r="E13" i="20"/>
  <c r="E12" i="19"/>
  <c r="E12" i="20"/>
  <c r="E91" i="20"/>
  <c r="E111" i="20"/>
  <c r="E7" i="19"/>
  <c r="E7" i="20"/>
  <c r="E121" i="20"/>
  <c r="E131" i="20"/>
  <c r="E10" i="19"/>
  <c r="E10" i="20"/>
  <c r="E36" i="20"/>
  <c r="E9" i="19"/>
  <c r="E9" i="20"/>
  <c r="E55" i="20"/>
  <c r="E8" i="19"/>
  <c r="E8" i="20"/>
  <c r="E152" i="20"/>
  <c r="E144" i="20"/>
  <c r="E12" i="18"/>
  <c r="E12" i="13"/>
  <c r="E130" i="18"/>
  <c r="E130" i="13"/>
  <c r="E9" i="18"/>
  <c r="E9" i="13"/>
  <c r="E55" i="18"/>
  <c r="E55" i="13"/>
  <c r="E62" i="13"/>
  <c r="E35" i="13"/>
  <c r="E98" i="13"/>
  <c r="E118" i="13"/>
  <c r="E61" i="18"/>
  <c r="E61" i="13"/>
  <c r="E110" i="18"/>
  <c r="E110" i="13"/>
  <c r="E11" i="18"/>
  <c r="E11" i="13"/>
  <c r="E120" i="18"/>
  <c r="E120" i="13"/>
  <c r="E31" i="13"/>
  <c r="E30" i="13"/>
  <c r="E155" i="13"/>
  <c r="E44" i="13"/>
  <c r="E139" i="18"/>
  <c r="E139" i="13"/>
  <c r="E147" i="18"/>
  <c r="E147" i="13"/>
  <c r="E25" i="13"/>
  <c r="E13" i="18"/>
  <c r="E13" i="13"/>
  <c r="E70" i="13"/>
  <c r="E71" i="13"/>
  <c r="E41" i="13"/>
  <c r="E14" i="13"/>
  <c r="E56" i="13"/>
  <c r="E67" i="13"/>
  <c r="E40" i="13"/>
  <c r="E7" i="18"/>
  <c r="E7" i="13"/>
  <c r="E121" i="13"/>
  <c r="E131" i="13"/>
  <c r="E138" i="13"/>
  <c r="E15" i="13"/>
  <c r="E10" i="18"/>
  <c r="E10" i="13"/>
  <c r="E42" i="13"/>
  <c r="E100" i="18"/>
  <c r="E100" i="13"/>
  <c r="E8" i="18"/>
  <c r="E8" i="13"/>
  <c r="E90" i="18"/>
  <c r="E90" i="13"/>
  <c r="E80" i="18"/>
  <c r="E80" i="13"/>
  <c r="E143" i="18"/>
  <c r="E143" i="13"/>
  <c r="E140" i="13"/>
  <c r="E151" i="18"/>
  <c r="E151" i="13"/>
  <c r="G156" i="4"/>
  <c r="D147" i="4"/>
  <c r="D139" i="4"/>
  <c r="G139" i="4"/>
  <c r="G140" i="4"/>
  <c r="D148" i="4"/>
  <c r="D155" i="4"/>
  <c r="D156" i="4"/>
  <c r="D140" i="4"/>
  <c r="D110" i="4"/>
  <c r="D25" i="4"/>
  <c r="D168" i="4"/>
  <c r="D70" i="4"/>
  <c r="D42" i="4"/>
  <c r="D61" i="4"/>
  <c r="G25" i="4"/>
  <c r="D144" i="4"/>
  <c r="D169" i="4"/>
  <c r="D13" i="4"/>
  <c r="D143" i="4"/>
  <c r="D68" i="4"/>
  <c r="D151" i="4"/>
  <c r="D118" i="4"/>
  <c r="D7" i="4"/>
  <c r="D81" i="4"/>
  <c r="D8" i="4"/>
  <c r="D165" i="4"/>
  <c r="D41" i="4"/>
  <c r="D36" i="4"/>
  <c r="G31" i="4"/>
  <c r="G7" i="4"/>
  <c r="D55" i="4"/>
  <c r="G98" i="4"/>
  <c r="G101" i="4"/>
  <c r="G138" i="4"/>
  <c r="G144" i="4"/>
  <c r="D67" i="4"/>
  <c r="D101" i="4"/>
  <c r="D56" i="4"/>
  <c r="D15" i="4"/>
  <c r="D44" i="4"/>
  <c r="D40" i="4"/>
  <c r="D10" i="4"/>
  <c r="D35" i="4"/>
  <c r="D31" i="4"/>
  <c r="D14" i="4"/>
  <c r="H35" i="4"/>
  <c r="G152" i="4"/>
  <c r="G131" i="4"/>
  <c r="G15" i="4"/>
  <c r="G40" i="4"/>
  <c r="D152" i="4"/>
  <c r="G14" i="4"/>
  <c r="D12" i="4"/>
  <c r="D11" i="4"/>
  <c r="H25" i="4"/>
  <c r="G36" i="4"/>
  <c r="D62" i="4"/>
  <c r="D80" i="4"/>
  <c r="D131" i="4"/>
  <c r="D111" i="4"/>
  <c r="D45" i="4"/>
  <c r="D71" i="4"/>
  <c r="G13" i="4"/>
  <c r="G10" i="4"/>
  <c r="G91" i="4"/>
  <c r="D121" i="4"/>
  <c r="G41" i="4"/>
  <c r="G111" i="4"/>
  <c r="D130" i="4"/>
  <c r="D98" i="4"/>
  <c r="D138" i="4"/>
  <c r="D167" i="4"/>
  <c r="G121" i="4"/>
  <c r="G167" i="4"/>
  <c r="G165" i="4"/>
  <c r="B22" i="10"/>
  <c r="E142" i="37"/>
  <c r="B49" i="10"/>
  <c r="I150" i="37"/>
  <c r="E150" i="37"/>
  <c r="D90" i="4"/>
  <c r="D100" i="4"/>
  <c r="E69" i="37"/>
  <c r="G81" i="4"/>
  <c r="D120" i="4"/>
  <c r="D91" i="4"/>
  <c r="D9" i="4"/>
  <c r="F54" i="10"/>
  <c r="B43" i="10"/>
  <c r="B54" i="10"/>
  <c r="F43" i="10"/>
  <c r="I142" i="37"/>
  <c r="B60" i="10"/>
  <c r="B11" i="10"/>
  <c r="L89" i="18" l="1"/>
  <c r="E66" i="37"/>
  <c r="E66" i="13"/>
  <c r="L150" i="13"/>
  <c r="L129" i="27"/>
  <c r="E54" i="37"/>
  <c r="E54" i="41"/>
  <c r="E60" i="37"/>
  <c r="E60" i="41"/>
  <c r="I89" i="18"/>
  <c r="I89" i="29"/>
  <c r="I89" i="20"/>
  <c r="L99" i="33"/>
  <c r="L129" i="33"/>
  <c r="L99" i="20"/>
  <c r="I89" i="23"/>
  <c r="I89" i="13"/>
  <c r="G89" i="4"/>
  <c r="I89" i="33"/>
  <c r="I89" i="27"/>
  <c r="L142" i="35"/>
  <c r="E79" i="37"/>
  <c r="E119" i="33"/>
  <c r="E119" i="37"/>
  <c r="E129" i="37"/>
  <c r="E109" i="37"/>
  <c r="E89" i="37"/>
  <c r="E99" i="13"/>
  <c r="E99" i="37"/>
  <c r="L129" i="20"/>
  <c r="L79" i="18"/>
  <c r="L142" i="29"/>
  <c r="L79" i="27"/>
  <c r="L142" i="13"/>
  <c r="L109" i="23"/>
  <c r="L119" i="33"/>
  <c r="L119" i="36"/>
  <c r="L129" i="29"/>
  <c r="L119" i="20"/>
  <c r="L142" i="36"/>
  <c r="L150" i="23"/>
  <c r="L119" i="18"/>
  <c r="L119" i="23"/>
  <c r="L109" i="29"/>
  <c r="L109" i="18"/>
  <c r="L129" i="23"/>
  <c r="L109" i="13"/>
  <c r="L109" i="27"/>
  <c r="L109" i="20"/>
  <c r="L150" i="20"/>
  <c r="L142" i="27"/>
  <c r="E79" i="20"/>
  <c r="G99" i="4"/>
  <c r="E119" i="13"/>
  <c r="E119" i="18"/>
  <c r="E119" i="23"/>
  <c r="E99" i="18"/>
  <c r="E129" i="18"/>
  <c r="D129" i="4"/>
  <c r="L79" i="35"/>
  <c r="E129" i="29"/>
  <c r="E129" i="33"/>
  <c r="L119" i="27"/>
  <c r="L150" i="36"/>
  <c r="L150" i="33"/>
  <c r="L129" i="13"/>
  <c r="L99" i="13"/>
  <c r="L79" i="33"/>
  <c r="G129" i="4"/>
  <c r="L99" i="27"/>
  <c r="L109" i="33"/>
  <c r="L119" i="35"/>
  <c r="L79" i="23"/>
  <c r="L129" i="36"/>
  <c r="L79" i="13"/>
  <c r="E79" i="23"/>
  <c r="E79" i="13"/>
  <c r="E79" i="27"/>
  <c r="E79" i="29"/>
  <c r="L142" i="18"/>
  <c r="E79" i="18"/>
  <c r="E79" i="33"/>
  <c r="L142" i="33"/>
  <c r="D99" i="4"/>
  <c r="D119" i="4"/>
  <c r="E99" i="20"/>
  <c r="E129" i="20"/>
  <c r="E129" i="23"/>
  <c r="E119" i="27"/>
  <c r="E129" i="27"/>
  <c r="E119" i="29"/>
  <c r="L150" i="27"/>
  <c r="C22" i="10"/>
  <c r="E60" i="16"/>
  <c r="I122" i="13"/>
  <c r="I122" i="29"/>
  <c r="C54" i="10"/>
  <c r="I150" i="13"/>
  <c r="I150" i="20"/>
  <c r="I150" i="23"/>
  <c r="I150" i="27"/>
  <c r="I150" i="29"/>
  <c r="I150" i="35"/>
  <c r="I150" i="33"/>
  <c r="I150" i="18"/>
  <c r="G54" i="10"/>
  <c r="G119" i="4"/>
  <c r="F33" i="10"/>
  <c r="I109" i="13"/>
  <c r="I109" i="23"/>
  <c r="I109" i="20"/>
  <c r="I109" i="29"/>
  <c r="I109" i="27"/>
  <c r="I109" i="33"/>
  <c r="I109" i="18"/>
  <c r="I129" i="20"/>
  <c r="I129" i="13"/>
  <c r="I129" i="23"/>
  <c r="I129" i="29"/>
  <c r="I129" i="27"/>
  <c r="I129" i="33"/>
  <c r="I129" i="18"/>
  <c r="D79" i="4"/>
  <c r="B12" i="10"/>
  <c r="I79" i="13"/>
  <c r="I79" i="20"/>
  <c r="I79" i="27"/>
  <c r="I79" i="29"/>
  <c r="I79" i="35"/>
  <c r="I79" i="33"/>
  <c r="I79" i="18"/>
  <c r="G12" i="10"/>
  <c r="I79" i="23"/>
  <c r="G79" i="4"/>
  <c r="F12" i="10"/>
  <c r="E66" i="39"/>
  <c r="C49" i="10"/>
  <c r="E66" i="16"/>
  <c r="C23" i="10"/>
  <c r="I85" i="13"/>
  <c r="I85" i="20"/>
  <c r="I85" i="23"/>
  <c r="I85" i="27"/>
  <c r="I85" i="29"/>
  <c r="I85" i="33"/>
  <c r="I85" i="35"/>
  <c r="I85" i="18"/>
  <c r="I95" i="13"/>
  <c r="I95" i="20"/>
  <c r="I95" i="23"/>
  <c r="I95" i="27"/>
  <c r="I95" i="29"/>
  <c r="I95" i="33"/>
  <c r="I95" i="18"/>
  <c r="I115" i="13"/>
  <c r="I115" i="20"/>
  <c r="I115" i="23"/>
  <c r="I115" i="27"/>
  <c r="I115" i="33"/>
  <c r="I115" i="18"/>
  <c r="I115" i="29"/>
  <c r="I125" i="20"/>
  <c r="I125" i="13"/>
  <c r="I125" i="23"/>
  <c r="I125" i="35"/>
  <c r="I125" i="27"/>
  <c r="I125" i="33"/>
  <c r="I125" i="29"/>
  <c r="I125" i="18"/>
  <c r="I135" i="13"/>
  <c r="I135" i="20"/>
  <c r="I135" i="27"/>
  <c r="I135" i="23"/>
  <c r="I135" i="29"/>
  <c r="I135" i="33"/>
  <c r="I135" i="18"/>
  <c r="I142" i="13"/>
  <c r="I142" i="20"/>
  <c r="I142" i="23"/>
  <c r="I142" i="27"/>
  <c r="I142" i="29"/>
  <c r="I142" i="35"/>
  <c r="I142" i="33"/>
  <c r="I142" i="18"/>
  <c r="G43" i="10"/>
  <c r="E69" i="39"/>
  <c r="E69" i="16"/>
  <c r="C60" i="10"/>
  <c r="C43" i="10"/>
  <c r="C33" i="10"/>
  <c r="E54" i="39"/>
  <c r="C11" i="10"/>
  <c r="E54" i="16"/>
  <c r="I105" i="20"/>
  <c r="I105" i="23"/>
  <c r="I105" i="13"/>
  <c r="I105" i="29"/>
  <c r="I105" i="33"/>
  <c r="I105" i="27"/>
  <c r="I105" i="18"/>
  <c r="I99" i="13"/>
  <c r="I99" i="20"/>
  <c r="I99" i="23"/>
  <c r="I99" i="27"/>
  <c r="I99" i="29"/>
  <c r="I99" i="33"/>
  <c r="I99" i="18"/>
  <c r="G23" i="10"/>
  <c r="C12" i="10"/>
  <c r="I119" i="13"/>
  <c r="I119" i="20"/>
  <c r="I119" i="27"/>
  <c r="I119" i="29"/>
  <c r="I119" i="23"/>
  <c r="I119" i="33"/>
  <c r="I119" i="18"/>
  <c r="I119" i="35"/>
  <c r="G33" i="10"/>
  <c r="L79" i="20"/>
  <c r="L142" i="20"/>
  <c r="G109" i="4"/>
  <c r="L119" i="13"/>
  <c r="L150" i="29"/>
  <c r="L79" i="29"/>
  <c r="L89" i="29"/>
  <c r="L99" i="18"/>
  <c r="L142" i="23"/>
  <c r="E99" i="23"/>
  <c r="E99" i="29"/>
  <c r="E129" i="13"/>
  <c r="E119" i="20"/>
  <c r="E99" i="33"/>
  <c r="L150" i="18"/>
  <c r="L89" i="13"/>
  <c r="E54" i="38"/>
  <c r="E89" i="33"/>
  <c r="E142" i="33"/>
  <c r="E54" i="33"/>
  <c r="E150" i="33"/>
  <c r="E109" i="33"/>
  <c r="E66" i="33"/>
  <c r="E60" i="33"/>
  <c r="E69" i="33"/>
  <c r="E109" i="29"/>
  <c r="E150" i="29"/>
  <c r="E89" i="29"/>
  <c r="E142" i="29"/>
  <c r="E60" i="40"/>
  <c r="E69" i="40"/>
  <c r="E54" i="40"/>
  <c r="E89" i="27"/>
  <c r="E142" i="27"/>
  <c r="E54" i="51"/>
  <c r="E60" i="51"/>
  <c r="E150" i="27"/>
  <c r="E66" i="25"/>
  <c r="E54" i="25"/>
  <c r="E69" i="25"/>
  <c r="E60" i="25"/>
  <c r="E54" i="24"/>
  <c r="E150" i="23"/>
  <c r="E89" i="23"/>
  <c r="E142" i="23"/>
  <c r="E109" i="23"/>
  <c r="E69" i="22"/>
  <c r="E54" i="21"/>
  <c r="E54" i="22"/>
  <c r="E60" i="22"/>
  <c r="E66" i="22"/>
  <c r="E150" i="20"/>
  <c r="E109" i="20"/>
  <c r="E54" i="20"/>
  <c r="E60" i="20"/>
  <c r="E89" i="20"/>
  <c r="E142" i="20"/>
  <c r="E109" i="18"/>
  <c r="E109" i="13"/>
  <c r="E89" i="18"/>
  <c r="E89" i="13"/>
  <c r="E69" i="13"/>
  <c r="E142" i="18"/>
  <c r="E142" i="13"/>
  <c r="E54" i="18"/>
  <c r="E54" i="13"/>
  <c r="E60" i="18"/>
  <c r="E60" i="13"/>
  <c r="E150" i="18"/>
  <c r="E150" i="13"/>
  <c r="D142" i="4"/>
  <c r="D89" i="4"/>
  <c r="D150" i="4"/>
  <c r="D109" i="4"/>
  <c r="D60" i="4"/>
  <c r="G142" i="4"/>
  <c r="D66" i="4"/>
  <c r="G150" i="4"/>
  <c r="D69" i="4"/>
  <c r="D54" i="4"/>
  <c r="I86" i="4"/>
  <c r="I96" i="4"/>
  <c r="M86" i="27" l="1"/>
  <c r="M86" i="35"/>
  <c r="M86" i="29"/>
  <c r="M96" i="27"/>
  <c r="M96" i="29"/>
  <c r="C71" i="10"/>
  <c r="H110" i="4"/>
  <c r="H96" i="4"/>
  <c r="H94" i="4"/>
  <c r="H84" i="4"/>
  <c r="H124" i="4"/>
  <c r="H107" i="4"/>
  <c r="H104" i="4"/>
  <c r="H111" i="4"/>
  <c r="H103" i="4"/>
  <c r="H117" i="4"/>
  <c r="H138" i="4"/>
  <c r="H137" i="4"/>
  <c r="H97" i="4"/>
  <c r="H133" i="4"/>
  <c r="H86" i="4"/>
  <c r="H114" i="4"/>
  <c r="H147" i="4"/>
  <c r="H93" i="4"/>
  <c r="H127" i="4"/>
  <c r="H87" i="4"/>
  <c r="H106" i="4"/>
  <c r="H126" i="4"/>
  <c r="H113" i="4"/>
  <c r="H123" i="4"/>
  <c r="H135" i="4"/>
  <c r="H116" i="4"/>
  <c r="H136" i="4"/>
  <c r="H125" i="4"/>
  <c r="H83" i="4"/>
  <c r="H134" i="4"/>
  <c r="H129" i="4" l="1"/>
  <c r="H148" i="4"/>
  <c r="H130" i="4"/>
  <c r="H27" i="4"/>
  <c r="H122" i="4"/>
  <c r="H85" i="4"/>
  <c r="H29" i="4"/>
  <c r="H102" i="4"/>
  <c r="H90" i="4"/>
  <c r="D9" i="10"/>
  <c r="H155" i="4"/>
  <c r="H143" i="4"/>
  <c r="H105" i="4"/>
  <c r="H120" i="4"/>
  <c r="H9" i="4"/>
  <c r="H8" i="4"/>
  <c r="H91" i="4"/>
  <c r="H11" i="4"/>
  <c r="H95" i="4"/>
  <c r="H92" i="4"/>
  <c r="H12" i="4"/>
  <c r="H33" i="4"/>
  <c r="I118" i="4"/>
  <c r="M118" i="37" s="1"/>
  <c r="H14" i="10"/>
  <c r="H25" i="10"/>
  <c r="H44" i="4"/>
  <c r="I34" i="4"/>
  <c r="H152" i="4"/>
  <c r="I152" i="4"/>
  <c r="M152" i="37" s="1"/>
  <c r="I143" i="4"/>
  <c r="M143" i="37" s="1"/>
  <c r="I9" i="4"/>
  <c r="H112" i="4"/>
  <c r="H21" i="10"/>
  <c r="I140" i="4"/>
  <c r="M140" i="37" s="1"/>
  <c r="K60" i="10"/>
  <c r="H144" i="4"/>
  <c r="I136" i="4"/>
  <c r="I125" i="4"/>
  <c r="M125" i="37" s="1"/>
  <c r="I139" i="4"/>
  <c r="M139" i="37" s="1"/>
  <c r="H14" i="4"/>
  <c r="I97" i="4"/>
  <c r="M97" i="37" s="1"/>
  <c r="I103" i="4"/>
  <c r="I91" i="4"/>
  <c r="M91" i="37" s="1"/>
  <c r="I116" i="4"/>
  <c r="I105" i="4"/>
  <c r="M105" i="37" s="1"/>
  <c r="I131" i="4"/>
  <c r="M131" i="37" s="1"/>
  <c r="I135" i="4"/>
  <c r="M135" i="37" s="1"/>
  <c r="I107" i="4"/>
  <c r="M107" i="37" s="1"/>
  <c r="H141" i="4"/>
  <c r="H28" i="4"/>
  <c r="H156" i="4"/>
  <c r="I100" i="4"/>
  <c r="M100" i="37" s="1"/>
  <c r="I35" i="4"/>
  <c r="M35" i="37" s="1"/>
  <c r="H43" i="4"/>
  <c r="H98" i="4"/>
  <c r="H53" i="10"/>
  <c r="H32" i="10"/>
  <c r="I151" i="4"/>
  <c r="M151" i="37" s="1"/>
  <c r="I93" i="4"/>
  <c r="I110" i="4"/>
  <c r="M110" i="37" s="1"/>
  <c r="I132" i="4"/>
  <c r="I12" i="4"/>
  <c r="H132" i="4"/>
  <c r="M30" i="37"/>
  <c r="H140" i="4"/>
  <c r="H32" i="4"/>
  <c r="I39" i="4"/>
  <c r="M39" i="37" s="1"/>
  <c r="I109" i="4"/>
  <c r="M109" i="37" s="1"/>
  <c r="I80" i="4"/>
  <c r="M80" i="37" s="1"/>
  <c r="K11" i="10"/>
  <c r="I26" i="4"/>
  <c r="M26" i="37" s="1"/>
  <c r="H33" i="10"/>
  <c r="H139" i="4"/>
  <c r="I127" i="4"/>
  <c r="M127" i="37" s="1"/>
  <c r="H13" i="4"/>
  <c r="I104" i="4"/>
  <c r="I157" i="4"/>
  <c r="H45" i="4"/>
  <c r="I33" i="4"/>
  <c r="M33" i="37" s="1"/>
  <c r="H109" i="4"/>
  <c r="I89" i="4"/>
  <c r="M89" i="37" s="1"/>
  <c r="I106" i="4"/>
  <c r="I11" i="4"/>
  <c r="I120" i="4"/>
  <c r="M120" i="37" s="1"/>
  <c r="I123" i="4"/>
  <c r="K27" i="10"/>
  <c r="I148" i="4"/>
  <c r="M148" i="37" s="1"/>
  <c r="I134" i="4"/>
  <c r="H80" i="4"/>
  <c r="H12" i="10"/>
  <c r="I147" i="4"/>
  <c r="M147" i="37" s="1"/>
  <c r="H151" i="4"/>
  <c r="I141" i="4"/>
  <c r="M141" i="37" s="1"/>
  <c r="I144" i="4"/>
  <c r="M144" i="37" s="1"/>
  <c r="I82" i="4"/>
  <c r="I122" i="4"/>
  <c r="I102" i="4"/>
  <c r="I90" i="4"/>
  <c r="M90" i="37" s="1"/>
  <c r="H100" i="4"/>
  <c r="H118" i="4"/>
  <c r="K37" i="10"/>
  <c r="I92" i="4"/>
  <c r="I129" i="4"/>
  <c r="M129" i="37" s="1"/>
  <c r="I130" i="4"/>
  <c r="M130" i="37" s="1"/>
  <c r="K9" i="10"/>
  <c r="H89" i="4"/>
  <c r="I124" i="4"/>
  <c r="H35" i="10"/>
  <c r="I38" i="4"/>
  <c r="M38" i="37" s="1"/>
  <c r="I27" i="4"/>
  <c r="M27" i="37" s="1"/>
  <c r="H23" i="10"/>
  <c r="H82" i="4"/>
  <c r="I32" i="4"/>
  <c r="M32" i="37" s="1"/>
  <c r="I115" i="4"/>
  <c r="M115" i="37" s="1"/>
  <c r="H157" i="4"/>
  <c r="K16" i="10"/>
  <c r="I85" i="4"/>
  <c r="M85" i="37" s="1"/>
  <c r="I112" i="4"/>
  <c r="I111" i="4"/>
  <c r="M111" i="37" s="1"/>
  <c r="I37" i="4"/>
  <c r="M37" i="37" s="1"/>
  <c r="H34" i="4"/>
  <c r="H42" i="4"/>
  <c r="K56" i="10"/>
  <c r="H46" i="4"/>
  <c r="I126" i="4"/>
  <c r="I138" i="4"/>
  <c r="M138" i="37" s="1"/>
  <c r="I94" i="4"/>
  <c r="I133" i="4"/>
  <c r="I87" i="4"/>
  <c r="M87" i="37" s="1"/>
  <c r="I117" i="4"/>
  <c r="M117" i="37" s="1"/>
  <c r="I8" i="4"/>
  <c r="I95" i="4"/>
  <c r="M95" i="37" s="1"/>
  <c r="I98" i="4"/>
  <c r="M98" i="37" s="1"/>
  <c r="H115" i="4"/>
  <c r="I113" i="4"/>
  <c r="I137" i="4"/>
  <c r="M137" i="37" s="1"/>
  <c r="K22" i="10"/>
  <c r="H10" i="10"/>
  <c r="I155" i="4"/>
  <c r="M155" i="37" s="1"/>
  <c r="I83" i="4"/>
  <c r="H131" i="4"/>
  <c r="I114" i="4"/>
  <c r="H7" i="4"/>
  <c r="H26" i="4"/>
  <c r="H15" i="10"/>
  <c r="I84" i="4"/>
  <c r="I156" i="4"/>
  <c r="M156" i="37" s="1"/>
  <c r="J157" i="4" l="1"/>
  <c r="M11" i="24"/>
  <c r="M11" i="25"/>
  <c r="M11" i="51"/>
  <c r="M11" i="29"/>
  <c r="M11" i="35"/>
  <c r="M11" i="33"/>
  <c r="M11" i="37"/>
  <c r="M11" i="22"/>
  <c r="M11" i="19"/>
  <c r="M11" i="18"/>
  <c r="M11" i="20"/>
  <c r="M11" i="13"/>
  <c r="M12" i="20"/>
  <c r="M12" i="13"/>
  <c r="M12" i="24"/>
  <c r="M12" i="25"/>
  <c r="M12" i="51"/>
  <c r="M12" i="29"/>
  <c r="M12" i="35"/>
  <c r="M12" i="33"/>
  <c r="M12" i="37"/>
  <c r="M12" i="22"/>
  <c r="M12" i="19"/>
  <c r="M12" i="18"/>
  <c r="M8" i="37"/>
  <c r="M8" i="24"/>
  <c r="M8" i="25"/>
  <c r="M8" i="51"/>
  <c r="M8" i="29"/>
  <c r="M8" i="35"/>
  <c r="M8" i="33"/>
  <c r="M8" i="22"/>
  <c r="M8" i="20"/>
  <c r="M8" i="19"/>
  <c r="M8" i="13"/>
  <c r="M8" i="18"/>
  <c r="M9" i="37"/>
  <c r="M9" i="24"/>
  <c r="M9" i="25"/>
  <c r="M9" i="51"/>
  <c r="M9" i="29"/>
  <c r="M9" i="35"/>
  <c r="M9" i="33"/>
  <c r="M9" i="22"/>
  <c r="M9" i="20"/>
  <c r="M9" i="19"/>
  <c r="M9" i="13"/>
  <c r="M9" i="18"/>
  <c r="J141" i="4"/>
  <c r="M83" i="29"/>
  <c r="M137" i="20"/>
  <c r="M137" i="13"/>
  <c r="M137" i="23"/>
  <c r="M137" i="29"/>
  <c r="M137" i="33"/>
  <c r="M137" i="18"/>
  <c r="M95" i="13"/>
  <c r="M95" i="20"/>
  <c r="M95" i="27"/>
  <c r="M95" i="33"/>
  <c r="M95" i="18"/>
  <c r="M95" i="23"/>
  <c r="M95" i="29"/>
  <c r="M87" i="13"/>
  <c r="M87" i="20"/>
  <c r="M87" i="33"/>
  <c r="M87" i="18"/>
  <c r="M87" i="23"/>
  <c r="M87" i="29"/>
  <c r="M126" i="27"/>
  <c r="M126" i="35"/>
  <c r="M126" i="29"/>
  <c r="M115" i="13"/>
  <c r="M115" i="20"/>
  <c r="M115" i="23"/>
  <c r="M115" i="29"/>
  <c r="M115" i="33"/>
  <c r="M115" i="18"/>
  <c r="M115" i="27"/>
  <c r="M27" i="13"/>
  <c r="M27" i="24"/>
  <c r="M27" i="33"/>
  <c r="M27" i="29"/>
  <c r="M82" i="29"/>
  <c r="M120" i="13"/>
  <c r="M120" i="27"/>
  <c r="M120" i="29"/>
  <c r="M120" i="23"/>
  <c r="M120" i="18"/>
  <c r="M120" i="33"/>
  <c r="M109" i="20"/>
  <c r="M109" i="13"/>
  <c r="M109" i="23"/>
  <c r="M109" i="29"/>
  <c r="M109" i="27"/>
  <c r="M109" i="33"/>
  <c r="M109" i="18"/>
  <c r="J30" i="4"/>
  <c r="M30" i="20"/>
  <c r="M30" i="25"/>
  <c r="M30" i="23"/>
  <c r="M30" i="24"/>
  <c r="M30" i="29"/>
  <c r="M30" i="13"/>
  <c r="M30" i="33"/>
  <c r="J110" i="4"/>
  <c r="M110" i="23"/>
  <c r="M110" i="29"/>
  <c r="M110" i="13"/>
  <c r="M110" i="18"/>
  <c r="M110" i="33"/>
  <c r="M100" i="23"/>
  <c r="M100" i="13"/>
  <c r="M100" i="29"/>
  <c r="M100" i="18"/>
  <c r="M100" i="33"/>
  <c r="M107" i="13"/>
  <c r="M107" i="20"/>
  <c r="M107" i="23"/>
  <c r="M107" i="33"/>
  <c r="M107" i="18"/>
  <c r="M107" i="29"/>
  <c r="M116" i="27"/>
  <c r="M116" i="29"/>
  <c r="M97" i="20"/>
  <c r="M97" i="13"/>
  <c r="M97" i="23"/>
  <c r="M97" i="29"/>
  <c r="M97" i="33"/>
  <c r="M97" i="18"/>
  <c r="M136" i="27"/>
  <c r="M136" i="29"/>
  <c r="M152" i="23"/>
  <c r="M152" i="13"/>
  <c r="M152" i="27"/>
  <c r="M152" i="29"/>
  <c r="M152" i="33"/>
  <c r="M152" i="20"/>
  <c r="M152" i="35"/>
  <c r="M152" i="18"/>
  <c r="M84" i="29"/>
  <c r="M156" i="23"/>
  <c r="M156" i="27"/>
  <c r="M156" i="13"/>
  <c r="M156" i="29"/>
  <c r="M156" i="33"/>
  <c r="M156" i="18"/>
  <c r="M155" i="13"/>
  <c r="M155" i="23"/>
  <c r="M155" i="29"/>
  <c r="M85" i="20"/>
  <c r="M85" i="13"/>
  <c r="M85" i="23"/>
  <c r="M85" i="27"/>
  <c r="M85" i="33"/>
  <c r="M85" i="18"/>
  <c r="M85" i="29"/>
  <c r="M85" i="35"/>
  <c r="M32" i="13"/>
  <c r="M32" i="23"/>
  <c r="M32" i="20"/>
  <c r="M32" i="29"/>
  <c r="M32" i="33"/>
  <c r="M32" i="18"/>
  <c r="M38" i="23"/>
  <c r="M38" i="13"/>
  <c r="M38" i="24"/>
  <c r="M38" i="35"/>
  <c r="M38" i="29"/>
  <c r="M38" i="18"/>
  <c r="M38" i="33"/>
  <c r="M90" i="23"/>
  <c r="M90" i="27"/>
  <c r="M90" i="13"/>
  <c r="M90" i="29"/>
  <c r="M90" i="33"/>
  <c r="M90" i="18"/>
  <c r="M144" i="23"/>
  <c r="M144" i="13"/>
  <c r="M144" i="27"/>
  <c r="M144" i="20"/>
  <c r="M144" i="29"/>
  <c r="M144" i="33"/>
  <c r="M144" i="35"/>
  <c r="M144" i="18"/>
  <c r="J147" i="4"/>
  <c r="M147" i="13"/>
  <c r="M147" i="23"/>
  <c r="M147" i="29"/>
  <c r="M147" i="18"/>
  <c r="M147" i="33"/>
  <c r="M148" i="23"/>
  <c r="M148" i="27"/>
  <c r="M148" i="13"/>
  <c r="M148" i="29"/>
  <c r="M148" i="33"/>
  <c r="M148" i="35"/>
  <c r="M148" i="18"/>
  <c r="M33" i="13"/>
  <c r="M33" i="23"/>
  <c r="M33" i="29"/>
  <c r="M33" i="33"/>
  <c r="M33" i="18"/>
  <c r="M26" i="20"/>
  <c r="M26" i="23"/>
  <c r="M26" i="13"/>
  <c r="M26" i="35"/>
  <c r="M26" i="29"/>
  <c r="M26" i="33"/>
  <c r="M26" i="18"/>
  <c r="M39" i="13"/>
  <c r="M39" i="20"/>
  <c r="M39" i="33"/>
  <c r="M39" i="18"/>
  <c r="M39" i="23"/>
  <c r="M39" i="29"/>
  <c r="M135" i="13"/>
  <c r="M135" i="20"/>
  <c r="M135" i="23"/>
  <c r="M135" i="27"/>
  <c r="M135" i="33"/>
  <c r="M135" i="18"/>
  <c r="M135" i="29"/>
  <c r="M91" i="13"/>
  <c r="M91" i="20"/>
  <c r="M91" i="23"/>
  <c r="M91" i="33"/>
  <c r="M91" i="18"/>
  <c r="M91" i="29"/>
  <c r="M91" i="27"/>
  <c r="M37" i="20"/>
  <c r="M37" i="13"/>
  <c r="M37" i="23"/>
  <c r="M37" i="33"/>
  <c r="M37" i="18"/>
  <c r="M37" i="29"/>
  <c r="M37" i="35"/>
  <c r="M130" i="23"/>
  <c r="M130" i="27"/>
  <c r="M130" i="29"/>
  <c r="M130" i="13"/>
  <c r="M130" i="33"/>
  <c r="M130" i="18"/>
  <c r="M106" i="27"/>
  <c r="M106" i="29"/>
  <c r="M127" i="13"/>
  <c r="M127" i="20"/>
  <c r="M127" i="23"/>
  <c r="M127" i="33"/>
  <c r="M127" i="18"/>
  <c r="M127" i="29"/>
  <c r="M151" i="13"/>
  <c r="M151" i="23"/>
  <c r="M151" i="27"/>
  <c r="M151" i="18"/>
  <c r="M151" i="29"/>
  <c r="M131" i="13"/>
  <c r="M131" i="20"/>
  <c r="M131" i="29"/>
  <c r="M131" i="33"/>
  <c r="M131" i="18"/>
  <c r="M131" i="27"/>
  <c r="M131" i="23"/>
  <c r="M139" i="13"/>
  <c r="M139" i="23"/>
  <c r="M139" i="33"/>
  <c r="M139" i="18"/>
  <c r="M139" i="29"/>
  <c r="M139" i="27"/>
  <c r="M98" i="35"/>
  <c r="M98" i="29"/>
  <c r="M98" i="13"/>
  <c r="M98" i="33"/>
  <c r="M117" i="20"/>
  <c r="M117" i="13"/>
  <c r="M117" i="23"/>
  <c r="M117" i="33"/>
  <c r="M117" i="18"/>
  <c r="M117" i="29"/>
  <c r="J138" i="4"/>
  <c r="M138" i="13"/>
  <c r="M138" i="35"/>
  <c r="M138" i="29"/>
  <c r="M138" i="33"/>
  <c r="J111" i="4"/>
  <c r="M111" i="13"/>
  <c r="M111" i="20"/>
  <c r="M111" i="27"/>
  <c r="M111" i="33"/>
  <c r="M111" i="18"/>
  <c r="M111" i="23"/>
  <c r="M111" i="29"/>
  <c r="M124" i="29"/>
  <c r="M129" i="20"/>
  <c r="M129" i="13"/>
  <c r="M129" i="23"/>
  <c r="M129" i="27"/>
  <c r="M129" i="29"/>
  <c r="M129" i="33"/>
  <c r="M129" i="18"/>
  <c r="M146" i="29"/>
  <c r="M122" i="13"/>
  <c r="M122" i="29"/>
  <c r="M123" i="13"/>
  <c r="M123" i="29"/>
  <c r="M89" i="20"/>
  <c r="M89" i="13"/>
  <c r="M89" i="27"/>
  <c r="M89" i="23"/>
  <c r="M89" i="29"/>
  <c r="M89" i="33"/>
  <c r="M89" i="18"/>
  <c r="M80" i="13"/>
  <c r="M80" i="23"/>
  <c r="M80" i="27"/>
  <c r="M80" i="29"/>
  <c r="M80" i="33"/>
  <c r="M80" i="18"/>
  <c r="J35" i="4"/>
  <c r="M35" i="13"/>
  <c r="M35" i="20"/>
  <c r="M35" i="25"/>
  <c r="M35" i="23"/>
  <c r="M35" i="29"/>
  <c r="M35" i="33"/>
  <c r="M105" i="20"/>
  <c r="M105" i="13"/>
  <c r="M105" i="27"/>
  <c r="M105" i="23"/>
  <c r="M105" i="29"/>
  <c r="M105" i="33"/>
  <c r="M105" i="18"/>
  <c r="M125" i="20"/>
  <c r="M125" i="13"/>
  <c r="M125" i="23"/>
  <c r="M125" i="29"/>
  <c r="M125" i="35"/>
  <c r="M125" i="27"/>
  <c r="M125" i="33"/>
  <c r="M125" i="18"/>
  <c r="M140" i="27"/>
  <c r="M140" i="13"/>
  <c r="M140" i="23"/>
  <c r="M140" i="29"/>
  <c r="M140" i="35"/>
  <c r="M140" i="18"/>
  <c r="M140" i="33"/>
  <c r="M143" i="13"/>
  <c r="M143" i="23"/>
  <c r="M143" i="27"/>
  <c r="M143" i="33"/>
  <c r="M143" i="18"/>
  <c r="M143" i="29"/>
  <c r="M118" i="13"/>
  <c r="M118" i="29"/>
  <c r="J139" i="4"/>
  <c r="M42" i="8"/>
  <c r="D40" i="9"/>
  <c r="N123" i="8"/>
  <c r="M65" i="9"/>
  <c r="B66" i="9"/>
  <c r="M43" i="8"/>
  <c r="D41" i="9"/>
  <c r="M38" i="8"/>
  <c r="D36" i="9"/>
  <c r="C53" i="9"/>
  <c r="N13" i="8"/>
  <c r="M52" i="9"/>
  <c r="N113" i="8"/>
  <c r="N46" i="8"/>
  <c r="L55" i="9"/>
  <c r="N15" i="9"/>
  <c r="L49" i="9"/>
  <c r="L31" i="9"/>
  <c r="M29" i="8"/>
  <c r="B71" i="9"/>
  <c r="D30" i="9"/>
  <c r="N95" i="8"/>
  <c r="D14" i="9"/>
  <c r="B54" i="9"/>
  <c r="M14" i="8"/>
  <c r="G70" i="9"/>
  <c r="M75" i="8"/>
  <c r="I27" i="9"/>
  <c r="G68" i="9"/>
  <c r="M22" i="8"/>
  <c r="D22" i="9"/>
  <c r="B62" i="9"/>
  <c r="M92" i="8"/>
  <c r="I39" i="9"/>
  <c r="G54" i="9"/>
  <c r="M36" i="8"/>
  <c r="B45" i="9"/>
  <c r="D34" i="9"/>
  <c r="L52" i="9"/>
  <c r="N12" i="9"/>
  <c r="M113" i="8"/>
  <c r="L50" i="9"/>
  <c r="M111" i="8"/>
  <c r="N10" i="9"/>
  <c r="M122" i="8"/>
  <c r="L64" i="9"/>
  <c r="N24" i="9"/>
  <c r="M54" i="9"/>
  <c r="L63" i="9"/>
  <c r="I9" i="9"/>
  <c r="G31" i="9"/>
  <c r="B28" i="10" s="1"/>
  <c r="M60" i="8"/>
  <c r="G49" i="9"/>
  <c r="N10" i="8"/>
  <c r="C50" i="9"/>
  <c r="G62" i="9"/>
  <c r="I22" i="9"/>
  <c r="M72" i="8"/>
  <c r="B70" i="9"/>
  <c r="D29" i="9"/>
  <c r="M28" i="8"/>
  <c r="M139" i="8"/>
  <c r="N36" i="9"/>
  <c r="M120" i="8"/>
  <c r="L60" i="9"/>
  <c r="N20" i="9"/>
  <c r="N42" i="8"/>
  <c r="N12" i="8"/>
  <c r="C52" i="9"/>
  <c r="N77" i="8"/>
  <c r="H71" i="9"/>
  <c r="N22" i="8"/>
  <c r="C62" i="9"/>
  <c r="M19" i="8"/>
  <c r="B59" i="9"/>
  <c r="D19" i="9"/>
  <c r="M55" i="9"/>
  <c r="N61" i="8"/>
  <c r="H50" i="9"/>
  <c r="N40" i="8"/>
  <c r="D39" i="9"/>
  <c r="M41" i="8"/>
  <c r="I12" i="9"/>
  <c r="M63" i="8"/>
  <c r="G52" i="9"/>
  <c r="N39" i="8"/>
  <c r="N27" i="8"/>
  <c r="C69" i="9"/>
  <c r="I24" i="9"/>
  <c r="M74" i="8"/>
  <c r="G64" i="9"/>
  <c r="N114" i="8"/>
  <c r="M53" i="9"/>
  <c r="N45" i="8"/>
  <c r="H56" i="9"/>
  <c r="N66" i="8"/>
  <c r="I37" i="9"/>
  <c r="M91" i="8"/>
  <c r="N91" i="8"/>
  <c r="N70" i="8"/>
  <c r="H60" i="9"/>
  <c r="M46" i="8"/>
  <c r="D44" i="9"/>
  <c r="B69" i="9"/>
  <c r="M31" i="9"/>
  <c r="M49" i="9"/>
  <c r="N19" i="9"/>
  <c r="M119" i="8"/>
  <c r="L59" i="9"/>
  <c r="N63" i="8"/>
  <c r="N145" i="8"/>
  <c r="N11" i="8"/>
  <c r="C51" i="9"/>
  <c r="M138" i="8"/>
  <c r="N35" i="9"/>
  <c r="H45" i="9"/>
  <c r="J40" i="9" s="1"/>
  <c r="N88" i="8"/>
  <c r="L54" i="9"/>
  <c r="M88" i="8"/>
  <c r="I34" i="9"/>
  <c r="G45" i="9"/>
  <c r="F28" i="10" s="1"/>
  <c r="M58" i="9"/>
  <c r="N118" i="8"/>
  <c r="D43" i="9"/>
  <c r="M45" i="8"/>
  <c r="M62" i="9"/>
  <c r="N89" i="8"/>
  <c r="N21" i="9"/>
  <c r="L61" i="9"/>
  <c r="I41" i="9"/>
  <c r="M94" i="8"/>
  <c r="G66" i="9"/>
  <c r="H59" i="9"/>
  <c r="N69" i="8"/>
  <c r="D13" i="9"/>
  <c r="M13" i="8"/>
  <c r="B53" i="9"/>
  <c r="N139" i="8"/>
  <c r="M145" i="8"/>
  <c r="N42" i="9"/>
  <c r="B65" i="9"/>
  <c r="M25" i="8"/>
  <c r="D25" i="9"/>
  <c r="N19" i="8"/>
  <c r="C59" i="9"/>
  <c r="M59" i="9"/>
  <c r="N119" i="8"/>
  <c r="M76" i="8"/>
  <c r="I28" i="9"/>
  <c r="G69" i="9"/>
  <c r="M20" i="8"/>
  <c r="D20" i="9"/>
  <c r="B60" i="9"/>
  <c r="N20" i="8"/>
  <c r="C60" i="9"/>
  <c r="N60" i="8"/>
  <c r="H31" i="9"/>
  <c r="J21" i="9" s="1"/>
  <c r="H49" i="9"/>
  <c r="D11" i="9"/>
  <c r="M11" i="8"/>
  <c r="B51" i="9"/>
  <c r="L67" i="9"/>
  <c r="M124" i="8"/>
  <c r="N26" i="9"/>
  <c r="M140" i="8"/>
  <c r="N37" i="9"/>
  <c r="M65" i="8"/>
  <c r="G55" i="9"/>
  <c r="I15" i="9"/>
  <c r="M57" i="9"/>
  <c r="L62" i="9"/>
  <c r="N27" i="9"/>
  <c r="M125" i="8"/>
  <c r="L68" i="9"/>
  <c r="I21" i="9"/>
  <c r="M71" i="8"/>
  <c r="G61" i="9"/>
  <c r="L71" i="9"/>
  <c r="G71" i="9"/>
  <c r="I30" i="9"/>
  <c r="M77" i="8"/>
  <c r="I17" i="9"/>
  <c r="M67" i="8"/>
  <c r="G57" i="9"/>
  <c r="N125" i="8"/>
  <c r="M68" i="9"/>
  <c r="N126" i="8"/>
  <c r="M69" i="9"/>
  <c r="M95" i="8"/>
  <c r="I43" i="9"/>
  <c r="G58" i="9"/>
  <c r="M68" i="8"/>
  <c r="I18" i="9"/>
  <c r="I10" i="9"/>
  <c r="M61" i="8"/>
  <c r="G50" i="9"/>
  <c r="N147" i="8"/>
  <c r="N62" i="8"/>
  <c r="H51" i="9"/>
  <c r="H54" i="9"/>
  <c r="B50" i="9"/>
  <c r="D10" i="9"/>
  <c r="M10" i="8"/>
  <c r="N43" i="8"/>
  <c r="C66" i="9"/>
  <c r="M93" i="8"/>
  <c r="I40" i="9"/>
  <c r="M64" i="9"/>
  <c r="N122" i="8"/>
  <c r="N140" i="8"/>
  <c r="M51" i="9"/>
  <c r="N112" i="8"/>
  <c r="C55" i="9"/>
  <c r="N15" i="8"/>
  <c r="N40" i="9"/>
  <c r="M143" i="8"/>
  <c r="I23" i="9"/>
  <c r="M73" i="8"/>
  <c r="G63" i="9"/>
  <c r="G53" i="9"/>
  <c r="M64" i="8"/>
  <c r="I13" i="9"/>
  <c r="B57" i="9"/>
  <c r="M17" i="8"/>
  <c r="D17" i="9"/>
  <c r="H55" i="9"/>
  <c r="N65" i="8"/>
  <c r="H67" i="9"/>
  <c r="C49" i="9"/>
  <c r="C31" i="9"/>
  <c r="E16" i="9" s="1"/>
  <c r="N9" i="8"/>
  <c r="I35" i="9"/>
  <c r="M89" i="8"/>
  <c r="H66" i="9"/>
  <c r="N94" i="8"/>
  <c r="N64" i="8"/>
  <c r="H53" i="9"/>
  <c r="N143" i="8"/>
  <c r="G67" i="9"/>
  <c r="G65" i="9"/>
  <c r="N72" i="8"/>
  <c r="H62" i="9"/>
  <c r="C71" i="9"/>
  <c r="N29" i="8"/>
  <c r="N67" i="8"/>
  <c r="H57" i="9"/>
  <c r="L66" i="9"/>
  <c r="N41" i="9"/>
  <c r="M144" i="8"/>
  <c r="C68" i="9"/>
  <c r="N26" i="8"/>
  <c r="H63" i="9"/>
  <c r="N73" i="8"/>
  <c r="N142" i="8"/>
  <c r="D21" i="9"/>
  <c r="B61" i="9"/>
  <c r="M21" i="8"/>
  <c r="N16" i="8"/>
  <c r="C56" i="9"/>
  <c r="N146" i="8"/>
  <c r="G56" i="9"/>
  <c r="I16" i="9"/>
  <c r="M66" i="8"/>
  <c r="N96" i="8"/>
  <c r="C45" i="9"/>
  <c r="E34" i="9" s="1"/>
  <c r="N36" i="8"/>
  <c r="M40" i="8"/>
  <c r="D38" i="9"/>
  <c r="M69" i="8"/>
  <c r="I19" i="9"/>
  <c r="G59" i="9"/>
  <c r="M123" i="8"/>
  <c r="N25" i="9"/>
  <c r="L65" i="9"/>
  <c r="N38" i="8"/>
  <c r="B64" i="9"/>
  <c r="D24" i="9"/>
  <c r="M24" i="8"/>
  <c r="M60" i="9"/>
  <c r="N120" i="8"/>
  <c r="H61" i="9"/>
  <c r="N71" i="8"/>
  <c r="N76" i="8"/>
  <c r="H69" i="9"/>
  <c r="D35" i="9"/>
  <c r="M37" i="8"/>
  <c r="N141" i="8"/>
  <c r="D28" i="9"/>
  <c r="M27" i="8"/>
  <c r="M112" i="8"/>
  <c r="N11" i="9"/>
  <c r="L51" i="9"/>
  <c r="M45" i="9"/>
  <c r="O38" i="9" s="1"/>
  <c r="N137" i="8"/>
  <c r="C65" i="9"/>
  <c r="N25" i="8"/>
  <c r="N37" i="8"/>
  <c r="H65" i="9"/>
  <c r="B56" i="9"/>
  <c r="D16" i="9"/>
  <c r="M16" i="8"/>
  <c r="H68" i="9"/>
  <c r="N75" i="8"/>
  <c r="N21" i="8"/>
  <c r="C61" i="9"/>
  <c r="M71" i="9"/>
  <c r="N138" i="8"/>
  <c r="N23" i="8"/>
  <c r="C63" i="9"/>
  <c r="N28" i="8"/>
  <c r="C70" i="9"/>
  <c r="M50" i="9"/>
  <c r="N111" i="8"/>
  <c r="N38" i="9"/>
  <c r="M141" i="8"/>
  <c r="D12" i="9"/>
  <c r="M12" i="8"/>
  <c r="B52" i="9"/>
  <c r="H70" i="9"/>
  <c r="C54" i="9"/>
  <c r="N14" i="8"/>
  <c r="N34" i="9"/>
  <c r="L45" i="9"/>
  <c r="F38" i="10" s="1"/>
  <c r="M137" i="8"/>
  <c r="N17" i="8"/>
  <c r="C57" i="9"/>
  <c r="M70" i="8"/>
  <c r="G60" i="9"/>
  <c r="M66" i="9"/>
  <c r="N144" i="8"/>
  <c r="D42" i="9"/>
  <c r="M44" i="8"/>
  <c r="B67" i="9"/>
  <c r="M26" i="8"/>
  <c r="D27" i="9"/>
  <c r="B68" i="9"/>
  <c r="M56" i="9"/>
  <c r="M146" i="8"/>
  <c r="N43" i="9"/>
  <c r="M61" i="9"/>
  <c r="D18" i="9"/>
  <c r="M18" i="8"/>
  <c r="B58" i="9"/>
  <c r="M70" i="9"/>
  <c r="N93" i="8"/>
  <c r="I11" i="9"/>
  <c r="G51" i="9"/>
  <c r="M62" i="8"/>
  <c r="N18" i="8"/>
  <c r="C58" i="9"/>
  <c r="M147" i="8"/>
  <c r="N44" i="9"/>
  <c r="B31" i="9"/>
  <c r="B17" i="10" s="1"/>
  <c r="B49" i="9"/>
  <c r="D9" i="9"/>
  <c r="M9" i="8"/>
  <c r="N41" i="8"/>
  <c r="M118" i="8"/>
  <c r="L58" i="9"/>
  <c r="N18" i="9"/>
  <c r="M39" i="8"/>
  <c r="D37" i="9"/>
  <c r="B55" i="9"/>
  <c r="M15" i="8"/>
  <c r="D15" i="9"/>
  <c r="D23" i="9"/>
  <c r="M23" i="8"/>
  <c r="B63" i="9"/>
  <c r="H58" i="9"/>
  <c r="N68" i="8"/>
  <c r="N92" i="8"/>
  <c r="L70" i="9"/>
  <c r="C67" i="9"/>
  <c r="M90" i="8"/>
  <c r="I36" i="9"/>
  <c r="M63" i="9"/>
  <c r="N44" i="8"/>
  <c r="N13" i="9"/>
  <c r="L53" i="9"/>
  <c r="M114" i="8"/>
  <c r="I44" i="9"/>
  <c r="M96" i="8"/>
  <c r="H64" i="9"/>
  <c r="N74" i="8"/>
  <c r="M67" i="9"/>
  <c r="N124" i="8"/>
  <c r="N28" i="9"/>
  <c r="M126" i="8"/>
  <c r="L69" i="9"/>
  <c r="L56" i="9"/>
  <c r="N16" i="9"/>
  <c r="N24" i="8"/>
  <c r="C64" i="9"/>
  <c r="L57" i="9"/>
  <c r="N17" i="9"/>
  <c r="N90" i="8"/>
  <c r="M142" i="8"/>
  <c r="N39" i="9"/>
  <c r="J140" i="4"/>
  <c r="J148" i="4"/>
  <c r="J156" i="4"/>
  <c r="J155" i="4"/>
  <c r="J109" i="4"/>
  <c r="J100" i="4"/>
  <c r="J151" i="4"/>
  <c r="J8" i="4"/>
  <c r="J143" i="4"/>
  <c r="J90" i="4"/>
  <c r="J11" i="4"/>
  <c r="J9" i="4"/>
  <c r="J80" i="4"/>
  <c r="J98" i="4"/>
  <c r="J144" i="4"/>
  <c r="J120" i="4"/>
  <c r="J130" i="4"/>
  <c r="J131" i="4"/>
  <c r="J118" i="4"/>
  <c r="J152" i="4"/>
  <c r="J12" i="4"/>
  <c r="J89" i="4"/>
  <c r="J91" i="4"/>
  <c r="J129" i="4"/>
  <c r="K32" i="10"/>
  <c r="K24" i="10"/>
  <c r="H88" i="4"/>
  <c r="H36" i="10"/>
  <c r="K20" i="10"/>
  <c r="G66" i="10"/>
  <c r="H168" i="4"/>
  <c r="K21" i="10"/>
  <c r="H128" i="4"/>
  <c r="K26" i="10"/>
  <c r="K53" i="10"/>
  <c r="G64" i="10"/>
  <c r="H36" i="4"/>
  <c r="H121" i="4"/>
  <c r="H166" i="4"/>
  <c r="K12" i="10"/>
  <c r="K14" i="10"/>
  <c r="K34" i="10"/>
  <c r="H119" i="4"/>
  <c r="H20" i="10"/>
  <c r="H142" i="4"/>
  <c r="K55" i="10"/>
  <c r="K25" i="10"/>
  <c r="K35" i="10"/>
  <c r="G57" i="10"/>
  <c r="H54" i="10"/>
  <c r="H38" i="4"/>
  <c r="H39" i="4"/>
  <c r="I10" i="4"/>
  <c r="M10" i="37" s="1"/>
  <c r="J22" i="10"/>
  <c r="L22" i="10" s="1"/>
  <c r="D22" i="10"/>
  <c r="J10" i="10"/>
  <c r="D10" i="10"/>
  <c r="I31" i="4"/>
  <c r="M31" i="37" s="1"/>
  <c r="J35" i="10"/>
  <c r="D35" i="10"/>
  <c r="I28" i="4"/>
  <c r="M28" i="37" s="1"/>
  <c r="B71" i="10"/>
  <c r="D49" i="10"/>
  <c r="J49" i="10"/>
  <c r="I166" i="4"/>
  <c r="M166" i="37" s="1"/>
  <c r="I44" i="4"/>
  <c r="M44" i="37" s="1"/>
  <c r="H99" i="4"/>
  <c r="F66" i="10"/>
  <c r="H44" i="10"/>
  <c r="D34" i="10"/>
  <c r="J34" i="10"/>
  <c r="I43" i="4"/>
  <c r="H40" i="4"/>
  <c r="H165" i="4"/>
  <c r="J14" i="10"/>
  <c r="D14" i="10"/>
  <c r="I119" i="4"/>
  <c r="M119" i="37" s="1"/>
  <c r="J11" i="10"/>
  <c r="L11" i="10" s="1"/>
  <c r="D11" i="10"/>
  <c r="K43" i="10"/>
  <c r="C65" i="10"/>
  <c r="K15" i="10"/>
  <c r="H52" i="10"/>
  <c r="F57" i="10"/>
  <c r="D53" i="10"/>
  <c r="J53" i="10"/>
  <c r="C63" i="10"/>
  <c r="C46" i="10"/>
  <c r="K41" i="10"/>
  <c r="H34" i="10"/>
  <c r="I99" i="4"/>
  <c r="M99" i="37" s="1"/>
  <c r="K36" i="10"/>
  <c r="D21" i="10"/>
  <c r="J21" i="10"/>
  <c r="D25" i="10"/>
  <c r="J25" i="10"/>
  <c r="D44" i="10"/>
  <c r="B66" i="10"/>
  <c r="J44" i="10"/>
  <c r="D56" i="10"/>
  <c r="J56" i="10"/>
  <c r="L56" i="10" s="1"/>
  <c r="J16" i="10"/>
  <c r="L16" i="10" s="1"/>
  <c r="D16" i="10"/>
  <c r="I88" i="4"/>
  <c r="M88" i="37" s="1"/>
  <c r="I169" i="4"/>
  <c r="M169" i="37" s="1"/>
  <c r="D33" i="10"/>
  <c r="J33" i="10"/>
  <c r="D23" i="10"/>
  <c r="J23" i="10"/>
  <c r="G65" i="10"/>
  <c r="J42" i="10"/>
  <c r="B64" i="10"/>
  <c r="D42" i="10"/>
  <c r="J15" i="10"/>
  <c r="D15" i="10"/>
  <c r="I128" i="4"/>
  <c r="M128" i="37" s="1"/>
  <c r="H31" i="10"/>
  <c r="K33" i="10"/>
  <c r="K10" i="10"/>
  <c r="D55" i="10"/>
  <c r="J55" i="10"/>
  <c r="I142" i="4"/>
  <c r="M142" i="37" s="1"/>
  <c r="C66" i="10"/>
  <c r="K44" i="10"/>
  <c r="D26" i="10"/>
  <c r="J26" i="10"/>
  <c r="H10" i="4"/>
  <c r="J13" i="10"/>
  <c r="D13" i="10"/>
  <c r="K13" i="10"/>
  <c r="H41" i="4"/>
  <c r="C67" i="10"/>
  <c r="K67" i="10" s="1"/>
  <c r="K45" i="10"/>
  <c r="I150" i="4"/>
  <c r="M150" i="37" s="1"/>
  <c r="F46" i="10"/>
  <c r="F63" i="10"/>
  <c r="H41" i="10"/>
  <c r="K23" i="10"/>
  <c r="I167" i="4"/>
  <c r="M167" i="37" s="1"/>
  <c r="H31" i="4"/>
  <c r="I36" i="4"/>
  <c r="M36" i="37" s="1"/>
  <c r="H42" i="10"/>
  <c r="F64" i="10"/>
  <c r="I121" i="4"/>
  <c r="M121" i="37" s="1"/>
  <c r="J43" i="10"/>
  <c r="D43" i="10"/>
  <c r="B65" i="10"/>
  <c r="M79" i="37"/>
  <c r="J31" i="10"/>
  <c r="D31" i="10"/>
  <c r="B67" i="10"/>
  <c r="D45" i="10"/>
  <c r="J45" i="10"/>
  <c r="H79" i="4"/>
  <c r="H43" i="10"/>
  <c r="F65" i="10"/>
  <c r="I25" i="4"/>
  <c r="M25" i="37" s="1"/>
  <c r="K52" i="10"/>
  <c r="C57" i="10"/>
  <c r="H150" i="4"/>
  <c r="H169" i="4"/>
  <c r="I168" i="4"/>
  <c r="M168" i="37" s="1"/>
  <c r="D20" i="10"/>
  <c r="J20" i="10"/>
  <c r="H81" i="4"/>
  <c r="I81" i="4"/>
  <c r="M81" i="37" s="1"/>
  <c r="I45" i="4"/>
  <c r="K54" i="10"/>
  <c r="I13" i="4"/>
  <c r="M13" i="37" s="1"/>
  <c r="H167" i="4"/>
  <c r="H15" i="4"/>
  <c r="H101" i="4"/>
  <c r="J37" i="10"/>
  <c r="L37" i="10" s="1"/>
  <c r="D37" i="10"/>
  <c r="I40" i="4"/>
  <c r="M40" i="37" s="1"/>
  <c r="H9" i="10"/>
  <c r="J9" i="10"/>
  <c r="L9" i="10" s="1"/>
  <c r="I101" i="4"/>
  <c r="M101" i="37" s="1"/>
  <c r="J60" i="10"/>
  <c r="L60" i="10" s="1"/>
  <c r="D60" i="10"/>
  <c r="D32" i="10"/>
  <c r="J32" i="10"/>
  <c r="I46" i="4"/>
  <c r="I29" i="4"/>
  <c r="I42" i="4"/>
  <c r="M42" i="37" s="1"/>
  <c r="B46" i="10"/>
  <c r="J41" i="10"/>
  <c r="B63" i="10"/>
  <c r="D41" i="10"/>
  <c r="I7" i="4"/>
  <c r="M7" i="37" s="1"/>
  <c r="K71" i="10"/>
  <c r="K49" i="10"/>
  <c r="H13" i="10"/>
  <c r="I108" i="4"/>
  <c r="M108" i="37" s="1"/>
  <c r="G46" i="10"/>
  <c r="G63" i="10"/>
  <c r="I41" i="4"/>
  <c r="M41" i="37" s="1"/>
  <c r="D12" i="10"/>
  <c r="J12" i="10"/>
  <c r="I15" i="4"/>
  <c r="M15" i="37" s="1"/>
  <c r="D54" i="10"/>
  <c r="J54" i="10"/>
  <c r="H24" i="10"/>
  <c r="I165" i="4"/>
  <c r="M165" i="37" s="1"/>
  <c r="J27" i="10"/>
  <c r="I14" i="4"/>
  <c r="M14" i="37" s="1"/>
  <c r="K31" i="10"/>
  <c r="D36" i="10"/>
  <c r="J36" i="10"/>
  <c r="D52" i="10"/>
  <c r="J52" i="10"/>
  <c r="B57" i="10"/>
  <c r="J24" i="10"/>
  <c r="D24" i="10"/>
  <c r="K42" i="10"/>
  <c r="C64" i="10"/>
  <c r="H108" i="4"/>
  <c r="O24" i="9" l="1"/>
  <c r="O26" i="9"/>
  <c r="J108" i="4"/>
  <c r="L14" i="10"/>
  <c r="L35" i="10"/>
  <c r="J46" i="4"/>
  <c r="L25" i="10"/>
  <c r="J88" i="4"/>
  <c r="J128" i="4"/>
  <c r="L15" i="10"/>
  <c r="J27" i="9"/>
  <c r="D49" i="9"/>
  <c r="L53" i="10"/>
  <c r="L26" i="10"/>
  <c r="J14" i="4"/>
  <c r="M14" i="13"/>
  <c r="M14" i="33"/>
  <c r="M14" i="18"/>
  <c r="M14" i="23"/>
  <c r="M14" i="29"/>
  <c r="M14" i="35"/>
  <c r="M29" i="13"/>
  <c r="M29" i="29"/>
  <c r="J13" i="4"/>
  <c r="M13" i="19"/>
  <c r="M13" i="20"/>
  <c r="M13" i="25"/>
  <c r="M13" i="23"/>
  <c r="M13" i="22"/>
  <c r="M13" i="13"/>
  <c r="M13" i="24"/>
  <c r="M13" i="35"/>
  <c r="M13" i="51"/>
  <c r="M13" i="29"/>
  <c r="M13" i="18"/>
  <c r="M13" i="33"/>
  <c r="M81" i="20"/>
  <c r="M81" i="13"/>
  <c r="M81" i="27"/>
  <c r="M81" i="23"/>
  <c r="M81" i="29"/>
  <c r="M81" i="35"/>
  <c r="M81" i="33"/>
  <c r="M81" i="18"/>
  <c r="M168" i="26"/>
  <c r="M168" i="34"/>
  <c r="M150" i="23"/>
  <c r="M150" i="20"/>
  <c r="M150" i="27"/>
  <c r="M150" i="13"/>
  <c r="M150" i="35"/>
  <c r="M150" i="29"/>
  <c r="M150" i="18"/>
  <c r="M150" i="33"/>
  <c r="M142" i="23"/>
  <c r="M142" i="20"/>
  <c r="M142" i="27"/>
  <c r="M142" i="35"/>
  <c r="M142" i="29"/>
  <c r="M142" i="13"/>
  <c r="M142" i="18"/>
  <c r="M142" i="33"/>
  <c r="M108" i="33"/>
  <c r="J7" i="4"/>
  <c r="M7" i="19"/>
  <c r="M7" i="13"/>
  <c r="M7" i="23"/>
  <c r="M7" i="22"/>
  <c r="M7" i="25"/>
  <c r="M7" i="20"/>
  <c r="M7" i="24"/>
  <c r="M7" i="29"/>
  <c r="M7" i="51"/>
  <c r="M7" i="35"/>
  <c r="M7" i="33"/>
  <c r="M7" i="18"/>
  <c r="J25" i="4"/>
  <c r="M25" i="20"/>
  <c r="M25" i="13"/>
  <c r="M25" i="24"/>
  <c r="M25" i="23"/>
  <c r="M25" i="29"/>
  <c r="M25" i="35"/>
  <c r="M25" i="33"/>
  <c r="M25" i="18"/>
  <c r="M36" i="23"/>
  <c r="M36" i="13"/>
  <c r="M36" i="29"/>
  <c r="M36" i="35"/>
  <c r="M36" i="24"/>
  <c r="M36" i="20"/>
  <c r="M36" i="18"/>
  <c r="M36" i="33"/>
  <c r="M169" i="26"/>
  <c r="M169" i="13"/>
  <c r="M119" i="13"/>
  <c r="M119" i="20"/>
  <c r="M119" i="23"/>
  <c r="M119" i="27"/>
  <c r="M119" i="33"/>
  <c r="M119" i="18"/>
  <c r="M119" i="29"/>
  <c r="M119" i="35"/>
  <c r="O9" i="9"/>
  <c r="M41" i="13"/>
  <c r="M41" i="23"/>
  <c r="M41" i="29"/>
  <c r="M41" i="35"/>
  <c r="M41" i="33"/>
  <c r="M41" i="18"/>
  <c r="M46" i="13"/>
  <c r="M40" i="13"/>
  <c r="M40" i="23"/>
  <c r="M40" i="29"/>
  <c r="M40" i="35"/>
  <c r="M40" i="18"/>
  <c r="M40" i="33"/>
  <c r="J45" i="4"/>
  <c r="M45" i="13"/>
  <c r="M79" i="13"/>
  <c r="M79" i="20"/>
  <c r="M79" i="27"/>
  <c r="M79" i="35"/>
  <c r="M79" i="33"/>
  <c r="M79" i="18"/>
  <c r="M79" i="23"/>
  <c r="M79" i="29"/>
  <c r="M121" i="20"/>
  <c r="M121" i="13"/>
  <c r="M121" i="23"/>
  <c r="M121" i="27"/>
  <c r="M121" i="29"/>
  <c r="M121" i="35"/>
  <c r="M121" i="33"/>
  <c r="M121" i="18"/>
  <c r="M128" i="33"/>
  <c r="M88" i="33"/>
  <c r="J44" i="4"/>
  <c r="M44" i="13"/>
  <c r="M31" i="13"/>
  <c r="M31" i="20"/>
  <c r="M31" i="33"/>
  <c r="M31" i="18"/>
  <c r="M31" i="23"/>
  <c r="M31" i="29"/>
  <c r="N69" i="9"/>
  <c r="M165" i="26"/>
  <c r="M165" i="34"/>
  <c r="M165" i="13"/>
  <c r="M15" i="13"/>
  <c r="M15" i="23"/>
  <c r="M15" i="29"/>
  <c r="M15" i="35"/>
  <c r="M15" i="18"/>
  <c r="M15" i="33"/>
  <c r="J42" i="4"/>
  <c r="M42" i="13"/>
  <c r="L32" i="10"/>
  <c r="M101" i="20"/>
  <c r="M101" i="13"/>
  <c r="M101" i="23"/>
  <c r="M101" i="27"/>
  <c r="M101" i="33"/>
  <c r="M101" i="18"/>
  <c r="M101" i="29"/>
  <c r="H64" i="10"/>
  <c r="M167" i="13"/>
  <c r="M167" i="26"/>
  <c r="M167" i="34"/>
  <c r="M99" i="13"/>
  <c r="M99" i="20"/>
  <c r="M99" i="23"/>
  <c r="M99" i="29"/>
  <c r="M99" i="33"/>
  <c r="M99" i="18"/>
  <c r="M99" i="27"/>
  <c r="M166" i="26"/>
  <c r="M28" i="23"/>
  <c r="M28" i="13"/>
  <c r="M28" i="20"/>
  <c r="M28" i="29"/>
  <c r="M28" i="18"/>
  <c r="M28" i="33"/>
  <c r="M10" i="13"/>
  <c r="M10" i="22"/>
  <c r="M10" i="20"/>
  <c r="M10" i="19"/>
  <c r="M10" i="24"/>
  <c r="M10" i="25"/>
  <c r="M10" i="23"/>
  <c r="M10" i="29"/>
  <c r="M10" i="33"/>
  <c r="M10" i="18"/>
  <c r="M10" i="35"/>
  <c r="M10" i="51"/>
  <c r="I49" i="9"/>
  <c r="L42" i="10"/>
  <c r="L33" i="10"/>
  <c r="L23" i="10"/>
  <c r="L12" i="10"/>
  <c r="L10" i="10"/>
  <c r="N66" i="9"/>
  <c r="N64" i="9"/>
  <c r="N67" i="9"/>
  <c r="N60" i="9"/>
  <c r="N56" i="9"/>
  <c r="N53" i="9"/>
  <c r="N31" i="9"/>
  <c r="N50" i="9"/>
  <c r="I66" i="9"/>
  <c r="I68" i="9"/>
  <c r="I53" i="9"/>
  <c r="I52" i="9"/>
  <c r="I50" i="9"/>
  <c r="D66" i="9"/>
  <c r="D45" i="9"/>
  <c r="D50" i="9"/>
  <c r="G17" i="10"/>
  <c r="E37" i="9"/>
  <c r="E41" i="9"/>
  <c r="E35" i="9"/>
  <c r="J12" i="9"/>
  <c r="E36" i="9"/>
  <c r="E44" i="9"/>
  <c r="D31" i="9"/>
  <c r="E43" i="9"/>
  <c r="E40" i="9"/>
  <c r="E42" i="9"/>
  <c r="F17" i="10"/>
  <c r="J17" i="10" s="1"/>
  <c r="E39" i="9"/>
  <c r="E38" i="9"/>
  <c r="I45" i="9"/>
  <c r="J29" i="9"/>
  <c r="B38" i="10"/>
  <c r="J38" i="10" s="1"/>
  <c r="O34" i="9"/>
  <c r="J26" i="9"/>
  <c r="E20" i="9"/>
  <c r="I31" i="9"/>
  <c r="J19" i="9"/>
  <c r="C72" i="9"/>
  <c r="E70" i="9" s="1"/>
  <c r="D70" i="9" s="1"/>
  <c r="C28" i="10"/>
  <c r="D28" i="10" s="1"/>
  <c r="J25" i="9"/>
  <c r="E11" i="9"/>
  <c r="O40" i="9"/>
  <c r="E23" i="9"/>
  <c r="J37" i="9"/>
  <c r="J44" i="9"/>
  <c r="O12" i="9"/>
  <c r="E15" i="9"/>
  <c r="J42" i="9"/>
  <c r="G38" i="10"/>
  <c r="H38" i="10" s="1"/>
  <c r="E19" i="9"/>
  <c r="J34" i="9"/>
  <c r="E13" i="9"/>
  <c r="O20" i="9"/>
  <c r="O14" i="9"/>
  <c r="M72" i="9"/>
  <c r="O71" i="9" s="1"/>
  <c r="E29" i="9"/>
  <c r="E22" i="9"/>
  <c r="E17" i="9"/>
  <c r="E18" i="9"/>
  <c r="O10" i="9"/>
  <c r="O18" i="9"/>
  <c r="O30" i="9"/>
  <c r="O13" i="9"/>
  <c r="O11" i="9"/>
  <c r="O15" i="9"/>
  <c r="H72" i="9"/>
  <c r="J62" i="9" s="1"/>
  <c r="I62" i="9" s="1"/>
  <c r="B72" i="9"/>
  <c r="J28" i="10"/>
  <c r="E25" i="9"/>
  <c r="E9" i="9"/>
  <c r="E14" i="9"/>
  <c r="E10" i="9"/>
  <c r="J38" i="9"/>
  <c r="J36" i="9"/>
  <c r="J43" i="9"/>
  <c r="C17" i="10"/>
  <c r="D17" i="10" s="1"/>
  <c r="O27" i="9"/>
  <c r="C38" i="10"/>
  <c r="O22" i="9"/>
  <c r="O16" i="9"/>
  <c r="O19" i="9"/>
  <c r="O17" i="9"/>
  <c r="O25" i="9"/>
  <c r="G72" i="9"/>
  <c r="E30" i="9"/>
  <c r="E12" i="9"/>
  <c r="E21" i="9"/>
  <c r="E24" i="9"/>
  <c r="E26" i="9"/>
  <c r="J39" i="9"/>
  <c r="J41" i="9"/>
  <c r="E27" i="9"/>
  <c r="E28" i="9"/>
  <c r="G28" i="10"/>
  <c r="H28" i="10" s="1"/>
  <c r="O23" i="9"/>
  <c r="O28" i="9"/>
  <c r="J35" i="9"/>
  <c r="O29" i="9"/>
  <c r="O21" i="9"/>
  <c r="J30" i="9"/>
  <c r="J11" i="9"/>
  <c r="J22" i="9"/>
  <c r="J24" i="9"/>
  <c r="O41" i="9"/>
  <c r="O43" i="9"/>
  <c r="O42" i="9"/>
  <c r="J18" i="9"/>
  <c r="L72" i="9"/>
  <c r="J17" i="9"/>
  <c r="J15" i="9"/>
  <c r="J14" i="9"/>
  <c r="J20" i="9"/>
  <c r="J23" i="9"/>
  <c r="O35" i="9"/>
  <c r="O36" i="9"/>
  <c r="O39" i="9"/>
  <c r="J9" i="9"/>
  <c r="J13" i="9"/>
  <c r="J10" i="9"/>
  <c r="N45" i="9"/>
  <c r="J28" i="9"/>
  <c r="J16" i="9"/>
  <c r="O37" i="9"/>
  <c r="O44" i="9"/>
  <c r="J150" i="4"/>
  <c r="J10" i="4"/>
  <c r="J169" i="4"/>
  <c r="J167" i="4"/>
  <c r="J31" i="4"/>
  <c r="J142" i="4"/>
  <c r="J15" i="4"/>
  <c r="J79" i="4"/>
  <c r="J41" i="4"/>
  <c r="J165" i="4"/>
  <c r="J40" i="4"/>
  <c r="J166" i="4"/>
  <c r="J168" i="4"/>
  <c r="J101" i="4"/>
  <c r="J99" i="4"/>
  <c r="J81" i="4"/>
  <c r="J121" i="4"/>
  <c r="J119" i="4"/>
  <c r="J36" i="4"/>
  <c r="L24" i="10"/>
  <c r="K64" i="10"/>
  <c r="K66" i="10"/>
  <c r="L55" i="10"/>
  <c r="L20" i="10"/>
  <c r="L21" i="10"/>
  <c r="L34" i="10"/>
  <c r="H66" i="10"/>
  <c r="L41" i="10"/>
  <c r="G68" i="10"/>
  <c r="L43" i="10"/>
  <c r="H65" i="10"/>
  <c r="L45" i="10"/>
  <c r="L54" i="10"/>
  <c r="K57" i="10"/>
  <c r="H57" i="10"/>
  <c r="L52" i="10"/>
  <c r="L13" i="10"/>
  <c r="L36" i="10"/>
  <c r="H37" i="4"/>
  <c r="K65" i="10"/>
  <c r="L49" i="10"/>
  <c r="D57" i="10"/>
  <c r="J57" i="10"/>
  <c r="D63" i="10"/>
  <c r="J63" i="10"/>
  <c r="B68" i="10"/>
  <c r="J65" i="10"/>
  <c r="D65" i="10"/>
  <c r="F68" i="10"/>
  <c r="H63" i="10"/>
  <c r="L44" i="10"/>
  <c r="K46" i="10"/>
  <c r="L31" i="10"/>
  <c r="H46" i="10"/>
  <c r="J64" i="10"/>
  <c r="D64" i="10"/>
  <c r="D66" i="10"/>
  <c r="J66" i="10"/>
  <c r="K63" i="10"/>
  <c r="C68" i="10"/>
  <c r="J71" i="10"/>
  <c r="L71" i="10" s="1"/>
  <c r="D71" i="10"/>
  <c r="J46" i="10"/>
  <c r="D46" i="10"/>
  <c r="D67" i="10"/>
  <c r="J67" i="10"/>
  <c r="L67" i="10" s="1"/>
  <c r="L66" i="10" l="1"/>
  <c r="L64" i="10"/>
  <c r="O45" i="9"/>
  <c r="O31" i="9"/>
  <c r="N72" i="9"/>
  <c r="J45" i="9"/>
  <c r="I72" i="9"/>
  <c r="J31" i="9"/>
  <c r="E45" i="9"/>
  <c r="D72" i="9"/>
  <c r="K28" i="10"/>
  <c r="L28" i="10" s="1"/>
  <c r="H17" i="10"/>
  <c r="E55" i="9"/>
  <c r="D55" i="9" s="1"/>
  <c r="J71" i="9"/>
  <c r="I71" i="9" s="1"/>
  <c r="J55" i="9"/>
  <c r="I55" i="9" s="1"/>
  <c r="E61" i="9"/>
  <c r="D61" i="9" s="1"/>
  <c r="E54" i="9"/>
  <c r="D54" i="9" s="1"/>
  <c r="E53" i="9"/>
  <c r="D53" i="9" s="1"/>
  <c r="O56" i="9"/>
  <c r="O55" i="9"/>
  <c r="N55" i="9" s="1"/>
  <c r="J61" i="9"/>
  <c r="I61" i="9" s="1"/>
  <c r="D38" i="10"/>
  <c r="E57" i="9"/>
  <c r="D57" i="9" s="1"/>
  <c r="E63" i="9"/>
  <c r="D63" i="9" s="1"/>
  <c r="J54" i="9"/>
  <c r="E58" i="9"/>
  <c r="D58" i="9" s="1"/>
  <c r="E64" i="9"/>
  <c r="D64" i="9" s="1"/>
  <c r="K38" i="10"/>
  <c r="L38" i="10" s="1"/>
  <c r="O66" i="9"/>
  <c r="O63" i="9"/>
  <c r="O52" i="9"/>
  <c r="N52" i="9" s="1"/>
  <c r="O59" i="9"/>
  <c r="N59" i="9" s="1"/>
  <c r="J58" i="9"/>
  <c r="I58" i="9" s="1"/>
  <c r="J59" i="9"/>
  <c r="I59" i="9" s="1"/>
  <c r="J69" i="9"/>
  <c r="I69" i="9" s="1"/>
  <c r="E59" i="9"/>
  <c r="D59" i="9" s="1"/>
  <c r="E51" i="9"/>
  <c r="D51" i="9" s="1"/>
  <c r="E50" i="9"/>
  <c r="E49" i="9"/>
  <c r="J56" i="9"/>
  <c r="I56" i="9" s="1"/>
  <c r="E66" i="9"/>
  <c r="E71" i="9"/>
  <c r="D71" i="9" s="1"/>
  <c r="E68" i="9"/>
  <c r="D68" i="9" s="1"/>
  <c r="E62" i="9"/>
  <c r="D62" i="9" s="1"/>
  <c r="K17" i="10"/>
  <c r="L17" i="10" s="1"/>
  <c r="O62" i="9"/>
  <c r="O51" i="9"/>
  <c r="N51" i="9" s="1"/>
  <c r="O57" i="9"/>
  <c r="N57" i="9" s="1"/>
  <c r="O64" i="9"/>
  <c r="O58" i="9"/>
  <c r="N58" i="9" s="1"/>
  <c r="O65" i="9"/>
  <c r="N65" i="9" s="1"/>
  <c r="O53" i="9"/>
  <c r="O60" i="9"/>
  <c r="O70" i="9"/>
  <c r="O50" i="9"/>
  <c r="O61" i="9"/>
  <c r="N61" i="9" s="1"/>
  <c r="O54" i="9"/>
  <c r="J68" i="9"/>
  <c r="O68" i="9"/>
  <c r="N68" i="9" s="1"/>
  <c r="J52" i="9"/>
  <c r="O69" i="9"/>
  <c r="J51" i="9"/>
  <c r="I51" i="9" s="1"/>
  <c r="O49" i="9"/>
  <c r="J53" i="9"/>
  <c r="O67" i="9"/>
  <c r="E60" i="9"/>
  <c r="D60" i="9" s="1"/>
  <c r="E65" i="9"/>
  <c r="D65" i="9" s="1"/>
  <c r="E52" i="9"/>
  <c r="D52" i="9" s="1"/>
  <c r="E56" i="9"/>
  <c r="D56" i="9" s="1"/>
  <c r="E67" i="9"/>
  <c r="D67" i="9" s="1"/>
  <c r="E69" i="9"/>
  <c r="D69" i="9" s="1"/>
  <c r="J49" i="9"/>
  <c r="J57" i="9"/>
  <c r="I57" i="9" s="1"/>
  <c r="J60" i="9"/>
  <c r="I60" i="9" s="1"/>
  <c r="J50" i="9"/>
  <c r="J64" i="9"/>
  <c r="I64" i="9" s="1"/>
  <c r="J63" i="9"/>
  <c r="I63" i="9" s="1"/>
  <c r="J65" i="9"/>
  <c r="J66" i="9"/>
  <c r="J67" i="9"/>
  <c r="J70" i="9"/>
  <c r="E31" i="9"/>
  <c r="K68" i="10"/>
  <c r="H68" i="10"/>
  <c r="L57" i="10"/>
  <c r="L46" i="10"/>
  <c r="L65" i="10"/>
  <c r="J68" i="10"/>
  <c r="D68" i="10"/>
  <c r="L63" i="10"/>
  <c r="O72" i="9" l="1"/>
  <c r="J72" i="9"/>
  <c r="E72" i="9"/>
  <c r="L68" i="10"/>
  <c r="Q14" i="9"/>
  <c r="S38" i="9"/>
  <c r="Q26" i="9"/>
  <c r="T18" i="9"/>
  <c r="R14" i="9"/>
  <c r="T16" i="9"/>
  <c r="S22" i="9"/>
  <c r="S44" i="9"/>
  <c r="T44" i="9"/>
  <c r="R41" i="9"/>
  <c r="T29" i="9"/>
  <c r="S28" i="9"/>
  <c r="Q29" i="9"/>
  <c r="Q16" i="9"/>
  <c r="Q37" i="9"/>
  <c r="S20" i="9"/>
  <c r="R27" i="9"/>
  <c r="T9" i="9"/>
  <c r="S43" i="9"/>
  <c r="S37" i="9"/>
  <c r="R36" i="9"/>
  <c r="T19" i="9"/>
  <c r="Q38" i="9"/>
  <c r="R21" i="9"/>
  <c r="S11" i="9"/>
  <c r="S24" i="9"/>
  <c r="S40" i="9"/>
  <c r="T21" i="9"/>
  <c r="Q40" i="9"/>
  <c r="S13" i="9"/>
  <c r="Q44" i="9"/>
  <c r="T43" i="9"/>
  <c r="Q11" i="9"/>
  <c r="R29" i="9"/>
  <c r="S36" i="9"/>
  <c r="T14" i="9"/>
  <c r="S27" i="9"/>
  <c r="T24" i="9"/>
  <c r="T39" i="9"/>
  <c r="T20" i="9"/>
  <c r="S21" i="9"/>
  <c r="T25" i="9"/>
  <c r="Q21" i="9"/>
  <c r="S42" i="9"/>
  <c r="T37" i="9"/>
  <c r="Q39" i="9"/>
  <c r="R20" i="9"/>
  <c r="T23" i="9"/>
  <c r="R15" i="9"/>
  <c r="S41" i="9"/>
  <c r="R16" i="9"/>
  <c r="Q17" i="9"/>
  <c r="R13" i="9"/>
  <c r="Q23" i="9"/>
  <c r="S12" i="9"/>
  <c r="Q43" i="9"/>
  <c r="Q18" i="9"/>
  <c r="R23" i="9"/>
  <c r="R40" i="9"/>
  <c r="R42" i="9"/>
  <c r="R26" i="9"/>
  <c r="S10" i="9"/>
  <c r="T40" i="9"/>
  <c r="Q24" i="9"/>
  <c r="S14" i="9"/>
  <c r="T28" i="9"/>
  <c r="Q28" i="9"/>
  <c r="R25" i="9"/>
  <c r="T12" i="9"/>
  <c r="T10" i="9"/>
  <c r="S23" i="9"/>
  <c r="S39" i="9"/>
  <c r="R39" i="9"/>
  <c r="R24" i="9"/>
  <c r="Q13" i="9"/>
  <c r="Q12" i="9"/>
  <c r="T36" i="9"/>
  <c r="Q41" i="9"/>
  <c r="Q19" i="9"/>
  <c r="T26" i="9"/>
  <c r="S16" i="9"/>
  <c r="S17" i="9"/>
  <c r="S18" i="9"/>
  <c r="Q15" i="9"/>
  <c r="Q34" i="9"/>
  <c r="R12" i="9"/>
  <c r="S25" i="9"/>
  <c r="S30" i="9"/>
  <c r="S19" i="9"/>
  <c r="Q27" i="9"/>
  <c r="Q42" i="9"/>
  <c r="R11" i="9"/>
  <c r="R10" i="9"/>
  <c r="T38" i="9"/>
  <c r="Q20" i="9"/>
  <c r="S29" i="9"/>
  <c r="Q30" i="9"/>
  <c r="R44" i="9"/>
  <c r="T22" i="9"/>
  <c r="R38" i="9"/>
  <c r="T27" i="9"/>
  <c r="Q36" i="9"/>
  <c r="R43" i="9"/>
  <c r="R19" i="9"/>
  <c r="Q25" i="9"/>
  <c r="T34" i="9"/>
  <c r="T41" i="9"/>
  <c r="R37" i="9"/>
  <c r="Q22" i="9"/>
  <c r="S26" i="9"/>
  <c r="S9" i="9"/>
  <c r="T17" i="9"/>
  <c r="Q10" i="9"/>
  <c r="T13" i="9"/>
  <c r="R22" i="9"/>
  <c r="R18" i="9"/>
  <c r="S15" i="9"/>
  <c r="R28" i="9"/>
  <c r="Q9" i="9"/>
  <c r="T35" i="9"/>
  <c r="R35" i="9"/>
  <c r="R17" i="9"/>
  <c r="Q35" i="9"/>
  <c r="R9" i="9"/>
  <c r="T30" i="9"/>
  <c r="R30" i="9"/>
  <c r="S34" i="9"/>
  <c r="T15" i="9"/>
  <c r="T42" i="9"/>
  <c r="R34" i="9"/>
  <c r="S35" i="9"/>
  <c r="T11" i="9"/>
  <c r="Q45" i="9" l="1"/>
  <c r="T62" i="9"/>
  <c r="T66" i="9"/>
  <c r="R52" i="9"/>
  <c r="T56" i="9"/>
  <c r="T71" i="9"/>
  <c r="T50" i="9"/>
  <c r="Q67" i="9"/>
  <c r="R56" i="9"/>
  <c r="R70" i="9"/>
  <c r="T58" i="9"/>
  <c r="Q57" i="9"/>
  <c r="T52" i="9"/>
  <c r="S64" i="9"/>
  <c r="S45" i="9"/>
  <c r="T68" i="9"/>
  <c r="R57" i="9"/>
  <c r="S61" i="9"/>
  <c r="Q55" i="9"/>
  <c r="T61" i="9"/>
  <c r="S57" i="9"/>
  <c r="R63" i="9"/>
  <c r="T70" i="9"/>
  <c r="T53" i="9"/>
  <c r="R53" i="9"/>
  <c r="Q66" i="9"/>
  <c r="Q70" i="9"/>
  <c r="R51" i="9"/>
  <c r="S54" i="9"/>
  <c r="S63" i="9"/>
  <c r="T51" i="9"/>
  <c r="S49" i="9"/>
  <c r="S31" i="9"/>
  <c r="Q52" i="9"/>
  <c r="Q62" i="9"/>
  <c r="S68" i="9"/>
  <c r="R60" i="9"/>
  <c r="T45" i="9"/>
  <c r="R71" i="9"/>
  <c r="Q49" i="9"/>
  <c r="Q31" i="9"/>
  <c r="Q56" i="9"/>
  <c r="R55" i="9"/>
  <c r="S59" i="9"/>
  <c r="S67" i="9"/>
  <c r="S50" i="9"/>
  <c r="Q51" i="9"/>
  <c r="T59" i="9"/>
  <c r="S55" i="9"/>
  <c r="R65" i="9"/>
  <c r="S53" i="9"/>
  <c r="T69" i="9"/>
  <c r="T65" i="9"/>
  <c r="T63" i="9"/>
  <c r="R61" i="9"/>
  <c r="R62" i="9"/>
  <c r="Q68" i="9"/>
  <c r="R54" i="9"/>
  <c r="Q53" i="9"/>
  <c r="S66" i="9"/>
  <c r="T49" i="9"/>
  <c r="T31" i="9"/>
  <c r="Q61" i="9"/>
  <c r="T57" i="9"/>
  <c r="Q59" i="9"/>
  <c r="S71" i="9"/>
  <c r="T67" i="9"/>
  <c r="T60" i="9"/>
  <c r="R31" i="9"/>
  <c r="R49" i="9"/>
  <c r="R64" i="9"/>
  <c r="Q60" i="9"/>
  <c r="R58" i="9"/>
  <c r="R67" i="9"/>
  <c r="T55" i="9"/>
  <c r="R59" i="9"/>
  <c r="R66" i="9"/>
  <c r="Q58" i="9"/>
  <c r="S56" i="9"/>
  <c r="R45" i="9"/>
  <c r="S51" i="9"/>
  <c r="Q71" i="9"/>
  <c r="S69" i="9"/>
  <c r="Q65" i="9"/>
  <c r="Q63" i="9"/>
  <c r="S58" i="9"/>
  <c r="Q50" i="9"/>
  <c r="R50" i="9"/>
  <c r="Q64" i="9"/>
  <c r="Q69" i="9"/>
  <c r="S62" i="9"/>
  <c r="S70" i="9"/>
  <c r="S60" i="9"/>
  <c r="S52" i="9"/>
  <c r="R68" i="9"/>
  <c r="T64" i="9"/>
  <c r="S65" i="9"/>
  <c r="T54" i="9"/>
  <c r="R69" i="9"/>
  <c r="Q54" i="9"/>
  <c r="Q72" i="9" l="1"/>
  <c r="R72" i="9"/>
  <c r="T72" i="9"/>
  <c r="S72" i="9"/>
</calcChain>
</file>

<file path=xl/connections.xml><?xml version="1.0" encoding="utf-8"?>
<connections xmlns="http://schemas.openxmlformats.org/spreadsheetml/2006/main">
  <connection id="1" keepAlive="1" name="Spørring - Data" description="Tilkobling til spørringen Data i arbeidsboken." type="5" refreshedVersion="6" background="1" refreshOnLoad="1">
    <dbPr connection="Provider=Microsoft.Mashup.OleDb.1;Data Source=$Workbook$;Location=Data;Extended Properties=&quot;&quot;" command="SELECT * FROM [Data]"/>
  </connection>
</connections>
</file>

<file path=xl/sharedStrings.xml><?xml version="1.0" encoding="utf-8"?>
<sst xmlns="http://schemas.openxmlformats.org/spreadsheetml/2006/main" count="7087" uniqueCount="518">
  <si>
    <t>Produkter uten investeringsvalg</t>
  </si>
  <si>
    <t>Produkter med investeringsvalg</t>
  </si>
  <si>
    <t>Totalt</t>
  </si>
  <si>
    <t>Endring</t>
  </si>
  <si>
    <t>i %</t>
  </si>
  <si>
    <t xml:space="preserve">                     </t>
  </si>
  <si>
    <t xml:space="preserve">      Gjeldsgruppeliv</t>
  </si>
  <si>
    <t xml:space="preserve">      Foreningsgruppeliv</t>
  </si>
  <si>
    <t xml:space="preserve">      Andre grupper</t>
  </si>
  <si>
    <t xml:space="preserve">   Ytelsesbasert</t>
  </si>
  <si>
    <t xml:space="preserve">   Innskuddsbasert</t>
  </si>
  <si>
    <t xml:space="preserve">      herav kapitaliseringsprodukt IPA+IPS</t>
  </si>
  <si>
    <t xml:space="preserve">        Inv.valg foretak</t>
  </si>
  <si>
    <t xml:space="preserve">        Inv.valg kontohaver</t>
  </si>
  <si>
    <t xml:space="preserve">    Til pensjonskasser</t>
  </si>
  <si>
    <t xml:space="preserve">    Fra pensjonskasser</t>
  </si>
  <si>
    <t xml:space="preserve">      herav kapitaliseringsprodukt IPS</t>
  </si>
  <si>
    <t>Noter til tabellene</t>
  </si>
  <si>
    <t>Gruppeliv bedrift tilsvarer tjenestegruppeliv.</t>
  </si>
  <si>
    <t>Gruppeliv privat består av foreningsgruppeliv, gjeldsgruppeliv og annet.</t>
  </si>
  <si>
    <t xml:space="preserve">Engangsbetalt alderspensjon er innskuddsbasert pensjon med dødelighetsarv. </t>
  </si>
  <si>
    <t>LOF/LOI betyr lov om foretakspensjon og lov om innskuddspensjon.</t>
  </si>
  <si>
    <t>Overførte reserver fra andre tilsvarer post 1.3 i resultatregnskapet samt overførte tilleggsavsetninger som tilsvarer post 6.6 i  resultatregnskapet.</t>
  </si>
  <si>
    <t>Flytting av en gruppelivsordning fra andre eller til andre måles i brutto årlig premie (ikke brutto forfalt premie).</t>
  </si>
  <si>
    <t>Overførte reserver til andre tilsvarer post 5.3 i resultatregnskapet.</t>
  </si>
  <si>
    <t>Livrenter, IPA og IPS er individuelle pensjonsspareavtaler etter skattereglene (kun i årsstatistikken / 4.kvartal).</t>
  </si>
  <si>
    <r>
      <t>Overførte reserver til andre</t>
    </r>
    <r>
      <rPr>
        <b/>
        <vertAlign val="superscript"/>
        <sz val="10"/>
        <rFont val="Times New Roman"/>
        <family val="1"/>
      </rPr>
      <t xml:space="preserve"> 7</t>
    </r>
  </si>
  <si>
    <r>
      <t xml:space="preserve">Overførte reserver fra andre </t>
    </r>
    <r>
      <rPr>
        <b/>
        <vertAlign val="superscript"/>
        <sz val="10"/>
        <rFont val="Times New Roman"/>
        <family val="1"/>
      </rPr>
      <t>6</t>
    </r>
  </si>
  <si>
    <r>
      <t xml:space="preserve">Forsikringsforpliktelser </t>
    </r>
    <r>
      <rPr>
        <b/>
        <vertAlign val="superscript"/>
        <sz val="10"/>
        <rFont val="Times New Roman"/>
        <family val="1"/>
      </rPr>
      <t>5</t>
    </r>
  </si>
  <si>
    <r>
      <t xml:space="preserve">Nytegnet premie </t>
    </r>
    <r>
      <rPr>
        <b/>
        <vertAlign val="superscript"/>
        <sz val="10"/>
        <rFont val="Times New Roman"/>
        <family val="1"/>
      </rPr>
      <t>4</t>
    </r>
  </si>
  <si>
    <r>
      <t xml:space="preserve">Brutto forfalt premie </t>
    </r>
    <r>
      <rPr>
        <b/>
        <vertAlign val="superscript"/>
        <sz val="10"/>
        <rFont val="Times New Roman"/>
        <family val="1"/>
      </rPr>
      <t>1</t>
    </r>
  </si>
  <si>
    <r>
      <t xml:space="preserve">    Herav brutto risikopremie uførekapital </t>
    </r>
    <r>
      <rPr>
        <vertAlign val="superscript"/>
        <sz val="10"/>
        <rFont val="Times New Roman"/>
        <family val="1"/>
      </rPr>
      <t>2</t>
    </r>
  </si>
  <si>
    <r>
      <t xml:space="preserve">    Herav brutto risikopremie død </t>
    </r>
    <r>
      <rPr>
        <vertAlign val="superscript"/>
        <sz val="10"/>
        <rFont val="Times New Roman"/>
        <family val="1"/>
      </rPr>
      <t>2</t>
    </r>
  </si>
  <si>
    <t xml:space="preserve">  Etter tjenestepensjonsloven</t>
  </si>
  <si>
    <t xml:space="preserve">   Etter tjenestepensjonsloven</t>
  </si>
  <si>
    <t>Tabell 5: Kommunale ordninger</t>
  </si>
  <si>
    <t>Tabell 1 : Individuell kapitalforsikring*</t>
  </si>
  <si>
    <t>Markeds-</t>
  </si>
  <si>
    <t>andel</t>
  </si>
  <si>
    <t>INNHOLDSFORTEGNELSE</t>
  </si>
  <si>
    <t>FIGURER</t>
  </si>
  <si>
    <t>Figur 1</t>
  </si>
  <si>
    <t>Brutto forfalt premie livprodukter - produkter uten investeringsvalg</t>
  </si>
  <si>
    <t>Figur 2</t>
  </si>
  <si>
    <t>Brutto forfalt premie livprodukter - produkter med investeringsvalg</t>
  </si>
  <si>
    <t>Figur 3</t>
  </si>
  <si>
    <t>Nytegnet premie livprodukter - produkter uten investeringsvalg</t>
  </si>
  <si>
    <t>Figur 4</t>
  </si>
  <si>
    <t>Nytegnet premie livprodukter - produkter med investeringsvalg</t>
  </si>
  <si>
    <t>Figur 5</t>
  </si>
  <si>
    <t>Forsikringsforpliktelser livprodukter - produkter uten investeringsvalg</t>
  </si>
  <si>
    <t>Figur 6</t>
  </si>
  <si>
    <t>Forsikringsforpliktelser livprodukter - produkter med investeringsvalg</t>
  </si>
  <si>
    <t>Figur 7</t>
  </si>
  <si>
    <t>Netto tilflytting livprodukter - produkter uten investeringsvalg</t>
  </si>
  <si>
    <t>Figur 8</t>
  </si>
  <si>
    <t>Netto tilflytting livprodukter - produkter med investeringsvalg</t>
  </si>
  <si>
    <t>TABELLER</t>
  </si>
  <si>
    <t>MARKEDSDEL</t>
  </si>
  <si>
    <t>Tabell 1.1</t>
  </si>
  <si>
    <t>Hovedtall - produkter uten  og med investeringsvalg</t>
  </si>
  <si>
    <t>Tabell 1.2</t>
  </si>
  <si>
    <t>Hovedtall - fordelt på bransjer</t>
  </si>
  <si>
    <t>NOTER OG KOMMENTARER</t>
  </si>
  <si>
    <t>Tilbake</t>
  </si>
  <si>
    <t xml:space="preserve">Brutto forfalt premie livprodukter </t>
  </si>
  <si>
    <t>ACE</t>
  </si>
  <si>
    <t>Danica Pensjon</t>
  </si>
  <si>
    <t>DNB Liv</t>
  </si>
  <si>
    <t>Eika Forsikring</t>
  </si>
  <si>
    <t>Frende Livsfors</t>
  </si>
  <si>
    <t>Frende Skade</t>
  </si>
  <si>
    <t>Gjensidige Fors</t>
  </si>
  <si>
    <t>Gjensidige Pensj</t>
  </si>
  <si>
    <t>Handelsb Liv</t>
  </si>
  <si>
    <t>If Skadefors</t>
  </si>
  <si>
    <t>KLP</t>
  </si>
  <si>
    <t>KLP Bedriftsp</t>
  </si>
  <si>
    <t>KLP Skadef</t>
  </si>
  <si>
    <t>Landbruksfors.</t>
  </si>
  <si>
    <t>NEMI</t>
  </si>
  <si>
    <t>Nordea Liv</t>
  </si>
  <si>
    <t>OPF</t>
  </si>
  <si>
    <t>SpareBank 1</t>
  </si>
  <si>
    <t xml:space="preserve">Storebrand </t>
  </si>
  <si>
    <t>Telenor Fors</t>
  </si>
  <si>
    <t>Tryg Fors</t>
  </si>
  <si>
    <t>SHB Liv</t>
  </si>
  <si>
    <t>Silver</t>
  </si>
  <si>
    <t>Storebrand</t>
  </si>
  <si>
    <t xml:space="preserve">Nytegnet premie livprodukter </t>
  </si>
  <si>
    <t>Forsikringsforpliktelser i livsforsikring</t>
  </si>
  <si>
    <t xml:space="preserve">Netto tilflytting </t>
  </si>
  <si>
    <t>Netto tilflytting</t>
  </si>
  <si>
    <t>Markedsdel, endelig år</t>
  </si>
  <si>
    <t>Tabell 1.1 Hovedtall</t>
  </si>
  <si>
    <t>Produkter med og uten investeringsvalg</t>
  </si>
  <si>
    <r>
      <t>Brutto forfalt premie</t>
    </r>
    <r>
      <rPr>
        <sz val="14"/>
        <rFont val="Times New Roman"/>
        <family val="1"/>
      </rPr>
      <t xml:space="preserve"> </t>
    </r>
    <r>
      <rPr>
        <vertAlign val="superscript"/>
        <sz val="14"/>
        <rFont val="Times New Roman"/>
        <family val="1"/>
      </rPr>
      <t>1)</t>
    </r>
  </si>
  <si>
    <r>
      <t>Nytegnet premie</t>
    </r>
    <r>
      <rPr>
        <sz val="14"/>
        <rFont val="Times New Roman"/>
        <family val="1"/>
      </rPr>
      <t xml:space="preserve"> </t>
    </r>
    <r>
      <rPr>
        <vertAlign val="superscript"/>
        <sz val="14"/>
        <rFont val="Times New Roman"/>
        <family val="1"/>
      </rPr>
      <t>8)</t>
    </r>
  </si>
  <si>
    <r>
      <t>Forsikringsforpliktelser</t>
    </r>
    <r>
      <rPr>
        <sz val="14"/>
        <rFont val="Times New Roman"/>
        <family val="1"/>
      </rPr>
      <t xml:space="preserve"> </t>
    </r>
    <r>
      <rPr>
        <vertAlign val="superscript"/>
        <sz val="14"/>
        <rFont val="Times New Roman"/>
        <family val="1"/>
      </rPr>
      <t>9)</t>
    </r>
  </si>
  <si>
    <t>%-</t>
  </si>
  <si>
    <t>Beløp i 1000  kroner</t>
  </si>
  <si>
    <t>endring</t>
  </si>
  <si>
    <t>ACE European Group</t>
  </si>
  <si>
    <t>Danica Pensjonsforsikring</t>
  </si>
  <si>
    <t>DNB Livsforsikring</t>
  </si>
  <si>
    <t>Eika Forsikring AS</t>
  </si>
  <si>
    <t>Frende Livsforsikring</t>
  </si>
  <si>
    <t>Frende Skadeforsikring</t>
  </si>
  <si>
    <t>Gjensidige Forsikring</t>
  </si>
  <si>
    <t>Gjensidige Pensjon</t>
  </si>
  <si>
    <t>Handelsbanken Liv</t>
  </si>
  <si>
    <t>If Skadeforsikring NUF</t>
  </si>
  <si>
    <t>KLP Bedriftspensjon AS</t>
  </si>
  <si>
    <t>KLP Skadeforsikring AS</t>
  </si>
  <si>
    <t>Landbruksforsikring AS</t>
  </si>
  <si>
    <t>NEMI Forsikring</t>
  </si>
  <si>
    <t xml:space="preserve">Nordea Liv </t>
  </si>
  <si>
    <t>Oslo Pensjonsforsikring</t>
  </si>
  <si>
    <t>Silver Pensjonsforsikring AS</t>
  </si>
  <si>
    <t>Storebrand Livsforsikring</t>
  </si>
  <si>
    <t>Telenor Forsikring</t>
  </si>
  <si>
    <t>Tryg Forsikring</t>
  </si>
  <si>
    <t>Totalt uten investeringsvalg</t>
  </si>
  <si>
    <t>Totalt med investeringsvalg</t>
  </si>
  <si>
    <t>Alle produkter</t>
  </si>
  <si>
    <t>Noter : Se "Noter og kommentarer"</t>
  </si>
  <si>
    <t>Tabell 1.2 Hovedtall</t>
  </si>
  <si>
    <t>Fordelt på bransjer</t>
  </si>
  <si>
    <t>Totalt alle produkter</t>
  </si>
  <si>
    <t>%</t>
  </si>
  <si>
    <t>Beløp i 1000 kr.</t>
  </si>
  <si>
    <r>
      <t xml:space="preserve">Brutto forfalt premie </t>
    </r>
    <r>
      <rPr>
        <vertAlign val="superscript"/>
        <sz val="14"/>
        <rFont val="Times New Roman"/>
        <family val="1"/>
      </rPr>
      <t>1)</t>
    </r>
  </si>
  <si>
    <t xml:space="preserve">   Individuell kapitalforsikring</t>
  </si>
  <si>
    <t xml:space="preserve">   Individuell pensjonsforsikring</t>
  </si>
  <si>
    <t xml:space="preserve">   Gruppeliv</t>
  </si>
  <si>
    <t xml:space="preserve">   Privat kollektiv pensjon</t>
  </si>
  <si>
    <t xml:space="preserve">     - herav innskuddsbasert *</t>
  </si>
  <si>
    <t xml:space="preserve">     - herav etter tjenestepensjonsloven</t>
  </si>
  <si>
    <r>
      <t xml:space="preserve">   Kommunal kollektiv pensjon </t>
    </r>
    <r>
      <rPr>
        <vertAlign val="superscript"/>
        <sz val="14"/>
        <rFont val="Times New Roman"/>
        <family val="1"/>
      </rPr>
      <t>27)</t>
    </r>
  </si>
  <si>
    <t xml:space="preserve">   Foreningskollektiv</t>
  </si>
  <si>
    <t>Totalt brutto forfalt premie</t>
  </si>
  <si>
    <r>
      <t>Nytegnet premie</t>
    </r>
    <r>
      <rPr>
        <b/>
        <vertAlign val="superscript"/>
        <sz val="14"/>
        <rFont val="Times New Roman"/>
        <family val="1"/>
      </rPr>
      <t xml:space="preserve"> </t>
    </r>
    <r>
      <rPr>
        <vertAlign val="superscript"/>
        <sz val="14"/>
        <rFont val="Times New Roman"/>
        <family val="1"/>
      </rPr>
      <t>8)</t>
    </r>
  </si>
  <si>
    <t>Totalt nytegnet premie</t>
  </si>
  <si>
    <r>
      <t xml:space="preserve">Forsikringsforpliktelser </t>
    </r>
    <r>
      <rPr>
        <vertAlign val="superscript"/>
        <sz val="14"/>
        <rFont val="Times New Roman"/>
        <family val="1"/>
      </rPr>
      <t>9)</t>
    </r>
  </si>
  <si>
    <r>
      <t xml:space="preserve">     - herav innskuddsbasert </t>
    </r>
    <r>
      <rPr>
        <vertAlign val="superscript"/>
        <sz val="14"/>
        <rFont val="Times New Roman"/>
        <family val="1"/>
      </rPr>
      <t>*</t>
    </r>
  </si>
  <si>
    <t>Totalt forsikringsforpliktelser</t>
  </si>
  <si>
    <r>
      <t xml:space="preserve">Overførte reserver fra andre </t>
    </r>
    <r>
      <rPr>
        <vertAlign val="superscript"/>
        <sz val="14"/>
        <rFont val="Times New Roman"/>
        <family val="1"/>
      </rPr>
      <t>10)</t>
    </r>
  </si>
  <si>
    <t>Totalt overførte reserver fra andre</t>
  </si>
  <si>
    <r>
      <t xml:space="preserve">Flytting fra andre </t>
    </r>
    <r>
      <rPr>
        <vertAlign val="superscript"/>
        <sz val="14"/>
        <rFont val="Times New Roman"/>
        <family val="1"/>
      </rPr>
      <t>11)</t>
    </r>
  </si>
  <si>
    <r>
      <t xml:space="preserve">Overførte reserver til andre </t>
    </r>
    <r>
      <rPr>
        <vertAlign val="superscript"/>
        <sz val="14"/>
        <rFont val="Times New Roman"/>
        <family val="1"/>
      </rPr>
      <t>12)</t>
    </r>
  </si>
  <si>
    <t>Totalt overførte reserver til andre</t>
  </si>
  <si>
    <r>
      <t>Flytting til andre</t>
    </r>
    <r>
      <rPr>
        <vertAlign val="superscript"/>
        <sz val="14"/>
        <rFont val="Times New Roman"/>
        <family val="1"/>
      </rPr>
      <t>11)</t>
    </r>
  </si>
  <si>
    <r>
      <t xml:space="preserve">Netto overførte reserver fra andre </t>
    </r>
    <r>
      <rPr>
        <b/>
        <vertAlign val="superscript"/>
        <sz val="14"/>
        <rFont val="Times New Roman"/>
        <family val="1"/>
      </rPr>
      <t>10)12)</t>
    </r>
  </si>
  <si>
    <t>Totalt netto overførte reserver fra andre</t>
  </si>
  <si>
    <r>
      <t xml:space="preserve">Netto flytting fra andre </t>
    </r>
    <r>
      <rPr>
        <vertAlign val="superscript"/>
        <sz val="14"/>
        <rFont val="Times New Roman"/>
        <family val="1"/>
      </rPr>
      <t>11)</t>
    </r>
  </si>
  <si>
    <t xml:space="preserve">* "Innskuddsbasert" er summen av "Engangsbetalt" og "Innskuddspensjon". </t>
  </si>
  <si>
    <t>** Bokført verdi, se tabell 6 i statistikken.</t>
  </si>
  <si>
    <t>SpareBank 1 Forsikring AS</t>
  </si>
  <si>
    <t>Selskap</t>
  </si>
  <si>
    <t xml:space="preserve"> SHB Liv </t>
  </si>
  <si>
    <t xml:space="preserve"> Danica Pensjonsforsikring </t>
  </si>
  <si>
    <t xml:space="preserve"> Gjensidige Forsikring</t>
  </si>
  <si>
    <t xml:space="preserve"> Handelsbanken Liv </t>
  </si>
  <si>
    <t xml:space="preserve"> If Skadeforsikring nuf </t>
  </si>
  <si>
    <t xml:space="preserve"> KLP </t>
  </si>
  <si>
    <t xml:space="preserve"> KLP Bedriftspensjon AS </t>
  </si>
  <si>
    <t xml:space="preserve"> Landbruksforsikring AS </t>
  </si>
  <si>
    <t>Nordea Liv AS</t>
  </si>
  <si>
    <t xml:space="preserve"> Oslo Pensjonsforsikring </t>
  </si>
  <si>
    <t>Flytting fra andre</t>
  </si>
  <si>
    <t>Flytting til andre</t>
  </si>
  <si>
    <t>Q8</t>
  </si>
  <si>
    <t>Q9</t>
  </si>
  <si>
    <t>Q10</t>
  </si>
  <si>
    <t>Q14</t>
  </si>
  <si>
    <t>Q15</t>
  </si>
  <si>
    <t>Q16</t>
  </si>
  <si>
    <t>Q7</t>
  </si>
  <si>
    <t>R7</t>
  </si>
  <si>
    <t>R8</t>
  </si>
  <si>
    <t>R9</t>
  </si>
  <si>
    <t>R10</t>
  </si>
  <si>
    <t>R14</t>
  </si>
  <si>
    <t>R15</t>
  </si>
  <si>
    <t>R16</t>
  </si>
  <si>
    <t>Q11</t>
  </si>
  <si>
    <t>Q17</t>
  </si>
  <si>
    <t>Q18</t>
  </si>
  <si>
    <t>R17</t>
  </si>
  <si>
    <t>R18</t>
  </si>
  <si>
    <t>R11</t>
  </si>
  <si>
    <t>Tabell 1.3 Hovedtall</t>
  </si>
  <si>
    <t>Aktivaposter (aggregert)</t>
  </si>
  <si>
    <t>i mill. kr</t>
  </si>
  <si>
    <t>prosentvis andel</t>
  </si>
  <si>
    <t>Selskapsporteføljen</t>
  </si>
  <si>
    <t xml:space="preserve">   Aksjer</t>
  </si>
  <si>
    <t xml:space="preserve">   Obligasjoner</t>
  </si>
  <si>
    <t xml:space="preserve">   Eiendom</t>
  </si>
  <si>
    <t xml:space="preserve">   Datterforetak m.m.</t>
  </si>
  <si>
    <t xml:space="preserve">   Utlån</t>
  </si>
  <si>
    <t xml:space="preserve">   Annet</t>
  </si>
  <si>
    <t>Kollektivporteføljen</t>
  </si>
  <si>
    <t>Investeringsvalgporteføljen</t>
  </si>
  <si>
    <t>Tallene er hentet fra tabell 6 Balanse.</t>
  </si>
  <si>
    <t>Regnskapsdel, endelig år</t>
  </si>
  <si>
    <t>Tabell 6</t>
  </si>
  <si>
    <t>Balanse</t>
  </si>
  <si>
    <t>Danica</t>
  </si>
  <si>
    <t>DNB</t>
  </si>
  <si>
    <t>Frende</t>
  </si>
  <si>
    <t>Gjensidige</t>
  </si>
  <si>
    <t xml:space="preserve"> </t>
  </si>
  <si>
    <t>Oslo</t>
  </si>
  <si>
    <t>Pensjonsforsikring</t>
  </si>
  <si>
    <t>Livsforsikring</t>
  </si>
  <si>
    <t>Pensjon</t>
  </si>
  <si>
    <t>Bedriftspensjon AS</t>
  </si>
  <si>
    <t>Pensjonsforsikring AS</t>
  </si>
  <si>
    <r>
      <t>norske livselskaper</t>
    </r>
    <r>
      <rPr>
        <b/>
        <vertAlign val="superscript"/>
        <sz val="14"/>
        <rFont val="Times New Roman"/>
        <family val="1"/>
      </rPr>
      <t xml:space="preserve"> </t>
    </r>
  </si>
  <si>
    <r>
      <t>alle livselskaper</t>
    </r>
    <r>
      <rPr>
        <b/>
        <vertAlign val="superscript"/>
        <sz val="14"/>
        <rFont val="Times New Roman"/>
        <family val="1"/>
      </rPr>
      <t xml:space="preserve"> </t>
    </r>
  </si>
  <si>
    <t>Beløp i millioner kroner</t>
  </si>
  <si>
    <t>EIENDELER</t>
  </si>
  <si>
    <t>EIENDELER I SELSKAPSPORTEFØLJEN</t>
  </si>
  <si>
    <t>2. Investeringer i selskapsporteføljen</t>
  </si>
  <si>
    <t xml:space="preserve">    2.1 Bygninger og andre faste eiendommer</t>
  </si>
  <si>
    <t xml:space="preserve">    2.2 Datterforetak, tilknyttede foretak og felleskontrollerte foretak</t>
  </si>
  <si>
    <t xml:space="preserve">    2.3 Finansielle eiendeler som måles til amortisert kost</t>
  </si>
  <si>
    <t xml:space="preserve">         2.3.1 Investeringer som holdes til forfall</t>
  </si>
  <si>
    <t xml:space="preserve">            - Obligasjoner</t>
  </si>
  <si>
    <t xml:space="preserve">         2.3.2 Utlån og fordringer</t>
  </si>
  <si>
    <t xml:space="preserve">    2.4 Finansielle eiendeler som måles til virkelig verdi</t>
  </si>
  <si>
    <t xml:space="preserve">         2.4.1 Aksjer og andeler (inkl. aksjer og andeler målt til kost)</t>
  </si>
  <si>
    <t xml:space="preserve">         2.4.2 Obligasjoner og andre verdipapirer med fast avkastning</t>
  </si>
  <si>
    <t xml:space="preserve">         2.4.3 Utlån og fordringer</t>
  </si>
  <si>
    <t xml:space="preserve">         2.4.4 Finansielle derivater</t>
  </si>
  <si>
    <t xml:space="preserve">         2.4.5 Andre finansielle eiendeler</t>
  </si>
  <si>
    <t xml:space="preserve">    2.5 Gjenforsikringsdepoter</t>
  </si>
  <si>
    <t xml:space="preserve">    Sum investeringer i selskapsporteføljen</t>
  </si>
  <si>
    <t>Annet - postene 1, 3, 4 og 5</t>
  </si>
  <si>
    <t>Sum eiendeler i selskapsporteføljen</t>
  </si>
  <si>
    <t>EIENDELER I KUNDEPORTEFØLJENE</t>
  </si>
  <si>
    <t>6. Investeringer i kollektivporteføljen</t>
  </si>
  <si>
    <t xml:space="preserve">    6.1 Bygninger og andre faste eiendommer</t>
  </si>
  <si>
    <t xml:space="preserve">    6.2 Datterforetak, tilknyttede foretak og felleskontrollerte foretak</t>
  </si>
  <si>
    <t xml:space="preserve">    6.3 Finansielle eiendeler som måles til amortisert kost</t>
  </si>
  <si>
    <t xml:space="preserve">         6.3.1 Investeringer som holdes til forfall</t>
  </si>
  <si>
    <t xml:space="preserve">         6.3.2 Utlån og fordringer</t>
  </si>
  <si>
    <t xml:space="preserve">    6.4 Finansielle eiendeler som måles til virkelig verdi</t>
  </si>
  <si>
    <t xml:space="preserve">         6.4.1 Aksjer og andeler (inkl. aksjer og andeler målt til kost)</t>
  </si>
  <si>
    <t xml:space="preserve">         6.4.2 Obligasjoner og andre verdipapirer med fast avkastning</t>
  </si>
  <si>
    <t xml:space="preserve">         6.4.3 Utlån og fordringer</t>
  </si>
  <si>
    <t xml:space="preserve">         6.4.4 Finansielle derivater</t>
  </si>
  <si>
    <t xml:space="preserve">         6.4.5 Andre finansielle eiendeler</t>
  </si>
  <si>
    <t xml:space="preserve">    Sum investeringer i kollektivporteføljen</t>
  </si>
  <si>
    <t>8. Investeringer i investeringsvalgporteføljen</t>
  </si>
  <si>
    <t xml:space="preserve">    8.1 Bygninger og andre faste eiendommer</t>
  </si>
  <si>
    <t xml:space="preserve">    8.2 Datterforetak, tilknyttede foretak og felleskontrollerte foretak</t>
  </si>
  <si>
    <t xml:space="preserve">    8.3 Finansielle eiendeler som måles til amortisert kost</t>
  </si>
  <si>
    <t xml:space="preserve">         8.3.1 Investeringer som holdes til forfall</t>
  </si>
  <si>
    <t xml:space="preserve">         8.3.2 Utlån og fordringer</t>
  </si>
  <si>
    <t xml:space="preserve">    8.4 Finansielle eiendeler som måles til virkelig verdi</t>
  </si>
  <si>
    <t xml:space="preserve">         8.4.1 Aksjer og andeler (inkl. aksjer og andeler målt til kost)</t>
  </si>
  <si>
    <t xml:space="preserve">         8.4.2 Obligasjoner og andre verdipapirer med fast avkastning</t>
  </si>
  <si>
    <t xml:space="preserve">         8.4.3 Utlån og fordringer</t>
  </si>
  <si>
    <t xml:space="preserve">         8.4.4 Finansielle derivater</t>
  </si>
  <si>
    <t xml:space="preserve">         8.4.5 Andre finansielle eiendeler</t>
  </si>
  <si>
    <t xml:space="preserve">    Sum investeringer i investeringsvalgsporteføljen</t>
  </si>
  <si>
    <t>Sum eiendeler i kundeporteføljene</t>
  </si>
  <si>
    <t>SUM EIENDELER</t>
  </si>
  <si>
    <t>EGENKAPITAL OG FORPLIKTELSER</t>
  </si>
  <si>
    <t>10. Innskutt egenkapital</t>
  </si>
  <si>
    <t>11. Opptjent egenkapital</t>
  </si>
  <si>
    <t>12. Ansvarlig lånekapital mv.</t>
  </si>
  <si>
    <t>13. Forsikringsforpliktelser i livsforsikring - KF</t>
  </si>
  <si>
    <t xml:space="preserve">    13.2 Tilleggsavsetninger</t>
  </si>
  <si>
    <t xml:space="preserve">    13.3 Kursreguleringsfond</t>
  </si>
  <si>
    <t xml:space="preserve">    Ufordelte overskuddsmidler til forsikringskontraktene</t>
  </si>
  <si>
    <t>Sum forsikringsforpliktelser i livsforsikring - KF</t>
  </si>
  <si>
    <t>14. Forsikringsforpliktelser i livsforsikring - SI</t>
  </si>
  <si>
    <t>Sum forsikringsforpliktelser i livsforsikring - SI</t>
  </si>
  <si>
    <t>15. Avsetninger for forpliktelser</t>
  </si>
  <si>
    <t>17. Forpliktelser</t>
  </si>
  <si>
    <t>18. Påløpte kostnader og mottatte ikke opptjente inntekter</t>
  </si>
  <si>
    <t>SUM EGENKAPTAL OG FORPLIKTELSER</t>
  </si>
  <si>
    <t>Noter: Se "Noter og kommentarer"</t>
  </si>
  <si>
    <t>KF=Kontraktsfastsatte forpliktelser</t>
  </si>
  <si>
    <t>SI=Særskilt investeringsportefølje</t>
  </si>
  <si>
    <t>REGNSKAPSDEL</t>
  </si>
  <si>
    <t>Tabell 4</t>
  </si>
  <si>
    <t>Resultatregnskap - alle produkter</t>
  </si>
  <si>
    <t>Tabell 5.1</t>
  </si>
  <si>
    <t>Resultatanalyse - Individuell kapital og individuell pensjon - alle produkter</t>
  </si>
  <si>
    <t>Tabell 5.2</t>
  </si>
  <si>
    <t>Resultatanalyse - Kollektiv pensjon - alle produkter</t>
  </si>
  <si>
    <t>Tabell 5.3</t>
  </si>
  <si>
    <t>Resultatanalyse - Gruppeliv, ulykke o.a. og total - alle produkter</t>
  </si>
  <si>
    <t>Balanse - alle produkter</t>
  </si>
  <si>
    <t>Tabell 7a</t>
  </si>
  <si>
    <t>Tabell 7b</t>
  </si>
  <si>
    <t>Tabell 8</t>
  </si>
  <si>
    <t>Diverse nøkkeltall - produkter uten investeringsvalg</t>
  </si>
  <si>
    <t>Totalt - alle produkter</t>
  </si>
  <si>
    <t>Tabell 2: Individuell  pensjonsforsikring, herunder foreningskollektiv</t>
  </si>
  <si>
    <t>Tabell 3: Gruppelivsforsikring</t>
  </si>
  <si>
    <t>Tabell 4: Privat kollektiv pensjonsforsikring, herunder fripoliser, pensjonskapitalbevis og pensjonsbevis</t>
  </si>
  <si>
    <t>* Brutto risiokopremie for invidiuell uførepensjon fremkommer i tabell 2.</t>
  </si>
  <si>
    <r>
      <t xml:space="preserve">Brutto risikopremie for individuell uførepensjon </t>
    </r>
    <r>
      <rPr>
        <vertAlign val="superscript"/>
        <sz val="10"/>
        <rFont val="Times New Roman"/>
        <family val="1"/>
      </rPr>
      <t>3</t>
    </r>
  </si>
  <si>
    <t>Brutto forfalt premie tilsvarer post 1.1 i resultatregnskapet, jf. forskrift til årsregnskap for livsforsikringsselskaper.</t>
  </si>
  <si>
    <t>Brutto risikopremie rapporteres for produkter både med og uten sparing. Risikopremie for tilknyttede dekninger, som kritisk sykdom, ulykke m.m. skal ikke tas med. For Brutto risikopremie for individuell uførepensjon, se note 3.</t>
  </si>
  <si>
    <t xml:space="preserve">Risikopremie for individuell uførepensjon blir i noen selskap regnskapsført under Individuell kapital, mens den for de fleste regnskapsføres under Individuell pensjon. Brutto risikopremie for uførepensjon er derfor ikke en heravpost for verken Individuell kapital eller Individuell pensjon, men gjelder som en heravpost samlet for disse. </t>
  </si>
  <si>
    <t xml:space="preserve">Nytegnet premie oppgis brutto, inkl. omkostninger. Tall som rapporteres må være faktisk regnskapsførte (på tilsvarende måte som brutto forfalt premie). Nytegnet premie er registrert totalpremie på årsbasis (eventuelt registrert engangsinnbetaling og/eller avtalt årlig innbetaling for konto-, fonds- eller kapitaliseringsprodukter) og gjelder: 
- helt nye forsikringskontrakter i selskapet (ikke tilflytting)
- endringer i registrert totalpremie på årsbasis for eksisterende kontrakter, når endringen skyldes kontraktsmessige forndringer som innebærer reell nytegning, eller at nye grupper forsikrede kommer med
- at nye medlemmer meldes inn i gruppelivsordninger og kollektive pensjonsordninger med frivillig tilslutning. 
Det gjøres fradrag i nytegnet premie tilsvarende registrert nytegnet premie i tidligere statistikk for kontrakter der første premie likevel ikke ble betalt, og det ikke tidligere er foretatt slikt fradrag. </t>
  </si>
  <si>
    <t xml:space="preserve">Forsikringsforpliktelser i livsforsikring tilsvarer post 13 i balansen, ekskl. post 13.3 Kursreguleringsfond for produkter uten investeringsvalg og post 14 i balansen for produkter med investeringsvalg. Gjenforsikringsandel skal ikke tas hensyn til i markedsdelen. </t>
  </si>
  <si>
    <t>Herav fripoliser med investeringsvalg betraktes som innskuddsbasert.</t>
  </si>
  <si>
    <t>Innskuddspensjon er innskuddsbasert pensjon uten dødelighetsarv.</t>
  </si>
  <si>
    <t>Herav fripoliser, herav pensjonskapitalbevis og herav pensjonsbevis omfatter også fortsettelsesforsikringer. Herav-postene er uttrekk fra hovedpostene i tabellen Privat kollektiv pensjonsforsikring, uansett om det er Innenfor LOF/LOI eller Utenfor LOF/LOI - Livrenter.</t>
  </si>
  <si>
    <t>Gjelder ikke ordninger etter lov om tjenestepensjon</t>
  </si>
  <si>
    <r>
      <t xml:space="preserve">    Livrenter </t>
    </r>
    <r>
      <rPr>
        <vertAlign val="superscript"/>
        <sz val="10"/>
        <rFont val="Times New Roman"/>
        <family val="1"/>
      </rPr>
      <t>11</t>
    </r>
  </si>
  <si>
    <r>
      <t xml:space="preserve">    IPA </t>
    </r>
    <r>
      <rPr>
        <vertAlign val="superscript"/>
        <sz val="10"/>
        <rFont val="Times New Roman"/>
        <family val="1"/>
      </rPr>
      <t>11</t>
    </r>
  </si>
  <si>
    <r>
      <t xml:space="preserve">    IPS </t>
    </r>
    <r>
      <rPr>
        <vertAlign val="superscript"/>
        <sz val="10"/>
        <rFont val="Times New Roman"/>
        <family val="1"/>
      </rPr>
      <t>11</t>
    </r>
  </si>
  <si>
    <r>
      <t xml:space="preserve">Brutto forfalt premie - Foreningskollektiv </t>
    </r>
    <r>
      <rPr>
        <b/>
        <vertAlign val="superscript"/>
        <sz val="10"/>
        <rFont val="Times New Roman"/>
        <family val="1"/>
      </rPr>
      <t>1</t>
    </r>
  </si>
  <si>
    <r>
      <t xml:space="preserve">Nytegnet premie - Foreningskollektiv </t>
    </r>
    <r>
      <rPr>
        <b/>
        <vertAlign val="superscript"/>
        <sz val="10"/>
        <rFont val="Times New Roman"/>
        <family val="1"/>
      </rPr>
      <t>4</t>
    </r>
  </si>
  <si>
    <r>
      <t xml:space="preserve">Forsikringsforpliktelser  - Foreningskollektiv </t>
    </r>
    <r>
      <rPr>
        <b/>
        <vertAlign val="superscript"/>
        <sz val="10"/>
        <rFont val="Times New Roman"/>
        <family val="1"/>
      </rPr>
      <t>5</t>
    </r>
  </si>
  <si>
    <r>
      <t xml:space="preserve">Overførte reserver fra andre - Foreningskollektiv </t>
    </r>
    <r>
      <rPr>
        <b/>
        <vertAlign val="superscript"/>
        <sz val="10"/>
        <rFont val="Times New Roman"/>
        <family val="1"/>
      </rPr>
      <t>6</t>
    </r>
  </si>
  <si>
    <r>
      <t xml:space="preserve">Overførte reserver til andre - Foreningskollektiv </t>
    </r>
    <r>
      <rPr>
        <b/>
        <vertAlign val="superscript"/>
        <sz val="10"/>
        <rFont val="Times New Roman"/>
        <family val="1"/>
      </rPr>
      <t>7</t>
    </r>
  </si>
  <si>
    <r>
      <t xml:space="preserve">    Bedrift </t>
    </r>
    <r>
      <rPr>
        <vertAlign val="superscript"/>
        <sz val="10"/>
        <rFont val="Times New Roman"/>
        <family val="1"/>
      </rPr>
      <t>8</t>
    </r>
  </si>
  <si>
    <r>
      <t xml:space="preserve">    Privat </t>
    </r>
    <r>
      <rPr>
        <vertAlign val="superscript"/>
        <sz val="10"/>
        <rFont val="Times New Roman"/>
        <family val="1"/>
      </rPr>
      <t>9</t>
    </r>
  </si>
  <si>
    <r>
      <t xml:space="preserve">Flytting fra andre </t>
    </r>
    <r>
      <rPr>
        <b/>
        <vertAlign val="superscript"/>
        <sz val="10"/>
        <rFont val="Times New Roman"/>
        <family val="1"/>
      </rPr>
      <t>10</t>
    </r>
  </si>
  <si>
    <r>
      <t xml:space="preserve">Flytting til andre </t>
    </r>
    <r>
      <rPr>
        <b/>
        <vertAlign val="superscript"/>
        <sz val="10"/>
        <rFont val="Times New Roman"/>
        <family val="1"/>
      </rPr>
      <t>10</t>
    </r>
  </si>
  <si>
    <r>
      <t xml:space="preserve">      Engangsbetalt </t>
    </r>
    <r>
      <rPr>
        <vertAlign val="superscript"/>
        <sz val="10"/>
        <rFont val="Times New Roman"/>
        <family val="1"/>
      </rPr>
      <t>12</t>
    </r>
  </si>
  <si>
    <r>
      <t xml:space="preserve">      Innskuddspensjon </t>
    </r>
    <r>
      <rPr>
        <vertAlign val="superscript"/>
        <sz val="10"/>
        <rFont val="Times New Roman"/>
        <family val="1"/>
      </rPr>
      <t>13</t>
    </r>
  </si>
  <si>
    <r>
      <t xml:space="preserve">  Innenfor LOF/LOI </t>
    </r>
    <r>
      <rPr>
        <vertAlign val="superscript"/>
        <sz val="10"/>
        <rFont val="Times New Roman"/>
        <family val="1"/>
      </rPr>
      <t>14</t>
    </r>
  </si>
  <si>
    <r>
      <t xml:space="preserve">  Herav fripoliser </t>
    </r>
    <r>
      <rPr>
        <vertAlign val="superscript"/>
        <sz val="10"/>
        <rFont val="Times New Roman"/>
        <family val="1"/>
      </rPr>
      <t>15</t>
    </r>
  </si>
  <si>
    <r>
      <t xml:space="preserve">  Herav pensjonskapitalbevis </t>
    </r>
    <r>
      <rPr>
        <vertAlign val="superscript"/>
        <sz val="10"/>
        <rFont val="Times New Roman"/>
        <family val="1"/>
      </rPr>
      <t>15</t>
    </r>
  </si>
  <si>
    <r>
      <t xml:space="preserve">  Herav pensjonsbevis</t>
    </r>
    <r>
      <rPr>
        <vertAlign val="superscript"/>
        <sz val="10"/>
        <rFont val="Times New Roman"/>
        <family val="1"/>
      </rPr>
      <t>15</t>
    </r>
  </si>
  <si>
    <r>
      <t xml:space="preserve">   Herav pensjonskapitalbevis </t>
    </r>
    <r>
      <rPr>
        <vertAlign val="superscript"/>
        <sz val="10"/>
        <rFont val="Times New Roman"/>
        <family val="1"/>
      </rPr>
      <t>15</t>
    </r>
  </si>
  <si>
    <r>
      <t xml:space="preserve">Brutto forfalt premie </t>
    </r>
    <r>
      <rPr>
        <b/>
        <vertAlign val="superscript"/>
        <sz val="10"/>
        <rFont val="Times New Roman"/>
        <family val="1"/>
      </rPr>
      <t>1, 16</t>
    </r>
  </si>
  <si>
    <r>
      <t xml:space="preserve">Nytegnet premie </t>
    </r>
    <r>
      <rPr>
        <b/>
        <vertAlign val="superscript"/>
        <sz val="10"/>
        <rFont val="Times New Roman"/>
        <family val="1"/>
      </rPr>
      <t>4, 16</t>
    </r>
  </si>
  <si>
    <r>
      <t xml:space="preserve">Forsikringsforpliktelser </t>
    </r>
    <r>
      <rPr>
        <b/>
        <vertAlign val="superscript"/>
        <sz val="10"/>
        <rFont val="Times New Roman"/>
        <family val="1"/>
      </rPr>
      <t>5, 16</t>
    </r>
  </si>
  <si>
    <r>
      <t xml:space="preserve">Overførte reserver fra andre </t>
    </r>
    <r>
      <rPr>
        <b/>
        <vertAlign val="superscript"/>
        <sz val="10"/>
        <rFont val="Times New Roman"/>
        <family val="1"/>
      </rPr>
      <t>6, 16</t>
    </r>
  </si>
  <si>
    <r>
      <t>Overførte reserver til andre</t>
    </r>
    <r>
      <rPr>
        <b/>
        <vertAlign val="superscript"/>
        <sz val="10"/>
        <rFont val="Times New Roman"/>
        <family val="1"/>
      </rPr>
      <t xml:space="preserve"> 7, 16</t>
    </r>
  </si>
  <si>
    <r>
      <t xml:space="preserve">  Utenfor LOF/LOI - Livrenter </t>
    </r>
    <r>
      <rPr>
        <vertAlign val="superscript"/>
        <sz val="10"/>
        <rFont val="Times New Roman"/>
        <family val="1"/>
      </rPr>
      <t>14,18</t>
    </r>
  </si>
  <si>
    <r>
      <t xml:space="preserve">  Herav fripoliser </t>
    </r>
    <r>
      <rPr>
        <vertAlign val="superscript"/>
        <sz val="10"/>
        <rFont val="Times New Roman"/>
        <family val="1"/>
      </rPr>
      <t>15,17</t>
    </r>
  </si>
  <si>
    <r>
      <t xml:space="preserve">   Herav fripoliser </t>
    </r>
    <r>
      <rPr>
        <vertAlign val="superscript"/>
        <sz val="10"/>
        <rFont val="Times New Roman"/>
        <family val="1"/>
      </rPr>
      <t>15,17</t>
    </r>
  </si>
  <si>
    <t>Regnskapsdel, endelig kvartal</t>
  </si>
  <si>
    <t>Resultatregnskap</t>
  </si>
  <si>
    <t xml:space="preserve">Totalt </t>
  </si>
  <si>
    <t>norske livselskaper</t>
  </si>
  <si>
    <t>alle livselskaper</t>
  </si>
  <si>
    <t xml:space="preserve">Beløp i millioner kroner </t>
  </si>
  <si>
    <t>TEKNISK REGNSKAP FOR LIVSFORSIKRING</t>
  </si>
  <si>
    <t xml:space="preserve">    1.1 Forfalt premier, brutto</t>
  </si>
  <si>
    <t xml:space="preserve">    1.2 - Avgitte gjenforsikringspremier</t>
  </si>
  <si>
    <t xml:space="preserve">    Sum premieinntekter f.e.r.</t>
  </si>
  <si>
    <t>2. Netto inntekter fra investeringer i kollektivporteføljen</t>
  </si>
  <si>
    <t>3. Netto inntekter fra investeringer i investeringsvalgporteføljen</t>
  </si>
  <si>
    <t>4. Andre forsikringsrelaterte inntekter</t>
  </si>
  <si>
    <t>5. Erstatninger</t>
  </si>
  <si>
    <t xml:space="preserve">    5.1 Utbetalte erstatninger</t>
  </si>
  <si>
    <t>6. Resultatførte endringer i forsikringsforpliktelser - KF</t>
  </si>
  <si>
    <t xml:space="preserve">    6.2 Endring i tilleggsavsetninger</t>
  </si>
  <si>
    <t xml:space="preserve">    6.3 Endring i kursreguleringsfond</t>
  </si>
  <si>
    <t>Sum resultatførte endringer i forsikringsforpliktelser - KF</t>
  </si>
  <si>
    <t>7. Resultatførte endringer i forsikringsforpliktelser - SI</t>
  </si>
  <si>
    <t>9. Forsikringsrelaterte driftskostnader</t>
  </si>
  <si>
    <t>10. Andre forsikringsrelaterte kostnader</t>
  </si>
  <si>
    <t>11.Resultat av teknisk regnskap</t>
  </si>
  <si>
    <t>IKKE-TEKNISK REGNSKAP FOR LIVSFORSIKRING</t>
  </si>
  <si>
    <t>12. Netto inntekter fra investeringer i selskapsporteføljen</t>
  </si>
  <si>
    <t>13. Andre inntekter</t>
  </si>
  <si>
    <t>14. Forvaltningskostnader og andre kostnader knyttet til selskapsporteføljen</t>
  </si>
  <si>
    <t>15. Resultat av ikke-teknisk regnskap</t>
  </si>
  <si>
    <t>16. Resultat før skattekostnad</t>
  </si>
  <si>
    <t>17. Skattekostnader</t>
  </si>
  <si>
    <t>18. Resultat før andre resultatkomponenter</t>
  </si>
  <si>
    <t>19. Andre resultatkomponenter</t>
  </si>
  <si>
    <t>20. TOTALRESULTAT</t>
  </si>
  <si>
    <t>Overføringer og disponeringer</t>
  </si>
  <si>
    <t xml:space="preserve">    Overføringer</t>
  </si>
  <si>
    <t xml:space="preserve">        Mottatt konsernbidrag</t>
  </si>
  <si>
    <t xml:space="preserve">        Overført fra annen egenkapital</t>
  </si>
  <si>
    <t xml:space="preserve">    Sum overføringer</t>
  </si>
  <si>
    <t xml:space="preserve">    Disponeringer</t>
  </si>
  <si>
    <t xml:space="preserve">        Utbytte</t>
  </si>
  <si>
    <t xml:space="preserve">        Avgitt konsernbidrag</t>
  </si>
  <si>
    <t xml:space="preserve">        Overført til annen egenkapital</t>
  </si>
  <si>
    <t xml:space="preserve">    Sum disponeringer</t>
  </si>
  <si>
    <t>Sum overføringer og disponeringer</t>
  </si>
  <si>
    <t>Diverse nøkkeltall</t>
  </si>
  <si>
    <t>7. Gjenforsikringsandel av forsikringsforpliktelser i kollektivporteføljen</t>
  </si>
  <si>
    <t>9. Gjenforsikringsandel av forsikringsforpliktelser i investeringsvalgporteføljen</t>
  </si>
  <si>
    <t xml:space="preserve">Med kommunal kollektiv pensjon menes kollektive pensjonsordninger som definert i lov om forsikringsvirksomhet § 4-1 og § 4-2.   </t>
  </si>
  <si>
    <t>Tabell 1.3</t>
  </si>
  <si>
    <t>Hovedtall - aktivaposter</t>
  </si>
  <si>
    <t>Skjema total MA</t>
  </si>
  <si>
    <t>Tall pr. selskap - alle produkter</t>
  </si>
  <si>
    <t>Selskapsnavn</t>
  </si>
  <si>
    <t>Kursreguleringsfond</t>
  </si>
  <si>
    <t>KLP Skade</t>
  </si>
  <si>
    <t>31.12.2015</t>
  </si>
  <si>
    <t>31.12.2016</t>
  </si>
  <si>
    <t/>
  </si>
  <si>
    <t>31.12.</t>
  </si>
  <si>
    <t>1. Premieinntekter</t>
  </si>
  <si>
    <t xml:space="preserve">    1.3 Overføring av premiereserve og pensjonskapital mv. fra andre fors.foretak/kasser</t>
  </si>
  <si>
    <t xml:space="preserve">    5.2 Overføring av premiereserver og pensjonskapital til andre fors.foretak/kasser</t>
  </si>
  <si>
    <t>Sum erstatninger</t>
  </si>
  <si>
    <t xml:space="preserve">    6.1 Endring i premiereserve mv.</t>
  </si>
  <si>
    <t xml:space="preserve">    6.4 Endring i premiefond, innskuddsfond og fond for regulering av pensjoner mv.</t>
  </si>
  <si>
    <t xml:space="preserve">    6.5 Endring i tekniske avsetninger for skadeforsikringsvirksomheten</t>
  </si>
  <si>
    <t xml:space="preserve">    6.6 Overføring av tilleggsavsetninger fra andre fors.foretak/pensj.kasser</t>
  </si>
  <si>
    <t>8. Midler tilordnet forsikringskontraktene - KF</t>
  </si>
  <si>
    <t xml:space="preserve">    11.1.3 Risikoutjevningsfond</t>
  </si>
  <si>
    <t xml:space="preserve">    13.1 Premiereserve mv.</t>
  </si>
  <si>
    <t xml:space="preserve">    13.4 Premiefond, innskuddsfond og fond for regulering av pensjoner mv.</t>
  </si>
  <si>
    <t xml:space="preserve">    13.5 Andre tekniske avsetninger for skadeforsikringsvirksomheten</t>
  </si>
  <si>
    <t xml:space="preserve">    14.1 Pensjonskapital mv.</t>
  </si>
  <si>
    <t xml:space="preserve">    14.2 Tilleggsavsetninger</t>
  </si>
  <si>
    <t xml:space="preserve">    14.3 Premiefond, innskuddsfond og fond for regulering av pensjoner mv.</t>
  </si>
  <si>
    <t>16. Premiedepot fra gjenforsikringsforetak</t>
  </si>
  <si>
    <t>Figur 1  Brutto forfalt premie livprodukter  -  produkter uten investeringsvalg pr. 31.12.</t>
  </si>
  <si>
    <t>Figur 2  Brutto forfalt premie livprodukter  -  produkter med investeringsvalg pr. 31.12.</t>
  </si>
  <si>
    <t>Figur 3  Nytegnet premie livprodukter  -  produkter uten investeringsvalg pr. 31.12.</t>
  </si>
  <si>
    <t>Figur 4  Nytegnet premie livprodukter  -  produkter med investeringsvalg pr. 31.12.</t>
  </si>
  <si>
    <t>Figur 5  Forsikringsforpliktelser i livsforsikring  -  produkter uten investeringsvalg pr. 31.12.</t>
  </si>
  <si>
    <t>Figur 6  Forsikringsforpliktelser i livsforsikring -  produkter med investeringsvalg pr. 31.12.</t>
  </si>
  <si>
    <t>Figur 7  Netto tilflytting livprodukter  -  produkter uten investeringsvalg pr. 31.12.</t>
  </si>
  <si>
    <t>Figur 8  Netto tilflytting livprodukter  -  produkter med investeringsvalg pr. 31.12.</t>
  </si>
  <si>
    <t xml:space="preserve">Resultatanalyse - Individuell kapital og </t>
  </si>
  <si>
    <t>individuell pensjon</t>
  </si>
  <si>
    <t>Individuell kapital - gml. overskuddsmodell</t>
  </si>
  <si>
    <t>Avkastningresultat før fra/til tilleggsreserver</t>
  </si>
  <si>
    <t>Fra/til tilleggsreserver</t>
  </si>
  <si>
    <t>Administrasjonsresultat</t>
  </si>
  <si>
    <t>Fortjenesteelement for risiko</t>
  </si>
  <si>
    <t>Vederlag for rentegaranti</t>
  </si>
  <si>
    <t>Risikoresultat</t>
  </si>
  <si>
    <t xml:space="preserve">   -Herav til risikoutjevningsfond</t>
  </si>
  <si>
    <t>Annet</t>
  </si>
  <si>
    <t>Resultat til fordeling</t>
  </si>
  <si>
    <t>Herav kundetildeling</t>
  </si>
  <si>
    <t>Herav til selskap</t>
  </si>
  <si>
    <t>Individuell kapital - ny overskuddsmodell</t>
  </si>
  <si>
    <t>Individuell kapital - u. rett til andel overskudd</t>
  </si>
  <si>
    <t>Individuell kapital - med investeringsvalg</t>
  </si>
  <si>
    <t>Individuell pensjon - gml. overskuddsmodell</t>
  </si>
  <si>
    <t>Individuell pensjon - ny overskuddsmodell</t>
  </si>
  <si>
    <t>Individuell pensjon - u. rett til andel overskudd</t>
  </si>
  <si>
    <t>Individuell pensjon - med investeringsvalg</t>
  </si>
  <si>
    <t xml:space="preserve">Resultatanalyse - Kollektiv pensjon, </t>
  </si>
  <si>
    <t>privat og kommunal</t>
  </si>
  <si>
    <t>Privat - ytelsesbasert uten investeringsvalg</t>
  </si>
  <si>
    <t>Privat - ytelsesbasert med investeringsvalg</t>
  </si>
  <si>
    <t>Privat - innskuddsbasert uten investeringsvalg</t>
  </si>
  <si>
    <t>Privat - innskuddsbasert med investeringsvalg</t>
  </si>
  <si>
    <t>Privat - etter tjenestepensjonsloven uten investeringsvalg</t>
  </si>
  <si>
    <t>Privat - etter tjenestepensjonsloven med investeringsvalg</t>
  </si>
  <si>
    <t>Fripoliser (modifisert overskuddsdeling)</t>
  </si>
  <si>
    <t>Privat - u. rett til andel overskudd</t>
  </si>
  <si>
    <t>Pensjonsbevis med garanti</t>
  </si>
  <si>
    <t>Kommunal - ytelsesbaserte uten investeringsvalg</t>
  </si>
  <si>
    <t>Kommunal - ytelsesbaserte med investeringsvalg</t>
  </si>
  <si>
    <t xml:space="preserve">Resultatanalyse - Gruppeliv, ulykke o.a. </t>
  </si>
  <si>
    <t>skadebransjer og total</t>
  </si>
  <si>
    <t>Gruppeliv</t>
  </si>
  <si>
    <t>Ulykkesforsikring og andre skadebransjer</t>
  </si>
  <si>
    <t>Total</t>
  </si>
  <si>
    <t>Tabell 7.a</t>
  </si>
  <si>
    <t>Spesifikasjon av post 13. Forsikringsforpliktelser - KF</t>
  </si>
  <si>
    <t>Produkter uten</t>
  </si>
  <si>
    <t>Totalt produkter</t>
  </si>
  <si>
    <t>investeringsvalg</t>
  </si>
  <si>
    <t>uten investeringsvalg</t>
  </si>
  <si>
    <t>13. Forsikringsmessige avsetninger</t>
  </si>
  <si>
    <t>13.1 Premiereserve brutto</t>
  </si>
  <si>
    <t xml:space="preserve">         Individuell kapital</t>
  </si>
  <si>
    <t xml:space="preserve">         - Herav med gammel overskuddsmodell</t>
  </si>
  <si>
    <t xml:space="preserve">         - Herav med modifisert/ny overskuddsmodell</t>
  </si>
  <si>
    <t xml:space="preserve">         Individuell pensjon</t>
  </si>
  <si>
    <t xml:space="preserve">         Gruppeliv</t>
  </si>
  <si>
    <r>
      <t xml:space="preserve">         Privat kollektiv pensjon </t>
    </r>
    <r>
      <rPr>
        <vertAlign val="superscript"/>
        <sz val="14"/>
        <rFont val="Times New Roman"/>
        <family val="1"/>
      </rPr>
      <t>24)</t>
    </r>
  </si>
  <si>
    <t xml:space="preserve">         - Herav fripoliser med modifisert/ny overskuddsmodell</t>
  </si>
  <si>
    <r>
      <t xml:space="preserve">         Kommunal kollektiv pensjon </t>
    </r>
    <r>
      <rPr>
        <vertAlign val="superscript"/>
        <sz val="14"/>
        <rFont val="Times New Roman"/>
        <family val="1"/>
      </rPr>
      <t>25)</t>
    </r>
    <r>
      <rPr>
        <sz val="14"/>
        <rFont val="Times New Roman"/>
        <family val="1"/>
      </rPr>
      <t xml:space="preserve">            </t>
    </r>
  </si>
  <si>
    <t xml:space="preserve">         Ulykke/andre</t>
  </si>
  <si>
    <t xml:space="preserve">        Premiereserve for egen regning</t>
  </si>
  <si>
    <t xml:space="preserve">13.2 Tilleggsavsetninger </t>
  </si>
  <si>
    <t>13.3 Kursreguleringsfond</t>
  </si>
  <si>
    <t>13.4 Erstatningsavsetning</t>
  </si>
  <si>
    <t xml:space="preserve">        Ulykke/andre</t>
  </si>
  <si>
    <t>13.5 Premie-, innskudds- og pensjonistenes overskuddsfond</t>
  </si>
  <si>
    <t>13.6 Andre tekniske avsetninger for skadeforsikringsvirksomheten</t>
  </si>
  <si>
    <t>Sum avsetning til forsikringsforpliktelser - KF</t>
  </si>
  <si>
    <t xml:space="preserve">         Annet (post 13.3 og 13.6)</t>
  </si>
  <si>
    <t>Tabell 7.b</t>
  </si>
  <si>
    <t>Spesifikasjon av post 14. Forsikringsforpliktelser -SI</t>
  </si>
  <si>
    <t>Produkter med</t>
  </si>
  <si>
    <t>med investeringsvalg</t>
  </si>
  <si>
    <t>alle produkter KF + SI</t>
  </si>
  <si>
    <t>14. Forsikringsmessige avsetninger</t>
  </si>
  <si>
    <t>14.1 Premiereserve brutto</t>
  </si>
  <si>
    <t>14.2 Supplerende avsetninger</t>
  </si>
  <si>
    <t>14.3 Tilleggsavsetninger</t>
  </si>
  <si>
    <t>14.4 Erstatningsavsetning</t>
  </si>
  <si>
    <t>14.5 Premie-, innskudds- og pensjonistenes overskuddsfond</t>
  </si>
  <si>
    <t>Sum avsetning til forsikringsforpliktelser - SI</t>
  </si>
  <si>
    <t xml:space="preserve">         Annet (post 14.3 og 14.6)</t>
  </si>
  <si>
    <r>
      <t xml:space="preserve">Mer/mindre-verdier </t>
    </r>
    <r>
      <rPr>
        <vertAlign val="superscript"/>
        <sz val="14"/>
        <rFont val="Times New Roman"/>
        <family val="1"/>
      </rPr>
      <t>20)</t>
    </r>
  </si>
  <si>
    <t>Avkastningstall</t>
  </si>
  <si>
    <t>Gjennomsnitt 2012 - 2016</t>
  </si>
  <si>
    <t>Gammel overskuddsmodell</t>
  </si>
  <si>
    <t>Modifisert/ny overskuddsmodell</t>
  </si>
  <si>
    <t xml:space="preserve">Kapitaldekning (%) </t>
  </si>
  <si>
    <t>Soliditetskapital (%)</t>
  </si>
  <si>
    <t>Kapitalavkastning I (%)</t>
  </si>
  <si>
    <t>Kapitalavkastning II  (%)</t>
  </si>
  <si>
    <t>Spesifikasjon av post 13 - forsikringsforpliktelser - produkter uten investeringsvalg</t>
  </si>
  <si>
    <t>Spesifikasjon post 14 forsikringsforpliktelser - produkter med investeringsvalg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</si>
</sst>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0.0"/>
    <numFmt numFmtId="165" formatCode="_ * #,##0_ ;_ * \-#,##0_ ;_ * &quot;-&quot;??_ ;_ @_ "/>
    <numFmt numFmtId="166" formatCode="dd/mm/yy;@"/>
    <numFmt numFmtId="167" formatCode="0;\-0;;@"/>
    <numFmt numFmtId="168" formatCode="0.0"/>
    <numFmt numFmtId="169" formatCode="#,##0_ ;\-#,##0\ "/>
    <numFmt numFmtId="170" formatCode="_ * #,##0_ ;_ * \-#,##0_ ;_ * &quot;&quot;??_ ;_ @_ "/>
  </numFmts>
  <fonts count="7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b/>
      <sz val="10"/>
      <name val="Times New Roman"/>
      <family val="1"/>
    </font>
    <font>
      <b/>
      <sz val="9"/>
      <name val="Times New Roman"/>
      <family val="1"/>
    </font>
    <font>
      <sz val="10"/>
      <name val="Times New Roman"/>
      <family val="1"/>
    </font>
    <font>
      <sz val="10"/>
      <color rgb="FFFF0000"/>
      <name val="Times New Roman"/>
      <family val="1"/>
    </font>
    <font>
      <sz val="10"/>
      <name val="Arial"/>
      <family val="2"/>
    </font>
    <font>
      <b/>
      <vertAlign val="superscript"/>
      <sz val="10"/>
      <name val="Times New Roman"/>
      <family val="1"/>
    </font>
    <font>
      <sz val="12"/>
      <color rgb="FFFF0000"/>
      <name val="Times New Roman"/>
      <family val="1"/>
    </font>
    <font>
      <sz val="10"/>
      <color theme="1"/>
      <name val="Times New Roman"/>
      <family val="1"/>
    </font>
    <font>
      <i/>
      <sz val="10"/>
      <name val="Times New Roman"/>
      <family val="1"/>
    </font>
    <font>
      <vertAlign val="superscript"/>
      <sz val="10"/>
      <name val="Times New Roman"/>
      <family val="1"/>
    </font>
    <font>
      <sz val="10"/>
      <name val="Arial"/>
      <family val="2"/>
    </font>
    <font>
      <sz val="10"/>
      <color indexed="23"/>
      <name val="Arial"/>
      <family val="2"/>
    </font>
    <font>
      <sz val="18"/>
      <color indexed="23"/>
      <name val="Times New Roman"/>
      <family val="1"/>
    </font>
    <font>
      <b/>
      <sz val="28"/>
      <color rgb="FF3B6E8F"/>
      <name val="Cambria"/>
      <family val="1"/>
      <scheme val="major"/>
    </font>
    <font>
      <b/>
      <sz val="26"/>
      <color rgb="FF3B6E8F"/>
      <name val="Cambria"/>
      <family val="1"/>
      <scheme val="major"/>
    </font>
    <font>
      <sz val="14"/>
      <name val="Times New Roman"/>
      <family val="1"/>
    </font>
    <font>
      <sz val="12"/>
      <name val="Arial"/>
      <family val="2"/>
    </font>
    <font>
      <sz val="20"/>
      <color theme="1"/>
      <name val="Calibri"/>
      <family val="2"/>
      <scheme val="minor"/>
    </font>
    <font>
      <sz val="14"/>
      <color theme="1"/>
      <name val="Calibri"/>
      <family val="2"/>
      <scheme val="minor"/>
    </font>
    <font>
      <b/>
      <sz val="28"/>
      <color rgb="FF54758C"/>
      <name val="Arial"/>
      <family val="2"/>
    </font>
    <font>
      <sz val="26"/>
      <color rgb="FF54758C"/>
      <name val="Arial"/>
      <family val="2"/>
    </font>
    <font>
      <sz val="14"/>
      <name val="Arial"/>
      <family val="2"/>
    </font>
    <font>
      <sz val="14"/>
      <color indexed="23"/>
      <name val="Times New Roman"/>
      <family val="1"/>
    </font>
    <font>
      <sz val="20"/>
      <name val="Arial"/>
      <family val="2"/>
    </font>
    <font>
      <sz val="18"/>
      <name val="Times New Roman"/>
      <family val="1"/>
    </font>
    <font>
      <sz val="18"/>
      <name val="Arial"/>
      <family val="2"/>
    </font>
    <font>
      <b/>
      <sz val="16"/>
      <name val="Times New Roman"/>
      <family val="1"/>
    </font>
    <font>
      <sz val="16"/>
      <name val="Times New Roman"/>
      <family val="1"/>
    </font>
    <font>
      <u/>
      <sz val="10"/>
      <color indexed="12"/>
      <name val="Arial"/>
      <family val="2"/>
    </font>
    <font>
      <sz val="20"/>
      <name val="Times New Roman"/>
      <family val="1"/>
    </font>
    <font>
      <b/>
      <sz val="14"/>
      <name val="Times New Roman"/>
      <family val="1"/>
    </font>
    <font>
      <sz val="14"/>
      <color rgb="FFFF0000"/>
      <name val="Times New Roman"/>
      <family val="1"/>
    </font>
    <font>
      <vertAlign val="superscript"/>
      <sz val="14"/>
      <name val="Times New Roman"/>
      <family val="1"/>
    </font>
    <font>
      <b/>
      <i/>
      <sz val="12"/>
      <color indexed="63"/>
      <name val="Times New Roman"/>
      <family val="1"/>
    </font>
    <font>
      <b/>
      <sz val="10"/>
      <name val="Arial"/>
      <family val="2"/>
    </font>
    <font>
      <b/>
      <i/>
      <sz val="12"/>
      <name val="Times New Roman"/>
      <family val="1"/>
    </font>
    <font>
      <sz val="14"/>
      <color theme="1"/>
      <name val="Times New Roman"/>
      <family val="1"/>
    </font>
    <font>
      <sz val="14"/>
      <color rgb="FFFF0000"/>
      <name val="Arial"/>
      <family val="2"/>
    </font>
    <font>
      <b/>
      <sz val="14"/>
      <name val="Arial"/>
      <family val="2"/>
    </font>
    <font>
      <b/>
      <vertAlign val="superscript"/>
      <sz val="14"/>
      <name val="Times New Roman"/>
      <family val="1"/>
    </font>
    <font>
      <b/>
      <sz val="10"/>
      <color rgb="FFFF0000"/>
      <name val="Times New Roman"/>
      <family val="1"/>
    </font>
    <font>
      <b/>
      <sz val="16"/>
      <color indexed="10"/>
      <name val="Times New Roman"/>
      <family val="1"/>
    </font>
    <font>
      <b/>
      <sz val="14"/>
      <color indexed="8"/>
      <name val="Times New Roman"/>
      <family val="1"/>
    </font>
    <font>
      <b/>
      <sz val="10"/>
      <color indexed="8"/>
      <name val="Times New Roman"/>
      <family val="1"/>
    </font>
    <font>
      <b/>
      <sz val="14"/>
      <color indexed="63"/>
      <name val="Times New Roman"/>
      <family val="1"/>
    </font>
    <font>
      <sz val="14"/>
      <color indexed="10"/>
      <name val="Times New Roman"/>
      <family val="1"/>
    </font>
    <font>
      <b/>
      <sz val="14"/>
      <color indexed="10"/>
      <name val="Times New Roman"/>
      <family val="1"/>
    </font>
    <font>
      <sz val="12"/>
      <color indexed="10"/>
      <name val="Times New Roman"/>
      <family val="1"/>
    </font>
    <font>
      <sz val="20"/>
      <color rgb="FFFF0000"/>
      <name val="Times New Roman"/>
      <family val="1"/>
    </font>
    <font>
      <sz val="20"/>
      <color rgb="FFFF0000"/>
      <name val="Arial"/>
      <family val="2"/>
    </font>
    <font>
      <sz val="16"/>
      <color theme="1"/>
      <name val="Times New Roman"/>
      <family val="1"/>
    </font>
    <font>
      <b/>
      <sz val="10"/>
      <color theme="1"/>
      <name val="Times New Roman"/>
      <family val="1"/>
    </font>
    <font>
      <sz val="12"/>
      <color theme="1"/>
      <name val="Times New Roman"/>
      <family val="1"/>
    </font>
    <font>
      <b/>
      <sz val="14"/>
      <color rgb="FFFF0000"/>
      <name val="Times New Roman"/>
      <family val="1"/>
    </font>
    <font>
      <u/>
      <sz val="12"/>
      <name val="Times New Roman"/>
      <family val="1"/>
    </font>
    <font>
      <b/>
      <sz val="12"/>
      <color rgb="FFFF0000"/>
      <name val="Times New Roman"/>
      <family val="1"/>
    </font>
    <font>
      <sz val="10"/>
      <color theme="0"/>
      <name val="Times New Roman"/>
      <family val="1"/>
    </font>
    <font>
      <b/>
      <i/>
      <sz val="10"/>
      <name val="Times New Roman"/>
      <family val="1"/>
    </font>
    <font>
      <b/>
      <sz val="14"/>
      <color theme="1"/>
      <name val="Times New Roman"/>
      <family val="1"/>
    </font>
    <font>
      <sz val="10"/>
      <color indexed="10"/>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rgb="FFFFFFCC"/>
      </patternFill>
    </fill>
    <fill>
      <patternFill patternType="solid">
        <fgColor theme="7" tint="0.59999389629810485"/>
        <bgColor indexed="65"/>
      </patternFill>
    </fill>
    <fill>
      <patternFill patternType="solid">
        <fgColor theme="5" tint="0.79998168889431442"/>
        <bgColor indexed="65"/>
      </patternFill>
    </fill>
    <fill>
      <patternFill patternType="solid">
        <fgColor theme="2"/>
        <bgColor indexed="64"/>
      </patternFill>
    </fill>
    <fill>
      <patternFill patternType="solid">
        <fgColor indexed="9"/>
        <bgColor indexed="9"/>
      </patternFill>
    </fill>
    <fill>
      <patternFill patternType="solid">
        <fgColor theme="0"/>
        <bgColor indexed="64"/>
      </patternFill>
    </fill>
  </fills>
  <borders count="17">
    <border>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849">
    <xf numFmtId="0" fontId="0" fillId="0" borderId="0"/>
    <xf numFmtId="0" fontId="19" fillId="0" borderId="0"/>
    <xf numFmtId="43" fontId="25" fillId="0" borderId="0" applyFont="0" applyFill="0" applyBorder="0" applyAlignment="0" applyProtection="0"/>
    <xf numFmtId="0" fontId="43" fillId="0" borderId="0" applyNumberFormat="0" applyFill="0" applyBorder="0" applyAlignment="0" applyProtection="0">
      <alignment vertical="top"/>
      <protection locked="0"/>
    </xf>
    <xf numFmtId="0" fontId="12" fillId="0" borderId="0"/>
    <xf numFmtId="0" fontId="19" fillId="0" borderId="0"/>
    <xf numFmtId="0" fontId="11" fillId="0" borderId="0"/>
    <xf numFmtId="0" fontId="19" fillId="0" borderId="0"/>
    <xf numFmtId="0" fontId="10" fillId="0" borderId="0"/>
    <xf numFmtId="0" fontId="19" fillId="0" borderId="0"/>
    <xf numFmtId="0" fontId="25" fillId="0" borderId="0"/>
    <xf numFmtId="0" fontId="10"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0" fontId="10" fillId="0" borderId="0"/>
    <xf numFmtId="0" fontId="19" fillId="0" borderId="0"/>
    <xf numFmtId="0" fontId="19" fillId="0" borderId="0"/>
    <xf numFmtId="43" fontId="19"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9"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6" borderId="0" applyNumberFormat="0" applyBorder="0" applyAlignment="0" applyProtection="0"/>
    <xf numFmtId="0" fontId="19" fillId="0" borderId="0"/>
    <xf numFmtId="43" fontId="19"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9"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9" fillId="0" borderId="0"/>
    <xf numFmtId="43" fontId="19"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9" fillId="5" borderId="16"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25" fillId="0" borderId="0" applyFont="0" applyFill="0" applyBorder="0" applyAlignment="0" applyProtection="0"/>
    <xf numFmtId="0" fontId="10"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2" fillId="0" borderId="0"/>
    <xf numFmtId="0" fontId="2"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0" fontId="2" fillId="0" borderId="0"/>
    <xf numFmtId="43" fontId="19"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6" borderId="0" applyNumberFormat="0" applyBorder="0" applyAlignment="0" applyProtection="0"/>
    <xf numFmtId="43" fontId="19"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19"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6"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 fillId="7" borderId="0" applyNumberFormat="0" applyBorder="0" applyAlignment="0" applyProtection="0"/>
    <xf numFmtId="0" fontId="14" fillId="0" borderId="0"/>
    <xf numFmtId="170" fontId="15" fillId="0" borderId="7" applyFont="0" applyFill="0" applyBorder="0" applyAlignment="0" applyProtection="0">
      <alignment horizontal="right"/>
    </xf>
    <xf numFmtId="43" fontId="19" fillId="0" borderId="0" applyFont="0" applyFill="0" applyBorder="0" applyAlignment="0" applyProtection="0"/>
    <xf numFmtId="0" fontId="14" fillId="0" borderId="0"/>
  </cellStyleXfs>
  <cellXfs count="865">
    <xf numFmtId="0" fontId="0" fillId="0" borderId="0" xfId="0"/>
    <xf numFmtId="0" fontId="17" fillId="0" borderId="0" xfId="1" applyFont="1"/>
    <xf numFmtId="0" fontId="23" fillId="0" borderId="0" xfId="1" applyFont="1"/>
    <xf numFmtId="0" fontId="17" fillId="0" borderId="0" xfId="1" applyFont="1" applyFill="1"/>
    <xf numFmtId="0" fontId="17" fillId="0" borderId="0" xfId="1" applyFont="1" applyBorder="1"/>
    <xf numFmtId="49" fontId="17" fillId="0" borderId="0" xfId="1" applyNumberFormat="1" applyFont="1" applyFill="1" applyBorder="1" applyAlignment="1">
      <alignment horizontal="center"/>
    </xf>
    <xf numFmtId="164" fontId="17" fillId="0" borderId="0" xfId="1" applyNumberFormat="1" applyFont="1" applyFill="1" applyBorder="1"/>
    <xf numFmtId="0" fontId="17" fillId="0" borderId="0" xfId="1" applyFont="1" applyFill="1" applyBorder="1"/>
    <xf numFmtId="0" fontId="17" fillId="0" borderId="0" xfId="1" applyFont="1" applyFill="1" applyAlignment="1">
      <alignment horizontal="left"/>
    </xf>
    <xf numFmtId="0" fontId="17" fillId="0" borderId="6" xfId="1" applyFont="1" applyBorder="1"/>
    <xf numFmtId="0" fontId="15" fillId="0" borderId="4" xfId="1" applyFont="1" applyBorder="1"/>
    <xf numFmtId="0" fontId="15" fillId="0" borderId="3" xfId="1" applyFont="1" applyBorder="1"/>
    <xf numFmtId="0" fontId="15" fillId="0" borderId="7" xfId="1" applyFont="1" applyBorder="1"/>
    <xf numFmtId="0" fontId="15" fillId="0" borderId="6" xfId="1" applyFont="1" applyBorder="1" applyAlignment="1">
      <alignment horizontal="center"/>
    </xf>
    <xf numFmtId="0" fontId="15" fillId="0" borderId="11" xfId="1" applyFont="1" applyBorder="1" applyAlignment="1">
      <alignment horizontal="center"/>
    </xf>
    <xf numFmtId="0" fontId="15" fillId="0" borderId="5" xfId="1" applyFont="1" applyBorder="1" applyAlignment="1">
      <alignment horizontal="center"/>
    </xf>
    <xf numFmtId="0" fontId="15" fillId="0" borderId="11" xfId="1" applyFont="1" applyBorder="1"/>
    <xf numFmtId="14" fontId="16" fillId="0" borderId="4" xfId="1" applyNumberFormat="1" applyFont="1" applyBorder="1" applyAlignment="1">
      <alignment horizontal="center"/>
    </xf>
    <xf numFmtId="0" fontId="17" fillId="0" borderId="3" xfId="1" applyFont="1" applyBorder="1"/>
    <xf numFmtId="164" fontId="17" fillId="0" borderId="0" xfId="1" applyNumberFormat="1" applyFont="1" applyBorder="1"/>
    <xf numFmtId="3" fontId="17" fillId="0" borderId="0" xfId="1" applyNumberFormat="1" applyFont="1" applyBorder="1"/>
    <xf numFmtId="0" fontId="15" fillId="0" borderId="0" xfId="1" applyFont="1" applyFill="1"/>
    <xf numFmtId="0" fontId="14" fillId="0" borderId="0" xfId="1" applyFont="1"/>
    <xf numFmtId="0" fontId="21" fillId="0" borderId="0" xfId="1" applyFont="1"/>
    <xf numFmtId="0" fontId="14" fillId="0" borderId="0" xfId="1" applyFont="1" applyFill="1"/>
    <xf numFmtId="0" fontId="14" fillId="0" borderId="0" xfId="1" applyFont="1" applyFill="1" applyBorder="1"/>
    <xf numFmtId="164" fontId="15" fillId="0" borderId="0" xfId="1" applyNumberFormat="1" applyFont="1" applyFill="1" applyBorder="1" applyAlignment="1">
      <alignment horizontal="right"/>
    </xf>
    <xf numFmtId="3" fontId="17" fillId="0" borderId="0" xfId="1" applyNumberFormat="1" applyFont="1" applyFill="1" applyBorder="1" applyAlignment="1">
      <alignment horizontal="center"/>
    </xf>
    <xf numFmtId="164" fontId="17" fillId="0" borderId="0" xfId="1" applyNumberFormat="1" applyFont="1" applyFill="1" applyBorder="1" applyAlignment="1">
      <alignment horizontal="right"/>
    </xf>
    <xf numFmtId="49" fontId="17" fillId="0" borderId="0" xfId="1" applyNumberFormat="1" applyFont="1" applyFill="1" applyBorder="1" applyAlignment="1">
      <alignment horizontal="right"/>
    </xf>
    <xf numFmtId="3" fontId="17" fillId="0" borderId="0" xfId="1" quotePrefix="1" applyNumberFormat="1" applyFont="1" applyFill="1" applyBorder="1" applyAlignment="1">
      <alignment horizontal="center"/>
    </xf>
    <xf numFmtId="0" fontId="17" fillId="0" borderId="3" xfId="1" applyFont="1" applyFill="1" applyBorder="1"/>
    <xf numFmtId="0" fontId="15" fillId="0" borderId="3" xfId="1" applyFont="1" applyFill="1" applyBorder="1"/>
    <xf numFmtId="0" fontId="15" fillId="0" borderId="0" xfId="1" applyFont="1" applyFill="1" applyBorder="1" applyAlignment="1">
      <alignment horizontal="center"/>
    </xf>
    <xf numFmtId="0" fontId="15" fillId="0" borderId="6" xfId="1" applyFont="1" applyBorder="1"/>
    <xf numFmtId="14" fontId="16" fillId="0" borderId="0" xfId="1" applyNumberFormat="1" applyFont="1" applyFill="1" applyBorder="1" applyAlignment="1">
      <alignment horizontal="center"/>
    </xf>
    <xf numFmtId="0" fontId="15" fillId="0" borderId="0" xfId="1" applyFont="1"/>
    <xf numFmtId="3" fontId="17" fillId="0" borderId="3" xfId="1" applyNumberFormat="1" applyFont="1" applyFill="1" applyBorder="1" applyAlignment="1">
      <alignment horizontal="right"/>
    </xf>
    <xf numFmtId="3" fontId="17" fillId="0" borderId="6" xfId="1" applyNumberFormat="1" applyFont="1" applyFill="1" applyBorder="1" applyAlignment="1">
      <alignment horizontal="right"/>
    </xf>
    <xf numFmtId="0" fontId="17" fillId="0" borderId="6" xfId="1" applyFont="1" applyFill="1" applyBorder="1"/>
    <xf numFmtId="0" fontId="15" fillId="0" borderId="0" xfId="1" applyFont="1" applyBorder="1"/>
    <xf numFmtId="3" fontId="18" fillId="0" borderId="0" xfId="1" applyNumberFormat="1" applyFont="1" applyFill="1" applyBorder="1" applyAlignment="1">
      <alignment horizontal="right"/>
    </xf>
    <xf numFmtId="0" fontId="17" fillId="0" borderId="4" xfId="1" applyFont="1" applyFill="1" applyBorder="1"/>
    <xf numFmtId="0" fontId="17" fillId="0" borderId="0" xfId="1" applyFont="1" applyFill="1" applyAlignment="1">
      <alignment horizontal="right"/>
    </xf>
    <xf numFmtId="0" fontId="19" fillId="0" borderId="0" xfId="1"/>
    <xf numFmtId="0" fontId="26" fillId="0" borderId="0" xfId="1" applyFont="1"/>
    <xf numFmtId="0" fontId="0" fillId="0" borderId="0" xfId="1" applyFont="1"/>
    <xf numFmtId="0" fontId="27" fillId="0" borderId="0" xfId="1" applyFont="1" applyAlignment="1">
      <alignment horizontal="right"/>
    </xf>
    <xf numFmtId="0" fontId="28" fillId="0" borderId="0" xfId="1" applyFont="1" applyAlignment="1">
      <alignment horizontal="left"/>
    </xf>
    <xf numFmtId="0" fontId="29" fillId="0" borderId="0" xfId="1" applyFont="1" applyAlignment="1">
      <alignment horizontal="left"/>
    </xf>
    <xf numFmtId="0" fontId="30" fillId="0" borderId="0" xfId="1" applyFont="1" applyAlignment="1">
      <alignment horizontal="left"/>
    </xf>
    <xf numFmtId="0" fontId="31" fillId="0" borderId="0" xfId="1" applyFont="1" applyAlignment="1">
      <alignment horizontal="right"/>
    </xf>
    <xf numFmtId="0" fontId="19" fillId="0" borderId="0" xfId="1" applyAlignment="1">
      <alignment horizontal="right"/>
    </xf>
    <xf numFmtId="0" fontId="32" fillId="0" borderId="0" xfId="1" applyFont="1" applyAlignment="1">
      <alignment horizontal="left"/>
    </xf>
    <xf numFmtId="14" fontId="33" fillId="0" borderId="0" xfId="1" applyNumberFormat="1" applyFont="1" applyAlignment="1">
      <alignment horizontal="left"/>
    </xf>
    <xf numFmtId="0" fontId="33" fillId="0" borderId="0" xfId="1" applyFont="1" applyAlignment="1">
      <alignment horizontal="left"/>
    </xf>
    <xf numFmtId="0" fontId="34" fillId="0" borderId="0" xfId="1" applyFont="1" applyAlignment="1">
      <alignment vertical="center"/>
    </xf>
    <xf numFmtId="0" fontId="35" fillId="0" borderId="0" xfId="1" applyFont="1" applyAlignment="1">
      <alignment vertical="center"/>
    </xf>
    <xf numFmtId="0" fontId="36" fillId="0" borderId="0" xfId="1" applyFont="1"/>
    <xf numFmtId="14" fontId="37" fillId="0" borderId="0" xfId="1" applyNumberFormat="1" applyFont="1"/>
    <xf numFmtId="0" fontId="38" fillId="0" borderId="0" xfId="0" applyFont="1"/>
    <xf numFmtId="0" fontId="39" fillId="0" borderId="0" xfId="0" applyFont="1"/>
    <xf numFmtId="0" fontId="40" fillId="0" borderId="0" xfId="0" applyFont="1"/>
    <xf numFmtId="0" fontId="42" fillId="0" borderId="0" xfId="0" applyFont="1"/>
    <xf numFmtId="0" fontId="42" fillId="0" borderId="0" xfId="3" applyFont="1" applyAlignment="1" applyProtection="1"/>
    <xf numFmtId="0" fontId="44" fillId="0" borderId="0" xfId="0" applyFont="1"/>
    <xf numFmtId="0" fontId="17" fillId="0" borderId="0" xfId="3" applyFont="1" applyFill="1" applyAlignment="1" applyProtection="1"/>
    <xf numFmtId="0" fontId="30" fillId="0" borderId="0" xfId="0" applyFont="1"/>
    <xf numFmtId="0" fontId="45" fillId="0" borderId="0" xfId="0" applyFont="1"/>
    <xf numFmtId="0" fontId="46" fillId="0" borderId="0" xfId="0" applyFont="1"/>
    <xf numFmtId="3" fontId="30" fillId="0" borderId="0" xfId="0" applyNumberFormat="1" applyFont="1"/>
    <xf numFmtId="3" fontId="30" fillId="0" borderId="0" xfId="0" applyNumberFormat="1" applyFont="1" applyFill="1"/>
    <xf numFmtId="0" fontId="30" fillId="0" borderId="0" xfId="0" applyFont="1" applyFill="1"/>
    <xf numFmtId="0" fontId="41" fillId="0" borderId="0" xfId="0" applyFont="1"/>
    <xf numFmtId="0" fontId="36" fillId="0" borderId="0" xfId="0" applyFont="1"/>
    <xf numFmtId="14" fontId="13" fillId="0" borderId="13" xfId="0" applyNumberFormat="1" applyFont="1" applyFill="1" applyBorder="1" applyAlignment="1">
      <alignment horizontal="left"/>
    </xf>
    <xf numFmtId="0" fontId="30" fillId="0" borderId="10" xfId="0" applyFont="1" applyBorder="1"/>
    <xf numFmtId="0" fontId="30" fillId="0" borderId="8" xfId="0" applyFont="1" applyBorder="1"/>
    <xf numFmtId="0" fontId="30" fillId="0" borderId="9" xfId="0" applyFont="1" applyBorder="1"/>
    <xf numFmtId="0" fontId="30" fillId="0" borderId="3" xfId="0" applyFont="1" applyBorder="1"/>
    <xf numFmtId="0" fontId="17" fillId="0" borderId="0" xfId="0" applyFont="1"/>
    <xf numFmtId="3" fontId="45" fillId="0" borderId="7" xfId="0" applyNumberFormat="1" applyFont="1" applyFill="1" applyBorder="1"/>
    <xf numFmtId="0" fontId="45" fillId="0" borderId="0" xfId="0" applyFont="1" applyBorder="1" applyAlignment="1">
      <alignment horizontal="center"/>
    </xf>
    <xf numFmtId="0" fontId="45" fillId="0" borderId="3" xfId="0" applyFont="1" applyBorder="1" applyAlignment="1">
      <alignment horizontal="center"/>
    </xf>
    <xf numFmtId="3" fontId="45" fillId="0" borderId="3" xfId="0" applyNumberFormat="1" applyFont="1" applyFill="1" applyBorder="1"/>
    <xf numFmtId="0" fontId="15" fillId="0" borderId="4" xfId="0" applyFont="1" applyBorder="1" applyAlignment="1">
      <alignment horizontal="center"/>
    </xf>
    <xf numFmtId="0" fontId="15" fillId="0" borderId="1" xfId="0" applyFont="1" applyBorder="1" applyAlignment="1">
      <alignment horizontal="center"/>
    </xf>
    <xf numFmtId="0" fontId="15" fillId="0" borderId="7" xfId="0" applyFont="1" applyBorder="1" applyAlignment="1">
      <alignment horizontal="center"/>
    </xf>
    <xf numFmtId="0" fontId="15" fillId="0" borderId="3" xfId="0" applyFont="1" applyBorder="1" applyAlignment="1">
      <alignment horizontal="center"/>
    </xf>
    <xf numFmtId="3" fontId="48" fillId="4" borderId="6" xfId="0" applyNumberFormat="1" applyFont="1" applyFill="1" applyBorder="1"/>
    <xf numFmtId="0" fontId="13" fillId="0" borderId="11" xfId="0" applyFont="1" applyBorder="1" applyAlignment="1">
      <alignment horizontal="center"/>
    </xf>
    <xf numFmtId="0" fontId="15" fillId="0" borderId="11" xfId="0" applyFont="1" applyBorder="1" applyAlignment="1">
      <alignment horizontal="center"/>
    </xf>
    <xf numFmtId="0" fontId="15" fillId="0" borderId="6" xfId="0" applyFont="1" applyBorder="1" applyAlignment="1">
      <alignment horizontal="center"/>
    </xf>
    <xf numFmtId="0" fontId="15" fillId="0" borderId="0" xfId="0" applyFont="1" applyBorder="1" applyAlignment="1">
      <alignment horizontal="center"/>
    </xf>
    <xf numFmtId="0" fontId="45" fillId="0" borderId="3" xfId="0" applyFont="1" applyBorder="1"/>
    <xf numFmtId="0" fontId="30" fillId="0" borderId="1" xfId="0" applyFont="1" applyBorder="1"/>
    <xf numFmtId="3" fontId="30" fillId="0" borderId="4" xfId="0" applyNumberFormat="1" applyFont="1" applyBorder="1"/>
    <xf numFmtId="3" fontId="30" fillId="0" borderId="4" xfId="0" applyNumberFormat="1" applyFont="1" applyBorder="1" applyAlignment="1">
      <alignment horizontal="right"/>
    </xf>
    <xf numFmtId="3" fontId="30" fillId="0" borderId="4" xfId="0" applyNumberFormat="1" applyFont="1" applyFill="1" applyBorder="1"/>
    <xf numFmtId="3" fontId="30" fillId="0" borderId="4" xfId="0" applyNumberFormat="1" applyFont="1" applyFill="1" applyBorder="1" applyAlignment="1">
      <alignment horizontal="right"/>
    </xf>
    <xf numFmtId="0" fontId="30" fillId="0" borderId="3" xfId="0" applyFont="1" applyFill="1" applyBorder="1"/>
    <xf numFmtId="0" fontId="30" fillId="0" borderId="4" xfId="0" applyFont="1" applyFill="1" applyBorder="1"/>
    <xf numFmtId="3" fontId="45" fillId="0" borderId="4" xfId="0" applyNumberFormat="1" applyFont="1" applyBorder="1"/>
    <xf numFmtId="3" fontId="45" fillId="0" borderId="4" xfId="0" applyNumberFormat="1" applyFont="1" applyBorder="1" applyAlignment="1">
      <alignment horizontal="right"/>
    </xf>
    <xf numFmtId="0" fontId="15" fillId="0" borderId="0" xfId="0" applyFont="1"/>
    <xf numFmtId="0" fontId="30" fillId="0" borderId="0" xfId="0" applyFont="1" applyBorder="1"/>
    <xf numFmtId="0" fontId="45" fillId="0" borderId="6" xfId="0" applyFont="1" applyBorder="1"/>
    <xf numFmtId="3" fontId="45" fillId="0" borderId="11" xfId="0" applyNumberFormat="1" applyFont="1" applyBorder="1"/>
    <xf numFmtId="3" fontId="45" fillId="0" borderId="11" xfId="0" applyNumberFormat="1" applyFont="1" applyBorder="1" applyAlignment="1">
      <alignment horizontal="right"/>
    </xf>
    <xf numFmtId="0" fontId="30" fillId="0" borderId="0" xfId="0" applyFont="1" applyAlignment="1">
      <alignment horizontal="left"/>
    </xf>
    <xf numFmtId="0" fontId="45" fillId="0" borderId="0" xfId="0" applyFont="1" applyAlignment="1">
      <alignment horizontal="left"/>
    </xf>
    <xf numFmtId="0" fontId="30" fillId="0" borderId="14" xfId="0" applyFont="1" applyBorder="1"/>
    <xf numFmtId="0" fontId="30" fillId="0" borderId="15" xfId="0" applyFont="1" applyBorder="1"/>
    <xf numFmtId="166" fontId="45" fillId="0" borderId="7" xfId="0" applyNumberFormat="1" applyFont="1" applyBorder="1" applyAlignment="1">
      <alignment horizontal="left"/>
    </xf>
    <xf numFmtId="0" fontId="45" fillId="0" borderId="2" xfId="0" applyFont="1" applyBorder="1" applyAlignment="1">
      <alignment horizontal="center"/>
    </xf>
    <xf numFmtId="166" fontId="45" fillId="0" borderId="3" xfId="0" applyNumberFormat="1" applyFont="1" applyBorder="1" applyAlignment="1">
      <alignment horizontal="left"/>
    </xf>
    <xf numFmtId="0" fontId="45" fillId="0" borderId="4" xfId="0" applyFont="1" applyBorder="1" applyAlignment="1">
      <alignment horizontal="center"/>
    </xf>
    <xf numFmtId="0" fontId="45" fillId="0" borderId="1" xfId="0" applyFont="1" applyBorder="1" applyAlignment="1">
      <alignment horizontal="center"/>
    </xf>
    <xf numFmtId="0" fontId="15" fillId="0" borderId="2" xfId="0" applyFont="1" applyBorder="1" applyAlignment="1">
      <alignment horizontal="center"/>
    </xf>
    <xf numFmtId="166" fontId="50" fillId="0" borderId="6" xfId="0" applyNumberFormat="1" applyFont="1" applyBorder="1" applyAlignment="1">
      <alignment horizontal="left"/>
    </xf>
    <xf numFmtId="0" fontId="13" fillId="0" borderId="6" xfId="0" applyFont="1" applyBorder="1" applyAlignment="1">
      <alignment horizontal="center"/>
    </xf>
    <xf numFmtId="0" fontId="15" fillId="0" borderId="12" xfId="0" applyFont="1" applyBorder="1" applyAlignment="1">
      <alignment horizontal="center"/>
    </xf>
    <xf numFmtId="3" fontId="30" fillId="0" borderId="1" xfId="0" applyNumberFormat="1" applyFont="1" applyBorder="1"/>
    <xf numFmtId="3" fontId="30" fillId="0" borderId="7" xfId="0" applyNumberFormat="1" applyFont="1" applyBorder="1"/>
    <xf numFmtId="3" fontId="30" fillId="0" borderId="2" xfId="0" applyNumberFormat="1" applyFont="1" applyBorder="1"/>
    <xf numFmtId="3" fontId="51" fillId="0" borderId="4" xfId="0" applyNumberFormat="1" applyFont="1" applyFill="1" applyBorder="1" applyAlignment="1">
      <alignment horizontal="right"/>
    </xf>
    <xf numFmtId="0" fontId="46" fillId="0" borderId="0" xfId="0" applyFont="1" applyFill="1"/>
    <xf numFmtId="0" fontId="52" fillId="0" borderId="0" xfId="0" applyFont="1" applyFill="1"/>
    <xf numFmtId="3" fontId="53" fillId="0" borderId="0" xfId="0" applyNumberFormat="1" applyFont="1"/>
    <xf numFmtId="0" fontId="53" fillId="0" borderId="0" xfId="0" applyFont="1"/>
    <xf numFmtId="0" fontId="53" fillId="0" borderId="0" xfId="0" applyFont="1" applyFill="1"/>
    <xf numFmtId="0" fontId="45" fillId="0" borderId="4" xfId="0" applyFont="1" applyBorder="1"/>
    <xf numFmtId="3" fontId="45" fillId="0" borderId="0" xfId="0" applyNumberFormat="1" applyFont="1" applyBorder="1" applyAlignment="1">
      <alignment horizontal="right"/>
    </xf>
    <xf numFmtId="3" fontId="30" fillId="0" borderId="0" xfId="0" applyNumberFormat="1" applyFont="1" applyBorder="1"/>
    <xf numFmtId="3" fontId="15" fillId="0" borderId="4" xfId="1" applyNumberFormat="1" applyFont="1" applyBorder="1"/>
    <xf numFmtId="0" fontId="0" fillId="0" borderId="0" xfId="0"/>
    <xf numFmtId="3" fontId="14" fillId="0" borderId="0" xfId="1" applyNumberFormat="1" applyFont="1" applyFill="1" applyBorder="1"/>
    <xf numFmtId="3" fontId="15" fillId="0" borderId="0" xfId="1" applyNumberFormat="1" applyFont="1"/>
    <xf numFmtId="3" fontId="15" fillId="0" borderId="1" xfId="1" applyNumberFormat="1" applyFont="1" applyBorder="1"/>
    <xf numFmtId="3" fontId="17" fillId="0" borderId="0" xfId="1" applyNumberFormat="1" applyFont="1" applyFill="1" applyBorder="1" applyAlignment="1">
      <alignment horizontal="right"/>
    </xf>
    <xf numFmtId="3" fontId="17" fillId="0" borderId="0" xfId="1" applyNumberFormat="1" applyFont="1" applyFill="1" applyBorder="1"/>
    <xf numFmtId="3" fontId="13" fillId="0" borderId="0" xfId="1" applyNumberFormat="1" applyFont="1"/>
    <xf numFmtId="3" fontId="17" fillId="0" borderId="0" xfId="1" applyNumberFormat="1" applyFont="1" applyFill="1"/>
    <xf numFmtId="3" fontId="17" fillId="0" borderId="0" xfId="1" applyNumberFormat="1" applyFont="1"/>
    <xf numFmtId="3" fontId="21" fillId="0" borderId="0" xfId="1" applyNumberFormat="1" applyFont="1"/>
    <xf numFmtId="3" fontId="16" fillId="0" borderId="4" xfId="1" applyNumberFormat="1" applyFont="1" applyBorder="1" applyAlignment="1">
      <alignment horizontal="center"/>
    </xf>
    <xf numFmtId="3" fontId="17" fillId="0" borderId="4" xfId="1" applyNumberFormat="1" applyFont="1" applyFill="1" applyBorder="1"/>
    <xf numFmtId="3" fontId="14" fillId="0" borderId="0" xfId="1" applyNumberFormat="1" applyFont="1" applyFill="1"/>
    <xf numFmtId="3" fontId="17" fillId="0" borderId="0" xfId="1" applyNumberFormat="1" applyFont="1" applyAlignment="1">
      <alignment horizontal="left"/>
    </xf>
    <xf numFmtId="3" fontId="15" fillId="0" borderId="6" xfId="1" applyNumberFormat="1" applyFont="1" applyBorder="1" applyAlignment="1">
      <alignment horizontal="center"/>
    </xf>
    <xf numFmtId="3" fontId="14" fillId="0" borderId="0" xfId="1" applyNumberFormat="1" applyFont="1"/>
    <xf numFmtId="3" fontId="15" fillId="0" borderId="3" xfId="1" applyNumberFormat="1" applyFont="1" applyBorder="1"/>
    <xf numFmtId="3" fontId="15" fillId="0" borderId="0" xfId="1" applyNumberFormat="1" applyFont="1" applyFill="1" applyBorder="1" applyAlignment="1">
      <alignment horizontal="right"/>
    </xf>
    <xf numFmtId="3" fontId="15" fillId="3" borderId="2" xfId="1" applyNumberFormat="1" applyFont="1" applyFill="1" applyBorder="1" applyAlignment="1">
      <alignment horizontal="right"/>
    </xf>
    <xf numFmtId="3" fontId="15" fillId="0" borderId="11" xfId="1" applyNumberFormat="1" applyFont="1" applyBorder="1" applyAlignment="1">
      <alignment horizontal="center"/>
    </xf>
    <xf numFmtId="3" fontId="15" fillId="0" borderId="7" xfId="1" applyNumberFormat="1" applyFont="1" applyBorder="1" applyAlignment="1">
      <alignment horizontal="center"/>
    </xf>
    <xf numFmtId="3" fontId="13" fillId="0" borderId="12" xfId="1" applyNumberFormat="1" applyFont="1" applyBorder="1"/>
    <xf numFmtId="3" fontId="17" fillId="0" borderId="0" xfId="1" applyNumberFormat="1" applyFont="1" applyFill="1" applyAlignment="1">
      <alignment horizontal="left"/>
    </xf>
    <xf numFmtId="3" fontId="13" fillId="0" borderId="0" xfId="1" applyNumberFormat="1" applyFont="1" applyBorder="1"/>
    <xf numFmtId="3" fontId="17" fillId="3" borderId="3" xfId="1" applyNumberFormat="1" applyFont="1" applyFill="1" applyBorder="1" applyAlignment="1">
      <alignment horizontal="right"/>
    </xf>
    <xf numFmtId="3" fontId="17" fillId="3" borderId="6" xfId="1" applyNumberFormat="1" applyFont="1" applyFill="1" applyBorder="1" applyAlignment="1">
      <alignment horizontal="right"/>
    </xf>
    <xf numFmtId="3" fontId="15" fillId="0" borderId="0" xfId="1" applyNumberFormat="1" applyFont="1" applyBorder="1"/>
    <xf numFmtId="3" fontId="15" fillId="3" borderId="6" xfId="1" applyNumberFormat="1" applyFont="1" applyFill="1" applyBorder="1" applyAlignment="1">
      <alignment horizontal="right"/>
    </xf>
    <xf numFmtId="3" fontId="15" fillId="3" borderId="5" xfId="1" applyNumberFormat="1" applyFont="1" applyFill="1" applyBorder="1" applyAlignment="1">
      <alignment horizontal="right"/>
    </xf>
    <xf numFmtId="3" fontId="15" fillId="3" borderId="3" xfId="1" applyNumberFormat="1" applyFont="1" applyFill="1" applyBorder="1" applyAlignment="1">
      <alignment horizontal="right"/>
    </xf>
    <xf numFmtId="3" fontId="17" fillId="0" borderId="10" xfId="1" applyNumberFormat="1" applyFont="1" applyBorder="1" applyAlignment="1">
      <alignment horizontal="left"/>
    </xf>
    <xf numFmtId="3" fontId="15" fillId="0" borderId="0" xfId="1" applyNumberFormat="1" applyFont="1" applyFill="1"/>
    <xf numFmtId="3" fontId="16" fillId="0" borderId="7" xfId="1" applyNumberFormat="1" applyFont="1" applyBorder="1" applyAlignment="1">
      <alignment horizontal="center"/>
    </xf>
    <xf numFmtId="3" fontId="15" fillId="0" borderId="0" xfId="1" applyNumberFormat="1" applyFont="1" applyFill="1" applyBorder="1" applyAlignment="1">
      <alignment horizontal="center"/>
    </xf>
    <xf numFmtId="3" fontId="16" fillId="0" borderId="0" xfId="1" applyNumberFormat="1" applyFont="1" applyFill="1" applyBorder="1" applyAlignment="1">
      <alignment horizontal="center"/>
    </xf>
    <xf numFmtId="3" fontId="17" fillId="3" borderId="2" xfId="1" applyNumberFormat="1" applyFont="1" applyFill="1" applyBorder="1" applyAlignment="1">
      <alignment horizontal="right"/>
    </xf>
    <xf numFmtId="3" fontId="30" fillId="0" borderId="3" xfId="0" applyNumberFormat="1" applyFont="1" applyBorder="1"/>
    <xf numFmtId="3" fontId="30" fillId="0" borderId="3" xfId="0" applyNumberFormat="1" applyFont="1" applyFill="1" applyBorder="1"/>
    <xf numFmtId="3" fontId="30" fillId="0" borderId="0" xfId="0" applyNumberFormat="1" applyFont="1" applyFill="1" applyBorder="1"/>
    <xf numFmtId="3" fontId="45" fillId="0" borderId="3" xfId="0" applyNumberFormat="1" applyFont="1" applyBorder="1"/>
    <xf numFmtId="3" fontId="45" fillId="0" borderId="0" xfId="0" applyNumberFormat="1" applyFont="1" applyBorder="1"/>
    <xf numFmtId="3" fontId="30" fillId="0" borderId="4" xfId="2" applyNumberFormat="1" applyFont="1" applyBorder="1"/>
    <xf numFmtId="3" fontId="45" fillId="0" borderId="6" xfId="0" applyNumberFormat="1" applyFont="1" applyBorder="1"/>
    <xf numFmtId="3" fontId="30" fillId="0" borderId="0" xfId="0" applyNumberFormat="1" applyFont="1" applyBorder="1" applyAlignment="1">
      <alignment horizontal="right"/>
    </xf>
    <xf numFmtId="3" fontId="51" fillId="0" borderId="0" xfId="0" applyNumberFormat="1" applyFont="1" applyFill="1" applyBorder="1" applyAlignment="1">
      <alignment horizontal="right"/>
    </xf>
    <xf numFmtId="0" fontId="13" fillId="0" borderId="4" xfId="0" applyFont="1" applyBorder="1" applyAlignment="1">
      <alignment horizontal="center"/>
    </xf>
    <xf numFmtId="0" fontId="13" fillId="0" borderId="3" xfId="0" applyFont="1" applyBorder="1" applyAlignment="1">
      <alignment horizontal="center"/>
    </xf>
    <xf numFmtId="0" fontId="30" fillId="0" borderId="0" xfId="0" applyFont="1" applyFill="1" applyBorder="1"/>
    <xf numFmtId="3" fontId="17" fillId="2" borderId="3" xfId="1" applyNumberFormat="1" applyFont="1" applyFill="1" applyBorder="1" applyAlignment="1">
      <alignment horizontal="right"/>
    </xf>
    <xf numFmtId="0" fontId="17" fillId="0" borderId="0" xfId="0" applyFont="1" applyFill="1" applyBorder="1"/>
    <xf numFmtId="3" fontId="22" fillId="0" borderId="4" xfId="1" applyNumberFormat="1" applyFont="1" applyFill="1" applyBorder="1" applyAlignment="1">
      <alignment horizontal="right"/>
    </xf>
    <xf numFmtId="3" fontId="22" fillId="0" borderId="3" xfId="1" applyNumberFormat="1" applyFont="1" applyFill="1" applyBorder="1" applyAlignment="1">
      <alignment horizontal="right"/>
    </xf>
    <xf numFmtId="166" fontId="45" fillId="0" borderId="4" xfId="0" applyNumberFormat="1" applyFont="1" applyBorder="1" applyAlignment="1">
      <alignment horizontal="left"/>
    </xf>
    <xf numFmtId="0" fontId="30" fillId="0" borderId="4" xfId="0" applyFont="1" applyBorder="1"/>
    <xf numFmtId="0" fontId="51" fillId="0" borderId="4" xfId="0" applyFont="1" applyFill="1" applyBorder="1"/>
    <xf numFmtId="0" fontId="45" fillId="0" borderId="11" xfId="0" applyFont="1" applyBorder="1"/>
    <xf numFmtId="3" fontId="30" fillId="0" borderId="3" xfId="0" applyNumberFormat="1" applyFont="1" applyBorder="1" applyAlignment="1">
      <alignment horizontal="right"/>
    </xf>
    <xf numFmtId="3" fontId="51" fillId="0" borderId="3" xfId="0" applyNumberFormat="1" applyFont="1" applyFill="1" applyBorder="1" applyAlignment="1">
      <alignment horizontal="right"/>
    </xf>
    <xf numFmtId="3" fontId="45" fillId="0" borderId="3" xfId="0" applyNumberFormat="1" applyFont="1" applyBorder="1" applyAlignment="1">
      <alignment horizontal="right"/>
    </xf>
    <xf numFmtId="3" fontId="45" fillId="0" borderId="6" xfId="0" applyNumberFormat="1" applyFont="1" applyBorder="1" applyAlignment="1">
      <alignment horizontal="right"/>
    </xf>
    <xf numFmtId="0" fontId="36" fillId="0" borderId="4" xfId="0" applyFont="1" applyBorder="1" applyAlignment="1">
      <alignment horizontal="right"/>
    </xf>
    <xf numFmtId="3" fontId="30" fillId="0" borderId="7" xfId="0" applyNumberFormat="1" applyFont="1" applyBorder="1" applyAlignment="1">
      <alignment horizontal="right"/>
    </xf>
    <xf numFmtId="3" fontId="30" fillId="0" borderId="14" xfId="0" applyNumberFormat="1" applyFont="1" applyBorder="1" applyAlignment="1">
      <alignment horizontal="right"/>
    </xf>
    <xf numFmtId="0" fontId="36" fillId="0" borderId="3" xfId="0" applyFont="1" applyBorder="1" applyAlignment="1">
      <alignment horizontal="right"/>
    </xf>
    <xf numFmtId="3" fontId="30" fillId="0" borderId="6" xfId="0" applyNumberFormat="1" applyFont="1" applyBorder="1" applyAlignment="1">
      <alignment horizontal="right"/>
    </xf>
    <xf numFmtId="3" fontId="15" fillId="0" borderId="0" xfId="0" applyNumberFormat="1" applyFont="1"/>
    <xf numFmtId="3" fontId="17" fillId="3" borderId="5" xfId="1" applyNumberFormat="1" applyFont="1" applyFill="1" applyBorder="1" applyAlignment="1">
      <alignment horizontal="right"/>
    </xf>
    <xf numFmtId="3" fontId="17" fillId="0" borderId="0" xfId="0" applyNumberFormat="1" applyFont="1" applyBorder="1"/>
    <xf numFmtId="3" fontId="17" fillId="0" borderId="0" xfId="0" applyNumberFormat="1" applyFont="1"/>
    <xf numFmtId="3" fontId="15" fillId="0" borderId="0" xfId="0" applyNumberFormat="1" applyFont="1" applyBorder="1"/>
    <xf numFmtId="3" fontId="17" fillId="0" borderId="0" xfId="0" applyNumberFormat="1" applyFont="1" applyFill="1" applyBorder="1"/>
    <xf numFmtId="0" fontId="17" fillId="8" borderId="1" xfId="0" applyFont="1" applyFill="1" applyBorder="1"/>
    <xf numFmtId="0" fontId="17" fillId="8" borderId="15" xfId="0" applyFont="1" applyFill="1" applyBorder="1"/>
    <xf numFmtId="0" fontId="17" fillId="8" borderId="14" xfId="0" applyFont="1" applyFill="1" applyBorder="1"/>
    <xf numFmtId="0" fontId="15" fillId="8" borderId="1" xfId="0" applyFont="1" applyFill="1" applyBorder="1" applyAlignment="1">
      <alignment horizontal="center"/>
    </xf>
    <xf numFmtId="0" fontId="15" fillId="8" borderId="15" xfId="0" applyFont="1" applyFill="1" applyBorder="1" applyAlignment="1">
      <alignment horizontal="center"/>
    </xf>
    <xf numFmtId="0" fontId="15" fillId="8" borderId="14" xfId="0" applyFont="1" applyFill="1" applyBorder="1" applyAlignment="1">
      <alignment horizontal="center"/>
    </xf>
    <xf numFmtId="0" fontId="15" fillId="8" borderId="11" xfId="0" applyFont="1" applyFill="1" applyBorder="1" applyAlignment="1">
      <alignment horizontal="center"/>
    </xf>
    <xf numFmtId="0" fontId="15" fillId="8" borderId="5" xfId="0" applyFont="1" applyFill="1" applyBorder="1" applyAlignment="1">
      <alignment horizontal="center"/>
    </xf>
    <xf numFmtId="0" fontId="15" fillId="8" borderId="12" xfId="0" applyFont="1" applyFill="1" applyBorder="1" applyAlignment="1">
      <alignment horizontal="center"/>
    </xf>
    <xf numFmtId="0" fontId="15" fillId="8" borderId="3" xfId="0" applyFont="1" applyFill="1" applyBorder="1"/>
    <xf numFmtId="3" fontId="17" fillId="8" borderId="2" xfId="0" applyNumberFormat="1" applyFont="1" applyFill="1" applyBorder="1"/>
    <xf numFmtId="3" fontId="17" fillId="8" borderId="7" xfId="0" applyNumberFormat="1" applyFont="1" applyFill="1" applyBorder="1"/>
    <xf numFmtId="3" fontId="17" fillId="8" borderId="3" xfId="0" applyNumberFormat="1" applyFont="1" applyFill="1" applyBorder="1"/>
    <xf numFmtId="0" fontId="15" fillId="8" borderId="3" xfId="0" applyFont="1" applyFill="1" applyBorder="1" applyAlignment="1">
      <alignment horizontal="center"/>
    </xf>
    <xf numFmtId="0" fontId="15" fillId="8" borderId="2" xfId="0" applyFont="1" applyFill="1" applyBorder="1" applyAlignment="1">
      <alignment horizontal="center"/>
    </xf>
    <xf numFmtId="0" fontId="17" fillId="8" borderId="2" xfId="0" applyFont="1" applyFill="1" applyBorder="1"/>
    <xf numFmtId="0" fontId="17" fillId="8" borderId="3" xfId="0" applyFont="1" applyFill="1" applyBorder="1"/>
    <xf numFmtId="3" fontId="17" fillId="8" borderId="2" xfId="2" applyNumberFormat="1" applyFont="1" applyFill="1" applyBorder="1"/>
    <xf numFmtId="3" fontId="15" fillId="8" borderId="6" xfId="0" applyNumberFormat="1" applyFont="1" applyFill="1" applyBorder="1"/>
    <xf numFmtId="3" fontId="15" fillId="8" borderId="5" xfId="0" applyNumberFormat="1" applyFont="1" applyFill="1" applyBorder="1"/>
    <xf numFmtId="3" fontId="30" fillId="0" borderId="2" xfId="0" quotePrefix="1" applyNumberFormat="1" applyFont="1" applyBorder="1" applyAlignment="1">
      <alignment horizontal="right"/>
    </xf>
    <xf numFmtId="0" fontId="36" fillId="0" borderId="1" xfId="0" applyFont="1" applyBorder="1" applyAlignment="1">
      <alignment horizontal="right"/>
    </xf>
    <xf numFmtId="3" fontId="30" fillId="0" borderId="3" xfId="0" quotePrefix="1" applyNumberFormat="1" applyFont="1" applyBorder="1" applyAlignment="1">
      <alignment horizontal="right"/>
    </xf>
    <xf numFmtId="3" fontId="17" fillId="0" borderId="2" xfId="1" applyNumberFormat="1" applyFont="1" applyFill="1" applyBorder="1" applyAlignment="1">
      <alignment horizontal="right"/>
    </xf>
    <xf numFmtId="3" fontId="17" fillId="2" borderId="2" xfId="1" applyNumberFormat="1" applyFont="1" applyFill="1" applyBorder="1" applyAlignment="1">
      <alignment horizontal="right"/>
    </xf>
    <xf numFmtId="3" fontId="15" fillId="0" borderId="3" xfId="1" applyNumberFormat="1" applyFont="1" applyFill="1" applyBorder="1" applyAlignment="1">
      <alignment horizontal="right"/>
    </xf>
    <xf numFmtId="3" fontId="17" fillId="2" borderId="2" xfId="1" quotePrefix="1" applyNumberFormat="1" applyFont="1" applyFill="1" applyBorder="1" applyAlignment="1">
      <alignment horizontal="right"/>
    </xf>
    <xf numFmtId="3" fontId="17" fillId="0" borderId="2" xfId="1" quotePrefix="1" applyNumberFormat="1" applyFont="1" applyFill="1" applyBorder="1" applyAlignment="1">
      <alignment horizontal="right"/>
    </xf>
    <xf numFmtId="3" fontId="17" fillId="0" borderId="6" xfId="1" quotePrefix="1" applyNumberFormat="1" applyFont="1" applyFill="1" applyBorder="1" applyAlignment="1">
      <alignment horizontal="right"/>
    </xf>
    <xf numFmtId="3" fontId="17" fillId="0" borderId="5" xfId="1" quotePrefix="1" applyNumberFormat="1" applyFont="1" applyFill="1" applyBorder="1" applyAlignment="1">
      <alignment horizontal="right"/>
    </xf>
    <xf numFmtId="3" fontId="17" fillId="3" borderId="4" xfId="1" applyNumberFormat="1" applyFont="1" applyFill="1" applyBorder="1" applyAlignment="1">
      <alignment horizontal="right"/>
    </xf>
    <xf numFmtId="3" fontId="17" fillId="3" borderId="0" xfId="1" applyNumberFormat="1" applyFont="1" applyFill="1" applyBorder="1" applyAlignment="1">
      <alignment horizontal="right"/>
    </xf>
    <xf numFmtId="3" fontId="45" fillId="0" borderId="2" xfId="0" applyNumberFormat="1" applyFont="1" applyBorder="1"/>
    <xf numFmtId="3" fontId="17" fillId="3" borderId="11" xfId="1" applyNumberFormat="1" applyFont="1" applyFill="1" applyBorder="1" applyAlignment="1">
      <alignment horizontal="right"/>
    </xf>
    <xf numFmtId="3" fontId="13" fillId="0" borderId="9" xfId="1" applyNumberFormat="1" applyFont="1" applyBorder="1" applyAlignment="1">
      <alignment horizontal="center"/>
    </xf>
    <xf numFmtId="3" fontId="16" fillId="0" borderId="6" xfId="1" applyNumberFormat="1" applyFont="1" applyBorder="1" applyAlignment="1">
      <alignment horizontal="center"/>
    </xf>
    <xf numFmtId="3" fontId="15" fillId="0" borderId="3" xfId="1" applyNumberFormat="1" applyFont="1" applyBorder="1" applyAlignment="1">
      <alignment horizontal="center"/>
    </xf>
    <xf numFmtId="3" fontId="15" fillId="0" borderId="2" xfId="1" applyNumberFormat="1" applyFont="1" applyBorder="1" applyAlignment="1">
      <alignment horizontal="center"/>
    </xf>
    <xf numFmtId="3" fontId="13" fillId="0" borderId="1" xfId="1" applyNumberFormat="1" applyFont="1" applyBorder="1"/>
    <xf numFmtId="0" fontId="17" fillId="0" borderId="6" xfId="0" applyFont="1" applyBorder="1"/>
    <xf numFmtId="0" fontId="15" fillId="0" borderId="3" xfId="1" applyFont="1" applyBorder="1" applyAlignment="1">
      <alignment horizontal="center"/>
    </xf>
    <xf numFmtId="0" fontId="15" fillId="0" borderId="15" xfId="1" applyFont="1" applyBorder="1" applyAlignment="1">
      <alignment horizontal="center"/>
    </xf>
    <xf numFmtId="14" fontId="16" fillId="0" borderId="7" xfId="1" applyNumberFormat="1" applyFont="1" applyBorder="1" applyAlignment="1">
      <alignment horizontal="center"/>
    </xf>
    <xf numFmtId="14" fontId="16" fillId="0" borderId="15" xfId="1" applyNumberFormat="1" applyFont="1" applyBorder="1" applyAlignment="1">
      <alignment horizontal="center"/>
    </xf>
    <xf numFmtId="0" fontId="17" fillId="0" borderId="5" xfId="1" applyFont="1" applyFill="1" applyBorder="1"/>
    <xf numFmtId="3" fontId="17" fillId="3" borderId="7" xfId="1" applyNumberFormat="1" applyFont="1" applyFill="1" applyBorder="1" applyAlignment="1">
      <alignment horizontal="right"/>
    </xf>
    <xf numFmtId="3" fontId="17" fillId="3" borderId="1" xfId="1" applyNumberFormat="1" applyFont="1" applyFill="1" applyBorder="1" applyAlignment="1">
      <alignment horizontal="right"/>
    </xf>
    <xf numFmtId="0" fontId="17" fillId="0" borderId="9" xfId="1" applyFont="1" applyFill="1" applyBorder="1"/>
    <xf numFmtId="167" fontId="17" fillId="0" borderId="0" xfId="1" applyNumberFormat="1" applyFont="1" applyFill="1" applyBorder="1" applyAlignment="1">
      <alignment horizontal="center"/>
    </xf>
    <xf numFmtId="167" fontId="17" fillId="3" borderId="7" xfId="1" applyNumberFormat="1" applyFont="1" applyFill="1" applyBorder="1" applyAlignment="1">
      <alignment horizontal="right"/>
    </xf>
    <xf numFmtId="167" fontId="17" fillId="3" borderId="3" xfId="1" applyNumberFormat="1" applyFont="1" applyFill="1" applyBorder="1" applyAlignment="1">
      <alignment horizontal="right"/>
    </xf>
    <xf numFmtId="167" fontId="17" fillId="3" borderId="6" xfId="1" applyNumberFormat="1" applyFont="1" applyFill="1" applyBorder="1" applyAlignment="1">
      <alignment horizontal="right"/>
    </xf>
    <xf numFmtId="0" fontId="45" fillId="0" borderId="0" xfId="0" applyFont="1" applyBorder="1"/>
    <xf numFmtId="0" fontId="45" fillId="0" borderId="7" xfId="0" applyFont="1" applyBorder="1"/>
    <xf numFmtId="14" fontId="13" fillId="0" borderId="6" xfId="0" applyNumberFormat="1" applyFont="1" applyFill="1" applyBorder="1" applyAlignment="1">
      <alignment horizontal="left"/>
    </xf>
    <xf numFmtId="14" fontId="13" fillId="0" borderId="3" xfId="0" applyNumberFormat="1" applyFont="1" applyFill="1" applyBorder="1" applyAlignment="1">
      <alignment horizontal="center"/>
    </xf>
    <xf numFmtId="166" fontId="15" fillId="0" borderId="4" xfId="0" applyNumberFormat="1" applyFont="1" applyBorder="1" applyAlignment="1">
      <alignment horizontal="center"/>
    </xf>
    <xf numFmtId="166" fontId="15" fillId="0" borderId="11" xfId="0" applyNumberFormat="1" applyFont="1" applyBorder="1" applyAlignment="1">
      <alignment horizontal="center"/>
    </xf>
    <xf numFmtId="0" fontId="15" fillId="0" borderId="5" xfId="0" applyFont="1" applyBorder="1" applyAlignment="1">
      <alignment horizontal="center"/>
    </xf>
    <xf numFmtId="164" fontId="45" fillId="0" borderId="4" xfId="0" applyNumberFormat="1" applyFont="1" applyBorder="1" applyAlignment="1">
      <alignment horizontal="right"/>
    </xf>
    <xf numFmtId="164" fontId="45" fillId="0" borderId="3" xfId="0" applyNumberFormat="1" applyFont="1" applyBorder="1" applyAlignment="1">
      <alignment horizontal="right"/>
    </xf>
    <xf numFmtId="164" fontId="30" fillId="0" borderId="4" xfId="0" applyNumberFormat="1" applyFont="1" applyBorder="1" applyAlignment="1">
      <alignment horizontal="right"/>
    </xf>
    <xf numFmtId="164" fontId="30" fillId="0" borderId="3" xfId="0" applyNumberFormat="1" applyFont="1" applyBorder="1" applyAlignment="1">
      <alignment horizontal="right"/>
    </xf>
    <xf numFmtId="164" fontId="30" fillId="0" borderId="4" xfId="0" applyNumberFormat="1" applyFont="1" applyFill="1" applyBorder="1" applyAlignment="1">
      <alignment horizontal="right"/>
    </xf>
    <xf numFmtId="0" fontId="30" fillId="0" borderId="11" xfId="0" applyFont="1" applyBorder="1"/>
    <xf numFmtId="3" fontId="30" fillId="0" borderId="11" xfId="0" applyNumberFormat="1" applyFont="1" applyBorder="1"/>
    <xf numFmtId="164" fontId="30" fillId="0" borderId="11" xfId="0" applyNumberFormat="1" applyFont="1" applyBorder="1" applyAlignment="1">
      <alignment horizontal="right"/>
    </xf>
    <xf numFmtId="164" fontId="30" fillId="0" borderId="6" xfId="0" applyNumberFormat="1" applyFont="1" applyBorder="1" applyAlignment="1">
      <alignment horizontal="right"/>
    </xf>
    <xf numFmtId="3" fontId="45" fillId="0" borderId="3" xfId="0" applyNumberFormat="1" applyFont="1" applyFill="1" applyBorder="1" applyAlignment="1">
      <alignment horizontal="right"/>
    </xf>
    <xf numFmtId="0" fontId="65" fillId="0" borderId="0" xfId="3" applyFont="1" applyAlignment="1" applyProtection="1"/>
    <xf numFmtId="0" fontId="41" fillId="0" borderId="0" xfId="0" applyFont="1" applyFill="1" applyAlignment="1">
      <alignment horizontal="center"/>
    </xf>
    <xf numFmtId="3" fontId="15" fillId="0" borderId="6" xfId="1" applyNumberFormat="1" applyFont="1" applyFill="1" applyBorder="1" applyAlignment="1">
      <alignment horizontal="right"/>
    </xf>
    <xf numFmtId="3" fontId="66" fillId="0" borderId="4" xfId="1" applyNumberFormat="1" applyFont="1" applyFill="1" applyBorder="1" applyAlignment="1">
      <alignment horizontal="right"/>
    </xf>
    <xf numFmtId="3" fontId="66" fillId="0" borderId="3" xfId="1" applyNumberFormat="1" applyFont="1" applyFill="1" applyBorder="1" applyAlignment="1">
      <alignment horizontal="right"/>
    </xf>
    <xf numFmtId="3" fontId="66" fillId="0" borderId="11" xfId="1" applyNumberFormat="1" applyFont="1" applyFill="1" applyBorder="1" applyAlignment="1">
      <alignment horizontal="right"/>
    </xf>
    <xf numFmtId="3" fontId="66" fillId="0" borderId="6" xfId="1" applyNumberFormat="1" applyFont="1" applyFill="1" applyBorder="1" applyAlignment="1">
      <alignment horizontal="right"/>
    </xf>
    <xf numFmtId="3" fontId="17" fillId="0" borderId="3" xfId="2" applyNumberFormat="1" applyFont="1" applyFill="1" applyBorder="1" applyAlignment="1">
      <alignment horizontal="right"/>
    </xf>
    <xf numFmtId="3" fontId="17" fillId="0" borderId="4" xfId="2" applyNumberFormat="1" applyFont="1" applyFill="1" applyBorder="1" applyAlignment="1">
      <alignment horizontal="right"/>
    </xf>
    <xf numFmtId="3" fontId="17" fillId="0" borderId="6" xfId="2" applyNumberFormat="1" applyFont="1" applyFill="1" applyBorder="1" applyAlignment="1">
      <alignment horizontal="right"/>
    </xf>
    <xf numFmtId="3" fontId="17" fillId="0" borderId="11" xfId="2" applyNumberFormat="1" applyFont="1" applyFill="1" applyBorder="1" applyAlignment="1">
      <alignment horizontal="right"/>
    </xf>
    <xf numFmtId="3" fontId="17" fillId="2" borderId="3" xfId="2" applyNumberFormat="1" applyFont="1" applyFill="1" applyBorder="1" applyAlignment="1">
      <alignment horizontal="right"/>
    </xf>
    <xf numFmtId="3" fontId="17" fillId="2" borderId="4" xfId="2" applyNumberFormat="1" applyFont="1" applyFill="1" applyBorder="1" applyAlignment="1">
      <alignment horizontal="right"/>
    </xf>
    <xf numFmtId="3" fontId="17" fillId="0" borderId="4" xfId="1" applyNumberFormat="1" applyFont="1" applyFill="1" applyBorder="1" applyAlignment="1">
      <alignment horizontal="right"/>
    </xf>
    <xf numFmtId="3" fontId="17" fillId="0" borderId="11" xfId="1" applyNumberFormat="1" applyFont="1" applyFill="1" applyBorder="1" applyAlignment="1">
      <alignment horizontal="right"/>
    </xf>
    <xf numFmtId="3" fontId="17" fillId="2" borderId="0" xfId="1" applyNumberFormat="1" applyFont="1" applyFill="1" applyBorder="1" applyAlignment="1">
      <alignment horizontal="right"/>
    </xf>
    <xf numFmtId="3" fontId="17" fillId="0" borderId="3" xfId="2" applyNumberFormat="1" applyFont="1" applyBorder="1" applyAlignment="1">
      <alignment horizontal="right"/>
    </xf>
    <xf numFmtId="3" fontId="17" fillId="0" borderId="4" xfId="2" applyNumberFormat="1" applyFont="1" applyBorder="1" applyAlignment="1">
      <alignment horizontal="right"/>
    </xf>
    <xf numFmtId="3" fontId="22" fillId="0" borderId="2" xfId="1" applyNumberFormat="1" applyFont="1" applyFill="1" applyBorder="1" applyAlignment="1">
      <alignment horizontal="right"/>
    </xf>
    <xf numFmtId="3" fontId="22" fillId="0" borderId="0" xfId="1" applyNumberFormat="1" applyFont="1" applyFill="1" applyBorder="1" applyAlignment="1">
      <alignment horizontal="right"/>
    </xf>
    <xf numFmtId="3" fontId="18" fillId="2" borderId="2" xfId="1" applyNumberFormat="1" applyFont="1" applyFill="1" applyBorder="1" applyAlignment="1">
      <alignment horizontal="right"/>
    </xf>
    <xf numFmtId="3" fontId="18" fillId="2" borderId="0" xfId="1" applyNumberFormat="1" applyFont="1" applyFill="1" applyBorder="1" applyAlignment="1">
      <alignment horizontal="right"/>
    </xf>
    <xf numFmtId="3" fontId="17" fillId="2" borderId="0" xfId="1" quotePrefix="1" applyNumberFormat="1" applyFont="1" applyFill="1" applyBorder="1" applyAlignment="1">
      <alignment horizontal="right"/>
    </xf>
    <xf numFmtId="3" fontId="17" fillId="0" borderId="3" xfId="2" applyNumberFormat="1" applyFont="1" applyBorder="1" applyAlignment="1">
      <alignment horizontal="left"/>
    </xf>
    <xf numFmtId="0" fontId="13" fillId="0" borderId="0" xfId="1" applyFont="1" applyBorder="1" applyAlignment="1">
      <alignment horizontal="center"/>
    </xf>
    <xf numFmtId="0" fontId="13" fillId="0" borderId="0" xfId="1" applyFont="1" applyFill="1" applyBorder="1" applyAlignment="1">
      <alignment horizontal="center"/>
    </xf>
    <xf numFmtId="3" fontId="13" fillId="0" borderId="0" xfId="1" applyNumberFormat="1" applyFont="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3" fillId="0" borderId="0" xfId="1" applyNumberFormat="1" applyFont="1" applyFill="1" applyBorder="1" applyAlignment="1">
      <alignment horizontal="center"/>
    </xf>
    <xf numFmtId="3" fontId="13" fillId="0" borderId="12" xfId="1" applyNumberFormat="1" applyFont="1" applyBorder="1" applyAlignment="1">
      <alignment horizontal="center"/>
    </xf>
    <xf numFmtId="3" fontId="15" fillId="0" borderId="9" xfId="1" applyNumberFormat="1" applyFont="1" applyBorder="1" applyAlignment="1">
      <alignment horizontal="center"/>
    </xf>
    <xf numFmtId="3" fontId="15" fillId="0" borderId="1" xfId="1" applyNumberFormat="1" applyFont="1" applyBorder="1" applyAlignment="1">
      <alignment horizontal="center"/>
    </xf>
    <xf numFmtId="3" fontId="15" fillId="0" borderId="7" xfId="2" applyNumberFormat="1" applyFont="1" applyFill="1" applyBorder="1" applyAlignment="1">
      <alignment horizontal="right"/>
    </xf>
    <xf numFmtId="3" fontId="15" fillId="0" borderId="1" xfId="2" applyNumberFormat="1" applyFont="1" applyFill="1" applyBorder="1" applyAlignment="1">
      <alignment horizontal="right"/>
    </xf>
    <xf numFmtId="3" fontId="15" fillId="0" borderId="2" xfId="1" applyNumberFormat="1" applyFont="1" applyFill="1" applyBorder="1" applyAlignment="1">
      <alignment horizontal="right"/>
    </xf>
    <xf numFmtId="3" fontId="15" fillId="0" borderId="4" xfId="1" applyNumberFormat="1" applyFont="1" applyFill="1" applyBorder="1" applyAlignment="1">
      <alignment horizontal="right"/>
    </xf>
    <xf numFmtId="3" fontId="15" fillId="0" borderId="3" xfId="2" applyNumberFormat="1" applyFont="1" applyFill="1" applyBorder="1" applyAlignment="1">
      <alignment horizontal="right"/>
    </xf>
    <xf numFmtId="3" fontId="15" fillId="0" borderId="4" xfId="2" applyNumberFormat="1" applyFont="1" applyFill="1" applyBorder="1" applyAlignment="1">
      <alignment horizontal="right"/>
    </xf>
    <xf numFmtId="3" fontId="15" fillId="0" borderId="6" xfId="2" applyNumberFormat="1" applyFont="1" applyFill="1" applyBorder="1" applyAlignment="1">
      <alignment horizontal="right"/>
    </xf>
    <xf numFmtId="3" fontId="15" fillId="0" borderId="11" xfId="2" applyNumberFormat="1" applyFont="1" applyFill="1" applyBorder="1" applyAlignment="1">
      <alignment horizontal="right"/>
    </xf>
    <xf numFmtId="3" fontId="15" fillId="0" borderId="5" xfId="1" applyNumberFormat="1" applyFont="1" applyFill="1" applyBorder="1" applyAlignment="1">
      <alignment horizontal="right"/>
    </xf>
    <xf numFmtId="3" fontId="15" fillId="0" borderId="11" xfId="1" applyNumberFormat="1" applyFont="1" applyFill="1" applyBorder="1" applyAlignment="1">
      <alignment horizontal="right"/>
    </xf>
    <xf numFmtId="3" fontId="15" fillId="0" borderId="7" xfId="1" applyNumberFormat="1" applyFont="1" applyFill="1" applyBorder="1" applyAlignment="1">
      <alignment horizontal="right"/>
    </xf>
    <xf numFmtId="3" fontId="15" fillId="0" borderId="1" xfId="1" applyNumberFormat="1" applyFont="1" applyFill="1" applyBorder="1" applyAlignment="1">
      <alignment horizontal="right"/>
    </xf>
    <xf numFmtId="3" fontId="15" fillId="0" borderId="15" xfId="1" applyNumberFormat="1" applyFont="1" applyFill="1" applyBorder="1" applyAlignment="1">
      <alignment horizontal="right"/>
    </xf>
    <xf numFmtId="3" fontId="15" fillId="2" borderId="2" xfId="1" applyNumberFormat="1" applyFont="1" applyFill="1" applyBorder="1" applyAlignment="1">
      <alignment horizontal="right"/>
    </xf>
    <xf numFmtId="3" fontId="15" fillId="2" borderId="0" xfId="1" applyNumberFormat="1" applyFont="1" applyFill="1" applyBorder="1" applyAlignment="1">
      <alignment horizontal="right"/>
    </xf>
    <xf numFmtId="3" fontId="15" fillId="2" borderId="4" xfId="1" applyNumberFormat="1" applyFont="1" applyFill="1" applyBorder="1" applyAlignment="1">
      <alignment horizontal="right"/>
    </xf>
    <xf numFmtId="3" fontId="15" fillId="2" borderId="5" xfId="1" applyNumberFormat="1" applyFont="1" applyFill="1" applyBorder="1" applyAlignment="1">
      <alignment horizontal="right"/>
    </xf>
    <xf numFmtId="3" fontId="15" fillId="2" borderId="11" xfId="1" applyNumberFormat="1" applyFont="1" applyFill="1" applyBorder="1" applyAlignment="1">
      <alignment horizontal="right"/>
    </xf>
    <xf numFmtId="3" fontId="15" fillId="2" borderId="3" xfId="1" applyNumberFormat="1" applyFont="1" applyFill="1" applyBorder="1" applyAlignment="1">
      <alignment horizontal="right"/>
    </xf>
    <xf numFmtId="3" fontId="15" fillId="2" borderId="2" xfId="1" quotePrefix="1" applyNumberFormat="1" applyFont="1" applyFill="1" applyBorder="1" applyAlignment="1">
      <alignment horizontal="right"/>
    </xf>
    <xf numFmtId="3" fontId="15" fillId="2" borderId="6" xfId="1" applyNumberFormat="1" applyFont="1" applyFill="1" applyBorder="1" applyAlignment="1">
      <alignment horizontal="right"/>
    </xf>
    <xf numFmtId="14" fontId="16" fillId="0" borderId="10" xfId="1" applyNumberFormat="1" applyFont="1" applyBorder="1" applyAlignment="1"/>
    <xf numFmtId="0" fontId="0" fillId="0" borderId="8" xfId="0" applyBorder="1" applyAlignment="1"/>
    <xf numFmtId="3" fontId="15" fillId="0" borderId="2" xfId="1" quotePrefix="1" applyNumberFormat="1" applyFont="1" applyFill="1" applyBorder="1" applyAlignment="1">
      <alignment horizontal="right"/>
    </xf>
    <xf numFmtId="0" fontId="55" fillId="0" borderId="0" xfId="1" applyFont="1" applyFill="1"/>
    <xf numFmtId="0" fontId="14" fillId="0" borderId="0" xfId="1" applyFont="1" applyFill="1" applyAlignment="1">
      <alignment horizontal="right" vertical="top"/>
    </xf>
    <xf numFmtId="0" fontId="14" fillId="0" borderId="0" xfId="1" applyFont="1" applyAlignment="1">
      <alignment vertical="top" wrapText="1"/>
    </xf>
    <xf numFmtId="0" fontId="14" fillId="0" borderId="0" xfId="1" applyFont="1" applyAlignment="1">
      <alignment horizontal="left" vertical="top" wrapText="1"/>
    </xf>
    <xf numFmtId="0" fontId="14" fillId="0" borderId="0" xfId="1" applyFont="1" applyFill="1" applyAlignment="1">
      <alignment horizontal="right"/>
    </xf>
    <xf numFmtId="0" fontId="14" fillId="0" borderId="0" xfId="1" applyFont="1" applyFill="1" applyAlignment="1">
      <alignment vertical="top" wrapText="1"/>
    </xf>
    <xf numFmtId="0" fontId="23" fillId="0" borderId="0" xfId="1" applyFont="1" applyFill="1"/>
    <xf numFmtId="0" fontId="14" fillId="0" borderId="0" xfId="1" applyFont="1" applyFill="1" applyAlignment="1">
      <alignment wrapText="1"/>
    </xf>
    <xf numFmtId="0" fontId="13" fillId="0" borderId="0" xfId="1" applyFont="1" applyFill="1" applyAlignment="1">
      <alignment horizontal="left"/>
    </xf>
    <xf numFmtId="0" fontId="67" fillId="0" borderId="0" xfId="0" applyFont="1" applyAlignment="1">
      <alignment horizontal="left" vertical="center" readingOrder="1"/>
    </xf>
    <xf numFmtId="0" fontId="17" fillId="0" borderId="0" xfId="1" applyFont="1" applyFill="1" applyBorder="1" applyAlignment="1">
      <alignment horizontal="left"/>
    </xf>
    <xf numFmtId="0" fontId="69" fillId="0" borderId="0" xfId="1" applyFont="1" applyFill="1" applyAlignment="1">
      <alignment horizontal="left"/>
    </xf>
    <xf numFmtId="0" fontId="18" fillId="0" borderId="0" xfId="1" applyFont="1" applyFill="1"/>
    <xf numFmtId="0" fontId="63" fillId="0" borderId="0" xfId="0" applyFont="1" applyFill="1"/>
    <xf numFmtId="0" fontId="64" fillId="0" borderId="0" xfId="0" applyFont="1" applyFill="1"/>
    <xf numFmtId="3" fontId="45" fillId="0" borderId="11" xfId="0" applyNumberFormat="1" applyFont="1" applyFill="1" applyBorder="1"/>
    <xf numFmtId="0" fontId="42" fillId="0" borderId="0" xfId="0" applyFont="1" applyFill="1"/>
    <xf numFmtId="0" fontId="40" fillId="0" borderId="0" xfId="0" applyFont="1" applyFill="1"/>
    <xf numFmtId="0" fontId="38" fillId="0" borderId="0" xfId="0" applyFont="1" applyFill="1"/>
    <xf numFmtId="0" fontId="42" fillId="0" borderId="0" xfId="3" applyFont="1" applyFill="1" applyAlignment="1" applyProtection="1"/>
    <xf numFmtId="3" fontId="15" fillId="3" borderId="7" xfId="1" applyNumberFormat="1" applyFont="1" applyFill="1" applyBorder="1" applyAlignment="1">
      <alignment horizontal="right"/>
    </xf>
    <xf numFmtId="0" fontId="71" fillId="0" borderId="0" xfId="1" applyFont="1" applyBorder="1" applyAlignment="1">
      <alignment horizontal="left"/>
    </xf>
    <xf numFmtId="3" fontId="66" fillId="0" borderId="2" xfId="1" applyNumberFormat="1" applyFont="1" applyFill="1" applyBorder="1" applyAlignment="1">
      <alignment horizontal="right"/>
    </xf>
    <xf numFmtId="3" fontId="58" fillId="0" borderId="2" xfId="1" applyNumberFormat="1" applyFont="1" applyFill="1" applyBorder="1" applyAlignment="1">
      <alignment horizontal="right"/>
    </xf>
    <xf numFmtId="0" fontId="70" fillId="0" borderId="0" xfId="0" applyFont="1" applyFill="1" applyAlignment="1">
      <alignment horizontal="left" vertical="center" readingOrder="1"/>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5" fillId="0" borderId="9" xfId="1" applyNumberFormat="1" applyFont="1" applyBorder="1" applyAlignment="1">
      <alignment horizontal="center"/>
    </xf>
    <xf numFmtId="3" fontId="13" fillId="0" borderId="12" xfId="1" applyNumberFormat="1" applyFont="1" applyBorder="1" applyAlignment="1">
      <alignment horizontal="center"/>
    </xf>
    <xf numFmtId="3" fontId="13" fillId="0" borderId="0" xfId="1" applyNumberFormat="1" applyFont="1" applyBorder="1" applyAlignment="1">
      <alignment horizontal="center"/>
    </xf>
    <xf numFmtId="3" fontId="13" fillId="0" borderId="0" xfId="1" applyNumberFormat="1" applyFont="1" applyFill="1" applyBorder="1" applyAlignment="1">
      <alignment horizontal="center"/>
    </xf>
    <xf numFmtId="3" fontId="13" fillId="0" borderId="14" xfId="1" applyNumberFormat="1" applyFont="1" applyFill="1" applyBorder="1" applyAlignment="1">
      <alignment horizontal="center"/>
    </xf>
    <xf numFmtId="170" fontId="15" fillId="0" borderId="7" xfId="846" applyFont="1" applyFill="1" applyBorder="1" applyAlignment="1">
      <alignment horizontal="right"/>
    </xf>
    <xf numFmtId="170" fontId="15" fillId="0" borderId="1" xfId="846" applyFont="1" applyFill="1" applyBorder="1" applyAlignment="1">
      <alignment horizontal="right"/>
    </xf>
    <xf numFmtId="170" fontId="17" fillId="0" borderId="3" xfId="846" applyFont="1" applyBorder="1" applyAlignment="1">
      <alignment horizontal="right"/>
    </xf>
    <xf numFmtId="170" fontId="17" fillId="0" borderId="3" xfId="846" applyFont="1" applyFill="1" applyBorder="1" applyAlignment="1">
      <alignment horizontal="right"/>
    </xf>
    <xf numFmtId="170" fontId="17" fillId="0" borderId="4" xfId="846" applyFont="1" applyFill="1" applyBorder="1" applyAlignment="1">
      <alignment horizontal="right"/>
    </xf>
    <xf numFmtId="170" fontId="15" fillId="0" borderId="3" xfId="846" applyFont="1" applyFill="1" applyBorder="1" applyAlignment="1">
      <alignment horizontal="right"/>
    </xf>
    <xf numFmtId="170" fontId="15" fillId="0" borderId="4" xfId="846" applyFont="1" applyFill="1" applyBorder="1" applyAlignment="1">
      <alignment horizontal="right"/>
    </xf>
    <xf numFmtId="170" fontId="15" fillId="0" borderId="6" xfId="846" applyFont="1" applyFill="1" applyBorder="1" applyAlignment="1">
      <alignment horizontal="right"/>
    </xf>
    <xf numFmtId="170" fontId="15" fillId="0" borderId="11" xfId="846" applyFont="1" applyFill="1" applyBorder="1" applyAlignment="1">
      <alignment horizontal="right"/>
    </xf>
    <xf numFmtId="170" fontId="17" fillId="3" borderId="7" xfId="846" applyFont="1" applyFill="1" applyBorder="1" applyAlignment="1">
      <alignment horizontal="right"/>
    </xf>
    <xf numFmtId="170" fontId="17" fillId="3" borderId="2" xfId="846" applyFont="1" applyFill="1" applyBorder="1" applyAlignment="1">
      <alignment horizontal="right"/>
    </xf>
    <xf numFmtId="170" fontId="15" fillId="0" borderId="2" xfId="846" applyFont="1" applyFill="1" applyBorder="1" applyAlignment="1">
      <alignment horizontal="right"/>
    </xf>
    <xf numFmtId="170" fontId="17" fillId="3" borderId="3" xfId="846" applyFont="1" applyFill="1" applyBorder="1" applyAlignment="1">
      <alignment horizontal="right"/>
    </xf>
    <xf numFmtId="170" fontId="17" fillId="2" borderId="3" xfId="846" applyFont="1" applyFill="1" applyBorder="1" applyAlignment="1">
      <alignment horizontal="right"/>
    </xf>
    <xf numFmtId="170" fontId="17" fillId="2" borderId="4" xfId="846" applyFont="1" applyFill="1" applyBorder="1" applyAlignment="1">
      <alignment horizontal="right"/>
    </xf>
    <xf numFmtId="170" fontId="17" fillId="0" borderId="2" xfId="846" applyFont="1" applyFill="1" applyBorder="1" applyAlignment="1">
      <alignment horizontal="right"/>
    </xf>
    <xf numFmtId="170" fontId="17" fillId="3" borderId="6" xfId="846" applyFont="1" applyFill="1" applyBorder="1" applyAlignment="1">
      <alignment horizontal="right"/>
    </xf>
    <xf numFmtId="170" fontId="15" fillId="0" borderId="5" xfId="846" applyFont="1" applyFill="1" applyBorder="1" applyAlignment="1">
      <alignment horizontal="right"/>
    </xf>
    <xf numFmtId="170" fontId="15" fillId="0" borderId="15" xfId="846" applyFont="1" applyFill="1" applyBorder="1" applyAlignment="1">
      <alignment horizontal="right"/>
    </xf>
    <xf numFmtId="170" fontId="15" fillId="2" borderId="2" xfId="846" applyFont="1" applyFill="1" applyBorder="1" applyAlignment="1">
      <alignment horizontal="right"/>
    </xf>
    <xf numFmtId="170" fontId="15" fillId="2" borderId="0" xfId="846" applyFont="1" applyFill="1" applyBorder="1" applyAlignment="1">
      <alignment horizontal="right"/>
    </xf>
    <xf numFmtId="170" fontId="15" fillId="2" borderId="4" xfId="846" applyFont="1" applyFill="1" applyBorder="1" applyAlignment="1">
      <alignment horizontal="right"/>
    </xf>
    <xf numFmtId="170" fontId="15" fillId="2" borderId="5" xfId="846" applyFont="1" applyFill="1" applyBorder="1" applyAlignment="1">
      <alignment horizontal="right"/>
    </xf>
    <xf numFmtId="170" fontId="15" fillId="2" borderId="11" xfId="846" applyFont="1" applyFill="1" applyBorder="1" applyAlignment="1">
      <alignment horizontal="right"/>
    </xf>
    <xf numFmtId="170" fontId="17" fillId="0" borderId="4" xfId="846" applyFont="1" applyBorder="1" applyAlignment="1">
      <alignment horizontal="right"/>
    </xf>
    <xf numFmtId="170" fontId="17" fillId="0" borderId="6" xfId="846" applyFont="1" applyFill="1" applyBorder="1" applyAlignment="1">
      <alignment horizontal="right"/>
    </xf>
    <xf numFmtId="170" fontId="17" fillId="0" borderId="11" xfId="846" applyFont="1" applyFill="1" applyBorder="1" applyAlignment="1">
      <alignment horizontal="right"/>
    </xf>
    <xf numFmtId="170" fontId="17" fillId="3" borderId="5" xfId="846" applyFont="1" applyFill="1" applyBorder="1" applyAlignment="1">
      <alignment horizontal="right"/>
    </xf>
    <xf numFmtId="170" fontId="17" fillId="3" borderId="0" xfId="846" applyFont="1" applyFill="1" applyBorder="1" applyAlignment="1">
      <alignment horizontal="right"/>
    </xf>
    <xf numFmtId="170" fontId="17" fillId="3" borderId="1" xfId="846" applyFont="1" applyFill="1" applyBorder="1" applyAlignment="1">
      <alignment horizontal="right"/>
    </xf>
    <xf numFmtId="170" fontId="17" fillId="3" borderId="4" xfId="846" applyFont="1" applyFill="1" applyBorder="1" applyAlignment="1">
      <alignment horizontal="right"/>
    </xf>
    <xf numFmtId="170" fontId="17" fillId="3" borderId="11" xfId="846" applyFont="1" applyFill="1" applyBorder="1" applyAlignment="1">
      <alignment horizontal="right"/>
    </xf>
    <xf numFmtId="49" fontId="15" fillId="0" borderId="1" xfId="2" applyNumberFormat="1" applyFont="1" applyFill="1" applyBorder="1" applyAlignment="1">
      <alignment horizontal="right"/>
    </xf>
    <xf numFmtId="49" fontId="15" fillId="0" borderId="7" xfId="2" applyNumberFormat="1" applyFont="1" applyFill="1" applyBorder="1" applyAlignment="1">
      <alignment horizontal="right"/>
    </xf>
    <xf numFmtId="49" fontId="17" fillId="0" borderId="0" xfId="1" applyNumberFormat="1" applyFont="1"/>
    <xf numFmtId="49" fontId="17" fillId="0" borderId="3" xfId="2" applyNumberFormat="1" applyFont="1" applyBorder="1" applyAlignment="1">
      <alignment horizontal="right"/>
    </xf>
    <xf numFmtId="3" fontId="17" fillId="0" borderId="5" xfId="1" applyNumberFormat="1" applyFont="1" applyFill="1" applyBorder="1" applyAlignment="1">
      <alignment horizontal="right"/>
    </xf>
    <xf numFmtId="3" fontId="17" fillId="10" borderId="8" xfId="1" applyNumberFormat="1" applyFont="1" applyFill="1" applyBorder="1"/>
    <xf numFmtId="3" fontId="15" fillId="10" borderId="6" xfId="1" applyNumberFormat="1" applyFont="1" applyFill="1" applyBorder="1"/>
    <xf numFmtId="3" fontId="15" fillId="10" borderId="11" xfId="1" applyNumberFormat="1" applyFont="1" applyFill="1" applyBorder="1"/>
    <xf numFmtId="0" fontId="41" fillId="0" borderId="0" xfId="1" applyFont="1" applyProtection="1">
      <protection locked="0"/>
    </xf>
    <xf numFmtId="0" fontId="17" fillId="0" borderId="0" xfId="3" applyFont="1" applyFill="1" applyAlignment="1" applyProtection="1">
      <protection locked="0"/>
    </xf>
    <xf numFmtId="0" fontId="56" fillId="0" borderId="0" xfId="1" applyFont="1" applyProtection="1">
      <protection locked="0"/>
    </xf>
    <xf numFmtId="0" fontId="19" fillId="0" borderId="0" xfId="1" applyProtection="1">
      <protection locked="0"/>
    </xf>
    <xf numFmtId="0" fontId="19" fillId="0" borderId="0" xfId="1" applyFont="1" applyProtection="1">
      <protection locked="0"/>
    </xf>
    <xf numFmtId="3" fontId="45" fillId="4" borderId="0" xfId="1" applyNumberFormat="1" applyFont="1" applyFill="1" applyProtection="1">
      <protection locked="0"/>
    </xf>
    <xf numFmtId="3" fontId="15" fillId="4" borderId="0" xfId="1" applyNumberFormat="1" applyFont="1" applyFill="1" applyProtection="1">
      <protection locked="0"/>
    </xf>
    <xf numFmtId="0" fontId="19" fillId="0" borderId="0" xfId="1" applyFont="1" applyBorder="1" applyProtection="1">
      <protection locked="0"/>
    </xf>
    <xf numFmtId="14" fontId="13" fillId="0" borderId="7" xfId="1" applyNumberFormat="1" applyFont="1" applyFill="1" applyBorder="1" applyAlignment="1" applyProtection="1">
      <alignment horizontal="left"/>
      <protection locked="0"/>
    </xf>
    <xf numFmtId="3" fontId="13" fillId="0" borderId="8" xfId="1" quotePrefix="1" applyNumberFormat="1" applyFont="1" applyFill="1" applyBorder="1" applyAlignment="1" applyProtection="1">
      <alignment horizontal="center"/>
      <protection locked="0"/>
    </xf>
    <xf numFmtId="3" fontId="13" fillId="0" borderId="9" xfId="1" quotePrefix="1" applyNumberFormat="1" applyFont="1" applyFill="1" applyBorder="1" applyAlignment="1" applyProtection="1">
      <alignment horizontal="center"/>
      <protection locked="0"/>
    </xf>
    <xf numFmtId="3" fontId="13" fillId="0" borderId="10" xfId="1" quotePrefix="1" applyNumberFormat="1" applyFont="1" applyFill="1" applyBorder="1" applyAlignment="1" applyProtection="1">
      <alignment horizontal="center"/>
      <protection locked="0"/>
    </xf>
    <xf numFmtId="0" fontId="17" fillId="0" borderId="8" xfId="1" applyFont="1" applyBorder="1" applyProtection="1">
      <protection locked="0"/>
    </xf>
    <xf numFmtId="0" fontId="17" fillId="0" borderId="10" xfId="1" applyFont="1" applyBorder="1" applyProtection="1">
      <protection locked="0"/>
    </xf>
    <xf numFmtId="0" fontId="17" fillId="0" borderId="9" xfId="1" applyFont="1" applyBorder="1" applyProtection="1">
      <protection locked="0"/>
    </xf>
    <xf numFmtId="0" fontId="17" fillId="4" borderId="10" xfId="1" applyFont="1" applyFill="1" applyBorder="1" applyProtection="1">
      <protection locked="0"/>
    </xf>
    <xf numFmtId="0" fontId="17" fillId="4" borderId="8" xfId="1" applyFont="1" applyFill="1" applyBorder="1" applyProtection="1">
      <protection locked="0"/>
    </xf>
    <xf numFmtId="0" fontId="17" fillId="4" borderId="9" xfId="1" applyFont="1" applyFill="1" applyBorder="1" applyProtection="1">
      <protection locked="0"/>
    </xf>
    <xf numFmtId="0" fontId="19" fillId="0" borderId="9" xfId="1" applyFont="1" applyBorder="1" applyProtection="1">
      <protection locked="0"/>
    </xf>
    <xf numFmtId="3" fontId="45" fillId="0" borderId="1" xfId="1" applyNumberFormat="1" applyFont="1" applyFill="1" applyBorder="1" applyProtection="1">
      <protection locked="0"/>
    </xf>
    <xf numFmtId="0" fontId="45" fillId="0" borderId="1" xfId="1" applyNumberFormat="1" applyFont="1" applyFill="1" applyBorder="1" applyAlignment="1" applyProtection="1">
      <alignment horizontal="center"/>
      <protection locked="0"/>
    </xf>
    <xf numFmtId="0" fontId="45" fillId="0" borderId="14" xfId="1" applyNumberFormat="1" applyFont="1" applyFill="1" applyBorder="1" applyAlignment="1" applyProtection="1">
      <alignment horizontal="center"/>
      <protection locked="0"/>
    </xf>
    <xf numFmtId="0" fontId="45" fillId="0" borderId="15" xfId="1" applyNumberFormat="1" applyFont="1" applyFill="1" applyBorder="1" applyAlignment="1" applyProtection="1">
      <alignment horizontal="center"/>
      <protection locked="0"/>
    </xf>
    <xf numFmtId="3" fontId="45" fillId="0" borderId="4" xfId="1" applyNumberFormat="1" applyFont="1" applyFill="1" applyBorder="1" applyProtection="1">
      <protection locked="0"/>
    </xf>
    <xf numFmtId="0" fontId="15" fillId="0" borderId="7" xfId="1" applyNumberFormat="1" applyFont="1" applyFill="1" applyBorder="1" applyAlignment="1" applyProtection="1">
      <alignment horizontal="center"/>
      <protection locked="0"/>
    </xf>
    <xf numFmtId="3" fontId="50" fillId="4" borderId="6" xfId="1" applyNumberFormat="1" applyFont="1" applyFill="1" applyBorder="1" applyProtection="1">
      <protection locked="0"/>
    </xf>
    <xf numFmtId="0" fontId="13" fillId="0" borderId="11" xfId="1" applyFont="1" applyBorder="1" applyAlignment="1" applyProtection="1">
      <alignment horizontal="center"/>
      <protection locked="0"/>
    </xf>
    <xf numFmtId="168" fontId="15" fillId="0" borderId="6" xfId="1" applyNumberFormat="1" applyFont="1" applyFill="1" applyBorder="1" applyAlignment="1" applyProtection="1">
      <alignment horizontal="center"/>
      <protection locked="0"/>
    </xf>
    <xf numFmtId="3" fontId="30" fillId="4" borderId="1" xfId="1" applyNumberFormat="1" applyFont="1" applyFill="1" applyBorder="1" applyAlignment="1" applyProtection="1">
      <alignment horizontal="right"/>
    </xf>
    <xf numFmtId="3" fontId="30" fillId="4" borderId="1" xfId="1" applyNumberFormat="1" applyFont="1" applyFill="1" applyBorder="1" applyAlignment="1" applyProtection="1">
      <alignment horizontal="right"/>
      <protection locked="0"/>
    </xf>
    <xf numFmtId="3" fontId="30" fillId="4" borderId="7" xfId="1" applyNumberFormat="1" applyFont="1" applyFill="1" applyBorder="1" applyAlignment="1" applyProtection="1">
      <alignment horizontal="right"/>
      <protection locked="0"/>
    </xf>
    <xf numFmtId="3" fontId="30" fillId="4" borderId="1" xfId="7" applyNumberFormat="1" applyFont="1" applyFill="1" applyBorder="1" applyAlignment="1" applyProtection="1">
      <alignment horizontal="right"/>
      <protection locked="0"/>
    </xf>
    <xf numFmtId="3" fontId="30" fillId="4" borderId="1" xfId="15" applyNumberFormat="1" applyFont="1" applyFill="1" applyBorder="1" applyAlignment="1" applyProtection="1">
      <alignment horizontal="right"/>
    </xf>
    <xf numFmtId="3" fontId="30" fillId="4" borderId="1" xfId="15" applyNumberFormat="1" applyFont="1" applyFill="1" applyBorder="1" applyAlignment="1" applyProtection="1">
      <alignment horizontal="right"/>
      <protection locked="0"/>
    </xf>
    <xf numFmtId="3" fontId="30" fillId="4" borderId="7" xfId="1" applyNumberFormat="1" applyFont="1" applyFill="1" applyBorder="1" applyAlignment="1" applyProtection="1">
      <alignment horizontal="right"/>
    </xf>
    <xf numFmtId="0" fontId="30" fillId="4" borderId="7" xfId="1" applyFont="1" applyFill="1" applyBorder="1" applyAlignment="1" applyProtection="1">
      <alignment horizontal="right"/>
      <protection locked="0"/>
    </xf>
    <xf numFmtId="0" fontId="30" fillId="0" borderId="4" xfId="1" applyFont="1" applyFill="1" applyBorder="1" applyProtection="1">
      <protection locked="0"/>
    </xf>
    <xf numFmtId="3" fontId="30" fillId="4" borderId="4" xfId="1" applyNumberFormat="1" applyFont="1" applyFill="1" applyBorder="1" applyAlignment="1" applyProtection="1">
      <alignment horizontal="right"/>
    </xf>
    <xf numFmtId="3" fontId="30" fillId="4" borderId="4" xfId="1" applyNumberFormat="1" applyFont="1" applyFill="1" applyBorder="1" applyAlignment="1" applyProtection="1">
      <alignment horizontal="right"/>
      <protection locked="0"/>
    </xf>
    <xf numFmtId="3" fontId="30" fillId="4" borderId="3" xfId="1" applyNumberFormat="1" applyFont="1" applyFill="1" applyBorder="1" applyAlignment="1" applyProtection="1">
      <alignment horizontal="right"/>
      <protection locked="0"/>
    </xf>
    <xf numFmtId="3" fontId="30" fillId="4" borderId="4" xfId="7" applyNumberFormat="1" applyFont="1" applyFill="1" applyBorder="1" applyAlignment="1" applyProtection="1">
      <alignment horizontal="right"/>
      <protection locked="0"/>
    </xf>
    <xf numFmtId="3" fontId="30" fillId="4" borderId="4" xfId="15" applyNumberFormat="1" applyFont="1" applyFill="1" applyBorder="1" applyAlignment="1" applyProtection="1">
      <alignment horizontal="right"/>
    </xf>
    <xf numFmtId="3" fontId="30" fillId="4" borderId="4" xfId="15" applyNumberFormat="1" applyFont="1" applyFill="1" applyBorder="1" applyAlignment="1" applyProtection="1">
      <alignment horizontal="right"/>
      <protection locked="0"/>
    </xf>
    <xf numFmtId="3" fontId="30" fillId="4" borderId="3" xfId="1" applyNumberFormat="1" applyFont="1" applyFill="1" applyBorder="1" applyAlignment="1" applyProtection="1">
      <alignment horizontal="right"/>
    </xf>
    <xf numFmtId="0" fontId="30" fillId="4" borderId="3" xfId="1" applyFont="1" applyFill="1" applyBorder="1" applyAlignment="1" applyProtection="1">
      <alignment horizontal="right"/>
      <protection locked="0"/>
    </xf>
    <xf numFmtId="3" fontId="30" fillId="4" borderId="3" xfId="7" applyNumberFormat="1" applyFont="1" applyFill="1" applyBorder="1" applyAlignment="1" applyProtection="1">
      <alignment horizontal="right"/>
    </xf>
    <xf numFmtId="3" fontId="30" fillId="4" borderId="3" xfId="7" applyNumberFormat="1" applyFont="1" applyFill="1" applyBorder="1" applyAlignment="1" applyProtection="1">
      <alignment horizontal="right"/>
      <protection locked="0"/>
    </xf>
    <xf numFmtId="3" fontId="30" fillId="0" borderId="3" xfId="1" applyNumberFormat="1" applyFont="1" applyFill="1" applyBorder="1" applyAlignment="1" applyProtection="1">
      <alignment horizontal="right"/>
      <protection locked="0"/>
    </xf>
    <xf numFmtId="3" fontId="30" fillId="4" borderId="4" xfId="7" applyNumberFormat="1" applyFont="1" applyFill="1" applyBorder="1" applyAlignment="1" applyProtection="1">
      <alignment horizontal="right"/>
    </xf>
    <xf numFmtId="3" fontId="30" fillId="0" borderId="3" xfId="1" applyNumberFormat="1" applyFont="1" applyBorder="1" applyAlignment="1" applyProtection="1">
      <alignment horizontal="right"/>
    </xf>
    <xf numFmtId="3" fontId="30" fillId="0" borderId="3" xfId="1" applyNumberFormat="1" applyFont="1" applyBorder="1" applyAlignment="1" applyProtection="1">
      <alignment horizontal="right"/>
      <protection locked="0"/>
    </xf>
    <xf numFmtId="3" fontId="30" fillId="0" borderId="3" xfId="7" applyNumberFormat="1" applyFont="1" applyBorder="1" applyAlignment="1" applyProtection="1">
      <alignment horizontal="right"/>
    </xf>
    <xf numFmtId="3" fontId="30" fillId="0" borderId="3" xfId="7" applyNumberFormat="1" applyFont="1" applyBorder="1" applyAlignment="1" applyProtection="1">
      <alignment horizontal="right"/>
      <protection locked="0"/>
    </xf>
    <xf numFmtId="1" fontId="30" fillId="0" borderId="3" xfId="1" applyNumberFormat="1" applyFont="1" applyBorder="1" applyAlignment="1" applyProtection="1">
      <alignment horizontal="right"/>
    </xf>
    <xf numFmtId="1" fontId="30" fillId="0" borderId="3" xfId="1" applyNumberFormat="1" applyFont="1" applyBorder="1" applyAlignment="1" applyProtection="1">
      <alignment horizontal="right"/>
      <protection locked="0"/>
    </xf>
    <xf numFmtId="0" fontId="30" fillId="0" borderId="3" xfId="1" applyFont="1" applyBorder="1" applyAlignment="1" applyProtection="1">
      <alignment horizontal="right"/>
    </xf>
    <xf numFmtId="0" fontId="30" fillId="0" borderId="3" xfId="1" applyFont="1" applyBorder="1" applyAlignment="1" applyProtection="1">
      <alignment horizontal="right"/>
      <protection locked="0"/>
    </xf>
    <xf numFmtId="165" fontId="30" fillId="0" borderId="3" xfId="847" applyNumberFormat="1" applyFont="1" applyBorder="1" applyAlignment="1" applyProtection="1">
      <alignment horizontal="right"/>
    </xf>
    <xf numFmtId="165" fontId="30" fillId="0" borderId="3" xfId="847" applyNumberFormat="1" applyFont="1" applyBorder="1" applyAlignment="1" applyProtection="1">
      <alignment horizontal="right"/>
      <protection locked="0"/>
    </xf>
    <xf numFmtId="3" fontId="30" fillId="9" borderId="3" xfId="1" applyNumberFormat="1" applyFont="1" applyFill="1" applyBorder="1" applyAlignment="1" applyProtection="1">
      <alignment horizontal="right"/>
      <protection locked="0"/>
    </xf>
    <xf numFmtId="169" fontId="30" fillId="0" borderId="3" xfId="847" applyNumberFormat="1" applyFont="1" applyBorder="1" applyAlignment="1" applyProtection="1">
      <alignment horizontal="right"/>
    </xf>
    <xf numFmtId="0" fontId="30" fillId="0" borderId="3" xfId="1" applyFont="1" applyFill="1" applyBorder="1" applyAlignment="1" applyProtection="1">
      <alignment horizontal="right"/>
      <protection locked="0"/>
    </xf>
    <xf numFmtId="165" fontId="30" fillId="4" borderId="4" xfId="847" applyNumberFormat="1" applyFont="1" applyFill="1" applyBorder="1" applyAlignment="1" applyProtection="1">
      <alignment horizontal="right"/>
    </xf>
    <xf numFmtId="165" fontId="30" fillId="4" borderId="4" xfId="847" applyNumberFormat="1" applyFont="1" applyFill="1" applyBorder="1" applyAlignment="1" applyProtection="1">
      <alignment horizontal="right"/>
      <protection locked="0"/>
    </xf>
    <xf numFmtId="165" fontId="30" fillId="4" borderId="3" xfId="847" applyNumberFormat="1" applyFont="1" applyFill="1" applyBorder="1" applyAlignment="1" applyProtection="1">
      <alignment horizontal="right"/>
    </xf>
    <xf numFmtId="165" fontId="30" fillId="4" borderId="3" xfId="847" applyNumberFormat="1" applyFont="1" applyFill="1" applyBorder="1" applyAlignment="1" applyProtection="1">
      <alignment horizontal="right"/>
      <protection locked="0"/>
    </xf>
    <xf numFmtId="3" fontId="30" fillId="0" borderId="3" xfId="1" applyNumberFormat="1" applyFont="1" applyFill="1" applyBorder="1" applyAlignment="1" applyProtection="1">
      <alignment horizontal="right"/>
    </xf>
    <xf numFmtId="3" fontId="30" fillId="0" borderId="3" xfId="7" applyNumberFormat="1" applyFont="1" applyFill="1" applyBorder="1" applyAlignment="1" applyProtection="1">
      <alignment horizontal="right"/>
    </xf>
    <xf numFmtId="3" fontId="30" fillId="0" borderId="3" xfId="7" applyNumberFormat="1" applyFont="1" applyFill="1" applyBorder="1" applyAlignment="1" applyProtection="1">
      <alignment horizontal="right"/>
      <protection locked="0"/>
    </xf>
    <xf numFmtId="0" fontId="19" fillId="0" borderId="0" xfId="1" applyFont="1" applyFill="1" applyProtection="1">
      <protection locked="0"/>
    </xf>
    <xf numFmtId="0" fontId="45" fillId="0" borderId="11" xfId="1" applyFont="1" applyFill="1" applyBorder="1" applyProtection="1">
      <protection locked="0"/>
    </xf>
    <xf numFmtId="3" fontId="45" fillId="0" borderId="6" xfId="1" applyNumberFormat="1" applyFont="1" applyFill="1" applyBorder="1" applyAlignment="1" applyProtection="1">
      <alignment horizontal="right"/>
    </xf>
    <xf numFmtId="3" fontId="45" fillId="0" borderId="6" xfId="1" applyNumberFormat="1" applyFont="1" applyFill="1" applyBorder="1" applyAlignment="1" applyProtection="1">
      <alignment horizontal="right"/>
      <protection locked="0"/>
    </xf>
    <xf numFmtId="3" fontId="45" fillId="4" borderId="6" xfId="1" applyNumberFormat="1" applyFont="1" applyFill="1" applyBorder="1" applyAlignment="1" applyProtection="1">
      <alignment horizontal="right"/>
      <protection locked="0"/>
    </xf>
    <xf numFmtId="3" fontId="45" fillId="0" borderId="6" xfId="7" applyNumberFormat="1" applyFont="1" applyFill="1" applyBorder="1" applyAlignment="1" applyProtection="1">
      <alignment horizontal="right"/>
      <protection locked="0"/>
    </xf>
    <xf numFmtId="0" fontId="49" fillId="0" borderId="0" xfId="1" applyFont="1" applyProtection="1">
      <protection locked="0"/>
    </xf>
    <xf numFmtId="0" fontId="45" fillId="0" borderId="4" xfId="1" applyFont="1" applyFill="1" applyBorder="1" applyProtection="1">
      <protection locked="0"/>
    </xf>
    <xf numFmtId="3" fontId="45" fillId="4" borderId="4" xfId="15" applyNumberFormat="1" applyFont="1" applyFill="1" applyBorder="1" applyAlignment="1" applyProtection="1">
      <alignment horizontal="right"/>
    </xf>
    <xf numFmtId="3" fontId="45" fillId="4" borderId="4" xfId="15" applyNumberFormat="1" applyFont="1" applyFill="1" applyBorder="1" applyAlignment="1" applyProtection="1">
      <alignment horizontal="right"/>
      <protection locked="0"/>
    </xf>
    <xf numFmtId="3" fontId="45" fillId="4" borderId="3" xfId="1" applyNumberFormat="1" applyFont="1" applyFill="1" applyBorder="1" applyAlignment="1" applyProtection="1">
      <alignment horizontal="right"/>
      <protection locked="0"/>
    </xf>
    <xf numFmtId="3" fontId="45" fillId="4" borderId="7" xfId="1" applyNumberFormat="1" applyFont="1" applyFill="1" applyBorder="1" applyAlignment="1" applyProtection="1">
      <alignment horizontal="right"/>
      <protection locked="0"/>
    </xf>
    <xf numFmtId="0" fontId="45" fillId="4" borderId="7" xfId="1" applyFont="1" applyFill="1" applyBorder="1" applyAlignment="1" applyProtection="1">
      <alignment horizontal="right"/>
      <protection locked="0"/>
    </xf>
    <xf numFmtId="0" fontId="45" fillId="4" borderId="15" xfId="1" applyFont="1" applyFill="1" applyBorder="1" applyAlignment="1" applyProtection="1">
      <alignment horizontal="right"/>
      <protection locked="0"/>
    </xf>
    <xf numFmtId="0" fontId="49" fillId="0" borderId="7" xfId="1" applyFont="1" applyBorder="1" applyAlignment="1" applyProtection="1">
      <alignment horizontal="right"/>
      <protection locked="0"/>
    </xf>
    <xf numFmtId="0" fontId="45" fillId="4" borderId="3" xfId="1" applyFont="1" applyFill="1" applyBorder="1" applyAlignment="1" applyProtection="1">
      <alignment horizontal="right"/>
      <protection locked="0"/>
    </xf>
    <xf numFmtId="0" fontId="45" fillId="4" borderId="2" xfId="1" applyFont="1" applyFill="1" applyBorder="1" applyAlignment="1" applyProtection="1">
      <alignment horizontal="right"/>
      <protection locked="0"/>
    </xf>
    <xf numFmtId="0" fontId="49" fillId="0" borderId="3" xfId="1" applyFont="1" applyBorder="1" applyAlignment="1" applyProtection="1">
      <alignment horizontal="right"/>
      <protection locked="0"/>
    </xf>
    <xf numFmtId="0" fontId="30" fillId="4" borderId="2" xfId="1" applyFont="1" applyFill="1" applyBorder="1" applyAlignment="1" applyProtection="1">
      <alignment horizontal="right"/>
      <protection locked="0"/>
    </xf>
    <xf numFmtId="0" fontId="30" fillId="0" borderId="0" xfId="1" applyFont="1" applyProtection="1">
      <protection locked="0"/>
    </xf>
    <xf numFmtId="3" fontId="30" fillId="4" borderId="2" xfId="1" applyNumberFormat="1" applyFont="1" applyFill="1" applyBorder="1" applyAlignment="1" applyProtection="1">
      <alignment horizontal="right"/>
      <protection locked="0"/>
    </xf>
    <xf numFmtId="3" fontId="45" fillId="4" borderId="2" xfId="1" applyNumberFormat="1" applyFont="1" applyFill="1" applyBorder="1" applyAlignment="1" applyProtection="1">
      <alignment horizontal="right"/>
      <protection locked="0"/>
    </xf>
    <xf numFmtId="0" fontId="45" fillId="0" borderId="0" xfId="1" applyFont="1" applyProtection="1">
      <protection locked="0"/>
    </xf>
    <xf numFmtId="3" fontId="45" fillId="4" borderId="11" xfId="15" applyNumberFormat="1" applyFont="1" applyFill="1" applyBorder="1" applyAlignment="1" applyProtection="1">
      <alignment horizontal="right"/>
    </xf>
    <xf numFmtId="3" fontId="45" fillId="4" borderId="11" xfId="15" applyNumberFormat="1" applyFont="1" applyFill="1" applyBorder="1" applyAlignment="1" applyProtection="1">
      <alignment horizontal="right"/>
      <protection locked="0"/>
    </xf>
    <xf numFmtId="0" fontId="45" fillId="4" borderId="6" xfId="1" applyFont="1" applyFill="1" applyBorder="1" applyAlignment="1" applyProtection="1">
      <alignment horizontal="right"/>
      <protection locked="0"/>
    </xf>
    <xf numFmtId="0" fontId="45" fillId="4" borderId="5" xfId="1" applyFont="1" applyFill="1" applyBorder="1" applyAlignment="1" applyProtection="1">
      <alignment horizontal="right"/>
      <protection locked="0"/>
    </xf>
    <xf numFmtId="0" fontId="45" fillId="0" borderId="6" xfId="1" applyFont="1" applyBorder="1" applyAlignment="1" applyProtection="1">
      <alignment horizontal="right"/>
      <protection locked="0"/>
    </xf>
    <xf numFmtId="0" fontId="45" fillId="0" borderId="7" xfId="1" applyFont="1" applyFill="1" applyBorder="1" applyProtection="1">
      <protection locked="0"/>
    </xf>
    <xf numFmtId="3" fontId="45" fillId="4" borderId="1" xfId="15" applyNumberFormat="1" applyFont="1" applyFill="1" applyBorder="1" applyAlignment="1" applyProtection="1">
      <alignment horizontal="right"/>
    </xf>
    <xf numFmtId="3" fontId="45" fillId="4" borderId="1" xfId="15" applyNumberFormat="1" applyFont="1" applyFill="1" applyBorder="1" applyAlignment="1" applyProtection="1">
      <alignment horizontal="right"/>
      <protection locked="0"/>
    </xf>
    <xf numFmtId="3" fontId="45" fillId="4" borderId="1" xfId="1" applyNumberFormat="1" applyFont="1" applyFill="1" applyBorder="1" applyAlignment="1" applyProtection="1">
      <alignment horizontal="right"/>
      <protection locked="0"/>
    </xf>
    <xf numFmtId="0" fontId="45" fillId="4" borderId="1" xfId="1" applyFont="1" applyFill="1" applyBorder="1" applyAlignment="1" applyProtection="1">
      <alignment horizontal="right"/>
      <protection locked="0"/>
    </xf>
    <xf numFmtId="0" fontId="45" fillId="0" borderId="7" xfId="1" applyFont="1" applyBorder="1" applyAlignment="1" applyProtection="1">
      <alignment horizontal="right"/>
      <protection locked="0"/>
    </xf>
    <xf numFmtId="0" fontId="45" fillId="0" borderId="3" xfId="1" applyFont="1" applyFill="1" applyBorder="1" applyProtection="1">
      <protection locked="0"/>
    </xf>
    <xf numFmtId="0" fontId="30" fillId="0" borderId="3" xfId="1" applyFont="1" applyFill="1" applyBorder="1" applyProtection="1"/>
    <xf numFmtId="0" fontId="30" fillId="0" borderId="3" xfId="1" applyFont="1" applyFill="1" applyBorder="1" applyProtection="1">
      <protection locked="0"/>
    </xf>
    <xf numFmtId="3" fontId="45" fillId="0" borderId="4" xfId="15" applyNumberFormat="1" applyFont="1" applyFill="1" applyBorder="1" applyAlignment="1" applyProtection="1">
      <alignment horizontal="right"/>
    </xf>
    <xf numFmtId="0" fontId="30" fillId="0" borderId="3" xfId="7" applyFont="1" applyFill="1" applyBorder="1" applyProtection="1">
      <protection locked="0"/>
    </xf>
    <xf numFmtId="3" fontId="30" fillId="0" borderId="3" xfId="1" applyNumberFormat="1" applyFont="1" applyFill="1" applyBorder="1" applyProtection="1">
      <protection locked="0"/>
    </xf>
    <xf numFmtId="0" fontId="45" fillId="0" borderId="0" xfId="1" applyFont="1" applyFill="1" applyProtection="1">
      <protection locked="0"/>
    </xf>
    <xf numFmtId="3" fontId="30" fillId="0" borderId="4" xfId="15" applyNumberFormat="1" applyFont="1" applyFill="1" applyBorder="1" applyAlignment="1" applyProtection="1">
      <alignment horizontal="right"/>
    </xf>
    <xf numFmtId="0" fontId="30" fillId="0" borderId="0" xfId="1" applyFont="1" applyFill="1" applyProtection="1">
      <protection locked="0"/>
    </xf>
    <xf numFmtId="3" fontId="30" fillId="0" borderId="4" xfId="15" applyNumberFormat="1" applyFont="1" applyFill="1" applyBorder="1" applyAlignment="1" applyProtection="1">
      <alignment horizontal="right"/>
      <protection locked="0"/>
    </xf>
    <xf numFmtId="1" fontId="30" fillId="0" borderId="3" xfId="1" applyNumberFormat="1" applyFont="1" applyFill="1" applyBorder="1" applyProtection="1"/>
    <xf numFmtId="0" fontId="45" fillId="0" borderId="6" xfId="1" applyFont="1" applyFill="1" applyBorder="1" applyProtection="1">
      <protection locked="0"/>
    </xf>
    <xf numFmtId="1" fontId="30" fillId="0" borderId="6" xfId="1" applyNumberFormat="1" applyFont="1" applyFill="1" applyBorder="1" applyProtection="1"/>
    <xf numFmtId="0" fontId="30" fillId="0" borderId="6" xfId="1" applyFont="1" applyFill="1" applyBorder="1" applyProtection="1">
      <protection locked="0"/>
    </xf>
    <xf numFmtId="3" fontId="45" fillId="0" borderId="11" xfId="15" applyNumberFormat="1" applyFont="1" applyFill="1" applyBorder="1" applyAlignment="1" applyProtection="1">
      <alignment horizontal="right"/>
    </xf>
    <xf numFmtId="0" fontId="30" fillId="0" borderId="6" xfId="7" applyFont="1" applyFill="1" applyBorder="1" applyProtection="1">
      <protection locked="0"/>
    </xf>
    <xf numFmtId="3" fontId="45" fillId="0" borderId="11" xfId="15" applyNumberFormat="1" applyFont="1" applyFill="1" applyBorder="1" applyAlignment="1" applyProtection="1">
      <alignment horizontal="right"/>
      <protection locked="0"/>
    </xf>
    <xf numFmtId="3" fontId="30" fillId="0" borderId="6" xfId="1" applyNumberFormat="1" applyFont="1" applyFill="1" applyBorder="1" applyProtection="1">
      <protection locked="0"/>
    </xf>
    <xf numFmtId="0" fontId="60" fillId="0" borderId="0" xfId="1" applyFont="1" applyBorder="1" applyProtection="1">
      <protection locked="0"/>
    </xf>
    <xf numFmtId="0" fontId="60" fillId="0" borderId="0" xfId="1" applyFont="1" applyProtection="1">
      <protection locked="0"/>
    </xf>
    <xf numFmtId="0" fontId="19" fillId="0" borderId="0" xfId="1" applyBorder="1" applyProtection="1">
      <protection locked="0"/>
    </xf>
    <xf numFmtId="3" fontId="30" fillId="0" borderId="7" xfId="1" applyNumberFormat="1" applyFont="1" applyFill="1" applyBorder="1" applyAlignment="1" applyProtection="1">
      <alignment horizontal="right"/>
      <protection locked="0"/>
    </xf>
    <xf numFmtId="164" fontId="19" fillId="0" borderId="0" xfId="1" applyNumberFormat="1" applyProtection="1">
      <protection locked="0"/>
    </xf>
    <xf numFmtId="3" fontId="57" fillId="4" borderId="12" xfId="1" applyNumberFormat="1" applyFont="1" applyFill="1" applyBorder="1" applyProtection="1">
      <protection locked="0"/>
    </xf>
    <xf numFmtId="3" fontId="58" fillId="4" borderId="0" xfId="1" applyNumberFormat="1" applyFont="1" applyFill="1" applyBorder="1" applyProtection="1">
      <protection locked="0"/>
    </xf>
    <xf numFmtId="164" fontId="19" fillId="0" borderId="0" xfId="1" applyNumberFormat="1" applyBorder="1" applyProtection="1">
      <protection locked="0"/>
    </xf>
    <xf numFmtId="3" fontId="13" fillId="0" borderId="8" xfId="1" quotePrefix="1" applyNumberFormat="1" applyFont="1" applyFill="1" applyBorder="1" applyProtection="1">
      <protection locked="0"/>
    </xf>
    <xf numFmtId="3" fontId="13" fillId="0" borderId="9" xfId="1" quotePrefix="1" applyNumberFormat="1" applyFont="1" applyFill="1" applyBorder="1" applyProtection="1">
      <protection locked="0"/>
    </xf>
    <xf numFmtId="3" fontId="13" fillId="10" borderId="10" xfId="1" quotePrefix="1" applyNumberFormat="1" applyFont="1" applyFill="1" applyBorder="1" applyProtection="1">
      <protection locked="0"/>
    </xf>
    <xf numFmtId="3" fontId="13" fillId="10" borderId="8" xfId="1" quotePrefix="1" applyNumberFormat="1" applyFont="1" applyFill="1" applyBorder="1" applyProtection="1">
      <protection locked="0"/>
    </xf>
    <xf numFmtId="3" fontId="13" fillId="10" borderId="9" xfId="1" quotePrefix="1" applyNumberFormat="1" applyFont="1" applyFill="1" applyBorder="1" applyProtection="1">
      <protection locked="0"/>
    </xf>
    <xf numFmtId="164" fontId="17" fillId="4" borderId="0" xfId="1" applyNumberFormat="1" applyFont="1" applyFill="1" applyBorder="1" applyProtection="1">
      <protection locked="0"/>
    </xf>
    <xf numFmtId="0" fontId="17" fillId="4" borderId="0" xfId="1" applyFont="1" applyFill="1" applyBorder="1" applyProtection="1">
      <protection locked="0"/>
    </xf>
    <xf numFmtId="0" fontId="45" fillId="4" borderId="0" xfId="1" applyNumberFormat="1" applyFont="1" applyFill="1" applyBorder="1" applyAlignment="1" applyProtection="1">
      <alignment horizontal="center"/>
      <protection locked="0"/>
    </xf>
    <xf numFmtId="0" fontId="15" fillId="0" borderId="1" xfId="1" applyNumberFormat="1" applyFont="1" applyFill="1" applyBorder="1" applyAlignment="1" applyProtection="1">
      <alignment horizontal="center"/>
      <protection locked="0"/>
    </xf>
    <xf numFmtId="3" fontId="50" fillId="4" borderId="11" xfId="1" applyNumberFormat="1" applyFont="1" applyFill="1" applyBorder="1" applyProtection="1">
      <protection locked="0"/>
    </xf>
    <xf numFmtId="0" fontId="13" fillId="0" borderId="6" xfId="1" applyFont="1" applyFill="1" applyBorder="1" applyAlignment="1" applyProtection="1">
      <alignment horizontal="center"/>
      <protection locked="0"/>
    </xf>
    <xf numFmtId="168" fontId="13" fillId="4" borderId="0" xfId="1" applyNumberFormat="1" applyFont="1" applyFill="1" applyBorder="1" applyAlignment="1" applyProtection="1">
      <alignment horizontal="center"/>
      <protection locked="0"/>
    </xf>
    <xf numFmtId="0" fontId="13" fillId="4" borderId="0" xfId="1" applyNumberFormat="1" applyFont="1" applyFill="1" applyBorder="1" applyAlignment="1" applyProtection="1">
      <alignment horizontal="center"/>
      <protection locked="0"/>
    </xf>
    <xf numFmtId="3" fontId="59" fillId="4" borderId="4" xfId="1" applyNumberFormat="1" applyFont="1" applyFill="1" applyBorder="1" applyProtection="1">
      <protection locked="0"/>
    </xf>
    <xf numFmtId="3" fontId="59" fillId="4" borderId="3" xfId="1" applyNumberFormat="1" applyFont="1" applyFill="1" applyBorder="1" applyAlignment="1" applyProtection="1">
      <alignment horizontal="right"/>
    </xf>
    <xf numFmtId="3" fontId="59" fillId="4" borderId="3" xfId="1" applyNumberFormat="1" applyFont="1" applyFill="1" applyBorder="1" applyAlignment="1" applyProtection="1">
      <alignment horizontal="right"/>
      <protection locked="0"/>
    </xf>
    <xf numFmtId="3" fontId="30" fillId="4" borderId="4" xfId="847" applyNumberFormat="1" applyFont="1" applyFill="1" applyBorder="1" applyAlignment="1" applyProtection="1">
      <alignment horizontal="right"/>
    </xf>
    <xf numFmtId="3" fontId="30" fillId="4" borderId="4" xfId="847" applyNumberFormat="1" applyFont="1" applyFill="1" applyBorder="1" applyAlignment="1" applyProtection="1">
      <alignment horizontal="right"/>
      <protection locked="0"/>
    </xf>
    <xf numFmtId="3" fontId="45" fillId="4" borderId="3" xfId="1" applyNumberFormat="1" applyFont="1" applyFill="1" applyBorder="1" applyAlignment="1" applyProtection="1">
      <alignment horizontal="right"/>
    </xf>
    <xf numFmtId="3" fontId="45" fillId="4" borderId="3" xfId="7" applyNumberFormat="1" applyFont="1" applyFill="1" applyBorder="1" applyAlignment="1" applyProtection="1">
      <alignment horizontal="right"/>
      <protection locked="0"/>
    </xf>
    <xf numFmtId="3" fontId="45" fillId="4" borderId="4" xfId="1" applyNumberFormat="1" applyFont="1" applyFill="1" applyBorder="1" applyProtection="1">
      <protection locked="0"/>
    </xf>
    <xf numFmtId="3" fontId="45" fillId="0" borderId="3" xfId="1" applyNumberFormat="1" applyFont="1" applyBorder="1" applyAlignment="1" applyProtection="1">
      <alignment horizontal="right"/>
    </xf>
    <xf numFmtId="3" fontId="45" fillId="0" borderId="3" xfId="1" applyNumberFormat="1" applyFont="1" applyBorder="1" applyAlignment="1" applyProtection="1">
      <alignment horizontal="right"/>
      <protection locked="0"/>
    </xf>
    <xf numFmtId="3" fontId="45" fillId="0" borderId="3" xfId="7" applyNumberFormat="1" applyFont="1" applyBorder="1" applyAlignment="1" applyProtection="1">
      <alignment horizontal="right"/>
      <protection locked="0"/>
    </xf>
    <xf numFmtId="3" fontId="45" fillId="0" borderId="3" xfId="1" applyNumberFormat="1" applyFont="1" applyFill="1" applyBorder="1" applyAlignment="1" applyProtection="1">
      <alignment horizontal="right"/>
    </xf>
    <xf numFmtId="3" fontId="45" fillId="0" borderId="3" xfId="1" applyNumberFormat="1" applyFont="1" applyFill="1" applyBorder="1" applyAlignment="1" applyProtection="1">
      <alignment horizontal="right"/>
      <protection locked="0"/>
    </xf>
    <xf numFmtId="3" fontId="45" fillId="0" borderId="3" xfId="7" applyNumberFormat="1" applyFont="1" applyFill="1" applyBorder="1" applyAlignment="1" applyProtection="1">
      <alignment horizontal="right"/>
      <protection locked="0"/>
    </xf>
    <xf numFmtId="3" fontId="30" fillId="0" borderId="4" xfId="1" applyNumberFormat="1" applyFont="1" applyFill="1" applyBorder="1" applyAlignment="1" applyProtection="1">
      <alignment horizontal="right"/>
    </xf>
    <xf numFmtId="3" fontId="30" fillId="0" borderId="4" xfId="1" applyNumberFormat="1" applyFont="1" applyFill="1" applyBorder="1" applyAlignment="1" applyProtection="1">
      <alignment horizontal="right"/>
      <protection locked="0"/>
    </xf>
    <xf numFmtId="3" fontId="30" fillId="0" borderId="4" xfId="847" applyNumberFormat="1" applyFont="1" applyFill="1" applyBorder="1" applyAlignment="1" applyProtection="1">
      <alignment horizontal="right"/>
    </xf>
    <xf numFmtId="3" fontId="30" fillId="0" borderId="4" xfId="847" applyNumberFormat="1" applyFont="1" applyFill="1" applyBorder="1" applyAlignment="1" applyProtection="1">
      <alignment horizontal="right"/>
      <protection locked="0"/>
    </xf>
    <xf numFmtId="0" fontId="19" fillId="0" borderId="0" xfId="1" applyFont="1" applyFill="1" applyBorder="1" applyProtection="1">
      <protection locked="0"/>
    </xf>
    <xf numFmtId="3" fontId="30" fillId="0" borderId="3" xfId="845" applyNumberFormat="1" applyFont="1" applyFill="1" applyBorder="1" applyAlignment="1" applyProtection="1">
      <alignment horizontal="right"/>
      <protection locked="0"/>
    </xf>
    <xf numFmtId="3" fontId="19" fillId="0" borderId="0" xfId="1" applyNumberFormat="1" applyFont="1" applyFill="1" applyProtection="1">
      <protection locked="0"/>
    </xf>
    <xf numFmtId="3" fontId="30" fillId="4" borderId="3" xfId="845" applyNumberFormat="1" applyFont="1" applyFill="1" applyBorder="1" applyAlignment="1" applyProtection="1">
      <alignment horizontal="right"/>
      <protection locked="0"/>
    </xf>
    <xf numFmtId="3" fontId="19" fillId="0" borderId="0" xfId="1" applyNumberFormat="1" applyFont="1" applyProtection="1">
      <protection locked="0"/>
    </xf>
    <xf numFmtId="3" fontId="19" fillId="0" borderId="0" xfId="1" applyNumberFormat="1" applyFont="1" applyBorder="1" applyProtection="1">
      <protection locked="0"/>
    </xf>
    <xf numFmtId="3" fontId="45" fillId="4" borderId="4" xfId="1" applyNumberFormat="1" applyFont="1" applyFill="1" applyBorder="1" applyAlignment="1" applyProtection="1">
      <alignment horizontal="right"/>
      <protection locked="0"/>
    </xf>
    <xf numFmtId="3" fontId="45" fillId="4" borderId="3" xfId="845" applyNumberFormat="1" applyFont="1" applyFill="1" applyBorder="1" applyAlignment="1" applyProtection="1">
      <alignment horizontal="right"/>
      <protection locked="0"/>
    </xf>
    <xf numFmtId="0" fontId="49" fillId="0" borderId="0" xfId="1" applyFont="1" applyBorder="1" applyProtection="1">
      <protection locked="0"/>
    </xf>
    <xf numFmtId="3" fontId="49" fillId="0" borderId="0" xfId="1" applyNumberFormat="1" applyFont="1" applyProtection="1">
      <protection locked="0"/>
    </xf>
    <xf numFmtId="3" fontId="45" fillId="0" borderId="4" xfId="1" applyNumberFormat="1" applyFont="1" applyFill="1" applyBorder="1" applyAlignment="1" applyProtection="1">
      <alignment horizontal="right"/>
      <protection locked="0"/>
    </xf>
    <xf numFmtId="0" fontId="19" fillId="0" borderId="3" xfId="1" applyFont="1" applyFill="1" applyBorder="1" applyProtection="1">
      <protection locked="0"/>
    </xf>
    <xf numFmtId="3" fontId="30" fillId="10" borderId="3" xfId="1" applyNumberFormat="1" applyFont="1" applyFill="1" applyBorder="1" applyAlignment="1" applyProtection="1">
      <alignment horizontal="right"/>
      <protection locked="0"/>
    </xf>
    <xf numFmtId="3" fontId="45" fillId="0" borderId="6" xfId="1" applyNumberFormat="1" applyFont="1" applyBorder="1" applyAlignment="1" applyProtection="1">
      <alignment horizontal="right"/>
      <protection locked="0"/>
    </xf>
    <xf numFmtId="3" fontId="45" fillId="0" borderId="6" xfId="7" applyNumberFormat="1" applyFont="1" applyBorder="1" applyAlignment="1" applyProtection="1">
      <alignment horizontal="right"/>
      <protection locked="0"/>
    </xf>
    <xf numFmtId="3" fontId="45" fillId="0" borderId="6" xfId="1" applyNumberFormat="1" applyFont="1" applyBorder="1" applyAlignment="1" applyProtection="1">
      <alignment horizontal="right"/>
    </xf>
    <xf numFmtId="3" fontId="45" fillId="4" borderId="11" xfId="1" applyNumberFormat="1" applyFont="1" applyFill="1" applyBorder="1" applyAlignment="1" applyProtection="1">
      <alignment horizontal="right"/>
      <protection locked="0"/>
    </xf>
    <xf numFmtId="3" fontId="45" fillId="0" borderId="11" xfId="1" applyNumberFormat="1" applyFont="1" applyFill="1" applyBorder="1" applyAlignment="1" applyProtection="1">
      <alignment horizontal="right"/>
      <protection locked="0"/>
    </xf>
    <xf numFmtId="3" fontId="45" fillId="4" borderId="6" xfId="845" applyNumberFormat="1" applyFont="1" applyFill="1" applyBorder="1" applyAlignment="1" applyProtection="1">
      <alignment horizontal="right"/>
      <protection locked="0"/>
    </xf>
    <xf numFmtId="3" fontId="30" fillId="0" borderId="0" xfId="1" applyNumberFormat="1" applyFont="1" applyBorder="1" applyProtection="1">
      <protection locked="0"/>
    </xf>
    <xf numFmtId="3" fontId="61" fillId="0" borderId="0" xfId="1" applyNumberFormat="1" applyFont="1" applyBorder="1" applyProtection="1">
      <protection locked="0"/>
    </xf>
    <xf numFmtId="0" fontId="60" fillId="0" borderId="14" xfId="1" applyFont="1" applyBorder="1" applyProtection="1">
      <protection locked="0"/>
    </xf>
    <xf numFmtId="0" fontId="60" fillId="4" borderId="14" xfId="1" applyFont="1" applyFill="1" applyBorder="1" applyProtection="1">
      <protection locked="0"/>
    </xf>
    <xf numFmtId="0" fontId="62" fillId="0" borderId="0" xfId="1" applyFont="1" applyProtection="1">
      <protection locked="0"/>
    </xf>
    <xf numFmtId="0" fontId="41" fillId="0" borderId="0" xfId="1" applyFont="1" applyFill="1" applyProtection="1">
      <protection locked="0"/>
    </xf>
    <xf numFmtId="0" fontId="41" fillId="0" borderId="0" xfId="1" applyFont="1" applyFill="1" applyBorder="1" applyProtection="1">
      <protection locked="0"/>
    </xf>
    <xf numFmtId="0" fontId="45" fillId="0" borderId="0" xfId="1" applyFont="1" applyFill="1" applyBorder="1" applyProtection="1">
      <protection locked="0"/>
    </xf>
    <xf numFmtId="0" fontId="45" fillId="0" borderId="12" xfId="1" applyFont="1" applyFill="1" applyBorder="1" applyProtection="1">
      <protection locked="0"/>
    </xf>
    <xf numFmtId="14" fontId="13" fillId="0" borderId="3" xfId="1" applyNumberFormat="1" applyFont="1" applyFill="1" applyBorder="1" applyAlignment="1" applyProtection="1">
      <alignment horizontal="left"/>
      <protection locked="0"/>
    </xf>
    <xf numFmtId="0" fontId="17" fillId="0" borderId="8" xfId="1" applyFont="1" applyFill="1" applyBorder="1" applyProtection="1">
      <protection locked="0"/>
    </xf>
    <xf numFmtId="0" fontId="17" fillId="0" borderId="9" xfId="1" applyFont="1" applyFill="1" applyBorder="1" applyProtection="1">
      <protection locked="0"/>
    </xf>
    <xf numFmtId="0" fontId="17" fillId="0" borderId="10" xfId="1" applyFont="1" applyFill="1" applyBorder="1" applyProtection="1">
      <protection locked="0"/>
    </xf>
    <xf numFmtId="3" fontId="50" fillId="0" borderId="11" xfId="1" applyNumberFormat="1" applyFont="1" applyFill="1" applyBorder="1" applyProtection="1">
      <protection locked="0"/>
    </xf>
    <xf numFmtId="3" fontId="50" fillId="0" borderId="7" xfId="1" applyNumberFormat="1" applyFont="1" applyFill="1" applyBorder="1" applyProtection="1">
      <protection locked="0"/>
    </xf>
    <xf numFmtId="0" fontId="13" fillId="0" borderId="4" xfId="1" applyFont="1" applyFill="1" applyBorder="1" applyAlignment="1" applyProtection="1">
      <alignment horizontal="center"/>
    </xf>
    <xf numFmtId="0" fontId="13" fillId="0" borderId="4" xfId="1" applyFont="1" applyFill="1" applyBorder="1" applyAlignment="1" applyProtection="1">
      <alignment horizontal="center"/>
      <protection locked="0"/>
    </xf>
    <xf numFmtId="168" fontId="15" fillId="0" borderId="4" xfId="1" applyNumberFormat="1" applyFont="1" applyFill="1" applyBorder="1" applyAlignment="1" applyProtection="1">
      <alignment horizontal="center"/>
      <protection locked="0"/>
    </xf>
    <xf numFmtId="168" fontId="15" fillId="0" borderId="4" xfId="1" applyNumberFormat="1" applyFont="1" applyFill="1" applyBorder="1" applyAlignment="1" applyProtection="1">
      <alignment horizontal="center"/>
    </xf>
    <xf numFmtId="168" fontId="15" fillId="0" borderId="3" xfId="1" applyNumberFormat="1" applyFont="1" applyFill="1" applyBorder="1" applyAlignment="1" applyProtection="1">
      <alignment horizontal="center"/>
      <protection locked="0"/>
    </xf>
    <xf numFmtId="3" fontId="45" fillId="0" borderId="4" xfId="1" applyNumberFormat="1" applyFont="1" applyFill="1" applyBorder="1" applyAlignment="1" applyProtection="1">
      <alignment horizontal="right"/>
    </xf>
    <xf numFmtId="168" fontId="45" fillId="0" borderId="4" xfId="1" applyNumberFormat="1" applyFont="1" applyFill="1" applyBorder="1" applyAlignment="1" applyProtection="1">
      <alignment horizontal="right"/>
      <protection locked="0"/>
    </xf>
    <xf numFmtId="0" fontId="45" fillId="0" borderId="4" xfId="1" applyNumberFormat="1" applyFont="1" applyFill="1" applyBorder="1" applyAlignment="1" applyProtection="1">
      <alignment horizontal="right"/>
    </xf>
    <xf numFmtId="0" fontId="45" fillId="0" borderId="4" xfId="1" applyNumberFormat="1" applyFont="1" applyFill="1" applyBorder="1" applyAlignment="1" applyProtection="1">
      <alignment horizontal="right"/>
      <protection locked="0"/>
    </xf>
    <xf numFmtId="168" fontId="45" fillId="0" borderId="3" xfId="1" applyNumberFormat="1" applyFont="1" applyFill="1" applyBorder="1" applyAlignment="1" applyProtection="1">
      <alignment horizontal="right"/>
      <protection locked="0"/>
    </xf>
    <xf numFmtId="1" fontId="45" fillId="0" borderId="3" xfId="1" applyNumberFormat="1" applyFont="1" applyFill="1" applyBorder="1" applyAlignment="1" applyProtection="1">
      <alignment horizontal="right"/>
      <protection locked="0"/>
    </xf>
    <xf numFmtId="168" fontId="30" fillId="0" borderId="4" xfId="1" applyNumberFormat="1" applyFont="1" applyFill="1" applyBorder="1" applyAlignment="1" applyProtection="1">
      <alignment horizontal="right"/>
      <protection locked="0"/>
    </xf>
    <xf numFmtId="1" fontId="30" fillId="0" borderId="3" xfId="1" applyNumberFormat="1" applyFont="1" applyFill="1" applyBorder="1" applyAlignment="1" applyProtection="1">
      <alignment horizontal="right"/>
      <protection locked="0"/>
    </xf>
    <xf numFmtId="0" fontId="30" fillId="0" borderId="4" xfId="1" applyNumberFormat="1" applyFont="1" applyFill="1" applyBorder="1" applyAlignment="1" applyProtection="1">
      <alignment horizontal="right"/>
    </xf>
    <xf numFmtId="0" fontId="30" fillId="0" borderId="4" xfId="1" applyNumberFormat="1" applyFont="1" applyFill="1" applyBorder="1" applyAlignment="1" applyProtection="1">
      <alignment horizontal="right"/>
      <protection locked="0"/>
    </xf>
    <xf numFmtId="168" fontId="30" fillId="0" borderId="3" xfId="1" applyNumberFormat="1" applyFont="1" applyFill="1" applyBorder="1" applyAlignment="1" applyProtection="1">
      <alignment horizontal="right"/>
      <protection locked="0"/>
    </xf>
    <xf numFmtId="1" fontId="30" fillId="0" borderId="4" xfId="1" applyNumberFormat="1" applyFont="1" applyFill="1" applyBorder="1" applyAlignment="1" applyProtection="1">
      <alignment horizontal="right"/>
    </xf>
    <xf numFmtId="1" fontId="30" fillId="0" borderId="4" xfId="1" applyNumberFormat="1" applyFont="1" applyFill="1" applyBorder="1" applyAlignment="1" applyProtection="1">
      <alignment horizontal="right"/>
      <protection locked="0"/>
    </xf>
    <xf numFmtId="1" fontId="45" fillId="0" borderId="4" xfId="1" applyNumberFormat="1" applyFont="1" applyFill="1" applyBorder="1" applyAlignment="1" applyProtection="1">
      <alignment horizontal="right"/>
    </xf>
    <xf numFmtId="1" fontId="45" fillId="0" borderId="4" xfId="1" applyNumberFormat="1" applyFont="1" applyFill="1" applyBorder="1" applyAlignment="1" applyProtection="1">
      <alignment horizontal="right"/>
      <protection locked="0"/>
    </xf>
    <xf numFmtId="3" fontId="30" fillId="0" borderId="11" xfId="1" applyNumberFormat="1" applyFont="1" applyFill="1" applyBorder="1" applyAlignment="1" applyProtection="1">
      <alignment horizontal="right"/>
    </xf>
    <xf numFmtId="3" fontId="30" fillId="0" borderId="11" xfId="1" applyNumberFormat="1" applyFont="1" applyFill="1" applyBorder="1" applyAlignment="1" applyProtection="1">
      <alignment horizontal="right"/>
      <protection locked="0"/>
    </xf>
    <xf numFmtId="1" fontId="30" fillId="0" borderId="6" xfId="1" applyNumberFormat="1" applyFont="1" applyFill="1" applyBorder="1" applyAlignment="1" applyProtection="1">
      <alignment horizontal="right"/>
      <protection locked="0"/>
    </xf>
    <xf numFmtId="3" fontId="30" fillId="0" borderId="6" xfId="1" applyNumberFormat="1" applyFont="1" applyFill="1" applyBorder="1" applyAlignment="1" applyProtection="1">
      <alignment horizontal="right"/>
      <protection locked="0"/>
    </xf>
    <xf numFmtId="1" fontId="30" fillId="0" borderId="11" xfId="1" applyNumberFormat="1" applyFont="1" applyFill="1" applyBorder="1" applyAlignment="1" applyProtection="1">
      <alignment horizontal="right"/>
    </xf>
    <xf numFmtId="1" fontId="30" fillId="0" borderId="11" xfId="1" applyNumberFormat="1" applyFont="1" applyFill="1" applyBorder="1" applyAlignment="1" applyProtection="1">
      <alignment horizontal="right"/>
      <protection locked="0"/>
    </xf>
    <xf numFmtId="0" fontId="30" fillId="0" borderId="7" xfId="1" applyFont="1" applyFill="1" applyBorder="1" applyProtection="1">
      <protection locked="0"/>
    </xf>
    <xf numFmtId="3" fontId="30" fillId="0" borderId="1" xfId="1" applyNumberFormat="1" applyFont="1" applyFill="1" applyBorder="1" applyAlignment="1" applyProtection="1">
      <alignment horizontal="right"/>
    </xf>
    <xf numFmtId="3" fontId="30" fillId="0" borderId="1" xfId="1" applyNumberFormat="1" applyFont="1" applyFill="1" applyBorder="1" applyAlignment="1" applyProtection="1">
      <alignment horizontal="right"/>
      <protection locked="0"/>
    </xf>
    <xf numFmtId="1" fontId="30" fillId="0" borderId="7" xfId="1" applyNumberFormat="1" applyFont="1" applyFill="1" applyBorder="1" applyAlignment="1" applyProtection="1">
      <alignment horizontal="right"/>
      <protection locked="0"/>
    </xf>
    <xf numFmtId="1" fontId="30" fillId="0" borderId="1" xfId="1" applyNumberFormat="1" applyFont="1" applyFill="1" applyBorder="1" applyAlignment="1" applyProtection="1">
      <alignment horizontal="right"/>
    </xf>
    <xf numFmtId="1" fontId="30" fillId="0" borderId="1" xfId="1" applyNumberFormat="1" applyFont="1" applyFill="1" applyBorder="1" applyAlignment="1" applyProtection="1">
      <alignment horizontal="right"/>
      <protection locked="0"/>
    </xf>
    <xf numFmtId="0" fontId="30" fillId="0" borderId="4" xfId="1" applyFont="1" applyFill="1" applyBorder="1" applyAlignment="1" applyProtection="1">
      <alignment horizontal="right"/>
      <protection locked="0"/>
    </xf>
    <xf numFmtId="0" fontId="30" fillId="0" borderId="0" xfId="1" applyFont="1" applyFill="1" applyBorder="1" applyProtection="1">
      <protection locked="0"/>
    </xf>
    <xf numFmtId="0" fontId="30" fillId="0" borderId="12" xfId="1" applyFont="1" applyFill="1" applyBorder="1" applyProtection="1">
      <protection locked="0"/>
    </xf>
    <xf numFmtId="0" fontId="30" fillId="0" borderId="0" xfId="845" applyFont="1" applyFill="1" applyProtection="1">
      <protection locked="0"/>
    </xf>
    <xf numFmtId="0" fontId="14" fillId="0" borderId="0" xfId="845" applyFill="1" applyProtection="1">
      <protection locked="0"/>
    </xf>
    <xf numFmtId="0" fontId="41" fillId="0" borderId="0" xfId="845" applyFont="1" applyFill="1" applyBorder="1" applyProtection="1">
      <protection locked="0"/>
    </xf>
    <xf numFmtId="0" fontId="45" fillId="0" borderId="0" xfId="845" applyFont="1" applyFill="1" applyBorder="1" applyProtection="1">
      <protection locked="0"/>
    </xf>
    <xf numFmtId="0" fontId="45" fillId="0" borderId="12" xfId="845" applyFont="1" applyFill="1" applyBorder="1" applyProtection="1">
      <protection locked="0"/>
    </xf>
    <xf numFmtId="0" fontId="30" fillId="0" borderId="0" xfId="845" applyFont="1" applyFill="1" applyBorder="1" applyProtection="1">
      <protection locked="0"/>
    </xf>
    <xf numFmtId="14" fontId="13" fillId="0" borderId="3" xfId="845" applyNumberFormat="1" applyFont="1" applyFill="1" applyBorder="1" applyAlignment="1" applyProtection="1">
      <alignment horizontal="left"/>
      <protection locked="0"/>
    </xf>
    <xf numFmtId="0" fontId="17" fillId="0" borderId="8" xfId="845" applyFont="1" applyFill="1" applyBorder="1" applyProtection="1">
      <protection locked="0"/>
    </xf>
    <xf numFmtId="0" fontId="17" fillId="0" borderId="9" xfId="845" applyFont="1" applyFill="1" applyBorder="1" applyProtection="1">
      <protection locked="0"/>
    </xf>
    <xf numFmtId="0" fontId="17" fillId="0" borderId="10" xfId="845" applyFont="1" applyFill="1" applyBorder="1" applyProtection="1">
      <protection locked="0"/>
    </xf>
    <xf numFmtId="3" fontId="45" fillId="0" borderId="1" xfId="845" applyNumberFormat="1" applyFont="1" applyFill="1" applyBorder="1" applyProtection="1">
      <protection locked="0"/>
    </xf>
    <xf numFmtId="3" fontId="45" fillId="0" borderId="4" xfId="845" applyNumberFormat="1" applyFont="1" applyFill="1" applyBorder="1" applyProtection="1">
      <protection locked="0"/>
    </xf>
    <xf numFmtId="3" fontId="50" fillId="0" borderId="11" xfId="845" applyNumberFormat="1" applyFont="1" applyFill="1" applyBorder="1" applyProtection="1">
      <protection locked="0"/>
    </xf>
    <xf numFmtId="3" fontId="72" fillId="0" borderId="7" xfId="845" applyNumberFormat="1" applyFont="1" applyFill="1" applyBorder="1" applyProtection="1">
      <protection locked="0"/>
    </xf>
    <xf numFmtId="0" fontId="15" fillId="0" borderId="4" xfId="1" applyNumberFormat="1" applyFont="1" applyFill="1" applyBorder="1" applyAlignment="1" applyProtection="1">
      <alignment horizontal="right"/>
    </xf>
    <xf numFmtId="0" fontId="15" fillId="0" borderId="4" xfId="1" applyNumberFormat="1" applyFont="1" applyFill="1" applyBorder="1" applyAlignment="1" applyProtection="1">
      <alignment horizontal="right"/>
      <protection locked="0"/>
    </xf>
    <xf numFmtId="168" fontId="15" fillId="0" borderId="4" xfId="845" applyNumberFormat="1" applyFont="1" applyFill="1" applyBorder="1" applyAlignment="1" applyProtection="1">
      <alignment horizontal="right"/>
      <protection locked="0"/>
    </xf>
    <xf numFmtId="168" fontId="15" fillId="0" borderId="4" xfId="845" applyNumberFormat="1" applyFont="1" applyFill="1" applyBorder="1" applyAlignment="1" applyProtection="1">
      <alignment horizontal="right"/>
    </xf>
    <xf numFmtId="168" fontId="15" fillId="0" borderId="3" xfId="845" applyNumberFormat="1" applyFont="1" applyFill="1" applyBorder="1" applyAlignment="1" applyProtection="1">
      <alignment horizontal="right"/>
      <protection locked="0"/>
    </xf>
    <xf numFmtId="168" fontId="15" fillId="0" borderId="7" xfId="845" applyNumberFormat="1" applyFont="1" applyFill="1" applyBorder="1" applyAlignment="1" applyProtection="1">
      <alignment horizontal="right"/>
      <protection locked="0"/>
    </xf>
    <xf numFmtId="1" fontId="15" fillId="0" borderId="4" xfId="845" applyNumberFormat="1" applyFont="1" applyFill="1" applyBorder="1" applyAlignment="1" applyProtection="1">
      <alignment horizontal="right"/>
    </xf>
    <xf numFmtId="1" fontId="15" fillId="0" borderId="4" xfId="845" applyNumberFormat="1" applyFont="1" applyFill="1" applyBorder="1" applyAlignment="1" applyProtection="1">
      <alignment horizontal="right"/>
      <protection locked="0"/>
    </xf>
    <xf numFmtId="1" fontId="15" fillId="0" borderId="3" xfId="845" applyNumberFormat="1" applyFont="1" applyFill="1" applyBorder="1" applyAlignment="1" applyProtection="1">
      <alignment horizontal="right"/>
      <protection locked="0"/>
    </xf>
    <xf numFmtId="168" fontId="15" fillId="0" borderId="4" xfId="848" applyNumberFormat="1" applyFont="1" applyFill="1" applyBorder="1" applyAlignment="1" applyProtection="1">
      <alignment horizontal="right"/>
      <protection locked="0"/>
    </xf>
    <xf numFmtId="3" fontId="45" fillId="0" borderId="4" xfId="845" applyNumberFormat="1" applyFont="1" applyFill="1" applyBorder="1" applyAlignment="1" applyProtection="1">
      <alignment horizontal="right"/>
      <protection locked="0"/>
    </xf>
    <xf numFmtId="3" fontId="45" fillId="0" borderId="3" xfId="845" applyNumberFormat="1" applyFont="1" applyFill="1" applyBorder="1" applyAlignment="1" applyProtection="1">
      <alignment horizontal="right"/>
      <protection locked="0"/>
    </xf>
    <xf numFmtId="3" fontId="30" fillId="0" borderId="4" xfId="845" applyNumberFormat="1" applyFont="1" applyFill="1" applyBorder="1" applyAlignment="1" applyProtection="1">
      <alignment horizontal="right"/>
      <protection locked="0"/>
    </xf>
    <xf numFmtId="0" fontId="14" fillId="0" borderId="0" xfId="845" applyFont="1" applyFill="1" applyProtection="1">
      <protection locked="0"/>
    </xf>
    <xf numFmtId="0" fontId="45" fillId="0" borderId="0" xfId="845" applyFont="1" applyFill="1" applyProtection="1">
      <protection locked="0"/>
    </xf>
    <xf numFmtId="0" fontId="13" fillId="0" borderId="0" xfId="845" applyFont="1" applyFill="1" applyProtection="1">
      <protection locked="0"/>
    </xf>
    <xf numFmtId="3" fontId="30" fillId="0" borderId="4" xfId="845" applyNumberFormat="1" applyFont="1" applyFill="1" applyBorder="1" applyAlignment="1" applyProtection="1">
      <alignment horizontal="right"/>
    </xf>
    <xf numFmtId="3" fontId="30" fillId="0" borderId="4" xfId="848" applyNumberFormat="1" applyFont="1" applyFill="1" applyBorder="1" applyAlignment="1" applyProtection="1">
      <alignment horizontal="right"/>
      <protection locked="0"/>
    </xf>
    <xf numFmtId="3" fontId="45" fillId="0" borderId="4" xfId="845" applyNumberFormat="1" applyFont="1" applyFill="1" applyBorder="1" applyAlignment="1" applyProtection="1">
      <alignment horizontal="right"/>
    </xf>
    <xf numFmtId="3" fontId="45" fillId="0" borderId="4" xfId="848" applyNumberFormat="1" applyFont="1" applyFill="1" applyBorder="1" applyAlignment="1" applyProtection="1">
      <alignment horizontal="right"/>
      <protection locked="0"/>
    </xf>
    <xf numFmtId="0" fontId="73" fillId="0" borderId="3" xfId="1" applyFont="1" applyFill="1" applyBorder="1" applyProtection="1">
      <protection locked="0"/>
    </xf>
    <xf numFmtId="0" fontId="51" fillId="0" borderId="3" xfId="1" applyFont="1" applyFill="1" applyBorder="1" applyProtection="1">
      <protection locked="0"/>
    </xf>
    <xf numFmtId="0" fontId="46" fillId="0" borderId="0" xfId="845" applyFont="1" applyFill="1" applyBorder="1" applyProtection="1">
      <protection locked="0"/>
    </xf>
    <xf numFmtId="0" fontId="46" fillId="0" borderId="0" xfId="845" applyFont="1" applyFill="1" applyProtection="1">
      <protection locked="0"/>
    </xf>
    <xf numFmtId="0" fontId="21" fillId="0" borderId="0" xfId="845" applyFont="1" applyFill="1" applyProtection="1">
      <protection locked="0"/>
    </xf>
    <xf numFmtId="0" fontId="68" fillId="0" borderId="0" xfId="845" applyFont="1" applyFill="1" applyBorder="1" applyProtection="1">
      <protection locked="0"/>
    </xf>
    <xf numFmtId="0" fontId="68" fillId="0" borderId="0" xfId="845" applyFont="1" applyFill="1" applyProtection="1">
      <protection locked="0"/>
    </xf>
    <xf numFmtId="0" fontId="70" fillId="0" borderId="0" xfId="845" applyFont="1" applyFill="1" applyProtection="1">
      <protection locked="0"/>
    </xf>
    <xf numFmtId="3" fontId="30" fillId="0" borderId="11" xfId="845" applyNumberFormat="1" applyFont="1" applyFill="1" applyBorder="1" applyAlignment="1" applyProtection="1">
      <alignment horizontal="right"/>
    </xf>
    <xf numFmtId="3" fontId="30" fillId="0" borderId="11" xfId="845" applyNumberFormat="1" applyFont="1" applyFill="1" applyBorder="1" applyAlignment="1" applyProtection="1">
      <alignment horizontal="right"/>
      <protection locked="0"/>
    </xf>
    <xf numFmtId="3" fontId="30" fillId="0" borderId="6" xfId="845" applyNumberFormat="1" applyFont="1" applyFill="1" applyBorder="1" applyAlignment="1" applyProtection="1">
      <alignment horizontal="right"/>
      <protection locked="0"/>
    </xf>
    <xf numFmtId="3" fontId="30" fillId="0" borderId="11" xfId="848" applyNumberFormat="1" applyFont="1" applyFill="1" applyBorder="1" applyAlignment="1" applyProtection="1">
      <alignment horizontal="right"/>
      <protection locked="0"/>
    </xf>
    <xf numFmtId="3" fontId="30" fillId="0" borderId="4" xfId="848" applyNumberFormat="1" applyFont="1" applyFill="1" applyBorder="1" applyAlignment="1" applyProtection="1">
      <alignment horizontal="right"/>
    </xf>
    <xf numFmtId="3" fontId="45" fillId="0" borderId="4" xfId="848" applyNumberFormat="1" applyFont="1" applyFill="1" applyBorder="1" applyAlignment="1" applyProtection="1">
      <alignment horizontal="right"/>
    </xf>
    <xf numFmtId="3" fontId="30" fillId="0" borderId="11" xfId="848" applyNumberFormat="1" applyFont="1" applyFill="1" applyBorder="1" applyAlignment="1" applyProtection="1">
      <alignment horizontal="right"/>
    </xf>
    <xf numFmtId="3" fontId="30" fillId="0" borderId="0" xfId="845" applyNumberFormat="1" applyFont="1" applyFill="1" applyBorder="1" applyProtection="1">
      <protection locked="0"/>
    </xf>
    <xf numFmtId="0" fontId="74" fillId="0" borderId="0" xfId="845" applyFont="1" applyFill="1" applyProtection="1">
      <protection locked="0"/>
    </xf>
    <xf numFmtId="0" fontId="60" fillId="0" borderId="0" xfId="845" applyFont="1" applyFill="1" applyProtection="1">
      <protection locked="0"/>
    </xf>
    <xf numFmtId="0" fontId="60" fillId="0" borderId="0" xfId="845" applyFont="1" applyFill="1" applyBorder="1" applyProtection="1">
      <protection locked="0"/>
    </xf>
    <xf numFmtId="0" fontId="60" fillId="0" borderId="12" xfId="845" applyFont="1" applyFill="1" applyBorder="1" applyProtection="1">
      <protection locked="0"/>
    </xf>
    <xf numFmtId="0" fontId="60" fillId="0" borderId="12" xfId="1" applyFont="1" applyFill="1" applyBorder="1" applyProtection="1">
      <protection locked="0"/>
    </xf>
    <xf numFmtId="3" fontId="30" fillId="0" borderId="12" xfId="845" applyNumberFormat="1" applyFont="1" applyFill="1" applyBorder="1" applyProtection="1">
      <protection locked="0"/>
    </xf>
    <xf numFmtId="0" fontId="74" fillId="0" borderId="0" xfId="845" applyFont="1" applyFill="1" applyBorder="1" applyProtection="1">
      <protection locked="0"/>
    </xf>
    <xf numFmtId="3" fontId="45" fillId="0" borderId="0" xfId="845" applyNumberFormat="1" applyFont="1" applyFill="1" applyBorder="1" applyProtection="1">
      <protection locked="0"/>
    </xf>
    <xf numFmtId="0" fontId="14" fillId="0" borderId="0" xfId="845" applyFill="1" applyBorder="1" applyProtection="1">
      <protection locked="0"/>
    </xf>
    <xf numFmtId="49" fontId="59" fillId="0" borderId="12" xfId="1" applyNumberFormat="1" applyFont="1" applyFill="1" applyBorder="1" applyProtection="1">
      <protection locked="0"/>
    </xf>
    <xf numFmtId="14" fontId="13" fillId="0" borderId="13" xfId="845" applyNumberFormat="1" applyFont="1" applyFill="1" applyBorder="1" applyAlignment="1" applyProtection="1">
      <alignment horizontal="left"/>
      <protection locked="0"/>
    </xf>
    <xf numFmtId="49" fontId="45" fillId="0" borderId="3" xfId="1" applyNumberFormat="1" applyFont="1" applyFill="1" applyBorder="1" applyProtection="1">
      <protection locked="0"/>
    </xf>
    <xf numFmtId="3" fontId="15" fillId="0" borderId="4" xfId="1" applyNumberFormat="1" applyFont="1" applyFill="1" applyBorder="1" applyAlignment="1" applyProtection="1">
      <alignment horizontal="right"/>
    </xf>
    <xf numFmtId="3" fontId="15" fillId="0" borderId="4" xfId="1" applyNumberFormat="1" applyFont="1" applyFill="1" applyBorder="1" applyAlignment="1" applyProtection="1">
      <alignment horizontal="right"/>
      <protection locked="0"/>
    </xf>
    <xf numFmtId="3" fontId="15" fillId="0" borderId="4" xfId="845" applyNumberFormat="1" applyFont="1" applyFill="1" applyBorder="1" applyAlignment="1" applyProtection="1">
      <alignment horizontal="right"/>
      <protection locked="0"/>
    </xf>
    <xf numFmtId="3" fontId="15" fillId="0" borderId="3" xfId="845" applyNumberFormat="1" applyFont="1" applyFill="1" applyBorder="1" applyAlignment="1" applyProtection="1">
      <alignment horizontal="right"/>
      <protection locked="0"/>
    </xf>
    <xf numFmtId="1" fontId="30" fillId="0" borderId="0" xfId="845" applyNumberFormat="1" applyFont="1" applyFill="1" applyBorder="1" applyProtection="1">
      <protection locked="0"/>
    </xf>
    <xf numFmtId="1" fontId="45" fillId="0" borderId="0" xfId="845" applyNumberFormat="1" applyFont="1" applyFill="1" applyBorder="1" applyProtection="1">
      <protection locked="0"/>
    </xf>
    <xf numFmtId="3" fontId="74" fillId="0" borderId="0" xfId="845" applyNumberFormat="1" applyFont="1" applyFill="1" applyProtection="1">
      <protection locked="0"/>
    </xf>
    <xf numFmtId="14" fontId="13" fillId="0" borderId="4" xfId="1" applyNumberFormat="1" applyFont="1" applyFill="1" applyBorder="1" applyAlignment="1" applyProtection="1">
      <alignment horizontal="left"/>
      <protection locked="0"/>
    </xf>
    <xf numFmtId="164" fontId="17" fillId="0" borderId="0" xfId="1" applyNumberFormat="1" applyFont="1" applyFill="1" applyBorder="1" applyProtection="1">
      <protection locked="0"/>
    </xf>
    <xf numFmtId="0" fontId="17" fillId="0" borderId="0" xfId="1" applyFont="1" applyFill="1" applyBorder="1" applyProtection="1">
      <protection locked="0"/>
    </xf>
    <xf numFmtId="0" fontId="45" fillId="0" borderId="0" xfId="1" applyNumberFormat="1" applyFont="1" applyFill="1" applyBorder="1" applyAlignment="1" applyProtection="1">
      <alignment horizontal="center"/>
      <protection locked="0"/>
    </xf>
    <xf numFmtId="168" fontId="13" fillId="0" borderId="0" xfId="1" applyNumberFormat="1" applyFont="1" applyFill="1" applyBorder="1" applyAlignment="1" applyProtection="1">
      <alignment horizontal="center"/>
      <protection locked="0"/>
    </xf>
    <xf numFmtId="0" fontId="13" fillId="0" borderId="0" xfId="1" applyNumberFormat="1" applyFont="1" applyFill="1" applyBorder="1" applyAlignment="1" applyProtection="1">
      <alignment horizontal="center"/>
      <protection locked="0"/>
    </xf>
    <xf numFmtId="3" fontId="30" fillId="0" borderId="7" xfId="1" applyNumberFormat="1" applyFont="1" applyFill="1" applyBorder="1" applyAlignment="1" applyProtection="1">
      <alignment horizontal="right"/>
    </xf>
    <xf numFmtId="3" fontId="30" fillId="0" borderId="2" xfId="1" applyNumberFormat="1" applyFont="1" applyFill="1" applyBorder="1" applyAlignment="1" applyProtection="1">
      <alignment horizontal="right"/>
    </xf>
    <xf numFmtId="3" fontId="30" fillId="0" borderId="2" xfId="1" applyNumberFormat="1" applyFont="1" applyFill="1" applyBorder="1" applyAlignment="1" applyProtection="1">
      <alignment horizontal="right"/>
      <protection locked="0"/>
    </xf>
    <xf numFmtId="3" fontId="30" fillId="0" borderId="3" xfId="847" applyNumberFormat="1" applyFont="1" applyFill="1" applyBorder="1" applyAlignment="1" applyProtection="1">
      <alignment horizontal="right"/>
    </xf>
    <xf numFmtId="3" fontId="30" fillId="0" borderId="3" xfId="847" applyNumberFormat="1" applyFont="1" applyFill="1" applyBorder="1" applyAlignment="1" applyProtection="1">
      <alignment horizontal="right"/>
      <protection locked="0"/>
    </xf>
    <xf numFmtId="49" fontId="45" fillId="0" borderId="4" xfId="1" applyNumberFormat="1" applyFont="1" applyFill="1" applyBorder="1" applyProtection="1">
      <protection locked="0"/>
    </xf>
    <xf numFmtId="3" fontId="45" fillId="0" borderId="2" xfId="1" applyNumberFormat="1" applyFont="1" applyFill="1" applyBorder="1" applyAlignment="1" applyProtection="1">
      <alignment horizontal="right"/>
      <protection locked="0"/>
    </xf>
    <xf numFmtId="0" fontId="49" fillId="0" borderId="0" xfId="1" applyFont="1" applyFill="1" applyBorder="1" applyProtection="1">
      <protection locked="0"/>
    </xf>
    <xf numFmtId="0" fontId="49" fillId="0" borderId="0" xfId="1" applyFont="1" applyFill="1" applyProtection="1">
      <protection locked="0"/>
    </xf>
    <xf numFmtId="0" fontId="30" fillId="0" borderId="11" xfId="1" applyFont="1" applyFill="1" applyBorder="1" applyProtection="1">
      <protection locked="0"/>
    </xf>
    <xf numFmtId="3" fontId="30" fillId="0" borderId="6" xfId="1" applyNumberFormat="1" applyFont="1" applyFill="1" applyBorder="1" applyAlignment="1" applyProtection="1">
      <alignment horizontal="right"/>
    </xf>
    <xf numFmtId="3" fontId="30" fillId="0" borderId="0" xfId="1" applyNumberFormat="1" applyFont="1" applyFill="1" applyBorder="1" applyAlignment="1" applyProtection="1">
      <alignment horizontal="right"/>
      <protection locked="0"/>
    </xf>
    <xf numFmtId="0" fontId="41" fillId="0" borderId="0" xfId="845" applyFont="1" applyFill="1" applyProtection="1">
      <protection locked="0"/>
    </xf>
    <xf numFmtId="0" fontId="45" fillId="0" borderId="14" xfId="845" applyNumberFormat="1" applyFont="1" applyFill="1" applyBorder="1" applyAlignment="1" applyProtection="1">
      <alignment horizontal="center"/>
      <protection locked="0"/>
    </xf>
    <xf numFmtId="0" fontId="45" fillId="0" borderId="15" xfId="845" applyNumberFormat="1" applyFont="1" applyFill="1" applyBorder="1" applyAlignment="1" applyProtection="1">
      <alignment horizontal="center"/>
      <protection locked="0"/>
    </xf>
    <xf numFmtId="0" fontId="45" fillId="0" borderId="12" xfId="845" applyNumberFormat="1" applyFont="1" applyFill="1" applyBorder="1" applyAlignment="1" applyProtection="1">
      <alignment horizontal="center"/>
      <protection locked="0"/>
    </xf>
    <xf numFmtId="0" fontId="45" fillId="0" borderId="5" xfId="845" applyNumberFormat="1" applyFont="1" applyFill="1" applyBorder="1" applyAlignment="1" applyProtection="1">
      <alignment horizontal="center"/>
      <protection locked="0"/>
    </xf>
    <xf numFmtId="0" fontId="45" fillId="0" borderId="4" xfId="845" applyFont="1" applyFill="1" applyBorder="1" applyProtection="1">
      <protection locked="0"/>
    </xf>
    <xf numFmtId="3" fontId="30" fillId="0" borderId="3" xfId="845" applyNumberFormat="1" applyFont="1" applyFill="1" applyBorder="1" applyAlignment="1" applyProtection="1">
      <alignment horizontal="right"/>
    </xf>
    <xf numFmtId="3" fontId="30" fillId="0" borderId="3" xfId="848" applyNumberFormat="1" applyFont="1" applyFill="1" applyBorder="1" applyAlignment="1" applyProtection="1">
      <alignment horizontal="right"/>
      <protection locked="0"/>
    </xf>
    <xf numFmtId="3" fontId="30" fillId="0" borderId="3" xfId="848" applyNumberFormat="1" applyFont="1" applyFill="1" applyBorder="1" applyAlignment="1" applyProtection="1">
      <alignment horizontal="right"/>
    </xf>
    <xf numFmtId="0" fontId="30" fillId="0" borderId="3" xfId="845" applyFont="1" applyFill="1" applyBorder="1" applyAlignment="1" applyProtection="1">
      <alignment horizontal="right"/>
      <protection locked="0"/>
    </xf>
    <xf numFmtId="0" fontId="30" fillId="0" borderId="3" xfId="845" applyFont="1" applyFill="1" applyBorder="1" applyAlignment="1" applyProtection="1">
      <alignment horizontal="right"/>
    </xf>
    <xf numFmtId="164" fontId="30" fillId="0" borderId="4" xfId="845" applyNumberFormat="1" applyFont="1" applyFill="1" applyBorder="1" applyAlignment="1" applyProtection="1">
      <alignment horizontal="right"/>
    </xf>
    <xf numFmtId="164" fontId="30" fillId="0" borderId="4" xfId="845" applyNumberFormat="1" applyFont="1" applyFill="1" applyBorder="1" applyAlignment="1" applyProtection="1">
      <alignment horizontal="right"/>
      <protection locked="0"/>
    </xf>
    <xf numFmtId="0" fontId="14" fillId="0" borderId="0" xfId="845" applyFont="1" applyFill="1" applyBorder="1" applyProtection="1">
      <protection locked="0"/>
    </xf>
    <xf numFmtId="3" fontId="45" fillId="0" borderId="3" xfId="845" applyNumberFormat="1" applyFont="1" applyFill="1" applyBorder="1" applyAlignment="1" applyProtection="1">
      <alignment horizontal="right"/>
    </xf>
    <xf numFmtId="3" fontId="45" fillId="0" borderId="3" xfId="848" applyNumberFormat="1" applyFont="1" applyFill="1" applyBorder="1" applyAlignment="1" applyProtection="1">
      <alignment horizontal="right"/>
      <protection locked="0"/>
    </xf>
    <xf numFmtId="3" fontId="45" fillId="0" borderId="3" xfId="848" applyNumberFormat="1" applyFont="1" applyFill="1" applyBorder="1" applyAlignment="1" applyProtection="1">
      <alignment horizontal="right"/>
    </xf>
    <xf numFmtId="0" fontId="45" fillId="0" borderId="3" xfId="845" applyFont="1" applyFill="1" applyBorder="1" applyAlignment="1" applyProtection="1">
      <alignment horizontal="right"/>
      <protection locked="0"/>
    </xf>
    <xf numFmtId="0" fontId="45" fillId="0" borderId="3" xfId="845" applyFont="1" applyFill="1" applyBorder="1" applyAlignment="1" applyProtection="1">
      <alignment horizontal="right"/>
    </xf>
    <xf numFmtId="164" fontId="45" fillId="0" borderId="4" xfId="845" applyNumberFormat="1" applyFont="1" applyFill="1" applyBorder="1" applyAlignment="1" applyProtection="1">
      <alignment horizontal="right"/>
    </xf>
    <xf numFmtId="164" fontId="45" fillId="0" borderId="4" xfId="845" applyNumberFormat="1" applyFont="1" applyFill="1" applyBorder="1" applyAlignment="1" applyProtection="1">
      <alignment horizontal="right"/>
      <protection locked="0"/>
    </xf>
    <xf numFmtId="1" fontId="45" fillId="0" borderId="3" xfId="845" applyNumberFormat="1" applyFont="1" applyFill="1" applyBorder="1" applyAlignment="1" applyProtection="1">
      <alignment horizontal="right"/>
      <protection locked="0"/>
    </xf>
    <xf numFmtId="3" fontId="45" fillId="2" borderId="3" xfId="845" applyNumberFormat="1" applyFont="1" applyFill="1" applyBorder="1" applyAlignment="1" applyProtection="1">
      <alignment horizontal="right"/>
      <protection locked="0"/>
    </xf>
    <xf numFmtId="1" fontId="30" fillId="0" borderId="3" xfId="845" applyNumberFormat="1" applyFont="1" applyFill="1" applyBorder="1" applyAlignment="1" applyProtection="1">
      <alignment horizontal="right"/>
      <protection locked="0"/>
    </xf>
    <xf numFmtId="3" fontId="30" fillId="2" borderId="3" xfId="845" applyNumberFormat="1" applyFont="1" applyFill="1" applyBorder="1" applyAlignment="1" applyProtection="1">
      <alignment horizontal="right"/>
      <protection locked="0"/>
    </xf>
    <xf numFmtId="3" fontId="45" fillId="0" borderId="2" xfId="845" applyNumberFormat="1" applyFont="1" applyFill="1" applyBorder="1" applyAlignment="1" applyProtection="1">
      <alignment horizontal="right"/>
      <protection locked="0"/>
    </xf>
    <xf numFmtId="3" fontId="30" fillId="0" borderId="2" xfId="845" applyNumberFormat="1" applyFont="1" applyFill="1" applyBorder="1" applyAlignment="1" applyProtection="1">
      <alignment horizontal="right"/>
      <protection locked="0"/>
    </xf>
    <xf numFmtId="3" fontId="30" fillId="0" borderId="6" xfId="845" applyNumberFormat="1" applyFont="1" applyFill="1" applyBorder="1" applyAlignment="1" applyProtection="1">
      <alignment horizontal="right"/>
    </xf>
    <xf numFmtId="3" fontId="30" fillId="0" borderId="6" xfId="848" applyNumberFormat="1" applyFont="1" applyFill="1" applyBorder="1" applyAlignment="1" applyProtection="1">
      <alignment horizontal="right"/>
      <protection locked="0"/>
    </xf>
    <xf numFmtId="3" fontId="30" fillId="0" borderId="6" xfId="848" applyNumberFormat="1" applyFont="1" applyFill="1" applyBorder="1" applyAlignment="1" applyProtection="1">
      <alignment horizontal="right"/>
    </xf>
    <xf numFmtId="3" fontId="30" fillId="0" borderId="5" xfId="845" applyNumberFormat="1" applyFont="1" applyFill="1" applyBorder="1" applyAlignment="1" applyProtection="1">
      <alignment horizontal="right"/>
      <protection locked="0"/>
    </xf>
    <xf numFmtId="0" fontId="36" fillId="0" borderId="0" xfId="1" applyFont="1" applyFill="1" applyProtection="1">
      <protection locked="0"/>
    </xf>
    <xf numFmtId="0" fontId="36" fillId="0" borderId="0" xfId="1" applyFont="1" applyFill="1" applyBorder="1" applyProtection="1">
      <protection locked="0"/>
    </xf>
    <xf numFmtId="0" fontId="45" fillId="0" borderId="3" xfId="1" applyFont="1" applyBorder="1" applyProtection="1">
      <protection locked="0"/>
    </xf>
    <xf numFmtId="4" fontId="30" fillId="4" borderId="3" xfId="1" applyNumberFormat="1" applyFont="1" applyFill="1" applyBorder="1" applyAlignment="1" applyProtection="1">
      <alignment horizontal="right"/>
    </xf>
    <xf numFmtId="4" fontId="30" fillId="4" borderId="3" xfId="1" applyNumberFormat="1" applyFont="1" applyFill="1" applyBorder="1" applyAlignment="1" applyProtection="1">
      <alignment horizontal="right"/>
      <protection locked="0"/>
    </xf>
    <xf numFmtId="4" fontId="30" fillId="4" borderId="2" xfId="1" applyNumberFormat="1" applyFont="1" applyFill="1" applyBorder="1" applyAlignment="1" applyProtection="1">
      <alignment horizontal="right"/>
    </xf>
    <xf numFmtId="4" fontId="30" fillId="4" borderId="4" xfId="1" applyNumberFormat="1" applyFont="1" applyFill="1" applyBorder="1" applyAlignment="1" applyProtection="1">
      <alignment horizontal="right"/>
    </xf>
    <xf numFmtId="4" fontId="30" fillId="4" borderId="4" xfId="1" applyNumberFormat="1" applyFont="1" applyFill="1" applyBorder="1" applyAlignment="1" applyProtection="1">
      <alignment horizontal="right"/>
      <protection locked="0"/>
    </xf>
    <xf numFmtId="4" fontId="30" fillId="4" borderId="7" xfId="1" applyNumberFormat="1" applyFont="1" applyFill="1" applyBorder="1" applyAlignment="1" applyProtection="1">
      <alignment horizontal="right"/>
    </xf>
    <xf numFmtId="4" fontId="30" fillId="4" borderId="7" xfId="1" applyNumberFormat="1" applyFont="1" applyFill="1" applyBorder="1" applyAlignment="1" applyProtection="1">
      <alignment horizontal="right"/>
      <protection locked="0"/>
    </xf>
    <xf numFmtId="0" fontId="36" fillId="0" borderId="0" xfId="1" applyFont="1" applyBorder="1" applyProtection="1">
      <protection locked="0"/>
    </xf>
    <xf numFmtId="0" fontId="36" fillId="0" borderId="0" xfId="1" applyFont="1" applyProtection="1">
      <protection locked="0"/>
    </xf>
    <xf numFmtId="4" fontId="30" fillId="4" borderId="0" xfId="1" applyNumberFormat="1" applyFont="1" applyFill="1" applyBorder="1" applyAlignment="1" applyProtection="1">
      <alignment horizontal="right"/>
      <protection locked="0"/>
    </xf>
    <xf numFmtId="4" fontId="30" fillId="0" borderId="3" xfId="1" applyNumberFormat="1" applyFont="1" applyFill="1" applyBorder="1" applyAlignment="1" applyProtection="1">
      <alignment horizontal="right"/>
    </xf>
    <xf numFmtId="4" fontId="30" fillId="0" borderId="3" xfId="1" applyNumberFormat="1" applyFont="1" applyFill="1" applyBorder="1" applyAlignment="1" applyProtection="1">
      <alignment horizontal="right"/>
      <protection locked="0"/>
    </xf>
    <xf numFmtId="0" fontId="53" fillId="0" borderId="0" xfId="1" applyFont="1" applyBorder="1" applyProtection="1">
      <protection locked="0"/>
    </xf>
    <xf numFmtId="0" fontId="53" fillId="0" borderId="0" xfId="1" applyFont="1" applyProtection="1">
      <protection locked="0"/>
    </xf>
    <xf numFmtId="3" fontId="30" fillId="4" borderId="0" xfId="1" applyNumberFormat="1" applyFont="1" applyFill="1" applyBorder="1" applyAlignment="1" applyProtection="1">
      <alignment horizontal="right"/>
      <protection locked="0"/>
    </xf>
    <xf numFmtId="3" fontId="30" fillId="4" borderId="2" xfId="1" applyNumberFormat="1" applyFont="1" applyFill="1" applyBorder="1" applyAlignment="1" applyProtection="1">
      <alignment horizontal="right"/>
    </xf>
    <xf numFmtId="3" fontId="30" fillId="4" borderId="6" xfId="1" applyNumberFormat="1" applyFont="1" applyFill="1" applyBorder="1" applyAlignment="1" applyProtection="1">
      <alignment horizontal="right"/>
    </xf>
    <xf numFmtId="3" fontId="30" fillId="4" borderId="6" xfId="1" applyNumberFormat="1" applyFont="1" applyFill="1" applyBorder="1" applyAlignment="1" applyProtection="1">
      <alignment horizontal="right"/>
      <protection locked="0"/>
    </xf>
    <xf numFmtId="3" fontId="30" fillId="4" borderId="5" xfId="1" applyNumberFormat="1" applyFont="1" applyFill="1" applyBorder="1" applyAlignment="1" applyProtection="1">
      <alignment horizontal="right"/>
    </xf>
    <xf numFmtId="3" fontId="30" fillId="4" borderId="11" xfId="1" applyNumberFormat="1" applyFont="1" applyFill="1" applyBorder="1" applyAlignment="1" applyProtection="1">
      <alignment horizontal="right"/>
    </xf>
    <xf numFmtId="3" fontId="30" fillId="4" borderId="11" xfId="1" applyNumberFormat="1" applyFont="1" applyFill="1" applyBorder="1" applyAlignment="1" applyProtection="1">
      <alignment horizontal="right"/>
      <protection locked="0"/>
    </xf>
    <xf numFmtId="4" fontId="30" fillId="0" borderId="2" xfId="1" applyNumberFormat="1" applyFont="1" applyFill="1" applyBorder="1" applyAlignment="1" applyProtection="1">
      <alignment horizontal="right"/>
      <protection locked="0"/>
    </xf>
    <xf numFmtId="4" fontId="30" fillId="0" borderId="4" xfId="1" applyNumberFormat="1" applyFont="1" applyFill="1" applyBorder="1" applyAlignment="1" applyProtection="1">
      <alignment horizontal="right"/>
      <protection locked="0"/>
    </xf>
    <xf numFmtId="4" fontId="45" fillId="0" borderId="3" xfId="1" applyNumberFormat="1" applyFont="1" applyFill="1" applyBorder="1" applyAlignment="1" applyProtection="1">
      <alignment horizontal="right"/>
      <protection locked="0"/>
    </xf>
    <xf numFmtId="4" fontId="45" fillId="0" borderId="2" xfId="1" applyNumberFormat="1" applyFont="1" applyFill="1" applyBorder="1" applyAlignment="1" applyProtection="1">
      <alignment horizontal="right"/>
      <protection locked="0"/>
    </xf>
    <xf numFmtId="0" fontId="45" fillId="0" borderId="4" xfId="1" applyFont="1" applyFill="1" applyBorder="1" applyAlignment="1" applyProtection="1">
      <alignment horizontal="center"/>
      <protection locked="0"/>
    </xf>
    <xf numFmtId="0" fontId="30" fillId="0" borderId="4" xfId="1" applyFont="1" applyFill="1" applyBorder="1" applyAlignment="1" applyProtection="1">
      <alignment horizontal="center"/>
      <protection locked="0"/>
    </xf>
    <xf numFmtId="0" fontId="30" fillId="0" borderId="4" xfId="1" applyFont="1" applyFill="1" applyBorder="1" applyAlignment="1" applyProtection="1">
      <alignment horizontal="left"/>
      <protection locked="0"/>
    </xf>
    <xf numFmtId="4" fontId="30" fillId="0" borderId="0" xfId="1" applyNumberFormat="1" applyFont="1" applyFill="1" applyBorder="1" applyAlignment="1" applyProtection="1">
      <alignment horizontal="right"/>
      <protection locked="0"/>
    </xf>
    <xf numFmtId="4" fontId="45" fillId="0" borderId="4" xfId="1" applyNumberFormat="1" applyFont="1" applyFill="1" applyBorder="1" applyAlignment="1" applyProtection="1">
      <alignment horizontal="right"/>
      <protection locked="0"/>
    </xf>
    <xf numFmtId="0" fontId="53" fillId="0" borderId="3" xfId="1" applyFont="1" applyFill="1" applyBorder="1" applyProtection="1">
      <protection locked="0"/>
    </xf>
    <xf numFmtId="4" fontId="45" fillId="0" borderId="0" xfId="1" applyNumberFormat="1" applyFont="1" applyFill="1" applyBorder="1" applyAlignment="1" applyProtection="1">
      <alignment horizontal="right"/>
      <protection locked="0"/>
    </xf>
    <xf numFmtId="4" fontId="30" fillId="0" borderId="6" xfId="1" applyNumberFormat="1" applyFont="1" applyFill="1" applyBorder="1" applyAlignment="1" applyProtection="1">
      <alignment horizontal="right"/>
      <protection locked="0"/>
    </xf>
    <xf numFmtId="4" fontId="30" fillId="0" borderId="5" xfId="1" applyNumberFormat="1" applyFont="1" applyFill="1" applyBorder="1" applyAlignment="1" applyProtection="1">
      <alignment horizontal="right"/>
      <protection locked="0"/>
    </xf>
    <xf numFmtId="4" fontId="30" fillId="0" borderId="11" xfId="1" applyNumberFormat="1" applyFont="1" applyFill="1" applyBorder="1" applyAlignment="1" applyProtection="1">
      <alignment horizontal="right"/>
      <protection locked="0"/>
    </xf>
    <xf numFmtId="164" fontId="19" fillId="0" borderId="0" xfId="1" applyNumberFormat="1" applyFont="1" applyProtection="1">
      <protection locked="0"/>
    </xf>
    <xf numFmtId="164" fontId="19" fillId="0" borderId="0" xfId="1" applyNumberFormat="1" applyFont="1" applyBorder="1" applyProtection="1">
      <protection locked="0"/>
    </xf>
    <xf numFmtId="0" fontId="45" fillId="0" borderId="8" xfId="1" applyFont="1" applyBorder="1" applyAlignment="1" applyProtection="1">
      <alignment horizontal="center"/>
      <protection locked="0"/>
    </xf>
    <xf numFmtId="0" fontId="30" fillId="0" borderId="14" xfId="845" applyFont="1" applyFill="1" applyBorder="1" applyProtection="1">
      <protection locked="0"/>
    </xf>
    <xf numFmtId="0" fontId="30" fillId="0" borderId="14" xfId="1" applyFont="1" applyBorder="1" applyProtection="1">
      <protection locked="0"/>
    </xf>
    <xf numFmtId="0" fontId="30" fillId="0" borderId="0" xfId="1" applyFont="1" applyBorder="1" applyProtection="1">
      <protection locked="0"/>
    </xf>
    <xf numFmtId="164" fontId="19" fillId="0" borderId="0" xfId="1" applyNumberFormat="1" applyFont="1" applyFill="1" applyProtection="1">
      <protection locked="0"/>
    </xf>
    <xf numFmtId="164" fontId="19" fillId="0" borderId="0" xfId="1" applyNumberFormat="1" applyFont="1" applyFill="1" applyBorder="1" applyProtection="1">
      <protection locked="0"/>
    </xf>
    <xf numFmtId="0" fontId="30" fillId="0" borderId="14" xfId="1" applyFont="1" applyFill="1" applyBorder="1" applyProtection="1">
      <protection locked="0"/>
    </xf>
    <xf numFmtId="3" fontId="30" fillId="0" borderId="0" xfId="1" applyNumberFormat="1" applyFont="1" applyFill="1" applyProtection="1">
      <protection locked="0"/>
    </xf>
    <xf numFmtId="0" fontId="17" fillId="10" borderId="0" xfId="1" applyFont="1" applyFill="1"/>
    <xf numFmtId="3" fontId="17" fillId="0" borderId="2" xfId="2" applyNumberFormat="1" applyFont="1" applyBorder="1" applyAlignment="1">
      <alignment horizontal="right"/>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5" fillId="0" borderId="9" xfId="1" applyNumberFormat="1" applyFont="1" applyBorder="1" applyAlignment="1">
      <alignment horizontal="center"/>
    </xf>
    <xf numFmtId="3" fontId="17" fillId="7" borderId="3" xfId="844" applyNumberFormat="1" applyFont="1" applyBorder="1" applyAlignment="1">
      <alignment horizontal="right"/>
    </xf>
    <xf numFmtId="3" fontId="17" fillId="0" borderId="2" xfId="2" applyNumberFormat="1" applyFont="1" applyFill="1" applyBorder="1" applyAlignment="1">
      <alignment horizontal="right"/>
    </xf>
    <xf numFmtId="3" fontId="18" fillId="0" borderId="2" xfId="1" applyNumberFormat="1" applyFont="1" applyFill="1" applyBorder="1" applyAlignment="1">
      <alignment horizontal="right"/>
    </xf>
    <xf numFmtId="3" fontId="17" fillId="0" borderId="0" xfId="1" quotePrefix="1" applyNumberFormat="1" applyFont="1" applyFill="1" applyBorder="1" applyAlignment="1">
      <alignment horizontal="right"/>
    </xf>
    <xf numFmtId="3" fontId="15" fillId="0" borderId="10" xfId="1" applyNumberFormat="1" applyFont="1" applyBorder="1" applyAlignment="1">
      <alignment horizontal="left"/>
    </xf>
    <xf numFmtId="0" fontId="30" fillId="0" borderId="6" xfId="1" applyFont="1" applyFill="1" applyBorder="1" applyAlignment="1" applyProtection="1">
      <alignment horizontal="center"/>
      <protection locked="0"/>
    </xf>
    <xf numFmtId="14" fontId="30" fillId="0" borderId="0" xfId="1" applyNumberFormat="1" applyFont="1" applyAlignment="1">
      <alignment horizontal="center"/>
    </xf>
    <xf numFmtId="0" fontId="15" fillId="8" borderId="0" xfId="0" applyFont="1" applyFill="1" applyBorder="1" applyAlignment="1">
      <alignment horizontal="center"/>
    </xf>
    <xf numFmtId="0" fontId="15" fillId="8" borderId="2" xfId="0" applyFont="1" applyFill="1" applyBorder="1" applyAlignment="1">
      <alignment horizontal="center"/>
    </xf>
    <xf numFmtId="0" fontId="45" fillId="0" borderId="12" xfId="0" applyFont="1" applyBorder="1" applyAlignment="1">
      <alignment horizontal="left"/>
    </xf>
    <xf numFmtId="0" fontId="45" fillId="0" borderId="10" xfId="0" applyFont="1" applyBorder="1" applyAlignment="1">
      <alignment horizontal="center"/>
    </xf>
    <xf numFmtId="0" fontId="45" fillId="0" borderId="8" xfId="0" applyFont="1" applyBorder="1" applyAlignment="1">
      <alignment horizontal="center"/>
    </xf>
    <xf numFmtId="0" fontId="45" fillId="0" borderId="9" xfId="0" applyFont="1" applyBorder="1" applyAlignment="1">
      <alignment horizontal="center"/>
    </xf>
    <xf numFmtId="0" fontId="15" fillId="8" borderId="4" xfId="0" applyFont="1" applyFill="1" applyBorder="1" applyAlignment="1">
      <alignment horizontal="center"/>
    </xf>
    <xf numFmtId="0" fontId="45" fillId="0" borderId="14" xfId="0" applyFont="1" applyBorder="1" applyAlignment="1">
      <alignment horizontal="center"/>
    </xf>
    <xf numFmtId="0" fontId="45" fillId="0" borderId="15" xfId="0" applyFont="1" applyBorder="1" applyAlignment="1">
      <alignment horizontal="center"/>
    </xf>
    <xf numFmtId="0" fontId="45" fillId="0" borderId="1" xfId="0" applyFont="1" applyBorder="1" applyAlignment="1">
      <alignment horizontal="center"/>
    </xf>
    <xf numFmtId="14" fontId="13" fillId="0" borderId="11" xfId="0" applyNumberFormat="1" applyFont="1" applyFill="1" applyBorder="1" applyAlignment="1">
      <alignment horizontal="center"/>
    </xf>
    <xf numFmtId="14" fontId="13" fillId="0" borderId="12" xfId="0" applyNumberFormat="1" applyFont="1" applyFill="1" applyBorder="1" applyAlignment="1">
      <alignment horizontal="center"/>
    </xf>
    <xf numFmtId="14" fontId="13" fillId="0" borderId="5" xfId="0" applyNumberFormat="1" applyFont="1" applyFill="1" applyBorder="1" applyAlignment="1">
      <alignment horizontal="center"/>
    </xf>
    <xf numFmtId="3" fontId="45" fillId="0" borderId="11" xfId="0" applyNumberFormat="1" applyFont="1" applyBorder="1" applyAlignment="1">
      <alignment horizontal="center"/>
    </xf>
    <xf numFmtId="3" fontId="45" fillId="0" borderId="12" xfId="0" applyNumberFormat="1" applyFont="1" applyBorder="1" applyAlignment="1">
      <alignment horizontal="center"/>
    </xf>
    <xf numFmtId="3" fontId="45" fillId="0" borderId="5" xfId="0" applyNumberFormat="1" applyFont="1" applyBorder="1" applyAlignment="1">
      <alignment horizontal="center"/>
    </xf>
    <xf numFmtId="0" fontId="13" fillId="0" borderId="0" xfId="1" applyFont="1" applyBorder="1" applyAlignment="1">
      <alignment horizontal="center"/>
    </xf>
    <xf numFmtId="0" fontId="15" fillId="0" borderId="10" xfId="1" applyFont="1" applyBorder="1" applyAlignment="1">
      <alignment horizontal="center"/>
    </xf>
    <xf numFmtId="0" fontId="15" fillId="0" borderId="8" xfId="1" applyFont="1" applyBorder="1" applyAlignment="1">
      <alignment horizontal="center"/>
    </xf>
    <xf numFmtId="0" fontId="15" fillId="0" borderId="9" xfId="1" applyFont="1" applyBorder="1" applyAlignment="1">
      <alignment horizontal="center"/>
    </xf>
    <xf numFmtId="0" fontId="13" fillId="0" borderId="0" xfId="1" applyFont="1" applyFill="1" applyBorder="1" applyAlignment="1">
      <alignment horizontal="center"/>
    </xf>
    <xf numFmtId="3" fontId="13" fillId="0" borderId="12" xfId="1" applyNumberFormat="1" applyFont="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3" fillId="0" borderId="0" xfId="1" applyNumberFormat="1" applyFont="1" applyBorder="1" applyAlignment="1">
      <alignment horizontal="center"/>
    </xf>
    <xf numFmtId="3" fontId="13" fillId="0" borderId="14" xfId="1" applyNumberFormat="1" applyFont="1" applyFill="1" applyBorder="1" applyAlignment="1">
      <alignment horizontal="center"/>
    </xf>
    <xf numFmtId="3" fontId="13" fillId="0" borderId="0" xfId="1" applyNumberFormat="1" applyFont="1" applyFill="1" applyBorder="1" applyAlignment="1">
      <alignment horizontal="center"/>
    </xf>
    <xf numFmtId="3" fontId="15" fillId="0" borderId="9" xfId="1" applyNumberFormat="1" applyFont="1" applyBorder="1" applyAlignment="1">
      <alignment horizontal="center"/>
    </xf>
    <xf numFmtId="0" fontId="45" fillId="0" borderId="11" xfId="1" applyNumberFormat="1" applyFont="1" applyFill="1" applyBorder="1" applyAlignment="1" applyProtection="1">
      <alignment horizontal="center"/>
      <protection locked="0"/>
    </xf>
    <xf numFmtId="0" fontId="45" fillId="0" borderId="12" xfId="1" applyNumberFormat="1" applyFont="1" applyFill="1" applyBorder="1" applyAlignment="1" applyProtection="1">
      <alignment horizontal="center"/>
      <protection locked="0"/>
    </xf>
    <xf numFmtId="0" fontId="45" fillId="0" borderId="5" xfId="1" applyNumberFormat="1" applyFont="1" applyFill="1" applyBorder="1" applyAlignment="1" applyProtection="1">
      <alignment horizontal="center"/>
      <protection locked="0"/>
    </xf>
    <xf numFmtId="0" fontId="45" fillId="0" borderId="11" xfId="1" applyFont="1" applyBorder="1" applyAlignment="1" applyProtection="1">
      <alignment horizontal="center"/>
      <protection locked="0"/>
    </xf>
    <xf numFmtId="0" fontId="45" fillId="0" borderId="12" xfId="1" applyFont="1" applyBorder="1" applyAlignment="1" applyProtection="1">
      <alignment horizontal="center"/>
      <protection locked="0"/>
    </xf>
    <xf numFmtId="0" fontId="45" fillId="0" borderId="5" xfId="1" applyFont="1" applyBorder="1" applyAlignment="1" applyProtection="1">
      <alignment horizontal="center"/>
      <protection locked="0"/>
    </xf>
    <xf numFmtId="0" fontId="45" fillId="0" borderId="1" xfId="1" applyNumberFormat="1" applyFont="1" applyFill="1" applyBorder="1" applyAlignment="1" applyProtection="1">
      <alignment horizontal="center"/>
      <protection locked="0"/>
    </xf>
    <xf numFmtId="0" fontId="45" fillId="0" borderId="14" xfId="1" applyNumberFormat="1" applyFont="1" applyFill="1" applyBorder="1" applyAlignment="1" applyProtection="1">
      <alignment horizontal="center"/>
      <protection locked="0"/>
    </xf>
    <xf numFmtId="0" fontId="45" fillId="0" borderId="15" xfId="1" applyNumberFormat="1" applyFont="1" applyFill="1" applyBorder="1" applyAlignment="1" applyProtection="1">
      <alignment horizontal="center"/>
      <protection locked="0"/>
    </xf>
    <xf numFmtId="0" fontId="45" fillId="10" borderId="11" xfId="1" applyNumberFormat="1" applyFont="1" applyFill="1" applyBorder="1" applyAlignment="1" applyProtection="1">
      <alignment horizontal="center"/>
      <protection locked="0"/>
    </xf>
    <xf numFmtId="0" fontId="45" fillId="10" borderId="12" xfId="1" applyNumberFormat="1" applyFont="1" applyFill="1" applyBorder="1" applyAlignment="1" applyProtection="1">
      <alignment horizontal="center"/>
      <protection locked="0"/>
    </xf>
    <xf numFmtId="0" fontId="45" fillId="10" borderId="5" xfId="1" applyNumberFormat="1" applyFont="1" applyFill="1" applyBorder="1" applyAlignment="1" applyProtection="1">
      <alignment horizontal="center"/>
      <protection locked="0"/>
    </xf>
    <xf numFmtId="0" fontId="45" fillId="10" borderId="1" xfId="1" applyNumberFormat="1" applyFont="1" applyFill="1" applyBorder="1" applyAlignment="1" applyProtection="1">
      <alignment horizontal="center"/>
      <protection locked="0"/>
    </xf>
    <xf numFmtId="0" fontId="45" fillId="10" borderId="14" xfId="1" applyNumberFormat="1" applyFont="1" applyFill="1" applyBorder="1" applyAlignment="1" applyProtection="1">
      <alignment horizontal="center"/>
      <protection locked="0"/>
    </xf>
    <xf numFmtId="0" fontId="45" fillId="10" borderId="15" xfId="1" applyNumberFormat="1" applyFont="1" applyFill="1" applyBorder="1" applyAlignment="1" applyProtection="1">
      <alignment horizontal="center"/>
      <protection locked="0"/>
    </xf>
    <xf numFmtId="0" fontId="45" fillId="0" borderId="1" xfId="1" applyFont="1" applyBorder="1" applyAlignment="1" applyProtection="1">
      <alignment horizontal="center"/>
      <protection locked="0"/>
    </xf>
    <xf numFmtId="0" fontId="45" fillId="0" borderId="14" xfId="1" applyFont="1" applyBorder="1" applyAlignment="1" applyProtection="1">
      <alignment horizontal="center"/>
      <protection locked="0"/>
    </xf>
    <xf numFmtId="0" fontId="45" fillId="0" borderId="15" xfId="1" applyFont="1" applyBorder="1" applyAlignment="1" applyProtection="1">
      <alignment horizontal="center"/>
      <protection locked="0"/>
    </xf>
    <xf numFmtId="0" fontId="45" fillId="0" borderId="11" xfId="845" applyNumberFormat="1" applyFont="1" applyFill="1" applyBorder="1" applyAlignment="1" applyProtection="1">
      <alignment horizontal="center"/>
      <protection locked="0"/>
    </xf>
    <xf numFmtId="0" fontId="45" fillId="0" borderId="12" xfId="845" applyNumberFormat="1" applyFont="1" applyFill="1" applyBorder="1" applyAlignment="1" applyProtection="1">
      <alignment horizontal="center"/>
      <protection locked="0"/>
    </xf>
    <xf numFmtId="0" fontId="45" fillId="0" borderId="5" xfId="845" applyNumberFormat="1" applyFont="1" applyFill="1" applyBorder="1" applyAlignment="1" applyProtection="1">
      <alignment horizontal="center"/>
      <protection locked="0"/>
    </xf>
    <xf numFmtId="0" fontId="45" fillId="4" borderId="0" xfId="1" applyNumberFormat="1" applyFont="1" applyFill="1" applyBorder="1" applyAlignment="1" applyProtection="1">
      <alignment horizontal="center"/>
      <protection locked="0"/>
    </xf>
    <xf numFmtId="0" fontId="45" fillId="0" borderId="0" xfId="1" applyNumberFormat="1" applyFont="1" applyFill="1" applyBorder="1" applyAlignment="1" applyProtection="1">
      <alignment horizontal="center"/>
      <protection locked="0"/>
    </xf>
    <xf numFmtId="0" fontId="45" fillId="0" borderId="1" xfId="845" applyNumberFormat="1" applyFont="1" applyFill="1" applyBorder="1" applyAlignment="1" applyProtection="1">
      <alignment horizontal="center"/>
      <protection locked="0"/>
    </xf>
    <xf numFmtId="0" fontId="45" fillId="0" borderId="14" xfId="845" applyNumberFormat="1" applyFont="1" applyFill="1" applyBorder="1" applyAlignment="1" applyProtection="1">
      <alignment horizontal="center"/>
      <protection locked="0"/>
    </xf>
    <xf numFmtId="0" fontId="45" fillId="0" borderId="15" xfId="845" applyNumberFormat="1" applyFont="1" applyFill="1" applyBorder="1" applyAlignment="1" applyProtection="1">
      <alignment horizontal="center"/>
      <protection locked="0"/>
    </xf>
  </cellXfs>
  <cellStyles count="849">
    <cellStyle name="20 % - uthevingsfarge 2" xfId="844" builtinId="34"/>
    <cellStyle name="40% - uthevingsfarge 4 2" xfId="38"/>
    <cellStyle name="40% - uthevingsfarge 4 2 10" xfId="771"/>
    <cellStyle name="40% - uthevingsfarge 4 2 2" xfId="80"/>
    <cellStyle name="40% - uthevingsfarge 4 2 2 2" xfId="173"/>
    <cellStyle name="40% - uthevingsfarge 4 2 2 3" xfId="263"/>
    <cellStyle name="40% - uthevingsfarge 4 2 2 4" xfId="353"/>
    <cellStyle name="40% - uthevingsfarge 4 2 2 5" xfId="443"/>
    <cellStyle name="40% - uthevingsfarge 4 2 2 6" xfId="533"/>
    <cellStyle name="40% - uthevingsfarge 4 2 2 7" xfId="623"/>
    <cellStyle name="40% - uthevingsfarge 4 2 2 8" xfId="713"/>
    <cellStyle name="40% - uthevingsfarge 4 2 2 9" xfId="810"/>
    <cellStyle name="40% - uthevingsfarge 4 2 3" xfId="136"/>
    <cellStyle name="40% - uthevingsfarge 4 2 4" xfId="226"/>
    <cellStyle name="40% - uthevingsfarge 4 2 5" xfId="316"/>
    <cellStyle name="40% - uthevingsfarge 4 2 6" xfId="406"/>
    <cellStyle name="40% - uthevingsfarge 4 2 7" xfId="496"/>
    <cellStyle name="40% - uthevingsfarge 4 2 8" xfId="586"/>
    <cellStyle name="40% - uthevingsfarge 4 2 9" xfId="676"/>
    <cellStyle name="Hyperkobling" xfId="3" builtinId="8"/>
    <cellStyle name="Komma" xfId="2" builtinId="3"/>
    <cellStyle name="Komma 2" xfId="847"/>
    <cellStyle name="Merknad 2" xfId="94"/>
    <cellStyle name="Normal" xfId="0" builtinId="0"/>
    <cellStyle name="Normal 10" xfId="31"/>
    <cellStyle name="Normal 10 10" xfId="670"/>
    <cellStyle name="Normal 10 11" xfId="765"/>
    <cellStyle name="Normal 10 2" xfId="53"/>
    <cellStyle name="Normal 10 2 10" xfId="785"/>
    <cellStyle name="Normal 10 2 2" xfId="93"/>
    <cellStyle name="Normal 10 2 2 10" xfId="823"/>
    <cellStyle name="Normal 10 2 2 2" xfId="6"/>
    <cellStyle name="Normal 10 2 2 2 2" xfId="116"/>
    <cellStyle name="Normal 10 2 2 3" xfId="186"/>
    <cellStyle name="Normal 10 2 2 4" xfId="276"/>
    <cellStyle name="Normal 10 2 2 5" xfId="366"/>
    <cellStyle name="Normal 10 2 2 6" xfId="456"/>
    <cellStyle name="Normal 10 2 2 7" xfId="546"/>
    <cellStyle name="Normal 10 2 2 8" xfId="636"/>
    <cellStyle name="Normal 10 2 2 9" xfId="726"/>
    <cellStyle name="Normal 10 2 3" xfId="149"/>
    <cellStyle name="Normal 10 2 4" xfId="239"/>
    <cellStyle name="Normal 10 2 5" xfId="329"/>
    <cellStyle name="Normal 10 2 6" xfId="419"/>
    <cellStyle name="Normal 10 2 7" xfId="509"/>
    <cellStyle name="Normal 10 2 8" xfId="599"/>
    <cellStyle name="Normal 10 2 9" xfId="689"/>
    <cellStyle name="Normal 10 3" xfId="74"/>
    <cellStyle name="Normal 10 3 2" xfId="167"/>
    <cellStyle name="Normal 10 3 3" xfId="257"/>
    <cellStyle name="Normal 10 3 4" xfId="347"/>
    <cellStyle name="Normal 10 3 5" xfId="437"/>
    <cellStyle name="Normal 10 3 6" xfId="527"/>
    <cellStyle name="Normal 10 3 7" xfId="617"/>
    <cellStyle name="Normal 10 3 8" xfId="707"/>
    <cellStyle name="Normal 10 3 9" xfId="804"/>
    <cellStyle name="Normal 10 4" xfId="130"/>
    <cellStyle name="Normal 10 5" xfId="220"/>
    <cellStyle name="Normal 10 6" xfId="310"/>
    <cellStyle name="Normal 10 7" xfId="400"/>
    <cellStyle name="Normal 10 8" xfId="490"/>
    <cellStyle name="Normal 10 9" xfId="580"/>
    <cellStyle name="Normal 11" xfId="35"/>
    <cellStyle name="Normal 11 10" xfId="673"/>
    <cellStyle name="Normal 11 11" xfId="768"/>
    <cellStyle name="Normal 11 2" xfId="57"/>
    <cellStyle name="Normal 11 2 10" xfId="788"/>
    <cellStyle name="Normal 11 2 2" xfId="97"/>
    <cellStyle name="Normal 11 2 2 2" xfId="189"/>
    <cellStyle name="Normal 11 2 2 3" xfId="279"/>
    <cellStyle name="Normal 11 2 2 4" xfId="369"/>
    <cellStyle name="Normal 11 2 2 5" xfId="459"/>
    <cellStyle name="Normal 11 2 2 6" xfId="549"/>
    <cellStyle name="Normal 11 2 2 7" xfId="639"/>
    <cellStyle name="Normal 11 2 2 8" xfId="729"/>
    <cellStyle name="Normal 11 2 2 9" xfId="826"/>
    <cellStyle name="Normal 11 2 3" xfId="152"/>
    <cellStyle name="Normal 11 2 4" xfId="242"/>
    <cellStyle name="Normal 11 2 5" xfId="332"/>
    <cellStyle name="Normal 11 2 6" xfId="422"/>
    <cellStyle name="Normal 11 2 7" xfId="512"/>
    <cellStyle name="Normal 11 2 8" xfId="602"/>
    <cellStyle name="Normal 11 2 9" xfId="692"/>
    <cellStyle name="Normal 11 3" xfId="77"/>
    <cellStyle name="Normal 11 3 2" xfId="170"/>
    <cellStyle name="Normal 11 3 3" xfId="260"/>
    <cellStyle name="Normal 11 3 4" xfId="350"/>
    <cellStyle name="Normal 11 3 5" xfId="440"/>
    <cellStyle name="Normal 11 3 6" xfId="530"/>
    <cellStyle name="Normal 11 3 7" xfId="620"/>
    <cellStyle name="Normal 11 3 8" xfId="710"/>
    <cellStyle name="Normal 11 3 9" xfId="807"/>
    <cellStyle name="Normal 11 4" xfId="133"/>
    <cellStyle name="Normal 11 5" xfId="223"/>
    <cellStyle name="Normal 11 6" xfId="313"/>
    <cellStyle name="Normal 11 7" xfId="403"/>
    <cellStyle name="Normal 11 8" xfId="493"/>
    <cellStyle name="Normal 11 9" xfId="583"/>
    <cellStyle name="Normal 12" xfId="100"/>
    <cellStyle name="Normal 12 2" xfId="192"/>
    <cellStyle name="Normal 12 3" xfId="282"/>
    <cellStyle name="Normal 12 4" xfId="372"/>
    <cellStyle name="Normal 12 5" xfId="462"/>
    <cellStyle name="Normal 12 6" xfId="552"/>
    <cellStyle name="Normal 12 7" xfId="642"/>
    <cellStyle name="Normal 12 8" xfId="732"/>
    <cellStyle name="Normal 12 9" xfId="829"/>
    <cellStyle name="Normal 13" xfId="103"/>
    <cellStyle name="Normal 13 2" xfId="195"/>
    <cellStyle name="Normal 13 3" xfId="285"/>
    <cellStyle name="Normal 13 4" xfId="375"/>
    <cellStyle name="Normal 13 5" xfId="465"/>
    <cellStyle name="Normal 13 6" xfId="555"/>
    <cellStyle name="Normal 13 7" xfId="645"/>
    <cellStyle name="Normal 13 8" xfId="735"/>
    <cellStyle name="Normal 13 9" xfId="832"/>
    <cellStyle name="Normal 14" xfId="106"/>
    <cellStyle name="Normal 14 2" xfId="198"/>
    <cellStyle name="Normal 14 3" xfId="288"/>
    <cellStyle name="Normal 14 4" xfId="378"/>
    <cellStyle name="Normal 14 5" xfId="468"/>
    <cellStyle name="Normal 14 6" xfId="558"/>
    <cellStyle name="Normal 14 7" xfId="648"/>
    <cellStyle name="Normal 14 8" xfId="738"/>
    <cellStyle name="Normal 14 9" xfId="835"/>
    <cellStyle name="Normal 15" xfId="109"/>
    <cellStyle name="Normal 15 2" xfId="201"/>
    <cellStyle name="Normal 15 3" xfId="291"/>
    <cellStyle name="Normal 15 4" xfId="381"/>
    <cellStyle name="Normal 15 5" xfId="471"/>
    <cellStyle name="Normal 15 6" xfId="561"/>
    <cellStyle name="Normal 15 7" xfId="651"/>
    <cellStyle name="Normal 15 8" xfId="741"/>
    <cellStyle name="Normal 15 9" xfId="838"/>
    <cellStyle name="Normal 16" xfId="112"/>
    <cellStyle name="Normal 16 2" xfId="204"/>
    <cellStyle name="Normal 16 3" xfId="294"/>
    <cellStyle name="Normal 16 4" xfId="384"/>
    <cellStyle name="Normal 16 5" xfId="474"/>
    <cellStyle name="Normal 16 6" xfId="564"/>
    <cellStyle name="Normal 16 7" xfId="654"/>
    <cellStyle name="Normal 16 8" xfId="744"/>
    <cellStyle name="Normal 16 9" xfId="841"/>
    <cellStyle name="Normal 17" xfId="8"/>
    <cellStyle name="Normal 18" xfId="10"/>
    <cellStyle name="Normal 19" xfId="117"/>
    <cellStyle name="Normal 2" xfId="1"/>
    <cellStyle name="Normal 2 2" xfId="7"/>
    <cellStyle name="Normal 2 3" xfId="20"/>
    <cellStyle name="Normal 2 4" xfId="39"/>
    <cellStyle name="Normal 2 5" xfId="60"/>
    <cellStyle name="Normal 20" xfId="207"/>
    <cellStyle name="Normal 21" xfId="297"/>
    <cellStyle name="Normal 22" xfId="387"/>
    <cellStyle name="Normal 23" xfId="477"/>
    <cellStyle name="Normal 24" xfId="567"/>
    <cellStyle name="Normal 25" xfId="657"/>
    <cellStyle name="Normal 26" xfId="747"/>
    <cellStyle name="Normal 3" xfId="4"/>
    <cellStyle name="Normal 3 10" xfId="104"/>
    <cellStyle name="Normal 3 10 2" xfId="196"/>
    <cellStyle name="Normal 3 10 3" xfId="286"/>
    <cellStyle name="Normal 3 10 4" xfId="376"/>
    <cellStyle name="Normal 3 10 5" xfId="466"/>
    <cellStyle name="Normal 3 10 6" xfId="556"/>
    <cellStyle name="Normal 3 10 7" xfId="646"/>
    <cellStyle name="Normal 3 10 8" xfId="736"/>
    <cellStyle name="Normal 3 10 9" xfId="833"/>
    <cellStyle name="Normal 3 11" xfId="107"/>
    <cellStyle name="Normal 3 11 2" xfId="199"/>
    <cellStyle name="Normal 3 11 3" xfId="289"/>
    <cellStyle name="Normal 3 11 4" xfId="379"/>
    <cellStyle name="Normal 3 11 5" xfId="469"/>
    <cellStyle name="Normal 3 11 6" xfId="559"/>
    <cellStyle name="Normal 3 11 7" xfId="649"/>
    <cellStyle name="Normal 3 11 8" xfId="739"/>
    <cellStyle name="Normal 3 11 9" xfId="836"/>
    <cellStyle name="Normal 3 12" xfId="110"/>
    <cellStyle name="Normal 3 12 2" xfId="202"/>
    <cellStyle name="Normal 3 12 3" xfId="292"/>
    <cellStyle name="Normal 3 12 4" xfId="382"/>
    <cellStyle name="Normal 3 12 5" xfId="472"/>
    <cellStyle name="Normal 3 12 6" xfId="562"/>
    <cellStyle name="Normal 3 12 7" xfId="652"/>
    <cellStyle name="Normal 3 12 8" xfId="742"/>
    <cellStyle name="Normal 3 12 9" xfId="839"/>
    <cellStyle name="Normal 3 13" xfId="113"/>
    <cellStyle name="Normal 3 13 2" xfId="205"/>
    <cellStyle name="Normal 3 13 3" xfId="295"/>
    <cellStyle name="Normal 3 13 4" xfId="385"/>
    <cellStyle name="Normal 3 13 5" xfId="475"/>
    <cellStyle name="Normal 3 13 6" xfId="565"/>
    <cellStyle name="Normal 3 13 7" xfId="655"/>
    <cellStyle name="Normal 3 13 8" xfId="745"/>
    <cellStyle name="Normal 3 13 9" xfId="842"/>
    <cellStyle name="Normal 3 14" xfId="11"/>
    <cellStyle name="Normal 3 15" xfId="118"/>
    <cellStyle name="Normal 3 16" xfId="208"/>
    <cellStyle name="Normal 3 17" xfId="298"/>
    <cellStyle name="Normal 3 18" xfId="388"/>
    <cellStyle name="Normal 3 19" xfId="478"/>
    <cellStyle name="Normal 3 2" xfId="23"/>
    <cellStyle name="Normal 3 2 10" xfId="662"/>
    <cellStyle name="Normal 3 2 11" xfId="757"/>
    <cellStyle name="Normal 3 2 2" xfId="45"/>
    <cellStyle name="Normal 3 2 2 10" xfId="777"/>
    <cellStyle name="Normal 3 2 2 2" xfId="85"/>
    <cellStyle name="Normal 3 2 2 2 2" xfId="178"/>
    <cellStyle name="Normal 3 2 2 2 3" xfId="268"/>
    <cellStyle name="Normal 3 2 2 2 4" xfId="358"/>
    <cellStyle name="Normal 3 2 2 2 5" xfId="448"/>
    <cellStyle name="Normal 3 2 2 2 6" xfId="538"/>
    <cellStyle name="Normal 3 2 2 2 7" xfId="628"/>
    <cellStyle name="Normal 3 2 2 2 8" xfId="718"/>
    <cellStyle name="Normal 3 2 2 2 9" xfId="815"/>
    <cellStyle name="Normal 3 2 2 3" xfId="141"/>
    <cellStyle name="Normal 3 2 2 4" xfId="231"/>
    <cellStyle name="Normal 3 2 2 5" xfId="321"/>
    <cellStyle name="Normal 3 2 2 6" xfId="411"/>
    <cellStyle name="Normal 3 2 2 7" xfId="501"/>
    <cellStyle name="Normal 3 2 2 8" xfId="591"/>
    <cellStyle name="Normal 3 2 2 9" xfId="681"/>
    <cellStyle name="Normal 3 2 3" xfId="66"/>
    <cellStyle name="Normal 3 2 3 2" xfId="159"/>
    <cellStyle name="Normal 3 2 3 3" xfId="249"/>
    <cellStyle name="Normal 3 2 3 4" xfId="339"/>
    <cellStyle name="Normal 3 2 3 5" xfId="429"/>
    <cellStyle name="Normal 3 2 3 6" xfId="519"/>
    <cellStyle name="Normal 3 2 3 7" xfId="609"/>
    <cellStyle name="Normal 3 2 3 8" xfId="699"/>
    <cellStyle name="Normal 3 2 3 9" xfId="796"/>
    <cellStyle name="Normal 3 2 4" xfId="122"/>
    <cellStyle name="Normal 3 2 5" xfId="212"/>
    <cellStyle name="Normal 3 2 6" xfId="302"/>
    <cellStyle name="Normal 3 2 7" xfId="392"/>
    <cellStyle name="Normal 3 2 8" xfId="482"/>
    <cellStyle name="Normal 3 2 9" xfId="572"/>
    <cellStyle name="Normal 3 20" xfId="568"/>
    <cellStyle name="Normal 3 21" xfId="658"/>
    <cellStyle name="Normal 3 22" xfId="748"/>
    <cellStyle name="Normal 3 3" xfId="26"/>
    <cellStyle name="Normal 3 3 10" xfId="665"/>
    <cellStyle name="Normal 3 3 11" xfId="760"/>
    <cellStyle name="Normal 3 3 2" xfId="48"/>
    <cellStyle name="Normal 3 3 2 10" xfId="780"/>
    <cellStyle name="Normal 3 3 2 2" xfId="88"/>
    <cellStyle name="Normal 3 3 2 2 2" xfId="181"/>
    <cellStyle name="Normal 3 3 2 2 3" xfId="271"/>
    <cellStyle name="Normal 3 3 2 2 4" xfId="361"/>
    <cellStyle name="Normal 3 3 2 2 5" xfId="451"/>
    <cellStyle name="Normal 3 3 2 2 6" xfId="541"/>
    <cellStyle name="Normal 3 3 2 2 7" xfId="631"/>
    <cellStyle name="Normal 3 3 2 2 8" xfId="721"/>
    <cellStyle name="Normal 3 3 2 2 9" xfId="818"/>
    <cellStyle name="Normal 3 3 2 3" xfId="144"/>
    <cellStyle name="Normal 3 3 2 4" xfId="234"/>
    <cellStyle name="Normal 3 3 2 5" xfId="324"/>
    <cellStyle name="Normal 3 3 2 6" xfId="414"/>
    <cellStyle name="Normal 3 3 2 7" xfId="504"/>
    <cellStyle name="Normal 3 3 2 8" xfId="594"/>
    <cellStyle name="Normal 3 3 2 9" xfId="684"/>
    <cellStyle name="Normal 3 3 3" xfId="69"/>
    <cellStyle name="Normal 3 3 3 2" xfId="162"/>
    <cellStyle name="Normal 3 3 3 3" xfId="252"/>
    <cellStyle name="Normal 3 3 3 4" xfId="342"/>
    <cellStyle name="Normal 3 3 3 5" xfId="432"/>
    <cellStyle name="Normal 3 3 3 6" xfId="522"/>
    <cellStyle name="Normal 3 3 3 7" xfId="612"/>
    <cellStyle name="Normal 3 3 3 8" xfId="702"/>
    <cellStyle name="Normal 3 3 3 9" xfId="799"/>
    <cellStyle name="Normal 3 3 4" xfId="125"/>
    <cellStyle name="Normal 3 3 5" xfId="215"/>
    <cellStyle name="Normal 3 3 6" xfId="305"/>
    <cellStyle name="Normal 3 3 7" xfId="395"/>
    <cellStyle name="Normal 3 3 8" xfId="485"/>
    <cellStyle name="Normal 3 3 9" xfId="575"/>
    <cellStyle name="Normal 3 4" xfId="29"/>
    <cellStyle name="Normal 3 4 10" xfId="668"/>
    <cellStyle name="Normal 3 4 11" xfId="763"/>
    <cellStyle name="Normal 3 4 2" xfId="51"/>
    <cellStyle name="Normal 3 4 2 10" xfId="783"/>
    <cellStyle name="Normal 3 4 2 2" xfId="91"/>
    <cellStyle name="Normal 3 4 2 2 2" xfId="184"/>
    <cellStyle name="Normal 3 4 2 2 3" xfId="274"/>
    <cellStyle name="Normal 3 4 2 2 4" xfId="364"/>
    <cellStyle name="Normal 3 4 2 2 5" xfId="454"/>
    <cellStyle name="Normal 3 4 2 2 6" xfId="544"/>
    <cellStyle name="Normal 3 4 2 2 7" xfId="634"/>
    <cellStyle name="Normal 3 4 2 2 8" xfId="724"/>
    <cellStyle name="Normal 3 4 2 2 9" xfId="821"/>
    <cellStyle name="Normal 3 4 2 3" xfId="147"/>
    <cellStyle name="Normal 3 4 2 4" xfId="237"/>
    <cellStyle name="Normal 3 4 2 5" xfId="327"/>
    <cellStyle name="Normal 3 4 2 6" xfId="417"/>
    <cellStyle name="Normal 3 4 2 7" xfId="507"/>
    <cellStyle name="Normal 3 4 2 8" xfId="597"/>
    <cellStyle name="Normal 3 4 2 9" xfId="687"/>
    <cellStyle name="Normal 3 4 3" xfId="72"/>
    <cellStyle name="Normal 3 4 3 2" xfId="165"/>
    <cellStyle name="Normal 3 4 3 3" xfId="255"/>
    <cellStyle name="Normal 3 4 3 4" xfId="345"/>
    <cellStyle name="Normal 3 4 3 5" xfId="435"/>
    <cellStyle name="Normal 3 4 3 6" xfId="525"/>
    <cellStyle name="Normal 3 4 3 7" xfId="615"/>
    <cellStyle name="Normal 3 4 3 8" xfId="705"/>
    <cellStyle name="Normal 3 4 3 9" xfId="802"/>
    <cellStyle name="Normal 3 4 4" xfId="128"/>
    <cellStyle name="Normal 3 4 5" xfId="218"/>
    <cellStyle name="Normal 3 4 6" xfId="308"/>
    <cellStyle name="Normal 3 4 7" xfId="398"/>
    <cellStyle name="Normal 3 4 8" xfId="488"/>
    <cellStyle name="Normal 3 4 9" xfId="578"/>
    <cellStyle name="Normal 3 5" xfId="33"/>
    <cellStyle name="Normal 3 5 10" xfId="671"/>
    <cellStyle name="Normal 3 5 11" xfId="766"/>
    <cellStyle name="Normal 3 5 2" xfId="55"/>
    <cellStyle name="Normal 3 5 2 10" xfId="786"/>
    <cellStyle name="Normal 3 5 2 2" xfId="95"/>
    <cellStyle name="Normal 3 5 2 2 2" xfId="187"/>
    <cellStyle name="Normal 3 5 2 2 3" xfId="277"/>
    <cellStyle name="Normal 3 5 2 2 4" xfId="367"/>
    <cellStyle name="Normal 3 5 2 2 5" xfId="457"/>
    <cellStyle name="Normal 3 5 2 2 6" xfId="547"/>
    <cellStyle name="Normal 3 5 2 2 7" xfId="637"/>
    <cellStyle name="Normal 3 5 2 2 8" xfId="727"/>
    <cellStyle name="Normal 3 5 2 2 9" xfId="824"/>
    <cellStyle name="Normal 3 5 2 3" xfId="150"/>
    <cellStyle name="Normal 3 5 2 4" xfId="240"/>
    <cellStyle name="Normal 3 5 2 5" xfId="330"/>
    <cellStyle name="Normal 3 5 2 6" xfId="420"/>
    <cellStyle name="Normal 3 5 2 7" xfId="510"/>
    <cellStyle name="Normal 3 5 2 8" xfId="600"/>
    <cellStyle name="Normal 3 5 2 9" xfId="690"/>
    <cellStyle name="Normal 3 5 3" xfId="75"/>
    <cellStyle name="Normal 3 5 3 2" xfId="168"/>
    <cellStyle name="Normal 3 5 3 3" xfId="258"/>
    <cellStyle name="Normal 3 5 3 4" xfId="348"/>
    <cellStyle name="Normal 3 5 3 5" xfId="438"/>
    <cellStyle name="Normal 3 5 3 6" xfId="528"/>
    <cellStyle name="Normal 3 5 3 7" xfId="618"/>
    <cellStyle name="Normal 3 5 3 8" xfId="708"/>
    <cellStyle name="Normal 3 5 3 9" xfId="805"/>
    <cellStyle name="Normal 3 5 4" xfId="131"/>
    <cellStyle name="Normal 3 5 5" xfId="221"/>
    <cellStyle name="Normal 3 5 6" xfId="311"/>
    <cellStyle name="Normal 3 5 7" xfId="401"/>
    <cellStyle name="Normal 3 5 8" xfId="491"/>
    <cellStyle name="Normal 3 5 9" xfId="581"/>
    <cellStyle name="Normal 3 6" xfId="36"/>
    <cellStyle name="Normal 3 6 10" xfId="674"/>
    <cellStyle name="Normal 3 6 11" xfId="769"/>
    <cellStyle name="Normal 3 6 2" xfId="58"/>
    <cellStyle name="Normal 3 6 2 10" xfId="789"/>
    <cellStyle name="Normal 3 6 2 2" xfId="98"/>
    <cellStyle name="Normal 3 6 2 2 2" xfId="190"/>
    <cellStyle name="Normal 3 6 2 2 3" xfId="280"/>
    <cellStyle name="Normal 3 6 2 2 4" xfId="370"/>
    <cellStyle name="Normal 3 6 2 2 5" xfId="460"/>
    <cellStyle name="Normal 3 6 2 2 6" xfId="550"/>
    <cellStyle name="Normal 3 6 2 2 7" xfId="640"/>
    <cellStyle name="Normal 3 6 2 2 8" xfId="730"/>
    <cellStyle name="Normal 3 6 2 2 9" xfId="827"/>
    <cellStyle name="Normal 3 6 2 3" xfId="153"/>
    <cellStyle name="Normal 3 6 2 4" xfId="243"/>
    <cellStyle name="Normal 3 6 2 5" xfId="333"/>
    <cellStyle name="Normal 3 6 2 6" xfId="423"/>
    <cellStyle name="Normal 3 6 2 7" xfId="513"/>
    <cellStyle name="Normal 3 6 2 8" xfId="603"/>
    <cellStyle name="Normal 3 6 2 9" xfId="693"/>
    <cellStyle name="Normal 3 6 3" xfId="78"/>
    <cellStyle name="Normal 3 6 3 2" xfId="171"/>
    <cellStyle name="Normal 3 6 3 3" xfId="261"/>
    <cellStyle name="Normal 3 6 3 4" xfId="351"/>
    <cellStyle name="Normal 3 6 3 5" xfId="441"/>
    <cellStyle name="Normal 3 6 3 6" xfId="531"/>
    <cellStyle name="Normal 3 6 3 7" xfId="621"/>
    <cellStyle name="Normal 3 6 3 8" xfId="711"/>
    <cellStyle name="Normal 3 6 3 9" xfId="808"/>
    <cellStyle name="Normal 3 6 4" xfId="134"/>
    <cellStyle name="Normal 3 6 5" xfId="224"/>
    <cellStyle name="Normal 3 6 6" xfId="314"/>
    <cellStyle name="Normal 3 6 7" xfId="404"/>
    <cellStyle name="Normal 3 6 8" xfId="494"/>
    <cellStyle name="Normal 3 6 9" xfId="584"/>
    <cellStyle name="Normal 3 7" xfId="42"/>
    <cellStyle name="Normal 3 7 10" xfId="774"/>
    <cellStyle name="Normal 3 7 2" xfId="82"/>
    <cellStyle name="Normal 3 7 2 2" xfId="175"/>
    <cellStyle name="Normal 3 7 2 3" xfId="265"/>
    <cellStyle name="Normal 3 7 2 4" xfId="355"/>
    <cellStyle name="Normal 3 7 2 5" xfId="445"/>
    <cellStyle name="Normal 3 7 2 6" xfId="535"/>
    <cellStyle name="Normal 3 7 2 7" xfId="625"/>
    <cellStyle name="Normal 3 7 2 8" xfId="715"/>
    <cellStyle name="Normal 3 7 2 9" xfId="812"/>
    <cellStyle name="Normal 3 7 3" xfId="138"/>
    <cellStyle name="Normal 3 7 4" xfId="228"/>
    <cellStyle name="Normal 3 7 5" xfId="318"/>
    <cellStyle name="Normal 3 7 6" xfId="408"/>
    <cellStyle name="Normal 3 7 7" xfId="498"/>
    <cellStyle name="Normal 3 7 8" xfId="588"/>
    <cellStyle name="Normal 3 7 9" xfId="678"/>
    <cellStyle name="Normal 3 8" xfId="63"/>
    <cellStyle name="Normal 3 8 2" xfId="156"/>
    <cellStyle name="Normal 3 8 3" xfId="246"/>
    <cellStyle name="Normal 3 8 4" xfId="336"/>
    <cellStyle name="Normal 3 8 5" xfId="426"/>
    <cellStyle name="Normal 3 8 6" xfId="516"/>
    <cellStyle name="Normal 3 8 7" xfId="606"/>
    <cellStyle name="Normal 3 8 8" xfId="696"/>
    <cellStyle name="Normal 3 8 9" xfId="793"/>
    <cellStyle name="Normal 3 9" xfId="101"/>
    <cellStyle name="Normal 3 9 2" xfId="193"/>
    <cellStyle name="Normal 3 9 3" xfId="283"/>
    <cellStyle name="Normal 3 9 4" xfId="373"/>
    <cellStyle name="Normal 3 9 5" xfId="463"/>
    <cellStyle name="Normal 3 9 6" xfId="553"/>
    <cellStyle name="Normal 3 9 7" xfId="643"/>
    <cellStyle name="Normal 3 9 8" xfId="733"/>
    <cellStyle name="Normal 3 9 9" xfId="830"/>
    <cellStyle name="Normal 4" xfId="12"/>
    <cellStyle name="Normal 5" xfId="9"/>
    <cellStyle name="Normal 5 2" xfId="5"/>
    <cellStyle name="Normal 5 3" xfId="32"/>
    <cellStyle name="Normal 5 3 2" xfId="54"/>
    <cellStyle name="Normal 5 4" xfId="19"/>
    <cellStyle name="Normal 6" xfId="18"/>
    <cellStyle name="Normal 6 10" xfId="660"/>
    <cellStyle name="Normal 6 11" xfId="754"/>
    <cellStyle name="Normal 6 2" xfId="41"/>
    <cellStyle name="Normal 6 2 10" xfId="773"/>
    <cellStyle name="Normal 6 2 2" xfId="81"/>
    <cellStyle name="Normal 6 2 2 2" xfId="174"/>
    <cellStyle name="Normal 6 2 2 3" xfId="264"/>
    <cellStyle name="Normal 6 2 2 4" xfId="354"/>
    <cellStyle name="Normal 6 2 2 5" xfId="444"/>
    <cellStyle name="Normal 6 2 2 6" xfId="534"/>
    <cellStyle name="Normal 6 2 2 7" xfId="624"/>
    <cellStyle name="Normal 6 2 2 8" xfId="714"/>
    <cellStyle name="Normal 6 2 2 9" xfId="811"/>
    <cellStyle name="Normal 6 2 3" xfId="137"/>
    <cellStyle name="Normal 6 2 4" xfId="227"/>
    <cellStyle name="Normal 6 2 5" xfId="317"/>
    <cellStyle name="Normal 6 2 6" xfId="407"/>
    <cellStyle name="Normal 6 2 7" xfId="497"/>
    <cellStyle name="Normal 6 2 8" xfId="587"/>
    <cellStyle name="Normal 6 2 9" xfId="677"/>
    <cellStyle name="Normal 6 3" xfId="62"/>
    <cellStyle name="Normal 6 3 2" xfId="155"/>
    <cellStyle name="Normal 6 3 3" xfId="245"/>
    <cellStyle name="Normal 6 3 4" xfId="335"/>
    <cellStyle name="Normal 6 3 5" xfId="425"/>
    <cellStyle name="Normal 6 3 6" xfId="515"/>
    <cellStyle name="Normal 6 3 7" xfId="605"/>
    <cellStyle name="Normal 6 3 8" xfId="695"/>
    <cellStyle name="Normal 6 3 9" xfId="792"/>
    <cellStyle name="Normal 6 4" xfId="120"/>
    <cellStyle name="Normal 6 5" xfId="210"/>
    <cellStyle name="Normal 6 6" xfId="300"/>
    <cellStyle name="Normal 6 7" xfId="390"/>
    <cellStyle name="Normal 6 8" xfId="480"/>
    <cellStyle name="Normal 6 9" xfId="570"/>
    <cellStyle name="Normal 7" xfId="22"/>
    <cellStyle name="Normal 7 10" xfId="661"/>
    <cellStyle name="Normal 7 11" xfId="756"/>
    <cellStyle name="Normal 7 2" xfId="44"/>
    <cellStyle name="Normal 7 2 10" xfId="776"/>
    <cellStyle name="Normal 7 2 2" xfId="84"/>
    <cellStyle name="Normal 7 2 2 2" xfId="177"/>
    <cellStyle name="Normal 7 2 2 3" xfId="267"/>
    <cellStyle name="Normal 7 2 2 4" xfId="357"/>
    <cellStyle name="Normal 7 2 2 5" xfId="447"/>
    <cellStyle name="Normal 7 2 2 6" xfId="537"/>
    <cellStyle name="Normal 7 2 2 7" xfId="627"/>
    <cellStyle name="Normal 7 2 2 8" xfId="717"/>
    <cellStyle name="Normal 7 2 2 9" xfId="814"/>
    <cellStyle name="Normal 7 2 3" xfId="140"/>
    <cellStyle name="Normal 7 2 4" xfId="230"/>
    <cellStyle name="Normal 7 2 5" xfId="320"/>
    <cellStyle name="Normal 7 2 6" xfId="410"/>
    <cellStyle name="Normal 7 2 7" xfId="500"/>
    <cellStyle name="Normal 7 2 8" xfId="590"/>
    <cellStyle name="Normal 7 2 9" xfId="680"/>
    <cellStyle name="Normal 7 3" xfId="65"/>
    <cellStyle name="Normal 7 3 2" xfId="158"/>
    <cellStyle name="Normal 7 3 3" xfId="248"/>
    <cellStyle name="Normal 7 3 4" xfId="338"/>
    <cellStyle name="Normal 7 3 5" xfId="428"/>
    <cellStyle name="Normal 7 3 6" xfId="518"/>
    <cellStyle name="Normal 7 3 7" xfId="608"/>
    <cellStyle name="Normal 7 3 8" xfId="698"/>
    <cellStyle name="Normal 7 3 9" xfId="795"/>
    <cellStyle name="Normal 7 4" xfId="121"/>
    <cellStyle name="Normal 7 5" xfId="211"/>
    <cellStyle name="Normal 7 6" xfId="301"/>
    <cellStyle name="Normal 7 7" xfId="391"/>
    <cellStyle name="Normal 7 8" xfId="481"/>
    <cellStyle name="Normal 7 9" xfId="571"/>
    <cellStyle name="Normal 8" xfId="25"/>
    <cellStyle name="Normal 8 10" xfId="664"/>
    <cellStyle name="Normal 8 11" xfId="759"/>
    <cellStyle name="Normal 8 2" xfId="47"/>
    <cellStyle name="Normal 8 2 10" xfId="779"/>
    <cellStyle name="Normal 8 2 2" xfId="87"/>
    <cellStyle name="Normal 8 2 2 2" xfId="180"/>
    <cellStyle name="Normal 8 2 2 3" xfId="270"/>
    <cellStyle name="Normal 8 2 2 4" xfId="360"/>
    <cellStyle name="Normal 8 2 2 5" xfId="450"/>
    <cellStyle name="Normal 8 2 2 6" xfId="540"/>
    <cellStyle name="Normal 8 2 2 7" xfId="630"/>
    <cellStyle name="Normal 8 2 2 8" xfId="720"/>
    <cellStyle name="Normal 8 2 2 9" xfId="817"/>
    <cellStyle name="Normal 8 2 3" xfId="143"/>
    <cellStyle name="Normal 8 2 4" xfId="233"/>
    <cellStyle name="Normal 8 2 5" xfId="323"/>
    <cellStyle name="Normal 8 2 6" xfId="413"/>
    <cellStyle name="Normal 8 2 7" xfId="503"/>
    <cellStyle name="Normal 8 2 8" xfId="593"/>
    <cellStyle name="Normal 8 2 9" xfId="683"/>
    <cellStyle name="Normal 8 3" xfId="68"/>
    <cellStyle name="Normal 8 3 2" xfId="161"/>
    <cellStyle name="Normal 8 3 3" xfId="251"/>
    <cellStyle name="Normal 8 3 4" xfId="341"/>
    <cellStyle name="Normal 8 3 5" xfId="431"/>
    <cellStyle name="Normal 8 3 6" xfId="521"/>
    <cellStyle name="Normal 8 3 7" xfId="611"/>
    <cellStyle name="Normal 8 3 8" xfId="701"/>
    <cellStyle name="Normal 8 3 9" xfId="798"/>
    <cellStyle name="Normal 8 4" xfId="124"/>
    <cellStyle name="Normal 8 5" xfId="214"/>
    <cellStyle name="Normal 8 6" xfId="304"/>
    <cellStyle name="Normal 8 7" xfId="394"/>
    <cellStyle name="Normal 8 8" xfId="484"/>
    <cellStyle name="Normal 8 9" xfId="574"/>
    <cellStyle name="Normal 9" xfId="28"/>
    <cellStyle name="Normal 9 10" xfId="667"/>
    <cellStyle name="Normal 9 11" xfId="762"/>
    <cellStyle name="Normal 9 2" xfId="50"/>
    <cellStyle name="Normal 9 2 10" xfId="782"/>
    <cellStyle name="Normal 9 2 2" xfId="90"/>
    <cellStyle name="Normal 9 2 2 2" xfId="183"/>
    <cellStyle name="Normal 9 2 2 3" xfId="273"/>
    <cellStyle name="Normal 9 2 2 4" xfId="363"/>
    <cellStyle name="Normal 9 2 2 5" xfId="453"/>
    <cellStyle name="Normal 9 2 2 6" xfId="543"/>
    <cellStyle name="Normal 9 2 2 7" xfId="633"/>
    <cellStyle name="Normal 9 2 2 8" xfId="723"/>
    <cellStyle name="Normal 9 2 2 9" xfId="820"/>
    <cellStyle name="Normal 9 2 3" xfId="146"/>
    <cellStyle name="Normal 9 2 4" xfId="236"/>
    <cellStyle name="Normal 9 2 5" xfId="326"/>
    <cellStyle name="Normal 9 2 6" xfId="416"/>
    <cellStyle name="Normal 9 2 7" xfId="506"/>
    <cellStyle name="Normal 9 2 8" xfId="596"/>
    <cellStyle name="Normal 9 2 9" xfId="686"/>
    <cellStyle name="Normal 9 3" xfId="71"/>
    <cellStyle name="Normal 9 3 2" xfId="164"/>
    <cellStyle name="Normal 9 3 3" xfId="254"/>
    <cellStyle name="Normal 9 3 4" xfId="344"/>
    <cellStyle name="Normal 9 3 5" xfId="434"/>
    <cellStyle name="Normal 9 3 6" xfId="524"/>
    <cellStyle name="Normal 9 3 7" xfId="614"/>
    <cellStyle name="Normal 9 3 8" xfId="704"/>
    <cellStyle name="Normal 9 3 9" xfId="801"/>
    <cellStyle name="Normal 9 4" xfId="127"/>
    <cellStyle name="Normal 9 5" xfId="217"/>
    <cellStyle name="Normal 9 6" xfId="307"/>
    <cellStyle name="Normal 9 7" xfId="397"/>
    <cellStyle name="Normal 9 8" xfId="487"/>
    <cellStyle name="Normal 9 9" xfId="577"/>
    <cellStyle name="Normal_Forslag" xfId="845"/>
    <cellStyle name="Normal_Forslag 2" xfId="848"/>
    <cellStyle name="Tusenskille 2" xfId="14"/>
    <cellStyle name="Tusenskille 2 2" xfId="15"/>
    <cellStyle name="Tusenskille 2 2 2" xfId="751"/>
    <cellStyle name="Tusenskille 2 3" xfId="21"/>
    <cellStyle name="Tusenskille 2 3 2" xfId="755"/>
    <cellStyle name="Tusenskille 2 4" xfId="40"/>
    <cellStyle name="Tusenskille 2 4 2" xfId="772"/>
    <cellStyle name="Tusenskille 2 5" xfId="61"/>
    <cellStyle name="Tusenskille 2 5 2" xfId="791"/>
    <cellStyle name="Tusenskille 2 6" xfId="750"/>
    <cellStyle name="Tusenskille 3" xfId="16"/>
    <cellStyle name="Tusenskille 3 10" xfId="105"/>
    <cellStyle name="Tusenskille 3 10 2" xfId="197"/>
    <cellStyle name="Tusenskille 3 10 3" xfId="287"/>
    <cellStyle name="Tusenskille 3 10 4" xfId="377"/>
    <cellStyle name="Tusenskille 3 10 5" xfId="467"/>
    <cellStyle name="Tusenskille 3 10 6" xfId="557"/>
    <cellStyle name="Tusenskille 3 10 7" xfId="647"/>
    <cellStyle name="Tusenskille 3 10 8" xfId="737"/>
    <cellStyle name="Tusenskille 3 10 9" xfId="834"/>
    <cellStyle name="Tusenskille 3 11" xfId="108"/>
    <cellStyle name="Tusenskille 3 11 2" xfId="200"/>
    <cellStyle name="Tusenskille 3 11 3" xfId="290"/>
    <cellStyle name="Tusenskille 3 11 4" xfId="380"/>
    <cellStyle name="Tusenskille 3 11 5" xfId="470"/>
    <cellStyle name="Tusenskille 3 11 6" xfId="560"/>
    <cellStyle name="Tusenskille 3 11 7" xfId="650"/>
    <cellStyle name="Tusenskille 3 11 8" xfId="740"/>
    <cellStyle name="Tusenskille 3 11 9" xfId="837"/>
    <cellStyle name="Tusenskille 3 12" xfId="111"/>
    <cellStyle name="Tusenskille 3 12 2" xfId="203"/>
    <cellStyle name="Tusenskille 3 12 3" xfId="293"/>
    <cellStyle name="Tusenskille 3 12 4" xfId="383"/>
    <cellStyle name="Tusenskille 3 12 5" xfId="473"/>
    <cellStyle name="Tusenskille 3 12 6" xfId="563"/>
    <cellStyle name="Tusenskille 3 12 7" xfId="653"/>
    <cellStyle name="Tusenskille 3 12 8" xfId="743"/>
    <cellStyle name="Tusenskille 3 12 9" xfId="840"/>
    <cellStyle name="Tusenskille 3 13" xfId="114"/>
    <cellStyle name="Tusenskille 3 13 2" xfId="206"/>
    <cellStyle name="Tusenskille 3 13 3" xfId="296"/>
    <cellStyle name="Tusenskille 3 13 4" xfId="386"/>
    <cellStyle name="Tusenskille 3 13 5" xfId="476"/>
    <cellStyle name="Tusenskille 3 13 6" xfId="566"/>
    <cellStyle name="Tusenskille 3 13 7" xfId="656"/>
    <cellStyle name="Tusenskille 3 13 8" xfId="746"/>
    <cellStyle name="Tusenskille 3 13 9" xfId="843"/>
    <cellStyle name="Tusenskille 3 14" xfId="119"/>
    <cellStyle name="Tusenskille 3 15" xfId="209"/>
    <cellStyle name="Tusenskille 3 16" xfId="299"/>
    <cellStyle name="Tusenskille 3 17" xfId="389"/>
    <cellStyle name="Tusenskille 3 18" xfId="479"/>
    <cellStyle name="Tusenskille 3 19" xfId="569"/>
    <cellStyle name="Tusenskille 3 2" xfId="24"/>
    <cellStyle name="Tusenskille 3 2 10" xfId="663"/>
    <cellStyle name="Tusenskille 3 2 11" xfId="758"/>
    <cellStyle name="Tusenskille 3 2 2" xfId="46"/>
    <cellStyle name="Tusenskille 3 2 2 10" xfId="778"/>
    <cellStyle name="Tusenskille 3 2 2 2" xfId="86"/>
    <cellStyle name="Tusenskille 3 2 2 2 2" xfId="179"/>
    <cellStyle name="Tusenskille 3 2 2 2 3" xfId="269"/>
    <cellStyle name="Tusenskille 3 2 2 2 4" xfId="359"/>
    <cellStyle name="Tusenskille 3 2 2 2 5" xfId="449"/>
    <cellStyle name="Tusenskille 3 2 2 2 6" xfId="539"/>
    <cellStyle name="Tusenskille 3 2 2 2 7" xfId="629"/>
    <cellStyle name="Tusenskille 3 2 2 2 8" xfId="719"/>
    <cellStyle name="Tusenskille 3 2 2 2 9" xfId="816"/>
    <cellStyle name="Tusenskille 3 2 2 3" xfId="142"/>
    <cellStyle name="Tusenskille 3 2 2 4" xfId="232"/>
    <cellStyle name="Tusenskille 3 2 2 5" xfId="322"/>
    <cellStyle name="Tusenskille 3 2 2 6" xfId="412"/>
    <cellStyle name="Tusenskille 3 2 2 7" xfId="502"/>
    <cellStyle name="Tusenskille 3 2 2 8" xfId="592"/>
    <cellStyle name="Tusenskille 3 2 2 9" xfId="682"/>
    <cellStyle name="Tusenskille 3 2 3" xfId="67"/>
    <cellStyle name="Tusenskille 3 2 3 2" xfId="160"/>
    <cellStyle name="Tusenskille 3 2 3 3" xfId="250"/>
    <cellStyle name="Tusenskille 3 2 3 4" xfId="340"/>
    <cellStyle name="Tusenskille 3 2 3 5" xfId="430"/>
    <cellStyle name="Tusenskille 3 2 3 6" xfId="520"/>
    <cellStyle name="Tusenskille 3 2 3 7" xfId="610"/>
    <cellStyle name="Tusenskille 3 2 3 8" xfId="700"/>
    <cellStyle name="Tusenskille 3 2 3 9" xfId="797"/>
    <cellStyle name="Tusenskille 3 2 4" xfId="123"/>
    <cellStyle name="Tusenskille 3 2 5" xfId="213"/>
    <cellStyle name="Tusenskille 3 2 6" xfId="303"/>
    <cellStyle name="Tusenskille 3 2 7" xfId="393"/>
    <cellStyle name="Tusenskille 3 2 8" xfId="483"/>
    <cellStyle name="Tusenskille 3 2 9" xfId="573"/>
    <cellStyle name="Tusenskille 3 20" xfId="659"/>
    <cellStyle name="Tusenskille 3 21" xfId="752"/>
    <cellStyle name="Tusenskille 3 3" xfId="27"/>
    <cellStyle name="Tusenskille 3 3 10" xfId="666"/>
    <cellStyle name="Tusenskille 3 3 11" xfId="761"/>
    <cellStyle name="Tusenskille 3 3 2" xfId="49"/>
    <cellStyle name="Tusenskille 3 3 2 10" xfId="781"/>
    <cellStyle name="Tusenskille 3 3 2 2" xfId="89"/>
    <cellStyle name="Tusenskille 3 3 2 2 2" xfId="182"/>
    <cellStyle name="Tusenskille 3 3 2 2 3" xfId="272"/>
    <cellStyle name="Tusenskille 3 3 2 2 4" xfId="362"/>
    <cellStyle name="Tusenskille 3 3 2 2 5" xfId="452"/>
    <cellStyle name="Tusenskille 3 3 2 2 6" xfId="542"/>
    <cellStyle name="Tusenskille 3 3 2 2 7" xfId="632"/>
    <cellStyle name="Tusenskille 3 3 2 2 8" xfId="722"/>
    <cellStyle name="Tusenskille 3 3 2 2 9" xfId="819"/>
    <cellStyle name="Tusenskille 3 3 2 3" xfId="145"/>
    <cellStyle name="Tusenskille 3 3 2 4" xfId="235"/>
    <cellStyle name="Tusenskille 3 3 2 5" xfId="325"/>
    <cellStyle name="Tusenskille 3 3 2 6" xfId="415"/>
    <cellStyle name="Tusenskille 3 3 2 7" xfId="505"/>
    <cellStyle name="Tusenskille 3 3 2 8" xfId="595"/>
    <cellStyle name="Tusenskille 3 3 2 9" xfId="685"/>
    <cellStyle name="Tusenskille 3 3 3" xfId="70"/>
    <cellStyle name="Tusenskille 3 3 3 2" xfId="163"/>
    <cellStyle name="Tusenskille 3 3 3 3" xfId="253"/>
    <cellStyle name="Tusenskille 3 3 3 4" xfId="343"/>
    <cellStyle name="Tusenskille 3 3 3 5" xfId="433"/>
    <cellStyle name="Tusenskille 3 3 3 6" xfId="523"/>
    <cellStyle name="Tusenskille 3 3 3 7" xfId="613"/>
    <cellStyle name="Tusenskille 3 3 3 8" xfId="703"/>
    <cellStyle name="Tusenskille 3 3 3 9" xfId="800"/>
    <cellStyle name="Tusenskille 3 3 4" xfId="126"/>
    <cellStyle name="Tusenskille 3 3 5" xfId="216"/>
    <cellStyle name="Tusenskille 3 3 6" xfId="306"/>
    <cellStyle name="Tusenskille 3 3 7" xfId="396"/>
    <cellStyle name="Tusenskille 3 3 8" xfId="486"/>
    <cellStyle name="Tusenskille 3 3 9" xfId="576"/>
    <cellStyle name="Tusenskille 3 4" xfId="30"/>
    <cellStyle name="Tusenskille 3 4 10" xfId="669"/>
    <cellStyle name="Tusenskille 3 4 11" xfId="764"/>
    <cellStyle name="Tusenskille 3 4 2" xfId="52"/>
    <cellStyle name="Tusenskille 3 4 2 10" xfId="784"/>
    <cellStyle name="Tusenskille 3 4 2 2" xfId="92"/>
    <cellStyle name="Tusenskille 3 4 2 2 2" xfId="185"/>
    <cellStyle name="Tusenskille 3 4 2 2 3" xfId="275"/>
    <cellStyle name="Tusenskille 3 4 2 2 4" xfId="365"/>
    <cellStyle name="Tusenskille 3 4 2 2 5" xfId="455"/>
    <cellStyle name="Tusenskille 3 4 2 2 6" xfId="545"/>
    <cellStyle name="Tusenskille 3 4 2 2 7" xfId="635"/>
    <cellStyle name="Tusenskille 3 4 2 2 8" xfId="725"/>
    <cellStyle name="Tusenskille 3 4 2 2 9" xfId="822"/>
    <cellStyle name="Tusenskille 3 4 2 3" xfId="148"/>
    <cellStyle name="Tusenskille 3 4 2 4" xfId="238"/>
    <cellStyle name="Tusenskille 3 4 2 5" xfId="328"/>
    <cellStyle name="Tusenskille 3 4 2 6" xfId="418"/>
    <cellStyle name="Tusenskille 3 4 2 7" xfId="508"/>
    <cellStyle name="Tusenskille 3 4 2 8" xfId="598"/>
    <cellStyle name="Tusenskille 3 4 2 9" xfId="688"/>
    <cellStyle name="Tusenskille 3 4 3" xfId="73"/>
    <cellStyle name="Tusenskille 3 4 3 2" xfId="166"/>
    <cellStyle name="Tusenskille 3 4 3 3" xfId="256"/>
    <cellStyle name="Tusenskille 3 4 3 4" xfId="346"/>
    <cellStyle name="Tusenskille 3 4 3 5" xfId="436"/>
    <cellStyle name="Tusenskille 3 4 3 6" xfId="526"/>
    <cellStyle name="Tusenskille 3 4 3 7" xfId="616"/>
    <cellStyle name="Tusenskille 3 4 3 8" xfId="706"/>
    <cellStyle name="Tusenskille 3 4 3 9" xfId="803"/>
    <cellStyle name="Tusenskille 3 4 4" xfId="129"/>
    <cellStyle name="Tusenskille 3 4 5" xfId="219"/>
    <cellStyle name="Tusenskille 3 4 6" xfId="309"/>
    <cellStyle name="Tusenskille 3 4 7" xfId="399"/>
    <cellStyle name="Tusenskille 3 4 8" xfId="489"/>
    <cellStyle name="Tusenskille 3 4 9" xfId="579"/>
    <cellStyle name="Tusenskille 3 5" xfId="34"/>
    <cellStyle name="Tusenskille 3 5 10" xfId="672"/>
    <cellStyle name="Tusenskille 3 5 11" xfId="767"/>
    <cellStyle name="Tusenskille 3 5 2" xfId="56"/>
    <cellStyle name="Tusenskille 3 5 2 10" xfId="787"/>
    <cellStyle name="Tusenskille 3 5 2 2" xfId="96"/>
    <cellStyle name="Tusenskille 3 5 2 2 2" xfId="188"/>
    <cellStyle name="Tusenskille 3 5 2 2 3" xfId="278"/>
    <cellStyle name="Tusenskille 3 5 2 2 4" xfId="368"/>
    <cellStyle name="Tusenskille 3 5 2 2 5" xfId="458"/>
    <cellStyle name="Tusenskille 3 5 2 2 6" xfId="548"/>
    <cellStyle name="Tusenskille 3 5 2 2 7" xfId="638"/>
    <cellStyle name="Tusenskille 3 5 2 2 8" xfId="728"/>
    <cellStyle name="Tusenskille 3 5 2 2 9" xfId="825"/>
    <cellStyle name="Tusenskille 3 5 2 3" xfId="151"/>
    <cellStyle name="Tusenskille 3 5 2 4" xfId="241"/>
    <cellStyle name="Tusenskille 3 5 2 5" xfId="331"/>
    <cellStyle name="Tusenskille 3 5 2 6" xfId="421"/>
    <cellStyle name="Tusenskille 3 5 2 7" xfId="511"/>
    <cellStyle name="Tusenskille 3 5 2 8" xfId="601"/>
    <cellStyle name="Tusenskille 3 5 2 9" xfId="691"/>
    <cellStyle name="Tusenskille 3 5 3" xfId="76"/>
    <cellStyle name="Tusenskille 3 5 3 2" xfId="169"/>
    <cellStyle name="Tusenskille 3 5 3 3" xfId="259"/>
    <cellStyle name="Tusenskille 3 5 3 4" xfId="349"/>
    <cellStyle name="Tusenskille 3 5 3 5" xfId="439"/>
    <cellStyle name="Tusenskille 3 5 3 6" xfId="529"/>
    <cellStyle name="Tusenskille 3 5 3 7" xfId="619"/>
    <cellStyle name="Tusenskille 3 5 3 8" xfId="709"/>
    <cellStyle name="Tusenskille 3 5 3 9" xfId="806"/>
    <cellStyle name="Tusenskille 3 5 4" xfId="132"/>
    <cellStyle name="Tusenskille 3 5 5" xfId="222"/>
    <cellStyle name="Tusenskille 3 5 6" xfId="312"/>
    <cellStyle name="Tusenskille 3 5 7" xfId="402"/>
    <cellStyle name="Tusenskille 3 5 8" xfId="492"/>
    <cellStyle name="Tusenskille 3 5 9" xfId="582"/>
    <cellStyle name="Tusenskille 3 6" xfId="37"/>
    <cellStyle name="Tusenskille 3 6 10" xfId="675"/>
    <cellStyle name="Tusenskille 3 6 11" xfId="770"/>
    <cellStyle name="Tusenskille 3 6 2" xfId="59"/>
    <cellStyle name="Tusenskille 3 6 2 10" xfId="790"/>
    <cellStyle name="Tusenskille 3 6 2 2" xfId="99"/>
    <cellStyle name="Tusenskille 3 6 2 2 2" xfId="191"/>
    <cellStyle name="Tusenskille 3 6 2 2 3" xfId="281"/>
    <cellStyle name="Tusenskille 3 6 2 2 4" xfId="371"/>
    <cellStyle name="Tusenskille 3 6 2 2 5" xfId="461"/>
    <cellStyle name="Tusenskille 3 6 2 2 6" xfId="551"/>
    <cellStyle name="Tusenskille 3 6 2 2 7" xfId="641"/>
    <cellStyle name="Tusenskille 3 6 2 2 8" xfId="731"/>
    <cellStyle name="Tusenskille 3 6 2 2 9" xfId="828"/>
    <cellStyle name="Tusenskille 3 6 2 3" xfId="154"/>
    <cellStyle name="Tusenskille 3 6 2 4" xfId="244"/>
    <cellStyle name="Tusenskille 3 6 2 5" xfId="334"/>
    <cellStyle name="Tusenskille 3 6 2 6" xfId="424"/>
    <cellStyle name="Tusenskille 3 6 2 7" xfId="514"/>
    <cellStyle name="Tusenskille 3 6 2 8" xfId="604"/>
    <cellStyle name="Tusenskille 3 6 2 9" xfId="694"/>
    <cellStyle name="Tusenskille 3 6 3" xfId="79"/>
    <cellStyle name="Tusenskille 3 6 3 2" xfId="172"/>
    <cellStyle name="Tusenskille 3 6 3 3" xfId="262"/>
    <cellStyle name="Tusenskille 3 6 3 4" xfId="352"/>
    <cellStyle name="Tusenskille 3 6 3 5" xfId="442"/>
    <cellStyle name="Tusenskille 3 6 3 6" xfId="532"/>
    <cellStyle name="Tusenskille 3 6 3 7" xfId="622"/>
    <cellStyle name="Tusenskille 3 6 3 8" xfId="712"/>
    <cellStyle name="Tusenskille 3 6 3 9" xfId="809"/>
    <cellStyle name="Tusenskille 3 6 4" xfId="135"/>
    <cellStyle name="Tusenskille 3 6 5" xfId="225"/>
    <cellStyle name="Tusenskille 3 6 6" xfId="315"/>
    <cellStyle name="Tusenskille 3 6 7" xfId="405"/>
    <cellStyle name="Tusenskille 3 6 8" xfId="495"/>
    <cellStyle name="Tusenskille 3 6 9" xfId="585"/>
    <cellStyle name="Tusenskille 3 7" xfId="43"/>
    <cellStyle name="Tusenskille 3 7 10" xfId="775"/>
    <cellStyle name="Tusenskille 3 7 2" xfId="83"/>
    <cellStyle name="Tusenskille 3 7 2 2" xfId="176"/>
    <cellStyle name="Tusenskille 3 7 2 3" xfId="266"/>
    <cellStyle name="Tusenskille 3 7 2 4" xfId="356"/>
    <cellStyle name="Tusenskille 3 7 2 5" xfId="446"/>
    <cellStyle name="Tusenskille 3 7 2 6" xfId="536"/>
    <cellStyle name="Tusenskille 3 7 2 7" xfId="626"/>
    <cellStyle name="Tusenskille 3 7 2 8" xfId="716"/>
    <cellStyle name="Tusenskille 3 7 2 9" xfId="813"/>
    <cellStyle name="Tusenskille 3 7 3" xfId="139"/>
    <cellStyle name="Tusenskille 3 7 4" xfId="229"/>
    <cellStyle name="Tusenskille 3 7 5" xfId="319"/>
    <cellStyle name="Tusenskille 3 7 6" xfId="409"/>
    <cellStyle name="Tusenskille 3 7 7" xfId="499"/>
    <cellStyle name="Tusenskille 3 7 8" xfId="589"/>
    <cellStyle name="Tusenskille 3 7 9" xfId="679"/>
    <cellStyle name="Tusenskille 3 8" xfId="64"/>
    <cellStyle name="Tusenskille 3 8 2" xfId="157"/>
    <cellStyle name="Tusenskille 3 8 3" xfId="247"/>
    <cellStyle name="Tusenskille 3 8 4" xfId="337"/>
    <cellStyle name="Tusenskille 3 8 5" xfId="427"/>
    <cellStyle name="Tusenskille 3 8 6" xfId="517"/>
    <cellStyle name="Tusenskille 3 8 7" xfId="607"/>
    <cellStyle name="Tusenskille 3 8 8" xfId="697"/>
    <cellStyle name="Tusenskille 3 8 9" xfId="794"/>
    <cellStyle name="Tusenskille 3 9" xfId="102"/>
    <cellStyle name="Tusenskille 3 9 2" xfId="194"/>
    <cellStyle name="Tusenskille 3 9 3" xfId="284"/>
    <cellStyle name="Tusenskille 3 9 4" xfId="374"/>
    <cellStyle name="Tusenskille 3 9 5" xfId="464"/>
    <cellStyle name="Tusenskille 3 9 6" xfId="554"/>
    <cellStyle name="Tusenskille 3 9 7" xfId="644"/>
    <cellStyle name="Tusenskille 3 9 8" xfId="734"/>
    <cellStyle name="Tusenskille 3 9 9" xfId="831"/>
    <cellStyle name="Tusenskille 4" xfId="17"/>
    <cellStyle name="Tusenskille 4 2" xfId="753"/>
    <cellStyle name="Tusenskille 5" xfId="13"/>
    <cellStyle name="Tusenskille 5 2" xfId="749"/>
    <cellStyle name="Tusenskille 6" xfId="115"/>
    <cellStyle name="TusenskilleFjernNull" xfId="846"/>
  </cellStyles>
  <dxfs count="2687">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FFFF99"/>
      <color rgb="FFF7D7F7"/>
      <color rgb="FFFCD2E2"/>
      <color rgb="FFF8E9D6"/>
      <color rgb="FFD2FC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1.xml"/><Relationship Id="rId50"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onnections" Target="connections.xml"/><Relationship Id="rId48"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customXml" Target="../customXml/item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140801174953532"/>
          <c:y val="9.8477480734069936E-2"/>
          <c:w val="0.74903048765490665"/>
          <c:h val="0.65437502946862602"/>
        </c:manualLayout>
      </c:layout>
      <c:barChart>
        <c:barDir val="col"/>
        <c:grouping val="clustered"/>
        <c:varyColors val="0"/>
        <c:ser>
          <c:idx val="0"/>
          <c:order val="0"/>
          <c:tx>
            <c:v>2015</c:v>
          </c:tx>
          <c:invertIfNegative val="0"/>
          <c:cat>
            <c:strRef>
              <c:f>Figurer!$L$9:$L$29</c:f>
              <c:strCache>
                <c:ptCount val="21"/>
                <c:pt idx="0">
                  <c:v>ACE</c:v>
                </c:pt>
                <c:pt idx="1">
                  <c:v>Danica Pensjon</c:v>
                </c:pt>
                <c:pt idx="2">
                  <c:v>DNB Liv</c:v>
                </c:pt>
                <c:pt idx="3">
                  <c:v>Eika Forsikring</c:v>
                </c:pt>
                <c:pt idx="4">
                  <c:v>Frende Livsfors</c:v>
                </c:pt>
                <c:pt idx="5">
                  <c:v>Frende Skade</c:v>
                </c:pt>
                <c:pt idx="6">
                  <c:v>Gjensidige Fors</c:v>
                </c:pt>
                <c:pt idx="7">
                  <c:v>Gjensidige Pensj</c:v>
                </c:pt>
                <c:pt idx="8">
                  <c:v>Handelsb Liv</c:v>
                </c:pt>
                <c:pt idx="9">
                  <c:v>If Skadefors</c:v>
                </c:pt>
                <c:pt idx="10">
                  <c:v>KLP</c:v>
                </c:pt>
                <c:pt idx="11">
                  <c:v>KLP Bedriftsp</c:v>
                </c:pt>
                <c:pt idx="12">
                  <c:v>KLP Skadef</c:v>
                </c:pt>
                <c:pt idx="13">
                  <c:v>Landbruksfors.</c:v>
                </c:pt>
                <c:pt idx="14">
                  <c:v>NEMI</c:v>
                </c:pt>
                <c:pt idx="15">
                  <c:v>Nordea Liv</c:v>
                </c:pt>
                <c:pt idx="16">
                  <c:v>OPF</c:v>
                </c:pt>
                <c:pt idx="17">
                  <c:v>SpareBank 1</c:v>
                </c:pt>
                <c:pt idx="18">
                  <c:v>Storebrand </c:v>
                </c:pt>
                <c:pt idx="19">
                  <c:v>Telenor Fors</c:v>
                </c:pt>
                <c:pt idx="20">
                  <c:v>Tryg Fors</c:v>
                </c:pt>
              </c:strCache>
            </c:strRef>
          </c:cat>
          <c:val>
            <c:numRef>
              <c:f>Figurer!$M$9:$M$29</c:f>
              <c:numCache>
                <c:formatCode>#,##0</c:formatCode>
                <c:ptCount val="21"/>
                <c:pt idx="0">
                  <c:v>107796.07081</c:v>
                </c:pt>
                <c:pt idx="1">
                  <c:v>380538.26800000004</c:v>
                </c:pt>
                <c:pt idx="2">
                  <c:v>11032332</c:v>
                </c:pt>
                <c:pt idx="3">
                  <c:v>222483</c:v>
                </c:pt>
                <c:pt idx="4">
                  <c:v>422840</c:v>
                </c:pt>
                <c:pt idx="5">
                  <c:v>3484</c:v>
                </c:pt>
                <c:pt idx="6">
                  <c:v>1534904</c:v>
                </c:pt>
                <c:pt idx="7">
                  <c:v>393529</c:v>
                </c:pt>
                <c:pt idx="8">
                  <c:v>40133</c:v>
                </c:pt>
                <c:pt idx="9">
                  <c:v>390668.43199999997</c:v>
                </c:pt>
                <c:pt idx="10">
                  <c:v>29434379.388159998</c:v>
                </c:pt>
                <c:pt idx="11">
                  <c:v>123611</c:v>
                </c:pt>
                <c:pt idx="12">
                  <c:v>115950</c:v>
                </c:pt>
                <c:pt idx="13">
                  <c:v>39880</c:v>
                </c:pt>
                <c:pt idx="14">
                  <c:v>2346</c:v>
                </c:pt>
                <c:pt idx="15">
                  <c:v>2657396.2051484557</c:v>
                </c:pt>
                <c:pt idx="16">
                  <c:v>4084610</c:v>
                </c:pt>
                <c:pt idx="17">
                  <c:v>2449137.9735400002</c:v>
                </c:pt>
                <c:pt idx="18">
                  <c:v>7918141.5200000005</c:v>
                </c:pt>
                <c:pt idx="19">
                  <c:v>24710</c:v>
                </c:pt>
                <c:pt idx="20">
                  <c:v>555281.85226000007</c:v>
                </c:pt>
              </c:numCache>
            </c:numRef>
          </c:val>
          <c:extLst>
            <c:ext xmlns:c16="http://schemas.microsoft.com/office/drawing/2014/chart" uri="{C3380CC4-5D6E-409C-BE32-E72D297353CC}">
              <c16:uniqueId val="{00000002-93AE-4CD9-98AD-A52686D1F9FB}"/>
            </c:ext>
          </c:extLst>
        </c:ser>
        <c:ser>
          <c:idx val="1"/>
          <c:order val="1"/>
          <c:tx>
            <c:strRef>
              <c:f>Figurer!$N$8</c:f>
              <c:strCache>
                <c:ptCount val="1"/>
                <c:pt idx="0">
                  <c:v>2016</c:v>
                </c:pt>
              </c:strCache>
            </c:strRef>
          </c:tx>
          <c:invertIfNegative val="0"/>
          <c:cat>
            <c:strRef>
              <c:f>Figurer!$L$9:$L$29</c:f>
              <c:strCache>
                <c:ptCount val="21"/>
                <c:pt idx="0">
                  <c:v>ACE</c:v>
                </c:pt>
                <c:pt idx="1">
                  <c:v>Danica Pensjon</c:v>
                </c:pt>
                <c:pt idx="2">
                  <c:v>DNB Liv</c:v>
                </c:pt>
                <c:pt idx="3">
                  <c:v>Eika Forsikring</c:v>
                </c:pt>
                <c:pt idx="4">
                  <c:v>Frende Livsfors</c:v>
                </c:pt>
                <c:pt idx="5">
                  <c:v>Frende Skade</c:v>
                </c:pt>
                <c:pt idx="6">
                  <c:v>Gjensidige Fors</c:v>
                </c:pt>
                <c:pt idx="7">
                  <c:v>Gjensidige Pensj</c:v>
                </c:pt>
                <c:pt idx="8">
                  <c:v>Handelsb Liv</c:v>
                </c:pt>
                <c:pt idx="9">
                  <c:v>If Skadefors</c:v>
                </c:pt>
                <c:pt idx="10">
                  <c:v>KLP</c:v>
                </c:pt>
                <c:pt idx="11">
                  <c:v>KLP Bedriftsp</c:v>
                </c:pt>
                <c:pt idx="12">
                  <c:v>KLP Skadef</c:v>
                </c:pt>
                <c:pt idx="13">
                  <c:v>Landbruksfors.</c:v>
                </c:pt>
                <c:pt idx="14">
                  <c:v>NEMI</c:v>
                </c:pt>
                <c:pt idx="15">
                  <c:v>Nordea Liv</c:v>
                </c:pt>
                <c:pt idx="16">
                  <c:v>OPF</c:v>
                </c:pt>
                <c:pt idx="17">
                  <c:v>SpareBank 1</c:v>
                </c:pt>
                <c:pt idx="18">
                  <c:v>Storebrand </c:v>
                </c:pt>
                <c:pt idx="19">
                  <c:v>Telenor Fors</c:v>
                </c:pt>
                <c:pt idx="20">
                  <c:v>Tryg Fors</c:v>
                </c:pt>
              </c:strCache>
            </c:strRef>
          </c:cat>
          <c:val>
            <c:numRef>
              <c:f>Figurer!$N$9:$N$29</c:f>
              <c:numCache>
                <c:formatCode>#,##0</c:formatCode>
                <c:ptCount val="21"/>
                <c:pt idx="0">
                  <c:v>0</c:v>
                </c:pt>
                <c:pt idx="1">
                  <c:v>392275.09299999999</c:v>
                </c:pt>
                <c:pt idx="2">
                  <c:v>6354769</c:v>
                </c:pt>
                <c:pt idx="3">
                  <c:v>351394</c:v>
                </c:pt>
                <c:pt idx="4">
                  <c:v>452991</c:v>
                </c:pt>
                <c:pt idx="5">
                  <c:v>4460</c:v>
                </c:pt>
                <c:pt idx="6">
                  <c:v>1537000</c:v>
                </c:pt>
                <c:pt idx="7">
                  <c:v>459333</c:v>
                </c:pt>
                <c:pt idx="8">
                  <c:v>38617</c:v>
                </c:pt>
                <c:pt idx="9">
                  <c:v>414284.755</c:v>
                </c:pt>
                <c:pt idx="10">
                  <c:v>33472682.388949998</c:v>
                </c:pt>
                <c:pt idx="11">
                  <c:v>115325</c:v>
                </c:pt>
                <c:pt idx="12">
                  <c:v>135344</c:v>
                </c:pt>
                <c:pt idx="13">
                  <c:v>25735</c:v>
                </c:pt>
                <c:pt idx="14">
                  <c:v>2338</c:v>
                </c:pt>
                <c:pt idx="15">
                  <c:v>2085502.9796573399</c:v>
                </c:pt>
                <c:pt idx="16">
                  <c:v>4018088</c:v>
                </c:pt>
                <c:pt idx="17">
                  <c:v>2505584.0598300006</c:v>
                </c:pt>
                <c:pt idx="18">
                  <c:v>6656214.8409999991</c:v>
                </c:pt>
                <c:pt idx="19">
                  <c:v>25828</c:v>
                </c:pt>
                <c:pt idx="20">
                  <c:v>542694.08400000003</c:v>
                </c:pt>
              </c:numCache>
            </c:numRef>
          </c:val>
          <c:extLst>
            <c:ext xmlns:c16="http://schemas.microsoft.com/office/drawing/2014/chart" uri="{C3380CC4-5D6E-409C-BE32-E72D297353CC}">
              <c16:uniqueId val="{00000003-93AE-4CD9-98AD-A52686D1F9FB}"/>
            </c:ext>
          </c:extLst>
        </c:ser>
        <c:dLbls>
          <c:showLegendKey val="0"/>
          <c:showVal val="0"/>
          <c:showCatName val="0"/>
          <c:showSerName val="0"/>
          <c:showPercent val="0"/>
          <c:showBubbleSize val="0"/>
        </c:dLbls>
        <c:gapWidth val="150"/>
        <c:axId val="242174208"/>
        <c:axId val="242180096"/>
      </c:barChart>
      <c:catAx>
        <c:axId val="24217420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242180096"/>
        <c:crosses val="autoZero"/>
        <c:auto val="1"/>
        <c:lblAlgn val="ctr"/>
        <c:lblOffset val="100"/>
        <c:tickLblSkip val="1"/>
        <c:tickMarkSkip val="1"/>
        <c:noMultiLvlLbl val="0"/>
      </c:catAx>
      <c:valAx>
        <c:axId val="242180096"/>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444532284870034E-3"/>
              <c:y val="0.3517112756115066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42174208"/>
        <c:crosses val="autoZero"/>
        <c:crossBetween val="between"/>
      </c:valAx>
    </c:plotArea>
    <c:legend>
      <c:legendPos val="b"/>
      <c:layout>
        <c:manualLayout>
          <c:xMode val="edge"/>
          <c:yMode val="edge"/>
          <c:x val="0.35321900023541236"/>
          <c:y val="0.94486784960263159"/>
          <c:w val="9.5093936551103805E-2"/>
          <c:h val="3.8797994562056987E-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98425196899999956" l="0.78740157499999996" r="0.78740157499999996" t="0.98425196899999956"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6608656849620704"/>
          <c:y val="0.10754105736782903"/>
          <c:w val="0.77619271486646502"/>
          <c:h val="0.61573077622722905"/>
        </c:manualLayout>
      </c:layout>
      <c:barChart>
        <c:barDir val="col"/>
        <c:grouping val="clustered"/>
        <c:varyColors val="0"/>
        <c:ser>
          <c:idx val="0"/>
          <c:order val="0"/>
          <c:tx>
            <c:strRef>
              <c:f>Figurer!$M$35</c:f>
              <c:strCache>
                <c:ptCount val="1"/>
                <c:pt idx="0">
                  <c:v>2015</c:v>
                </c:pt>
              </c:strCache>
            </c:strRef>
          </c:tx>
          <c:invertIfNegative val="0"/>
          <c:cat>
            <c:strLit>
              <c:ptCount val="11"/>
              <c:pt idx="0">
                <c:v>Danica Pensjon</c:v>
              </c:pt>
              <c:pt idx="1">
                <c:v>DNB Liv</c:v>
              </c:pt>
              <c:pt idx="2">
                <c:v>Frende Livsfors</c:v>
              </c:pt>
              <c:pt idx="3">
                <c:v>Gjensidige Pensj</c:v>
              </c:pt>
              <c:pt idx="4">
                <c:v>KLP</c:v>
              </c:pt>
              <c:pt idx="5">
                <c:v>KLP Bedriftsp</c:v>
              </c:pt>
              <c:pt idx="6">
                <c:v>Nordea Liv</c:v>
              </c:pt>
              <c:pt idx="7">
                <c:v>SHB Liv</c:v>
              </c:pt>
              <c:pt idx="8">
                <c:v>Silver</c:v>
              </c:pt>
              <c:pt idx="9">
                <c:v>SpareBank 1</c:v>
              </c:pt>
              <c:pt idx="10">
                <c:v>Storebrand</c:v>
              </c:pt>
            </c:strLit>
          </c:cat>
          <c:val>
            <c:numRef>
              <c:f>Figurer!$M$36:$M$46</c:f>
              <c:numCache>
                <c:formatCode>#,##0</c:formatCode>
                <c:ptCount val="11"/>
                <c:pt idx="0">
                  <c:v>1318736.672</c:v>
                </c:pt>
                <c:pt idx="1">
                  <c:v>6671259</c:v>
                </c:pt>
                <c:pt idx="2">
                  <c:v>288724</c:v>
                </c:pt>
                <c:pt idx="3">
                  <c:v>1752127</c:v>
                </c:pt>
                <c:pt idx="4">
                  <c:v>108686.046</c:v>
                </c:pt>
                <c:pt idx="5">
                  <c:v>212431</c:v>
                </c:pt>
                <c:pt idx="6">
                  <c:v>8718284.4820400029</c:v>
                </c:pt>
                <c:pt idx="7">
                  <c:v>155206</c:v>
                </c:pt>
                <c:pt idx="8">
                  <c:v>14.59357003</c:v>
                </c:pt>
                <c:pt idx="9">
                  <c:v>1662297.2335399999</c:v>
                </c:pt>
                <c:pt idx="10">
                  <c:v>7963561.2149999999</c:v>
                </c:pt>
              </c:numCache>
            </c:numRef>
          </c:val>
          <c:extLst>
            <c:ext xmlns:c16="http://schemas.microsoft.com/office/drawing/2014/chart" uri="{C3380CC4-5D6E-409C-BE32-E72D297353CC}">
              <c16:uniqueId val="{00000000-3971-4F9A-B5A3-CF52C774B823}"/>
            </c:ext>
          </c:extLst>
        </c:ser>
        <c:ser>
          <c:idx val="1"/>
          <c:order val="1"/>
          <c:tx>
            <c:strRef>
              <c:f>Figurer!$N$35</c:f>
              <c:strCache>
                <c:ptCount val="1"/>
                <c:pt idx="0">
                  <c:v>2016</c:v>
                </c:pt>
              </c:strCache>
            </c:strRef>
          </c:tx>
          <c:invertIfNegative val="0"/>
          <c:cat>
            <c:strLit>
              <c:ptCount val="11"/>
              <c:pt idx="0">
                <c:v>Danica Pensjon</c:v>
              </c:pt>
              <c:pt idx="1">
                <c:v>DNB Liv</c:v>
              </c:pt>
              <c:pt idx="2">
                <c:v>Frende Livsfors</c:v>
              </c:pt>
              <c:pt idx="3">
                <c:v>Gjensidige Pensj</c:v>
              </c:pt>
              <c:pt idx="4">
                <c:v>KLP</c:v>
              </c:pt>
              <c:pt idx="5">
                <c:v>KLP Bedriftsp</c:v>
              </c:pt>
              <c:pt idx="6">
                <c:v>Nordea Liv</c:v>
              </c:pt>
              <c:pt idx="7">
                <c:v>SHB Liv</c:v>
              </c:pt>
              <c:pt idx="8">
                <c:v>Silver</c:v>
              </c:pt>
              <c:pt idx="9">
                <c:v>SpareBank 1</c:v>
              </c:pt>
              <c:pt idx="10">
                <c:v>Storebrand</c:v>
              </c:pt>
            </c:strLit>
          </c:cat>
          <c:val>
            <c:numRef>
              <c:f>Figurer!$N$36:$N$46</c:f>
              <c:numCache>
                <c:formatCode>#,##0</c:formatCode>
                <c:ptCount val="11"/>
                <c:pt idx="0">
                  <c:v>1601249.9339999999</c:v>
                </c:pt>
                <c:pt idx="1">
                  <c:v>7888720</c:v>
                </c:pt>
                <c:pt idx="2">
                  <c:v>317316</c:v>
                </c:pt>
                <c:pt idx="3">
                  <c:v>2012747</c:v>
                </c:pt>
                <c:pt idx="4">
                  <c:v>133629.31599999999</c:v>
                </c:pt>
                <c:pt idx="5">
                  <c:v>274248</c:v>
                </c:pt>
                <c:pt idx="6">
                  <c:v>8569024.0165900029</c:v>
                </c:pt>
                <c:pt idx="7">
                  <c:v>173110</c:v>
                </c:pt>
                <c:pt idx="8">
                  <c:v>0</c:v>
                </c:pt>
                <c:pt idx="9">
                  <c:v>2177088.1554299998</c:v>
                </c:pt>
                <c:pt idx="10">
                  <c:v>9586837.9849999994</c:v>
                </c:pt>
              </c:numCache>
            </c:numRef>
          </c:val>
          <c:extLst>
            <c:ext xmlns:c16="http://schemas.microsoft.com/office/drawing/2014/chart" uri="{C3380CC4-5D6E-409C-BE32-E72D297353CC}">
              <c16:uniqueId val="{00000001-3971-4F9A-B5A3-CF52C774B823}"/>
            </c:ext>
          </c:extLst>
        </c:ser>
        <c:dLbls>
          <c:showLegendKey val="0"/>
          <c:showVal val="0"/>
          <c:showCatName val="0"/>
          <c:showSerName val="0"/>
          <c:showPercent val="0"/>
          <c:showBubbleSize val="0"/>
        </c:dLbls>
        <c:gapWidth val="150"/>
        <c:axId val="242208128"/>
        <c:axId val="242427008"/>
      </c:barChart>
      <c:catAx>
        <c:axId val="2422081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242427008"/>
        <c:crosses val="autoZero"/>
        <c:auto val="1"/>
        <c:lblAlgn val="ctr"/>
        <c:lblOffset val="100"/>
        <c:tickLblSkip val="1"/>
        <c:tickMarkSkip val="1"/>
        <c:noMultiLvlLbl val="0"/>
      </c:catAx>
      <c:valAx>
        <c:axId val="24242700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541508114698515E-3"/>
              <c:y val="0.33962311853875432"/>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42208128"/>
        <c:crosses val="autoZero"/>
        <c:crossBetween val="between"/>
      </c:valAx>
    </c:plotArea>
    <c:legend>
      <c:legendPos val="b"/>
      <c:layout>
        <c:manualLayout>
          <c:xMode val="edge"/>
          <c:yMode val="edge"/>
          <c:x val="0.34749475592659351"/>
          <c:y val="0.93710900423161392"/>
          <c:w val="0.23943149676571668"/>
          <c:h val="5.0314424982592074E-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98425196899999956" l="0.78740157499999996" r="0.78740157499999996" t="0.98425196899999956"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61776788770969"/>
          <c:y val="7.3791293329713625E-2"/>
          <c:w val="0.7459244836243345"/>
          <c:h val="0.64341784777617295"/>
        </c:manualLayout>
      </c:layout>
      <c:barChart>
        <c:barDir val="col"/>
        <c:grouping val="clustered"/>
        <c:varyColors val="0"/>
        <c:ser>
          <c:idx val="0"/>
          <c:order val="0"/>
          <c:tx>
            <c:strRef>
              <c:f>Figurer!$M$59</c:f>
              <c:strCache>
                <c:ptCount val="1"/>
                <c:pt idx="0">
                  <c:v>2015</c:v>
                </c:pt>
              </c:strCache>
            </c:strRef>
          </c:tx>
          <c:invertIfNegative val="0"/>
          <c:cat>
            <c:strRef>
              <c:f>Figurer!$L$60:$L$77</c:f>
              <c:strCache>
                <c:ptCount val="18"/>
                <c:pt idx="0">
                  <c:v>ACE</c:v>
                </c:pt>
                <c:pt idx="1">
                  <c:v>Danica Pensjon</c:v>
                </c:pt>
                <c:pt idx="2">
                  <c:v>DNB Liv</c:v>
                </c:pt>
                <c:pt idx="3">
                  <c:v>Eika Forsikring</c:v>
                </c:pt>
                <c:pt idx="4">
                  <c:v>Frende Livsfors</c:v>
                </c:pt>
                <c:pt idx="5">
                  <c:v>Gjensidige Fors</c:v>
                </c:pt>
                <c:pt idx="6">
                  <c:v>Gjensidige Pensj</c:v>
                </c:pt>
                <c:pt idx="7">
                  <c:v>Handelsb Liv</c:v>
                </c:pt>
                <c:pt idx="8">
                  <c:v>If Skadefors</c:v>
                </c:pt>
                <c:pt idx="9">
                  <c:v>KLP</c:v>
                </c:pt>
                <c:pt idx="10">
                  <c:v>KLP Bedriftsp</c:v>
                </c:pt>
                <c:pt idx="11">
                  <c:v>KLP Skadef</c:v>
                </c:pt>
                <c:pt idx="12">
                  <c:v>Landbruksfors.</c:v>
                </c:pt>
                <c:pt idx="13">
                  <c:v>NEMI</c:v>
                </c:pt>
                <c:pt idx="14">
                  <c:v>Nordea Liv</c:v>
                </c:pt>
                <c:pt idx="15">
                  <c:v>SpareBank 1</c:v>
                </c:pt>
                <c:pt idx="16">
                  <c:v>Storebrand </c:v>
                </c:pt>
                <c:pt idx="17">
                  <c:v>Tryg Fors</c:v>
                </c:pt>
              </c:strCache>
            </c:strRef>
          </c:cat>
          <c:val>
            <c:numRef>
              <c:f>Figurer!$M$60:$M$77</c:f>
              <c:numCache>
                <c:formatCode>#,##0</c:formatCode>
                <c:ptCount val="18"/>
                <c:pt idx="0">
                  <c:v>4749.2426599999999</c:v>
                </c:pt>
                <c:pt idx="1">
                  <c:v>21906.855</c:v>
                </c:pt>
                <c:pt idx="2">
                  <c:v>2098027</c:v>
                </c:pt>
                <c:pt idx="3">
                  <c:v>34634</c:v>
                </c:pt>
                <c:pt idx="4">
                  <c:v>10344</c:v>
                </c:pt>
                <c:pt idx="5">
                  <c:v>55314</c:v>
                </c:pt>
                <c:pt idx="6">
                  <c:v>72471</c:v>
                </c:pt>
                <c:pt idx="7">
                  <c:v>2739</c:v>
                </c:pt>
                <c:pt idx="8">
                  <c:v>30210.170999999998</c:v>
                </c:pt>
                <c:pt idx="9">
                  <c:v>6252.7</c:v>
                </c:pt>
                <c:pt idx="10">
                  <c:v>0</c:v>
                </c:pt>
                <c:pt idx="11">
                  <c:v>6485</c:v>
                </c:pt>
                <c:pt idx="12">
                  <c:v>2270</c:v>
                </c:pt>
                <c:pt idx="13">
                  <c:v>0</c:v>
                </c:pt>
                <c:pt idx="14">
                  <c:v>83372.505000000005</c:v>
                </c:pt>
                <c:pt idx="15">
                  <c:v>162186.32499999998</c:v>
                </c:pt>
                <c:pt idx="16">
                  <c:v>128440.82500000001</c:v>
                </c:pt>
                <c:pt idx="17">
                  <c:v>11707.462000000001</c:v>
                </c:pt>
              </c:numCache>
            </c:numRef>
          </c:val>
          <c:extLst>
            <c:ext xmlns:c16="http://schemas.microsoft.com/office/drawing/2014/chart" uri="{C3380CC4-5D6E-409C-BE32-E72D297353CC}">
              <c16:uniqueId val="{00000000-BC08-4378-B28C-4AF9665571E1}"/>
            </c:ext>
          </c:extLst>
        </c:ser>
        <c:ser>
          <c:idx val="1"/>
          <c:order val="1"/>
          <c:tx>
            <c:strRef>
              <c:f>Figurer!$N$59</c:f>
              <c:strCache>
                <c:ptCount val="1"/>
                <c:pt idx="0">
                  <c:v>2016</c:v>
                </c:pt>
              </c:strCache>
            </c:strRef>
          </c:tx>
          <c:invertIfNegative val="0"/>
          <c:cat>
            <c:strRef>
              <c:f>Figurer!$L$60:$L$77</c:f>
              <c:strCache>
                <c:ptCount val="18"/>
                <c:pt idx="0">
                  <c:v>ACE</c:v>
                </c:pt>
                <c:pt idx="1">
                  <c:v>Danica Pensjon</c:v>
                </c:pt>
                <c:pt idx="2">
                  <c:v>DNB Liv</c:v>
                </c:pt>
                <c:pt idx="3">
                  <c:v>Eika Forsikring</c:v>
                </c:pt>
                <c:pt idx="4">
                  <c:v>Frende Livsfors</c:v>
                </c:pt>
                <c:pt idx="5">
                  <c:v>Gjensidige Fors</c:v>
                </c:pt>
                <c:pt idx="6">
                  <c:v>Gjensidige Pensj</c:v>
                </c:pt>
                <c:pt idx="7">
                  <c:v>Handelsb Liv</c:v>
                </c:pt>
                <c:pt idx="8">
                  <c:v>If Skadefors</c:v>
                </c:pt>
                <c:pt idx="9">
                  <c:v>KLP</c:v>
                </c:pt>
                <c:pt idx="10">
                  <c:v>KLP Bedriftsp</c:v>
                </c:pt>
                <c:pt idx="11">
                  <c:v>KLP Skadef</c:v>
                </c:pt>
                <c:pt idx="12">
                  <c:v>Landbruksfors.</c:v>
                </c:pt>
                <c:pt idx="13">
                  <c:v>NEMI</c:v>
                </c:pt>
                <c:pt idx="14">
                  <c:v>Nordea Liv</c:v>
                </c:pt>
                <c:pt idx="15">
                  <c:v>SpareBank 1</c:v>
                </c:pt>
                <c:pt idx="16">
                  <c:v>Storebrand </c:v>
                </c:pt>
                <c:pt idx="17">
                  <c:v>Tryg Fors</c:v>
                </c:pt>
              </c:strCache>
            </c:strRef>
          </c:cat>
          <c:val>
            <c:numRef>
              <c:f>Figurer!$N$60:$N$77</c:f>
              <c:numCache>
                <c:formatCode>#,##0</c:formatCode>
                <c:ptCount val="18"/>
                <c:pt idx="0">
                  <c:v>0</c:v>
                </c:pt>
                <c:pt idx="1">
                  <c:v>34640</c:v>
                </c:pt>
                <c:pt idx="2">
                  <c:v>273122</c:v>
                </c:pt>
                <c:pt idx="3">
                  <c:v>35755</c:v>
                </c:pt>
                <c:pt idx="4">
                  <c:v>6501</c:v>
                </c:pt>
                <c:pt idx="5">
                  <c:v>59672</c:v>
                </c:pt>
                <c:pt idx="6">
                  <c:v>76624</c:v>
                </c:pt>
                <c:pt idx="7">
                  <c:v>1814</c:v>
                </c:pt>
                <c:pt idx="8">
                  <c:v>34592.843000000001</c:v>
                </c:pt>
                <c:pt idx="9">
                  <c:v>6182</c:v>
                </c:pt>
                <c:pt idx="10">
                  <c:v>0</c:v>
                </c:pt>
                <c:pt idx="11">
                  <c:v>7686</c:v>
                </c:pt>
                <c:pt idx="12">
                  <c:v>2376</c:v>
                </c:pt>
                <c:pt idx="13">
                  <c:v>28</c:v>
                </c:pt>
                <c:pt idx="14">
                  <c:v>68567.329759244501</c:v>
                </c:pt>
                <c:pt idx="15">
                  <c:v>191591</c:v>
                </c:pt>
                <c:pt idx="16">
                  <c:v>227389.864</c:v>
                </c:pt>
                <c:pt idx="17">
                  <c:v>9858.2170000000006</c:v>
                </c:pt>
              </c:numCache>
            </c:numRef>
          </c:val>
          <c:extLst>
            <c:ext xmlns:c16="http://schemas.microsoft.com/office/drawing/2014/chart" uri="{C3380CC4-5D6E-409C-BE32-E72D297353CC}">
              <c16:uniqueId val="{00000001-BC08-4378-B28C-4AF9665571E1}"/>
            </c:ext>
          </c:extLst>
        </c:ser>
        <c:dLbls>
          <c:showLegendKey val="0"/>
          <c:showVal val="0"/>
          <c:showCatName val="0"/>
          <c:showSerName val="0"/>
          <c:showPercent val="0"/>
          <c:showBubbleSize val="0"/>
        </c:dLbls>
        <c:gapWidth val="150"/>
        <c:axId val="242456064"/>
        <c:axId val="242457600"/>
      </c:barChart>
      <c:catAx>
        <c:axId val="24245606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242457600"/>
        <c:crosses val="autoZero"/>
        <c:auto val="1"/>
        <c:lblAlgn val="ctr"/>
        <c:lblOffset val="100"/>
        <c:tickLblSkip val="1"/>
        <c:tickMarkSkip val="1"/>
        <c:noMultiLvlLbl val="0"/>
      </c:catAx>
      <c:valAx>
        <c:axId val="24245760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1739130434782612E-2"/>
              <c:y val="0.36190552245877983"/>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42456064"/>
        <c:crosses val="autoZero"/>
        <c:crossBetween val="between"/>
      </c:valAx>
    </c:plotArea>
    <c:legend>
      <c:legendPos val="b"/>
      <c:layout>
        <c:manualLayout>
          <c:xMode val="edge"/>
          <c:yMode val="edge"/>
          <c:x val="0.35914883601506331"/>
          <c:y val="0.93904947479942691"/>
          <c:w val="9.6515177450644751E-2"/>
          <c:h val="3.9427576623915925E-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98425196899999956" l="0.78740157499999996" r="0.78740157499999996" t="0.98425196899999956"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161246148579394"/>
          <c:y val="9.0278635170603708E-2"/>
          <c:w val="0.75181216478374957"/>
          <c:h val="0.63124178477690251"/>
        </c:manualLayout>
      </c:layout>
      <c:barChart>
        <c:barDir val="col"/>
        <c:grouping val="clustered"/>
        <c:varyColors val="0"/>
        <c:ser>
          <c:idx val="0"/>
          <c:order val="0"/>
          <c:tx>
            <c:strRef>
              <c:f>Figurer!$M$87</c:f>
              <c:strCache>
                <c:ptCount val="1"/>
                <c:pt idx="0">
                  <c:v>2015</c:v>
                </c:pt>
              </c:strCache>
            </c:strRef>
          </c:tx>
          <c:invertIfNegative val="0"/>
          <c:cat>
            <c:strLit>
              <c:ptCount val="9"/>
              <c:pt idx="0">
                <c:v>Danica Pensjon</c:v>
              </c:pt>
              <c:pt idx="1">
                <c:v>DNB Liv</c:v>
              </c:pt>
              <c:pt idx="2">
                <c:v>Frende Livsfors</c:v>
              </c:pt>
              <c:pt idx="3">
                <c:v>Gjensidige Pensj</c:v>
              </c:pt>
              <c:pt idx="4">
                <c:v>KLP Bedriftsp</c:v>
              </c:pt>
              <c:pt idx="5">
                <c:v>Nordea Liv</c:v>
              </c:pt>
              <c:pt idx="6">
                <c:v>SHB Liv</c:v>
              </c:pt>
              <c:pt idx="7">
                <c:v>SpareBank 1</c:v>
              </c:pt>
              <c:pt idx="8">
                <c:v>Storebrand</c:v>
              </c:pt>
            </c:strLit>
          </c:cat>
          <c:val>
            <c:numRef>
              <c:f>Figurer!$M$88:$M$96</c:f>
              <c:numCache>
                <c:formatCode>#,##0</c:formatCode>
                <c:ptCount val="9"/>
                <c:pt idx="0">
                  <c:v>297843.3</c:v>
                </c:pt>
                <c:pt idx="1">
                  <c:v>646194.66399999999</c:v>
                </c:pt>
                <c:pt idx="2">
                  <c:v>44529</c:v>
                </c:pt>
                <c:pt idx="3">
                  <c:v>151008</c:v>
                </c:pt>
                <c:pt idx="4">
                  <c:v>62123</c:v>
                </c:pt>
                <c:pt idx="5">
                  <c:v>5238162.1816099994</c:v>
                </c:pt>
                <c:pt idx="6">
                  <c:v>91161</c:v>
                </c:pt>
                <c:pt idx="7">
                  <c:v>174692.01799999998</c:v>
                </c:pt>
                <c:pt idx="8">
                  <c:v>1538451.3119999999</c:v>
                </c:pt>
              </c:numCache>
            </c:numRef>
          </c:val>
          <c:extLst>
            <c:ext xmlns:c16="http://schemas.microsoft.com/office/drawing/2014/chart" uri="{C3380CC4-5D6E-409C-BE32-E72D297353CC}">
              <c16:uniqueId val="{00000000-7DFF-49CE-BA8A-FB1CE6D62A77}"/>
            </c:ext>
          </c:extLst>
        </c:ser>
        <c:ser>
          <c:idx val="1"/>
          <c:order val="1"/>
          <c:tx>
            <c:strRef>
              <c:f>Figurer!$N$87</c:f>
              <c:strCache>
                <c:ptCount val="1"/>
                <c:pt idx="0">
                  <c:v>2016</c:v>
                </c:pt>
              </c:strCache>
            </c:strRef>
          </c:tx>
          <c:invertIfNegative val="0"/>
          <c:cat>
            <c:strLit>
              <c:ptCount val="9"/>
              <c:pt idx="0">
                <c:v>Danica Pensjon</c:v>
              </c:pt>
              <c:pt idx="1">
                <c:v>DNB Liv</c:v>
              </c:pt>
              <c:pt idx="2">
                <c:v>Frende Livsfors</c:v>
              </c:pt>
              <c:pt idx="3">
                <c:v>Gjensidige Pensj</c:v>
              </c:pt>
              <c:pt idx="4">
                <c:v>KLP Bedriftsp</c:v>
              </c:pt>
              <c:pt idx="5">
                <c:v>Nordea Liv</c:v>
              </c:pt>
              <c:pt idx="6">
                <c:v>SHB Liv</c:v>
              </c:pt>
              <c:pt idx="7">
                <c:v>SpareBank 1</c:v>
              </c:pt>
              <c:pt idx="8">
                <c:v>Storebrand</c:v>
              </c:pt>
            </c:strLit>
          </c:cat>
          <c:val>
            <c:numRef>
              <c:f>Figurer!$N$88:$N$96</c:f>
              <c:numCache>
                <c:formatCode>#,##0</c:formatCode>
                <c:ptCount val="9"/>
                <c:pt idx="0">
                  <c:v>484261</c:v>
                </c:pt>
                <c:pt idx="1">
                  <c:v>694367.89100000006</c:v>
                </c:pt>
                <c:pt idx="2">
                  <c:v>13587</c:v>
                </c:pt>
                <c:pt idx="3">
                  <c:v>151960</c:v>
                </c:pt>
                <c:pt idx="4">
                  <c:v>80082</c:v>
                </c:pt>
                <c:pt idx="5">
                  <c:v>5526911.1478300001</c:v>
                </c:pt>
                <c:pt idx="6">
                  <c:v>172618</c:v>
                </c:pt>
                <c:pt idx="7">
                  <c:v>436852</c:v>
                </c:pt>
                <c:pt idx="8">
                  <c:v>1339646.3900000001</c:v>
                </c:pt>
              </c:numCache>
            </c:numRef>
          </c:val>
          <c:extLst>
            <c:ext xmlns:c16="http://schemas.microsoft.com/office/drawing/2014/chart" uri="{C3380CC4-5D6E-409C-BE32-E72D297353CC}">
              <c16:uniqueId val="{00000001-7DFF-49CE-BA8A-FB1CE6D62A77}"/>
            </c:ext>
          </c:extLst>
        </c:ser>
        <c:dLbls>
          <c:showLegendKey val="0"/>
          <c:showVal val="0"/>
          <c:showCatName val="0"/>
          <c:showSerName val="0"/>
          <c:showPercent val="0"/>
          <c:showBubbleSize val="0"/>
        </c:dLbls>
        <c:gapWidth val="150"/>
        <c:axId val="242699648"/>
        <c:axId val="242713728"/>
      </c:barChart>
      <c:catAx>
        <c:axId val="24269964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242713728"/>
        <c:crosses val="autoZero"/>
        <c:auto val="1"/>
        <c:lblAlgn val="ctr"/>
        <c:lblOffset val="100"/>
        <c:tickLblSkip val="1"/>
        <c:tickMarkSkip val="1"/>
        <c:noMultiLvlLbl val="0"/>
      </c:catAx>
      <c:valAx>
        <c:axId val="24271372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3.125E-2"/>
              <c:y val="0.33966306788971345"/>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42699648"/>
        <c:crosses val="autoZero"/>
        <c:crossBetween val="between"/>
      </c:valAx>
    </c:plotArea>
    <c:legend>
      <c:legendPos val="b"/>
      <c:layout>
        <c:manualLayout>
          <c:xMode val="edge"/>
          <c:yMode val="edge"/>
          <c:x val="0.37047129978318094"/>
          <c:y val="0.93460118516113322"/>
          <c:w val="0.20969217163072001"/>
          <c:h val="4.8523419108693962E-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98425196899999956" l="0.78740157499999996" r="0.78740157499999996" t="0.98425196899999956"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9034622721340161"/>
          <c:y val="7.9682070044274814E-2"/>
          <c:w val="0.72950920069418312"/>
          <c:h val="0.62009389947752291"/>
        </c:manualLayout>
      </c:layout>
      <c:barChart>
        <c:barDir val="col"/>
        <c:grouping val="clustered"/>
        <c:varyColors val="0"/>
        <c:ser>
          <c:idx val="0"/>
          <c:order val="0"/>
          <c:tx>
            <c:strRef>
              <c:f>Figurer!$M$110</c:f>
              <c:strCache>
                <c:ptCount val="1"/>
                <c:pt idx="0">
                  <c:v>2015</c:v>
                </c:pt>
              </c:strCache>
            </c:strRef>
          </c:tx>
          <c:invertIfNegative val="0"/>
          <c:cat>
            <c:strRef>
              <c:f>Figurer!$L$111:$L$126</c:f>
              <c:strCache>
                <c:ptCount val="16"/>
                <c:pt idx="0">
                  <c:v>Danica Pensjon</c:v>
                </c:pt>
                <c:pt idx="1">
                  <c:v>DNB Liv</c:v>
                </c:pt>
                <c:pt idx="2">
                  <c:v>Eika Forsikring</c:v>
                </c:pt>
                <c:pt idx="3">
                  <c:v>Frende Livsfors</c:v>
                </c:pt>
                <c:pt idx="4">
                  <c:v>Gjensidige Fors</c:v>
                </c:pt>
                <c:pt idx="5">
                  <c:v>Gjensidige Pensjon</c:v>
                </c:pt>
                <c:pt idx="6">
                  <c:v>Handelsb Liv</c:v>
                </c:pt>
                <c:pt idx="7">
                  <c:v>If Skadefors</c:v>
                </c:pt>
                <c:pt idx="8">
                  <c:v>KLP</c:v>
                </c:pt>
                <c:pt idx="9">
                  <c:v>KLP Bedriftsp</c:v>
                </c:pt>
                <c:pt idx="10">
                  <c:v>KLP Skade</c:v>
                </c:pt>
                <c:pt idx="11">
                  <c:v>Nordea Liv</c:v>
                </c:pt>
                <c:pt idx="12">
                  <c:v>OPF</c:v>
                </c:pt>
                <c:pt idx="13">
                  <c:v>Silver</c:v>
                </c:pt>
                <c:pt idx="14">
                  <c:v>SpareBank 1</c:v>
                </c:pt>
                <c:pt idx="15">
                  <c:v>Storebrand </c:v>
                </c:pt>
              </c:strCache>
            </c:strRef>
          </c:cat>
          <c:val>
            <c:numRef>
              <c:f>Figurer!$M$111:$M$126</c:f>
              <c:numCache>
                <c:formatCode>#,##0</c:formatCode>
                <c:ptCount val="16"/>
                <c:pt idx="0">
                  <c:v>893959.11699999997</c:v>
                </c:pt>
                <c:pt idx="1">
                  <c:v>204051672</c:v>
                </c:pt>
                <c:pt idx="2">
                  <c:v>377974</c:v>
                </c:pt>
                <c:pt idx="3">
                  <c:v>585097</c:v>
                </c:pt>
                <c:pt idx="4">
                  <c:v>1246980</c:v>
                </c:pt>
                <c:pt idx="5">
                  <c:v>4877540</c:v>
                </c:pt>
                <c:pt idx="6">
                  <c:v>29117</c:v>
                </c:pt>
                <c:pt idx="7">
                  <c:v>311920</c:v>
                </c:pt>
                <c:pt idx="8">
                  <c:v>388847836</c:v>
                </c:pt>
                <c:pt idx="9">
                  <c:v>1379522</c:v>
                </c:pt>
                <c:pt idx="11">
                  <c:v>47126733.776330195</c:v>
                </c:pt>
                <c:pt idx="12">
                  <c:v>60552187</c:v>
                </c:pt>
                <c:pt idx="13">
                  <c:v>8556698.3527799994</c:v>
                </c:pt>
                <c:pt idx="14">
                  <c:v>16536094.940310001</c:v>
                </c:pt>
                <c:pt idx="15">
                  <c:v>173057918.17499998</c:v>
                </c:pt>
              </c:numCache>
            </c:numRef>
          </c:val>
          <c:extLst>
            <c:ext xmlns:c16="http://schemas.microsoft.com/office/drawing/2014/chart" uri="{C3380CC4-5D6E-409C-BE32-E72D297353CC}">
              <c16:uniqueId val="{00000000-F5D7-4882-A9B6-45C2F0317A05}"/>
            </c:ext>
          </c:extLst>
        </c:ser>
        <c:ser>
          <c:idx val="1"/>
          <c:order val="1"/>
          <c:tx>
            <c:strRef>
              <c:f>Figurer!$N$110</c:f>
              <c:strCache>
                <c:ptCount val="1"/>
                <c:pt idx="0">
                  <c:v>2016</c:v>
                </c:pt>
              </c:strCache>
            </c:strRef>
          </c:tx>
          <c:invertIfNegative val="0"/>
          <c:cat>
            <c:strRef>
              <c:f>Figurer!$L$111:$L$126</c:f>
              <c:strCache>
                <c:ptCount val="16"/>
                <c:pt idx="0">
                  <c:v>Danica Pensjon</c:v>
                </c:pt>
                <c:pt idx="1">
                  <c:v>DNB Liv</c:v>
                </c:pt>
                <c:pt idx="2">
                  <c:v>Eika Forsikring</c:v>
                </c:pt>
                <c:pt idx="3">
                  <c:v>Frende Livsfors</c:v>
                </c:pt>
                <c:pt idx="4">
                  <c:v>Gjensidige Fors</c:v>
                </c:pt>
                <c:pt idx="5">
                  <c:v>Gjensidige Pensjon</c:v>
                </c:pt>
                <c:pt idx="6">
                  <c:v>Handelsb Liv</c:v>
                </c:pt>
                <c:pt idx="7">
                  <c:v>If Skadefors</c:v>
                </c:pt>
                <c:pt idx="8">
                  <c:v>KLP</c:v>
                </c:pt>
                <c:pt idx="9">
                  <c:v>KLP Bedriftsp</c:v>
                </c:pt>
                <c:pt idx="10">
                  <c:v>KLP Skade</c:v>
                </c:pt>
                <c:pt idx="11">
                  <c:v>Nordea Liv</c:v>
                </c:pt>
                <c:pt idx="12">
                  <c:v>OPF</c:v>
                </c:pt>
                <c:pt idx="13">
                  <c:v>Silver</c:v>
                </c:pt>
                <c:pt idx="14">
                  <c:v>SpareBank 1</c:v>
                </c:pt>
                <c:pt idx="15">
                  <c:v>Storebrand </c:v>
                </c:pt>
              </c:strCache>
            </c:strRef>
          </c:cat>
          <c:val>
            <c:numRef>
              <c:f>Figurer!$N$111:$N$126</c:f>
              <c:numCache>
                <c:formatCode>#,##0</c:formatCode>
                <c:ptCount val="16"/>
                <c:pt idx="0">
                  <c:v>937089.63400000008</c:v>
                </c:pt>
                <c:pt idx="1">
                  <c:v>203364389</c:v>
                </c:pt>
                <c:pt idx="2">
                  <c:v>401746</c:v>
                </c:pt>
                <c:pt idx="3">
                  <c:v>667456</c:v>
                </c:pt>
                <c:pt idx="4">
                  <c:v>1194028</c:v>
                </c:pt>
                <c:pt idx="5">
                  <c:v>5409556</c:v>
                </c:pt>
                <c:pt idx="6">
                  <c:v>25901</c:v>
                </c:pt>
                <c:pt idx="7">
                  <c:v>378750</c:v>
                </c:pt>
                <c:pt idx="8">
                  <c:v>421845952.55084002</c:v>
                </c:pt>
                <c:pt idx="9">
                  <c:v>1500502</c:v>
                </c:pt>
                <c:pt idx="10">
                  <c:v>3590</c:v>
                </c:pt>
                <c:pt idx="11">
                  <c:v>48522570.000125237</c:v>
                </c:pt>
                <c:pt idx="12">
                  <c:v>64732970</c:v>
                </c:pt>
                <c:pt idx="13">
                  <c:v>0</c:v>
                </c:pt>
                <c:pt idx="14">
                  <c:v>17312529.77214</c:v>
                </c:pt>
                <c:pt idx="15">
                  <c:v>176557322.10000002</c:v>
                </c:pt>
              </c:numCache>
            </c:numRef>
          </c:val>
          <c:extLst>
            <c:ext xmlns:c16="http://schemas.microsoft.com/office/drawing/2014/chart" uri="{C3380CC4-5D6E-409C-BE32-E72D297353CC}">
              <c16:uniqueId val="{00000001-F5D7-4882-A9B6-45C2F0317A05}"/>
            </c:ext>
          </c:extLst>
        </c:ser>
        <c:dLbls>
          <c:showLegendKey val="0"/>
          <c:showVal val="0"/>
          <c:showCatName val="0"/>
          <c:showSerName val="0"/>
          <c:showPercent val="0"/>
          <c:showBubbleSize val="0"/>
        </c:dLbls>
        <c:gapWidth val="150"/>
        <c:axId val="242742784"/>
        <c:axId val="242744320"/>
      </c:barChart>
      <c:catAx>
        <c:axId val="2427427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242744320"/>
        <c:crosses val="autoZero"/>
        <c:auto val="1"/>
        <c:lblAlgn val="ctr"/>
        <c:lblOffset val="100"/>
        <c:tickLblSkip val="1"/>
        <c:tickMarkSkip val="1"/>
        <c:noMultiLvlLbl val="0"/>
      </c:catAx>
      <c:valAx>
        <c:axId val="24274432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4590163934426229E-2"/>
              <c:y val="0.3486597658438787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42742784"/>
        <c:crosses val="autoZero"/>
        <c:crossBetween val="between"/>
      </c:valAx>
    </c:plotArea>
    <c:legend>
      <c:legendPos val="b"/>
      <c:layout>
        <c:manualLayout>
          <c:xMode val="edge"/>
          <c:yMode val="edge"/>
          <c:x val="0.36156705821608365"/>
          <c:y val="0.94061493998643431"/>
          <c:w val="0.21357027092924838"/>
          <c:h val="4.5976938275973926E-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98425196899999956" l="0.78740157499999996" r="0.78740157499999996" t="0.98425196899999956"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826753749914957"/>
          <c:y val="9.2115610054672017E-2"/>
          <c:w val="0.74306560247500353"/>
          <c:h val="0.6114621490399017"/>
        </c:manualLayout>
      </c:layout>
      <c:barChart>
        <c:barDir val="col"/>
        <c:grouping val="clustered"/>
        <c:varyColors val="0"/>
        <c:ser>
          <c:idx val="0"/>
          <c:order val="0"/>
          <c:tx>
            <c:strRef>
              <c:f>Figurer!$M$136</c:f>
              <c:strCache>
                <c:ptCount val="1"/>
                <c:pt idx="0">
                  <c:v>2015</c:v>
                </c:pt>
              </c:strCache>
            </c:strRef>
          </c:tx>
          <c:invertIfNegative val="0"/>
          <c:cat>
            <c:strLit>
              <c:ptCount val="11"/>
              <c:pt idx="0">
                <c:v>Danica Pensjon</c:v>
              </c:pt>
              <c:pt idx="1">
                <c:v>DNB Liv</c:v>
              </c:pt>
              <c:pt idx="2">
                <c:v>Frende Livsfors</c:v>
              </c:pt>
              <c:pt idx="3">
                <c:v>Gjensidige Pensj</c:v>
              </c:pt>
              <c:pt idx="4">
                <c:v>KLP</c:v>
              </c:pt>
              <c:pt idx="5">
                <c:v>KLP Bedriftsp</c:v>
              </c:pt>
              <c:pt idx="6">
                <c:v>Nordea Liv</c:v>
              </c:pt>
              <c:pt idx="7">
                <c:v>SHB Liv</c:v>
              </c:pt>
              <c:pt idx="8">
                <c:v>Silver</c:v>
              </c:pt>
              <c:pt idx="9">
                <c:v>SpareBank 1</c:v>
              </c:pt>
              <c:pt idx="10">
                <c:v>Storebrand</c:v>
              </c:pt>
            </c:strLit>
          </c:cat>
          <c:val>
            <c:numRef>
              <c:f>Figurer!$M$137:$M$147</c:f>
              <c:numCache>
                <c:formatCode>#,##0</c:formatCode>
                <c:ptCount val="11"/>
                <c:pt idx="0">
                  <c:v>12330572.925000001</c:v>
                </c:pt>
                <c:pt idx="1">
                  <c:v>49679142.280000001</c:v>
                </c:pt>
                <c:pt idx="2">
                  <c:v>2345808</c:v>
                </c:pt>
                <c:pt idx="3">
                  <c:v>15155471</c:v>
                </c:pt>
                <c:pt idx="4">
                  <c:v>2035724</c:v>
                </c:pt>
                <c:pt idx="5">
                  <c:v>1182480</c:v>
                </c:pt>
                <c:pt idx="6">
                  <c:v>39157649.860661566</c:v>
                </c:pt>
                <c:pt idx="7">
                  <c:v>1610956</c:v>
                </c:pt>
                <c:pt idx="8">
                  <c:v>554655.76254000003</c:v>
                </c:pt>
                <c:pt idx="9">
                  <c:v>15766545.6006</c:v>
                </c:pt>
                <c:pt idx="10">
                  <c:v>53833907.767999999</c:v>
                </c:pt>
              </c:numCache>
            </c:numRef>
          </c:val>
          <c:extLst>
            <c:ext xmlns:c16="http://schemas.microsoft.com/office/drawing/2014/chart" uri="{C3380CC4-5D6E-409C-BE32-E72D297353CC}">
              <c16:uniqueId val="{00000000-62B1-4395-80F9-424B1553CC96}"/>
            </c:ext>
          </c:extLst>
        </c:ser>
        <c:ser>
          <c:idx val="1"/>
          <c:order val="1"/>
          <c:tx>
            <c:strRef>
              <c:f>Figurer!$N$136</c:f>
              <c:strCache>
                <c:ptCount val="1"/>
                <c:pt idx="0">
                  <c:v>2016</c:v>
                </c:pt>
              </c:strCache>
            </c:strRef>
          </c:tx>
          <c:invertIfNegative val="0"/>
          <c:cat>
            <c:strLit>
              <c:ptCount val="11"/>
              <c:pt idx="0">
                <c:v>Danica Pensjon</c:v>
              </c:pt>
              <c:pt idx="1">
                <c:v>DNB Liv</c:v>
              </c:pt>
              <c:pt idx="2">
                <c:v>Frende Livsfors</c:v>
              </c:pt>
              <c:pt idx="3">
                <c:v>Gjensidige Pensj</c:v>
              </c:pt>
              <c:pt idx="4">
                <c:v>KLP</c:v>
              </c:pt>
              <c:pt idx="5">
                <c:v>KLP Bedriftsp</c:v>
              </c:pt>
              <c:pt idx="6">
                <c:v>Nordea Liv</c:v>
              </c:pt>
              <c:pt idx="7">
                <c:v>SHB Liv</c:v>
              </c:pt>
              <c:pt idx="8">
                <c:v>Silver</c:v>
              </c:pt>
              <c:pt idx="9">
                <c:v>SpareBank 1</c:v>
              </c:pt>
              <c:pt idx="10">
                <c:v>Storebrand</c:v>
              </c:pt>
            </c:strLit>
          </c:cat>
          <c:val>
            <c:numRef>
              <c:f>Figurer!$N$137:$N$147</c:f>
              <c:numCache>
                <c:formatCode>#,##0</c:formatCode>
                <c:ptCount val="11"/>
                <c:pt idx="0">
                  <c:v>14037345.691</c:v>
                </c:pt>
                <c:pt idx="1">
                  <c:v>60220192.588040002</c:v>
                </c:pt>
                <c:pt idx="2">
                  <c:v>2660563</c:v>
                </c:pt>
                <c:pt idx="3">
                  <c:v>17827699</c:v>
                </c:pt>
                <c:pt idx="4">
                  <c:v>2181469.20615</c:v>
                </c:pt>
                <c:pt idx="5">
                  <c:v>1673718</c:v>
                </c:pt>
                <c:pt idx="6">
                  <c:v>47300719.99999994</c:v>
                </c:pt>
                <c:pt idx="7">
                  <c:v>1764000</c:v>
                </c:pt>
                <c:pt idx="8">
                  <c:v>0</c:v>
                </c:pt>
                <c:pt idx="9">
                  <c:v>19386681.029040001</c:v>
                </c:pt>
                <c:pt idx="10">
                  <c:v>65092912.276000008</c:v>
                </c:pt>
              </c:numCache>
            </c:numRef>
          </c:val>
          <c:extLst>
            <c:ext xmlns:c16="http://schemas.microsoft.com/office/drawing/2014/chart" uri="{C3380CC4-5D6E-409C-BE32-E72D297353CC}">
              <c16:uniqueId val="{00000001-62B1-4395-80F9-424B1553CC96}"/>
            </c:ext>
          </c:extLst>
        </c:ser>
        <c:dLbls>
          <c:showLegendKey val="0"/>
          <c:showVal val="0"/>
          <c:showCatName val="0"/>
          <c:showSerName val="0"/>
          <c:showPercent val="0"/>
          <c:showBubbleSize val="0"/>
        </c:dLbls>
        <c:gapWidth val="150"/>
        <c:axId val="243158400"/>
        <c:axId val="243164288"/>
      </c:barChart>
      <c:catAx>
        <c:axId val="24315840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243164288"/>
        <c:crosses val="autoZero"/>
        <c:auto val="1"/>
        <c:lblAlgn val="ctr"/>
        <c:lblOffset val="100"/>
        <c:tickLblSkip val="1"/>
        <c:tickMarkSkip val="1"/>
        <c:noMultiLvlLbl val="0"/>
      </c:catAx>
      <c:valAx>
        <c:axId val="24316428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5920873124147342E-2"/>
              <c:y val="0.3354438600313303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43158400"/>
        <c:crosses val="autoZero"/>
        <c:crossBetween val="between"/>
      </c:valAx>
    </c:plotArea>
    <c:legend>
      <c:legendPos val="b"/>
      <c:layout>
        <c:manualLayout>
          <c:xMode val="edge"/>
          <c:yMode val="edge"/>
          <c:x val="0.34561192811335145"/>
          <c:y val="0.93671075700518092"/>
          <c:w val="0.23419750566649891"/>
          <c:h val="4.8523233014845533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98425196899999956" l="0.78740157499999996" r="0.78740157499999996" t="0.98425196899999956"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614144699303892"/>
          <c:y val="8.40864305054419E-2"/>
          <c:w val="0.75271796188519913"/>
          <c:h val="0.62564087493112053"/>
        </c:manualLayout>
      </c:layout>
      <c:barChart>
        <c:barDir val="col"/>
        <c:grouping val="clustered"/>
        <c:varyColors val="0"/>
        <c:ser>
          <c:idx val="0"/>
          <c:order val="0"/>
          <c:tx>
            <c:strRef>
              <c:f>Figurer!$M$163</c:f>
              <c:strCache>
                <c:ptCount val="1"/>
                <c:pt idx="0">
                  <c:v>2015</c:v>
                </c:pt>
              </c:strCache>
            </c:strRef>
          </c:tx>
          <c:invertIfNegative val="0"/>
          <c:cat>
            <c:strLit>
              <c:ptCount val="9"/>
              <c:pt idx="0">
                <c:v>Danica Pensjon</c:v>
              </c:pt>
              <c:pt idx="1">
                <c:v>DNB Liv</c:v>
              </c:pt>
              <c:pt idx="2">
                <c:v>Gjensidige Pensj</c:v>
              </c:pt>
              <c:pt idx="3">
                <c:v>KLP</c:v>
              </c:pt>
              <c:pt idx="4">
                <c:v>KLP Bedriftsp</c:v>
              </c:pt>
              <c:pt idx="5">
                <c:v>Nordea Liv</c:v>
              </c:pt>
              <c:pt idx="6">
                <c:v>Silver</c:v>
              </c:pt>
              <c:pt idx="7">
                <c:v>SpareBank 1</c:v>
              </c:pt>
              <c:pt idx="8">
                <c:v>Storebrand </c:v>
              </c:pt>
            </c:strLit>
          </c:cat>
          <c:val>
            <c:numRef>
              <c:f>Figurer!$M$164:$M$172</c:f>
              <c:numCache>
                <c:formatCode>#,##0</c:formatCode>
                <c:ptCount val="9"/>
                <c:pt idx="0">
                  <c:v>-4357.268</c:v>
                </c:pt>
                <c:pt idx="1">
                  <c:v>-13223570</c:v>
                </c:pt>
                <c:pt idx="2">
                  <c:v>219040.41500000001</c:v>
                </c:pt>
                <c:pt idx="3">
                  <c:v>9108692.8528800011</c:v>
                </c:pt>
                <c:pt idx="4">
                  <c:v>2807</c:v>
                </c:pt>
                <c:pt idx="5">
                  <c:v>-273970.86333999998</c:v>
                </c:pt>
                <c:pt idx="6">
                  <c:v>-26528.197459999999</c:v>
                </c:pt>
                <c:pt idx="7">
                  <c:v>56365.878530000009</c:v>
                </c:pt>
                <c:pt idx="8">
                  <c:v>-3542779.4469999997</c:v>
                </c:pt>
              </c:numCache>
            </c:numRef>
          </c:val>
          <c:extLst>
            <c:ext xmlns:c16="http://schemas.microsoft.com/office/drawing/2014/chart" uri="{C3380CC4-5D6E-409C-BE32-E72D297353CC}">
              <c16:uniqueId val="{00000000-2BF8-4278-857F-91A0E7196849}"/>
            </c:ext>
          </c:extLst>
        </c:ser>
        <c:ser>
          <c:idx val="1"/>
          <c:order val="1"/>
          <c:tx>
            <c:strRef>
              <c:f>Figurer!$N$163</c:f>
              <c:strCache>
                <c:ptCount val="1"/>
                <c:pt idx="0">
                  <c:v>2016</c:v>
                </c:pt>
              </c:strCache>
            </c:strRef>
          </c:tx>
          <c:invertIfNegative val="0"/>
          <c:cat>
            <c:strLit>
              <c:ptCount val="9"/>
              <c:pt idx="0">
                <c:v>Danica Pensjon</c:v>
              </c:pt>
              <c:pt idx="1">
                <c:v>DNB Liv</c:v>
              </c:pt>
              <c:pt idx="2">
                <c:v>Gjensidige Pensj</c:v>
              </c:pt>
              <c:pt idx="3">
                <c:v>KLP</c:v>
              </c:pt>
              <c:pt idx="4">
                <c:v>KLP Bedriftsp</c:v>
              </c:pt>
              <c:pt idx="5">
                <c:v>Nordea Liv</c:v>
              </c:pt>
              <c:pt idx="6">
                <c:v>Silver</c:v>
              </c:pt>
              <c:pt idx="7">
                <c:v>SpareBank 1</c:v>
              </c:pt>
              <c:pt idx="8">
                <c:v>Storebrand </c:v>
              </c:pt>
            </c:strLit>
          </c:cat>
          <c:val>
            <c:numRef>
              <c:f>Figurer!$N$164:$N$172</c:f>
              <c:numCache>
                <c:formatCode>#,##0</c:formatCode>
                <c:ptCount val="9"/>
                <c:pt idx="0">
                  <c:v>-13497.161</c:v>
                </c:pt>
                <c:pt idx="1">
                  <c:v>699030</c:v>
                </c:pt>
                <c:pt idx="2">
                  <c:v>20522</c:v>
                </c:pt>
                <c:pt idx="3">
                  <c:v>3128337.7660000003</c:v>
                </c:pt>
                <c:pt idx="4">
                  <c:v>1141</c:v>
                </c:pt>
                <c:pt idx="5">
                  <c:v>-92816.804760000028</c:v>
                </c:pt>
                <c:pt idx="6">
                  <c:v>0</c:v>
                </c:pt>
                <c:pt idx="7">
                  <c:v>100246.76105</c:v>
                </c:pt>
                <c:pt idx="8">
                  <c:v>-2009393.2790000001</c:v>
                </c:pt>
              </c:numCache>
            </c:numRef>
          </c:val>
          <c:extLst>
            <c:ext xmlns:c16="http://schemas.microsoft.com/office/drawing/2014/chart" uri="{C3380CC4-5D6E-409C-BE32-E72D297353CC}">
              <c16:uniqueId val="{00000001-2BF8-4278-857F-91A0E7196849}"/>
            </c:ext>
          </c:extLst>
        </c:ser>
        <c:dLbls>
          <c:showLegendKey val="0"/>
          <c:showVal val="0"/>
          <c:showCatName val="0"/>
          <c:showSerName val="0"/>
          <c:showPercent val="0"/>
          <c:showBubbleSize val="0"/>
        </c:dLbls>
        <c:gapWidth val="150"/>
        <c:axId val="243201536"/>
        <c:axId val="243203072"/>
      </c:barChart>
      <c:catAx>
        <c:axId val="243201536"/>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en-US"/>
          </a:p>
        </c:txPr>
        <c:crossAx val="243203072"/>
        <c:crosses val="autoZero"/>
        <c:auto val="1"/>
        <c:lblAlgn val="ctr"/>
        <c:lblOffset val="100"/>
        <c:tickLblSkip val="1"/>
        <c:tickMarkSkip val="1"/>
        <c:noMultiLvlLbl val="0"/>
      </c:catAx>
      <c:valAx>
        <c:axId val="243203072"/>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1739130434782612E-2"/>
              <c:y val="0.3575528341124432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43201536"/>
        <c:crosses val="autoZero"/>
        <c:crossBetween val="between"/>
      </c:valAx>
    </c:plotArea>
    <c:legend>
      <c:legendPos val="b"/>
      <c:layout>
        <c:manualLayout>
          <c:xMode val="edge"/>
          <c:yMode val="edge"/>
          <c:x val="0.34737347369622462"/>
          <c:y val="0.94455128774817365"/>
          <c:w val="0.22871391076115474"/>
          <c:h val="4.5888981710243797E-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98425196899999956" l="0.78740157499999996" r="0.78740157499999996" t="0.98425196899999956"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253853430922791"/>
          <c:y val="8.5614035087719767E-2"/>
          <c:w val="0.75564702786135474"/>
          <c:h val="0.63649189114519311"/>
        </c:manualLayout>
      </c:layout>
      <c:barChart>
        <c:barDir val="col"/>
        <c:grouping val="clustered"/>
        <c:varyColors val="0"/>
        <c:ser>
          <c:idx val="0"/>
          <c:order val="0"/>
          <c:tx>
            <c:strRef>
              <c:f>Figurer!$M$189</c:f>
              <c:strCache>
                <c:ptCount val="1"/>
                <c:pt idx="0">
                  <c:v>2015</c:v>
                </c:pt>
              </c:strCache>
            </c:strRef>
          </c:tx>
          <c:invertIfNegative val="0"/>
          <c:cat>
            <c:strLit>
              <c:ptCount val="10"/>
              <c:pt idx="0">
                <c:v>Danica Pensjon</c:v>
              </c:pt>
              <c:pt idx="1">
                <c:v>DNB Liv</c:v>
              </c:pt>
              <c:pt idx="2">
                <c:v>Frende Livsfors</c:v>
              </c:pt>
              <c:pt idx="3">
                <c:v>Gjensidige Pensj</c:v>
              </c:pt>
              <c:pt idx="4">
                <c:v>KLP Bedriftsp</c:v>
              </c:pt>
              <c:pt idx="5">
                <c:v>Nordea Liv</c:v>
              </c:pt>
              <c:pt idx="6">
                <c:v>SHB Liv</c:v>
              </c:pt>
              <c:pt idx="7">
                <c:v>Silver</c:v>
              </c:pt>
              <c:pt idx="8">
                <c:v>SpareBank 1</c:v>
              </c:pt>
              <c:pt idx="9">
                <c:v>Storebrand</c:v>
              </c:pt>
            </c:strLit>
          </c:cat>
          <c:val>
            <c:numRef>
              <c:f>Figurer!$M$190:$M$199</c:f>
              <c:numCache>
                <c:formatCode>#,##0</c:formatCode>
                <c:ptCount val="10"/>
                <c:pt idx="0">
                  <c:v>60202.512999999977</c:v>
                </c:pt>
                <c:pt idx="1">
                  <c:v>106208</c:v>
                </c:pt>
                <c:pt idx="2">
                  <c:v>82162</c:v>
                </c:pt>
                <c:pt idx="3">
                  <c:v>-82011.826000000001</c:v>
                </c:pt>
                <c:pt idx="4">
                  <c:v>130702</c:v>
                </c:pt>
                <c:pt idx="5">
                  <c:v>-129309.97355</c:v>
                </c:pt>
                <c:pt idx="6">
                  <c:v>-6245</c:v>
                </c:pt>
                <c:pt idx="7">
                  <c:v>24227.527000000002</c:v>
                </c:pt>
                <c:pt idx="8">
                  <c:v>97268.581089999992</c:v>
                </c:pt>
                <c:pt idx="9">
                  <c:v>-88254.657000000007</c:v>
                </c:pt>
              </c:numCache>
            </c:numRef>
          </c:val>
          <c:extLst>
            <c:ext xmlns:c16="http://schemas.microsoft.com/office/drawing/2014/chart" uri="{C3380CC4-5D6E-409C-BE32-E72D297353CC}">
              <c16:uniqueId val="{00000000-B400-4C26-965B-0553A4A37873}"/>
            </c:ext>
          </c:extLst>
        </c:ser>
        <c:ser>
          <c:idx val="1"/>
          <c:order val="1"/>
          <c:tx>
            <c:strRef>
              <c:f>Figurer!$N$189</c:f>
              <c:strCache>
                <c:ptCount val="1"/>
                <c:pt idx="0">
                  <c:v>2016</c:v>
                </c:pt>
              </c:strCache>
            </c:strRef>
          </c:tx>
          <c:invertIfNegative val="0"/>
          <c:cat>
            <c:strLit>
              <c:ptCount val="10"/>
              <c:pt idx="0">
                <c:v>Danica Pensjon</c:v>
              </c:pt>
              <c:pt idx="1">
                <c:v>DNB Liv</c:v>
              </c:pt>
              <c:pt idx="2">
                <c:v>Frende Livsfors</c:v>
              </c:pt>
              <c:pt idx="3">
                <c:v>Gjensidige Pensj</c:v>
              </c:pt>
              <c:pt idx="4">
                <c:v>KLP Bedriftsp</c:v>
              </c:pt>
              <c:pt idx="5">
                <c:v>Nordea Liv</c:v>
              </c:pt>
              <c:pt idx="6">
                <c:v>SHB Liv</c:v>
              </c:pt>
              <c:pt idx="7">
                <c:v>Silver</c:v>
              </c:pt>
              <c:pt idx="8">
                <c:v>SpareBank 1</c:v>
              </c:pt>
              <c:pt idx="9">
                <c:v>Storebrand</c:v>
              </c:pt>
            </c:strLit>
          </c:cat>
          <c:val>
            <c:numRef>
              <c:f>Figurer!$N$190:$N$199</c:f>
              <c:numCache>
                <c:formatCode>#,##0</c:formatCode>
                <c:ptCount val="10"/>
                <c:pt idx="0">
                  <c:v>103090.35200000007</c:v>
                </c:pt>
                <c:pt idx="1">
                  <c:v>287011</c:v>
                </c:pt>
                <c:pt idx="2">
                  <c:v>-28214</c:v>
                </c:pt>
                <c:pt idx="3">
                  <c:v>415769</c:v>
                </c:pt>
                <c:pt idx="4">
                  <c:v>135635</c:v>
                </c:pt>
                <c:pt idx="5">
                  <c:v>-423133.50978000008</c:v>
                </c:pt>
                <c:pt idx="6">
                  <c:v>87560</c:v>
                </c:pt>
                <c:pt idx="7">
                  <c:v>0</c:v>
                </c:pt>
                <c:pt idx="8">
                  <c:v>1135606.9406599998</c:v>
                </c:pt>
                <c:pt idx="9">
                  <c:v>-1591684.1879999998</c:v>
                </c:pt>
              </c:numCache>
            </c:numRef>
          </c:val>
          <c:extLst>
            <c:ext xmlns:c16="http://schemas.microsoft.com/office/drawing/2014/chart" uri="{C3380CC4-5D6E-409C-BE32-E72D297353CC}">
              <c16:uniqueId val="{00000001-B400-4C26-965B-0553A4A37873}"/>
            </c:ext>
          </c:extLst>
        </c:ser>
        <c:dLbls>
          <c:showLegendKey val="0"/>
          <c:showVal val="0"/>
          <c:showCatName val="0"/>
          <c:showSerName val="0"/>
          <c:showPercent val="0"/>
          <c:showBubbleSize val="0"/>
        </c:dLbls>
        <c:gapWidth val="150"/>
        <c:axId val="243686400"/>
        <c:axId val="243700480"/>
      </c:barChart>
      <c:catAx>
        <c:axId val="243686400"/>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en-US"/>
          </a:p>
        </c:txPr>
        <c:crossAx val="243700480"/>
        <c:crosses val="autoZero"/>
        <c:auto val="1"/>
        <c:lblAlgn val="ctr"/>
        <c:lblOffset val="100"/>
        <c:tickLblSkip val="1"/>
        <c:tickMarkSkip val="1"/>
        <c:noMultiLvlLbl val="0"/>
      </c:catAx>
      <c:valAx>
        <c:axId val="24370048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3.3875338753387642E-2"/>
              <c:y val="0.330526785811528"/>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43686400"/>
        <c:crosses val="autoZero"/>
        <c:crossBetween val="between"/>
      </c:valAx>
    </c:plotArea>
    <c:legend>
      <c:legendPos val="b"/>
      <c:layout>
        <c:manualLayout>
          <c:xMode val="edge"/>
          <c:yMode val="edge"/>
          <c:x val="0.35049740733627832"/>
          <c:y val="0.93473780507726956"/>
          <c:w val="0.23080411696505387"/>
          <c:h val="4.8421167271103877E-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98425196899999956" l="0.78740157499999996" r="0.78740157499999996" t="0.98425196899999956"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476250</xdr:colOff>
      <xdr:row>54</xdr:row>
      <xdr:rowOff>28575</xdr:rowOff>
    </xdr:to>
    <xdr:pic>
      <xdr:nvPicPr>
        <xdr:cNvPr id="2" name="Picture 1" descr="Statistikk_forside.pd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6572250" cy="11258550"/>
        </a:xfrm>
        <a:prstGeom prst="rect">
          <a:avLst/>
        </a:prstGeom>
        <a:noFill/>
        <a:ln w="9525">
          <a:noFill/>
          <a:miter lim="800000"/>
          <a:headEnd/>
          <a:tailEnd/>
        </a:ln>
      </xdr:spPr>
    </xdr:pic>
    <xdr:clientData/>
  </xdr:twoCellAnchor>
  <xdr:twoCellAnchor>
    <xdr:from>
      <xdr:col>0</xdr:col>
      <xdr:colOff>695325</xdr:colOff>
      <xdr:row>41</xdr:row>
      <xdr:rowOff>34925</xdr:rowOff>
    </xdr:from>
    <xdr:to>
      <xdr:col>5</xdr:col>
      <xdr:colOff>371492</xdr:colOff>
      <xdr:row>43</xdr:row>
      <xdr:rowOff>152400</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083675"/>
          <a:ext cx="3486167" cy="517525"/>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4. KVARTAL 2016 </a:t>
          </a:r>
          <a:r>
            <a:rPr lang="nb-NO" sz="1100" b="0">
              <a:effectLst/>
              <a:latin typeface="Arial"/>
              <a:ea typeface="ＭＳ 明朝"/>
              <a:cs typeface="Times New Roman"/>
            </a:rPr>
            <a:t>(24.03.2016)</a:t>
          </a:r>
        </a:p>
        <a:p>
          <a:pPr>
            <a:spcAft>
              <a:spcPts val="0"/>
            </a:spcAft>
          </a:pPr>
          <a:endParaRPr lang="nb-NO" sz="1100" b="0">
            <a:effectLst/>
            <a:latin typeface="Arial"/>
            <a:ea typeface="ＭＳ 明朝"/>
            <a:cs typeface="Times New Roman"/>
          </a:endParaRPr>
        </a:p>
        <a:p>
          <a:pPr>
            <a:spcAft>
              <a:spcPts val="0"/>
            </a:spcAft>
          </a:pPr>
          <a:r>
            <a:rPr lang="nb-NO" sz="900" b="0">
              <a:effectLst/>
              <a:latin typeface="Arial"/>
              <a:ea typeface="ＭＳ 明朝"/>
              <a:cs typeface="Times New Roman"/>
            </a:rPr>
            <a:t>Senest</a:t>
          </a:r>
          <a:r>
            <a:rPr lang="nb-NO" sz="900" b="0" baseline="0">
              <a:effectLst/>
              <a:latin typeface="Arial"/>
              <a:ea typeface="ＭＳ 明朝"/>
              <a:cs typeface="Times New Roman"/>
            </a:rPr>
            <a:t> endret 04.01.2018</a:t>
          </a:r>
          <a:r>
            <a:rPr lang="nb-NO" sz="1600" b="1">
              <a:effectLst/>
              <a:latin typeface="Arial"/>
              <a:ea typeface="ＭＳ 明朝"/>
              <a:cs typeface="Times New Roman"/>
            </a:rPr>
            <a:t> </a:t>
          </a:r>
          <a:endParaRPr lang="nb-NO" sz="1200">
            <a:effectLst/>
            <a:ea typeface="ＭＳ 明朝"/>
            <a:cs typeface="Times New Roman"/>
          </a:endParaRPr>
        </a:p>
      </xdr:txBody>
    </xdr:sp>
    <xdr:clientData/>
  </xdr:twoCellAnchor>
  <xdr:twoCellAnchor>
    <xdr:from>
      <xdr:col>0</xdr:col>
      <xdr:colOff>666750</xdr:colOff>
      <xdr:row>32</xdr:row>
      <xdr:rowOff>387350</xdr:rowOff>
    </xdr:from>
    <xdr:to>
      <xdr:col>8</xdr:col>
      <xdr:colOff>196850</xdr:colOff>
      <xdr:row>38</xdr:row>
      <xdr:rowOff>22225</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292975"/>
          <a:ext cx="5626100" cy="1149350"/>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3100"/>
            </a:lnSpc>
            <a:spcAft>
              <a:spcPts val="0"/>
            </a:spcAft>
          </a:pPr>
          <a:r>
            <a:rPr lang="nb-NO" sz="2800" b="1">
              <a:solidFill>
                <a:srgbClr val="54758C"/>
              </a:solidFill>
              <a:effectLst/>
              <a:latin typeface="Arial"/>
              <a:ea typeface="ＭＳ 明朝"/>
              <a:cs typeface="Times New Roman"/>
            </a:rPr>
            <a:t>MARKEDSANDELER</a:t>
          </a:r>
          <a:endParaRPr lang="nb-NO" sz="1200">
            <a:effectLst/>
            <a:ea typeface="ＭＳ 明朝"/>
            <a:cs typeface="Times New Roman"/>
          </a:endParaRPr>
        </a:p>
        <a:p>
          <a:pPr>
            <a:lnSpc>
              <a:spcPts val="3200"/>
            </a:lnSpc>
            <a:spcAft>
              <a:spcPts val="0"/>
            </a:spcAft>
          </a:pPr>
          <a:r>
            <a:rPr lang="en-GB" sz="2600">
              <a:solidFill>
                <a:srgbClr val="54758C"/>
              </a:solidFill>
              <a:effectLst/>
              <a:latin typeface="Arial"/>
              <a:ea typeface="ＭＳ 明朝"/>
              <a:cs typeface="MinionPro-Regular"/>
            </a:rPr>
            <a:t>– endelige tall og regnskapsstatistikk</a:t>
          </a:r>
          <a:endParaRPr lang="nb-NO" sz="1200">
            <a:solidFill>
              <a:srgbClr val="000000"/>
            </a:solidFill>
            <a:effectLst/>
            <a:latin typeface="MinionPro-Regular"/>
            <a:ea typeface="ＭＳ 明朝"/>
            <a:cs typeface="MinionPro-Regular"/>
          </a:endParaRPr>
        </a:p>
        <a:p>
          <a:pPr>
            <a:lnSpc>
              <a:spcPts val="1300"/>
            </a:lnSpc>
            <a:spcAft>
              <a:spcPts val="0"/>
            </a:spcAft>
          </a:pPr>
          <a:r>
            <a:rPr lang="nb-NO" sz="1200">
              <a:effectLst/>
              <a:ea typeface="ＭＳ 明朝"/>
              <a:cs typeface="Times New Roman"/>
            </a:rPr>
            <a:t> </a:t>
          </a:r>
        </a:p>
      </xdr:txBody>
    </xdr:sp>
    <xdr:clientData/>
  </xdr:twoCellAnchor>
  <xdr:twoCellAnchor>
    <xdr:from>
      <xdr:col>0</xdr:col>
      <xdr:colOff>447675</xdr:colOff>
      <xdr:row>5</xdr:row>
      <xdr:rowOff>12700</xdr:rowOff>
    </xdr:from>
    <xdr:to>
      <xdr:col>2</xdr:col>
      <xdr:colOff>530482</xdr:colOff>
      <xdr:row>7</xdr:row>
      <xdr:rowOff>66616</xdr:rowOff>
    </xdr:to>
    <xdr:sp macro="" textlink="">
      <xdr:nvSpPr>
        <xdr:cNvPr id="5" name="Text Box 3">
          <a:extLst>
            <a:ext uri="{FF2B5EF4-FFF2-40B4-BE49-F238E27FC236}">
              <a16:creationId xmlns:a16="http://schemas.microsoft.com/office/drawing/2014/main" id="{00000000-0008-0000-0000-000005000000}"/>
            </a:ext>
          </a:extLst>
        </xdr:cNvPr>
        <xdr:cNvSpPr txBox="1"/>
      </xdr:nvSpPr>
      <xdr:spPr>
        <a:xfrm>
          <a:off x="447675" y="822325"/>
          <a:ext cx="1606807" cy="511116"/>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500"/>
            </a:lnSpc>
            <a:spcAft>
              <a:spcPts val="0"/>
            </a:spcAft>
          </a:pPr>
          <a:r>
            <a:rPr lang="nb-NO" sz="1400" cap="all">
              <a:ln w="0" cap="flat" cmpd="sng" algn="ctr">
                <a:noFill/>
                <a:prstDash val="solid"/>
                <a:round/>
              </a:ln>
              <a:solidFill>
                <a:schemeClr val="bg1"/>
              </a:solidFill>
              <a:effectLst/>
              <a:latin typeface="Arial"/>
              <a:ea typeface="ＭＳ 明朝"/>
              <a:cs typeface="Arial"/>
            </a:rPr>
            <a:t>LIVSTATISTIKK</a:t>
          </a:r>
          <a:endParaRPr lang="nb-NO" sz="1400">
            <a:ln w="0" cap="flat" cmpd="sng" algn="ctr">
              <a:noFill/>
              <a:prstDash val="solid"/>
              <a:round/>
            </a:ln>
            <a:solidFill>
              <a:schemeClr val="bg1"/>
            </a:solidFill>
            <a:effectLst/>
            <a:latin typeface="Arial"/>
            <a:ea typeface="ＭＳ 明朝"/>
            <a:cs typeface="Arial"/>
          </a:endParaRPr>
        </a:p>
        <a:p>
          <a:pPr>
            <a:lnSpc>
              <a:spcPts val="1100"/>
            </a:lnSpc>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6</xdr:row>
      <xdr:rowOff>0</xdr:rowOff>
    </xdr:from>
    <xdr:to>
      <xdr:col>9</xdr:col>
      <xdr:colOff>352425</xdr:colOff>
      <xdr:row>26</xdr:row>
      <xdr:rowOff>9525</xdr:rowOff>
    </xdr:to>
    <xdr:graphicFrame macro="">
      <xdr:nvGraphicFramePr>
        <xdr:cNvPr id="2" name="Chart 1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30</xdr:row>
      <xdr:rowOff>219075</xdr:rowOff>
    </xdr:from>
    <xdr:to>
      <xdr:col>9</xdr:col>
      <xdr:colOff>285750</xdr:colOff>
      <xdr:row>50</xdr:row>
      <xdr:rowOff>123825</xdr:rowOff>
    </xdr:to>
    <xdr:graphicFrame macro="">
      <xdr:nvGraphicFramePr>
        <xdr:cNvPr id="3" name="Chart 1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57</xdr:row>
      <xdr:rowOff>0</xdr:rowOff>
    </xdr:from>
    <xdr:to>
      <xdr:col>9</xdr:col>
      <xdr:colOff>180975</xdr:colOff>
      <xdr:row>76</xdr:row>
      <xdr:rowOff>171450</xdr:rowOff>
    </xdr:to>
    <xdr:graphicFrame macro="">
      <xdr:nvGraphicFramePr>
        <xdr:cNvPr id="4" name="Chart 1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82</xdr:row>
      <xdr:rowOff>19050</xdr:rowOff>
    </xdr:from>
    <xdr:to>
      <xdr:col>9</xdr:col>
      <xdr:colOff>161925</xdr:colOff>
      <xdr:row>101</xdr:row>
      <xdr:rowOff>114300</xdr:rowOff>
    </xdr:to>
    <xdr:graphicFrame macro="">
      <xdr:nvGraphicFramePr>
        <xdr:cNvPr id="5" name="Chart 1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107</xdr:row>
      <xdr:rowOff>228600</xdr:rowOff>
    </xdr:from>
    <xdr:to>
      <xdr:col>9</xdr:col>
      <xdr:colOff>142875</xdr:colOff>
      <xdr:row>126</xdr:row>
      <xdr:rowOff>180975</xdr:rowOff>
    </xdr:to>
    <xdr:graphicFrame macro="">
      <xdr:nvGraphicFramePr>
        <xdr:cNvPr id="6" name="Chart 1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134</xdr:row>
      <xdr:rowOff>57150</xdr:rowOff>
    </xdr:from>
    <xdr:to>
      <xdr:col>9</xdr:col>
      <xdr:colOff>123825</xdr:colOff>
      <xdr:row>154</xdr:row>
      <xdr:rowOff>114300</xdr:rowOff>
    </xdr:to>
    <xdr:graphicFrame macro="">
      <xdr:nvGraphicFramePr>
        <xdr:cNvPr id="7" name="Chart 1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28575</xdr:colOff>
      <xdr:row>161</xdr:row>
      <xdr:rowOff>28575</xdr:rowOff>
    </xdr:from>
    <xdr:to>
      <xdr:col>9</xdr:col>
      <xdr:colOff>180975</xdr:colOff>
      <xdr:row>178</xdr:row>
      <xdr:rowOff>200025</xdr:rowOff>
    </xdr:to>
    <xdr:graphicFrame macro="">
      <xdr:nvGraphicFramePr>
        <xdr:cNvPr id="8" name="Chart 1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186</xdr:row>
      <xdr:rowOff>57150</xdr:rowOff>
    </xdr:from>
    <xdr:to>
      <xdr:col>9</xdr:col>
      <xdr:colOff>171450</xdr:colOff>
      <xdr:row>205</xdr:row>
      <xdr:rowOff>123825</xdr:rowOff>
    </xdr:to>
    <xdr:graphicFrame macro="">
      <xdr:nvGraphicFramePr>
        <xdr:cNvPr id="9" name="Chart 1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10583</xdr:colOff>
      <xdr:row>4</xdr:row>
      <xdr:rowOff>127000</xdr:rowOff>
    </xdr:from>
    <xdr:to>
      <xdr:col>0</xdr:col>
      <xdr:colOff>4064000</xdr:colOff>
      <xdr:row>40</xdr:row>
      <xdr:rowOff>74083</xdr:rowOff>
    </xdr:to>
    <xdr:sp macro="" textlink="">
      <xdr:nvSpPr>
        <xdr:cNvPr id="4" name="Text Box 1026">
          <a:extLst>
            <a:ext uri="{FF2B5EF4-FFF2-40B4-BE49-F238E27FC236}">
              <a16:creationId xmlns:a16="http://schemas.microsoft.com/office/drawing/2014/main" id="{00000000-0008-0000-2100-000004000000}"/>
            </a:ext>
          </a:extLst>
        </xdr:cNvPr>
        <xdr:cNvSpPr txBox="1">
          <a:spLocks noChangeArrowheads="1"/>
        </xdr:cNvSpPr>
      </xdr:nvSpPr>
      <xdr:spPr bwMode="auto">
        <a:xfrm>
          <a:off x="10583" y="762000"/>
          <a:ext cx="4053417" cy="10974916"/>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600"/>
            </a:lnSpc>
            <a:defRPr sz="1000"/>
          </a:pPr>
          <a:r>
            <a:rPr lang="nb-NO" sz="1200" b="1" i="0" strike="noStrike">
              <a:solidFill>
                <a:srgbClr val="000000"/>
              </a:solidFill>
              <a:latin typeface="Times New Roman"/>
              <a:cs typeface="Times New Roman"/>
            </a:rPr>
            <a:t>Selskaper som inngår i statistikken</a:t>
          </a:r>
        </a:p>
        <a:p>
          <a:pPr algn="l" rtl="0">
            <a:lnSpc>
              <a:spcPts val="1600"/>
            </a:lnSpc>
            <a:defRPr sz="1000"/>
          </a:pPr>
          <a:r>
            <a:rPr lang="nb-NO" sz="1200" b="0" i="0" strike="noStrike">
              <a:solidFill>
                <a:srgbClr val="000000"/>
              </a:solidFill>
              <a:latin typeface="Times New Roman"/>
              <a:cs typeface="Times New Roman"/>
            </a:rPr>
            <a:t>Statistikken viser tall for medlemsselskaper i Finans Norge som </a:t>
          </a:r>
          <a:br>
            <a:rPr lang="nb-NO" sz="1200" b="0" i="0" strike="noStrike">
              <a:solidFill>
                <a:srgbClr val="000000"/>
              </a:solidFill>
              <a:latin typeface="Times New Roman"/>
              <a:cs typeface="Times New Roman"/>
            </a:rPr>
          </a:br>
          <a:r>
            <a:rPr lang="nb-NO" sz="1200" b="0" i="0" strike="noStrike">
              <a:solidFill>
                <a:srgbClr val="000000"/>
              </a:solidFill>
              <a:latin typeface="Times New Roman"/>
              <a:cs typeface="Times New Roman"/>
            </a:rPr>
            <a:t>selger livprodukter.</a:t>
          </a:r>
        </a:p>
        <a:p>
          <a:pPr algn="l" rtl="0">
            <a:lnSpc>
              <a:spcPts val="1600"/>
            </a:lnSpc>
            <a:defRPr sz="1000"/>
          </a:pPr>
          <a:endParaRPr lang="nb-NO" sz="1200" b="1"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Produkter uten investeringsvalg</a:t>
          </a:r>
          <a:r>
            <a:rPr lang="nb-NO" sz="1200" b="0" i="0" strike="noStrike">
              <a:solidFill>
                <a:srgbClr val="000000"/>
              </a:solidFill>
              <a:latin typeface="Times New Roman"/>
              <a:cs typeface="Times New Roman"/>
            </a:rPr>
            <a:t>:</a:t>
          </a:r>
        </a:p>
        <a:p>
          <a:pPr marL="0" marR="0" indent="0" algn="l" defTabSz="914400" rtl="0" eaLnBrk="1" fontAlgn="auto" latinLnBrk="0" hangingPunct="1">
            <a:lnSpc>
              <a:spcPts val="1600"/>
            </a:lnSpc>
            <a:spcBef>
              <a:spcPts val="0"/>
            </a:spcBef>
            <a:spcAft>
              <a:spcPts val="0"/>
            </a:spcAft>
            <a:buClrTx/>
            <a:buSzTx/>
            <a:buFontTx/>
            <a:buNone/>
            <a:tabLst/>
            <a:defRPr sz="1000"/>
          </a:pPr>
          <a:r>
            <a:rPr lang="nb-NO" sz="1200" b="0" i="0" strike="noStrike">
              <a:solidFill>
                <a:srgbClr val="000000"/>
              </a:solidFill>
              <a:latin typeface="Times New Roman"/>
              <a:cs typeface="Times New Roman"/>
            </a:rPr>
            <a:t>ACE European Group </a:t>
          </a: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(utenlandsk skadeselskap, filial)</a:t>
          </a:r>
          <a:r>
            <a:rPr lang="nb-NO" sz="1200" b="0" i="0" strike="noStrike">
              <a:solidFill>
                <a:srgbClr val="000000"/>
              </a:solidFill>
              <a:latin typeface="Times New Roman"/>
              <a:cs typeface="Times New Roman"/>
            </a:rPr>
            <a:t> </a:t>
          </a:r>
        </a:p>
        <a:p>
          <a:pPr algn="l" rtl="0">
            <a:lnSpc>
              <a:spcPts val="16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Eika Forsikring AS (skadeselskap</a:t>
          </a:r>
          <a:r>
            <a:rPr lang="nb-NO" sz="1200" b="0" i="0" strike="noStrike" baseline="0">
              <a:solidFill>
                <a:srgbClr val="000000"/>
              </a:solidFill>
              <a:latin typeface="Times New Roman"/>
              <a:cs typeface="Times New Roman"/>
            </a:rPr>
            <a:t>)</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Frende Livsforsikring</a:t>
          </a:r>
        </a:p>
        <a:p>
          <a:pPr algn="l" rtl="0">
            <a:lnSpc>
              <a:spcPts val="1600"/>
            </a:lnSpc>
            <a:defRPr sz="1000"/>
          </a:pPr>
          <a:r>
            <a:rPr lang="nb-NO" sz="1200" b="0" i="0" strike="noStrike">
              <a:solidFill>
                <a:srgbClr val="000000"/>
              </a:solidFill>
              <a:latin typeface="Times New Roman"/>
              <a:cs typeface="Times New Roman"/>
            </a:rPr>
            <a:t>Frende Skadeforsikring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Gjensidige Forsikring (skadeselskap)</a:t>
          </a: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600"/>
            </a:lnSpc>
            <a:defRPr sz="1000"/>
          </a:pPr>
          <a:r>
            <a:rPr lang="nb-NO" sz="1200" b="0" i="0" strike="noStrike">
              <a:solidFill>
                <a:srgbClr val="000000"/>
              </a:solidFill>
              <a:latin typeface="Times New Roman"/>
              <a:cs typeface="Times New Roman"/>
            </a:rPr>
            <a:t>Handelsbanken Liv (utenlandsk,</a:t>
          </a:r>
          <a:r>
            <a:rPr lang="nb-NO" sz="1200" b="0" i="0" strike="noStrike" baseline="0">
              <a:solidFill>
                <a:srgbClr val="000000"/>
              </a:solidFill>
              <a:latin typeface="Times New Roman"/>
              <a:cs typeface="Times New Roman"/>
            </a:rPr>
            <a:t> </a:t>
          </a:r>
          <a:r>
            <a:rPr lang="nb-NO" sz="1200" b="0" i="0" strike="noStrike">
              <a:solidFill>
                <a:srgbClr val="000000"/>
              </a:solidFill>
              <a:latin typeface="Times New Roman"/>
              <a:cs typeface="Times New Roman"/>
            </a:rPr>
            <a:t>filial)</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If Skadeforsikring NUF (skadeselskap)</a:t>
          </a:r>
        </a:p>
        <a:p>
          <a:pPr algn="l" rtl="0">
            <a:lnSpc>
              <a:spcPts val="16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a:t>
          </a:r>
          <a:r>
            <a:rPr lang="nb-NO" sz="1200" b="0" i="0" strike="noStrike" baseline="0">
              <a:solidFill>
                <a:srgbClr val="000000"/>
              </a:solidFill>
              <a:latin typeface="Times New Roman"/>
              <a:cs typeface="Times New Roman"/>
            </a:rPr>
            <a:t> Bedriftspensjon AS</a:t>
          </a:r>
        </a:p>
        <a:p>
          <a:pPr algn="l" rtl="0">
            <a:lnSpc>
              <a:spcPts val="1600"/>
            </a:lnSpc>
            <a:defRPr sz="1000"/>
          </a:pPr>
          <a:r>
            <a:rPr lang="nb-NO" sz="1200" b="0" i="0" strike="noStrike" baseline="0">
              <a:solidFill>
                <a:srgbClr val="000000"/>
              </a:solidFill>
              <a:latin typeface="Times New Roman"/>
              <a:cs typeface="Times New Roman"/>
            </a:rPr>
            <a:t>KLP Skadeforsikring AS</a:t>
          </a:r>
        </a:p>
        <a:p>
          <a:pPr algn="l" rtl="0">
            <a:lnSpc>
              <a:spcPts val="1600"/>
            </a:lnSpc>
            <a:defRPr sz="1000"/>
          </a:pPr>
          <a:r>
            <a:rPr lang="nb-NO" sz="1200" b="0" i="0" strike="noStrike" baseline="0">
              <a:solidFill>
                <a:srgbClr val="000000"/>
              </a:solidFill>
              <a:latin typeface="Times New Roman"/>
              <a:cs typeface="Times New Roman"/>
            </a:rPr>
            <a:t>Landbruksforsikring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NEMI</a:t>
          </a:r>
          <a:r>
            <a:rPr lang="nb-NO" sz="1200" b="0" i="0" strike="noStrike" baseline="0">
              <a:solidFill>
                <a:srgbClr val="000000"/>
              </a:solidFill>
              <a:latin typeface="Times New Roman"/>
              <a:cs typeface="Times New Roman"/>
            </a:rPr>
            <a:t> Forsikring (skadeselskap)</a:t>
          </a:r>
          <a:endParaRPr lang="nb-NO" sz="1200" b="0" i="0" strike="noStrike">
            <a:solidFill>
              <a:srgbClr val="000000"/>
            </a:solidFill>
            <a:latin typeface="Times New Roman"/>
            <a:cs typeface="Times New Roman"/>
          </a:endParaRPr>
        </a:p>
        <a:p>
          <a:pPr algn="l" rtl="0">
            <a:lnSpc>
              <a:spcPts val="1700"/>
            </a:lnSpc>
            <a:defRPr sz="1000"/>
          </a:pPr>
          <a:r>
            <a:rPr lang="nb-NO" sz="1200" b="0" i="0" strike="noStrike">
              <a:solidFill>
                <a:srgbClr val="000000"/>
              </a:solidFill>
              <a:latin typeface="Times New Roman"/>
              <a:cs typeface="Times New Roman"/>
            </a:rPr>
            <a:t>Oslo Pensjonsforsikring</a:t>
          </a:r>
        </a:p>
        <a:p>
          <a:pPr algn="l" rtl="0">
            <a:lnSpc>
              <a:spcPts val="1600"/>
            </a:lnSpc>
            <a:defRPr sz="1000"/>
          </a:pPr>
          <a:r>
            <a:rPr lang="nb-NO" sz="1200" b="0" i="0" strike="noStrike">
              <a:solidFill>
                <a:srgbClr val="000000"/>
              </a:solidFill>
              <a:latin typeface="Times New Roman"/>
              <a:cs typeface="Times New Roman"/>
            </a:rPr>
            <a:t>Silver Pensjonsforsikring AS</a:t>
          </a:r>
        </a:p>
        <a:p>
          <a:pPr algn="l" rtl="0">
            <a:lnSpc>
              <a:spcPts val="1700"/>
            </a:lnSpc>
            <a:defRPr sz="1000"/>
          </a:pPr>
          <a:r>
            <a:rPr lang="nb-NO" sz="1200" b="0" i="0" strike="noStrike">
              <a:solidFill>
                <a:srgbClr val="000000"/>
              </a:solidFill>
              <a:latin typeface="Times New Roman"/>
              <a:cs typeface="Times New Roman"/>
            </a:rPr>
            <a:t>SpareBank 1</a:t>
          </a:r>
        </a:p>
        <a:p>
          <a:pPr algn="l" rtl="0">
            <a:lnSpc>
              <a:spcPts val="1600"/>
            </a:lnSpc>
            <a:defRPr sz="1000"/>
          </a:pPr>
          <a:r>
            <a:rPr lang="nb-NO" sz="1200" b="0" i="0" strike="noStrike">
              <a:solidFill>
                <a:srgbClr val="000000"/>
              </a:solidFill>
              <a:latin typeface="Times New Roman"/>
              <a:cs typeface="Times New Roman"/>
            </a:rPr>
            <a:t>Storebrand Livsforsikring</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Telenor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Tryg Forsikring (skadeselskap)</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700"/>
            </a:lnSpc>
            <a:defRPr sz="1000"/>
          </a:pPr>
          <a:r>
            <a:rPr lang="nb-NO" sz="1200" b="0" i="0" u="sng" strike="noStrike">
              <a:solidFill>
                <a:srgbClr val="000000"/>
              </a:solidFill>
              <a:latin typeface="Times New Roman"/>
              <a:cs typeface="Times New Roman"/>
            </a:rPr>
            <a:t>Produkter med investeringsvalg</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700"/>
            </a:lnSpc>
            <a:defRPr sz="1000"/>
          </a:pPr>
          <a:r>
            <a:rPr lang="nb-NO" sz="1200" b="0" i="0" strike="noStrike">
              <a:solidFill>
                <a:srgbClr val="000000"/>
              </a:solidFill>
              <a:latin typeface="Times New Roman"/>
              <a:cs typeface="Times New Roman"/>
            </a:rPr>
            <a:t>Frende</a:t>
          </a:r>
          <a:r>
            <a:rPr lang="nb-NO" sz="1200" b="0" i="0" strike="noStrike" baseline="0">
              <a:solidFill>
                <a:srgbClr val="000000"/>
              </a:solidFill>
              <a:latin typeface="Times New Roman"/>
              <a:cs typeface="Times New Roman"/>
            </a:rPr>
            <a:t> Livsforsikring</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7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 Bedriftspensjon AS</a:t>
          </a:r>
        </a:p>
        <a:p>
          <a:pPr algn="l" rtl="0">
            <a:lnSpc>
              <a:spcPts val="17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SHB Liv (utenlandsk, filial)</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Silver Pensjonsforsikring AS</a:t>
          </a:r>
        </a:p>
        <a:p>
          <a:pPr algn="l" rtl="0">
            <a:lnSpc>
              <a:spcPts val="1600"/>
            </a:lnSpc>
            <a:defRPr sz="1000"/>
          </a:pPr>
          <a:r>
            <a:rPr lang="nb-NO" sz="1200" b="0" i="0" strike="noStrike">
              <a:solidFill>
                <a:srgbClr val="000000"/>
              </a:solidFill>
              <a:latin typeface="Times New Roman"/>
              <a:cs typeface="Times New Roman"/>
            </a:rPr>
            <a:t>SpareBank 1</a:t>
          </a:r>
        </a:p>
        <a:p>
          <a:pPr algn="l" rtl="0">
            <a:lnSpc>
              <a:spcPts val="1700"/>
            </a:lnSpc>
            <a:defRPr sz="1000"/>
          </a:pPr>
          <a:r>
            <a:rPr lang="nb-NO" sz="1200" b="0" i="0" strike="noStrike">
              <a:solidFill>
                <a:srgbClr val="000000"/>
              </a:solidFill>
              <a:latin typeface="Times New Roman"/>
              <a:cs typeface="Times New Roman"/>
            </a:rPr>
            <a:t>Storebrand Livsforsikring</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Utenlandske filialer</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Disse har ikke samme krav til regnskapsføring som norske livselskaper, og rapporterer derfor kun utvalgte</a:t>
          </a:r>
          <a:r>
            <a:rPr lang="nb-NO" sz="1200" b="0" i="0" strike="noStrike" baseline="0">
              <a:solidFill>
                <a:srgbClr val="000000"/>
              </a:solidFill>
              <a:latin typeface="Times New Roman"/>
              <a:cs typeface="Times New Roman"/>
            </a:rPr>
            <a:t> poster</a:t>
          </a:r>
          <a:r>
            <a:rPr lang="nb-NO" sz="1200" b="0" i="0" strike="noStrike">
              <a:solidFill>
                <a:srgbClr val="000000"/>
              </a:solidFill>
              <a:latin typeface="Times New Roman"/>
              <a:cs typeface="Times New Roman"/>
            </a:rPr>
            <a:t>.</a:t>
          </a:r>
        </a:p>
        <a:p>
          <a:pPr algn="l" rtl="0">
            <a:lnSpc>
              <a:spcPts val="16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I figurer og tabeller har enkelte selskap "forkortede" navn.</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xdr:txBody>
    </xdr:sp>
    <xdr:clientData/>
  </xdr:twoCellAnchor>
  <xdr:twoCellAnchor>
    <xdr:from>
      <xdr:col>3</xdr:col>
      <xdr:colOff>455084</xdr:colOff>
      <xdr:row>5</xdr:row>
      <xdr:rowOff>10583</xdr:rowOff>
    </xdr:from>
    <xdr:to>
      <xdr:col>11</xdr:col>
      <xdr:colOff>349250</xdr:colOff>
      <xdr:row>29</xdr:row>
      <xdr:rowOff>63500</xdr:rowOff>
    </xdr:to>
    <xdr:sp macro="" textlink="">
      <xdr:nvSpPr>
        <xdr:cNvPr id="5" name="TekstSylinder 4">
          <a:extLst>
            <a:ext uri="{FF2B5EF4-FFF2-40B4-BE49-F238E27FC236}">
              <a16:creationId xmlns:a16="http://schemas.microsoft.com/office/drawing/2014/main" id="{00000000-0008-0000-2100-000005000000}"/>
            </a:ext>
          </a:extLst>
        </xdr:cNvPr>
        <xdr:cNvSpPr txBox="1"/>
      </xdr:nvSpPr>
      <xdr:spPr>
        <a:xfrm>
          <a:off x="12170834" y="804333"/>
          <a:ext cx="6413499" cy="828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nb-NO">
            <a:effectLst/>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Kommentarer til dataene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Generelle kommentarer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Når det nedenfor står "Endring i 20xx-tall", menes endringer i forhold til tilsvarende periode året før.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Brutto forfalt premie kan regnskapstallene (Tabell 4) være høyere enn markedstallene (Tabell 2a) fordi de kan inneholde tall for skadeforsikring og utenlandsk virksomhet.</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Overførte reserver til/fra andre i Tabell 3a inngår ikke overførte reserver som gjelder Gruppeliv. Disse vil imidlertid inngå i Tabell 4.</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Tabell 4 og 6:</a:t>
          </a:r>
          <a:endParaRPr lang="en-US"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På grunn av endringer i forskrift om årsregnskap for pensjonsforetak for regnskapsåret 2016, er oppstillingen endret i tabell 4 og 6 i forhold til tidligere statistikker. </a:t>
          </a:r>
          <a:endParaRPr lang="en-US" sz="1100">
            <a:effectLst/>
            <a:latin typeface="Times New Roman" panose="02020603050405020304" pitchFamily="18" charset="0"/>
            <a:cs typeface="Times New Roman" panose="02020603050405020304" pitchFamily="18" charset="0"/>
          </a:endParaRPr>
        </a:p>
        <a:p>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ACE European Group:</a:t>
          </a:r>
        </a:p>
        <a:p>
          <a:pPr marL="0" marR="0" lvl="0" indent="0" defTabSz="914400" eaLnBrk="1" fontAlgn="auto" latinLnBrk="0" hangingPunct="1">
            <a:lnSpc>
              <a:spcPct val="100000"/>
            </a:lnSpc>
            <a:spcBef>
              <a:spcPts val="0"/>
            </a:spcBef>
            <a:spcAft>
              <a:spcPts val="0"/>
            </a:spcAft>
            <a:buClrTx/>
            <a:buSzTx/>
            <a:buFontTx/>
            <a:buNone/>
            <a:tabLst/>
            <a:defRPr/>
          </a:pPr>
          <a:r>
            <a:rPr lang="nb-NO" sz="1100" b="0" i="0" u="none" baseline="0">
              <a:solidFill>
                <a:schemeClr val="dk1"/>
              </a:solidFill>
              <a:effectLst/>
              <a:latin typeface="Times New Roman" panose="02020603050405020304" pitchFamily="18" charset="0"/>
              <a:ea typeface="+mn-ea"/>
              <a:cs typeface="Times New Roman" panose="02020603050405020304" pitchFamily="18" charset="0"/>
            </a:rPr>
            <a:t>2016 tall:</a:t>
          </a:r>
        </a:p>
        <a:p>
          <a:pPr marL="0" marR="0" lvl="0" indent="0" defTabSz="914400" eaLnBrk="1" fontAlgn="auto" latinLnBrk="0" hangingPunct="1">
            <a:lnSpc>
              <a:spcPct val="100000"/>
            </a:lnSpc>
            <a:spcBef>
              <a:spcPts val="0"/>
            </a:spcBef>
            <a:spcAft>
              <a:spcPts val="0"/>
            </a:spcAft>
            <a:buClrTx/>
            <a:buSzTx/>
            <a:buFontTx/>
            <a:buNone/>
            <a:tabLst/>
            <a:defRPr/>
          </a:pPr>
          <a:r>
            <a:rPr lang="nb-NO" sz="1100" b="0" i="0" u="none" baseline="0">
              <a:solidFill>
                <a:schemeClr val="dk1"/>
              </a:solidFill>
              <a:effectLst/>
              <a:latin typeface="Times New Roman" panose="02020603050405020304" pitchFamily="18" charset="0"/>
              <a:ea typeface="+mn-ea"/>
              <a:cs typeface="Times New Roman" panose="02020603050405020304" pitchFamily="18" charset="0"/>
            </a:rPr>
            <a:t>Selskapet har ikke levert data for 2016</a:t>
          </a:r>
        </a:p>
        <a:p>
          <a:pPr marL="0" marR="0" lvl="0" indent="0" defTabSz="914400" eaLnBrk="1" fontAlgn="auto" latinLnBrk="0" hangingPunct="1">
            <a:lnSpc>
              <a:spcPct val="100000"/>
            </a:lnSpc>
            <a:spcBef>
              <a:spcPts val="0"/>
            </a:spcBef>
            <a:spcAft>
              <a:spcPts val="0"/>
            </a:spcAft>
            <a:buClrTx/>
            <a:buSzTx/>
            <a:buFontTx/>
            <a:buNone/>
            <a:tabLst/>
            <a:defRPr/>
          </a:pPr>
          <a:endParaRPr lang="nb-NO" sz="1100" b="0" i="0" u="none" baseline="0">
            <a:solidFill>
              <a:schemeClr val="dk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Silver Pensjonsforsikring</a:t>
          </a:r>
        </a:p>
        <a:p>
          <a:pPr marL="0" marR="0" lvl="0" indent="0" defTabSz="914400" eaLnBrk="1" fontAlgn="auto" latinLnBrk="0" hangingPunct="1">
            <a:lnSpc>
              <a:spcPct val="100000"/>
            </a:lnSpc>
            <a:spcBef>
              <a:spcPts val="0"/>
            </a:spcBef>
            <a:spcAft>
              <a:spcPts val="0"/>
            </a:spcAft>
            <a:buClrTx/>
            <a:buSzTx/>
            <a:buFontTx/>
            <a:buNone/>
            <a:tabLst/>
            <a:defRPr/>
          </a:pPr>
          <a:r>
            <a:rPr lang="nb-NO" sz="1100" b="0" i="0" u="none" baseline="0">
              <a:solidFill>
                <a:schemeClr val="dk1"/>
              </a:solidFill>
              <a:effectLst/>
              <a:latin typeface="Times New Roman" panose="02020603050405020304" pitchFamily="18" charset="0"/>
              <a:ea typeface="+mn-ea"/>
              <a:cs typeface="Times New Roman" panose="02020603050405020304" pitchFamily="18" charset="0"/>
            </a:rPr>
            <a:t>2016 tall:</a:t>
          </a:r>
          <a:endParaRPr lang="en-US" sz="1100" u="none">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0" i="0" baseline="0">
              <a:solidFill>
                <a:schemeClr val="dk1"/>
              </a:solidFill>
              <a:effectLst/>
              <a:latin typeface="Times New Roman" panose="02020603050405020304" pitchFamily="18" charset="0"/>
              <a:ea typeface="+mn-ea"/>
              <a:cs typeface="Times New Roman" panose="02020603050405020304" pitchFamily="18" charset="0"/>
            </a:rPr>
            <a:t>Selskapet har ikke levert data for 2016. </a:t>
          </a:r>
          <a:endParaRPr lang="en-US" sz="1100" u="none">
            <a:effectLst/>
            <a:latin typeface="Times New Roman" panose="02020603050405020304" pitchFamily="18" charset="0"/>
            <a:cs typeface="Times New Roman" panose="02020603050405020304" pitchFamily="18" charset="0"/>
          </a:endParaRPr>
        </a:p>
        <a:p>
          <a:endParaRPr lang="nb-NO" sz="1100" b="0" i="0" baseline="0">
            <a:solidFill>
              <a:schemeClr val="dk1"/>
            </a:solidFill>
            <a:effectLst/>
            <a:latin typeface="+mn-lt"/>
            <a:ea typeface="+mn-ea"/>
            <a:cs typeface="+mn-cs"/>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Innsamlede data</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innsamlede data er identiske med det som forekommer i statistikken.</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underliggende tallene for statistikken er med en desimal, men statistikktallene publiseres uten desimaler. </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Det betyr at sumtall i formler kan avvike fra de synlige summene.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Prosentendringer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Prosentendringer med tallverdi ≥ 1000 gjengis som enten 999 eller - 999. Sammenligner vi tall med samme fortegn, vil vi få prosentøkning når vi går fra lavere tallverdi til høyere tallverdi. Sammenligner vi tall med ulike fortegn, vil vi få prosentøkning når vi går fra negative tall til positive tall. Prosentendringer fra negative tall til 0 (null) = + 100, mens prosentendringer fra positive tall til 0 (null) = - 100. Prosentendringer fra 0 til positive eller negative tall angis ikke (---). Det samme gjelder små tallstørrelser som vises som 0.</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ile01\finansnorge\SFA\Statistikk%20og%20analyse\Fellessaker\Ny%20presentasjon%20MA\Overset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FA/Statistikk%20og%20analyse/Livstatistikk/Faste%20statistikker/MA/2016/Q4-16/Utkast%20statistikk%20MA%204%20kvartal%202016%20-%20revidert%2010.02.2017%20v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t"/>
      <sheetName val="Oppslagstabeller"/>
      <sheetName val="Oversetter"/>
    </sheetNames>
    <sheetDataSet>
      <sheetData sheetId="0"/>
      <sheetData sheetId="1">
        <row r="1">
          <cell r="A1" t="str">
            <v>selskap_id</v>
          </cell>
          <cell r="B1" t="str">
            <v>sortering</v>
          </cell>
          <cell r="C1" t="str">
            <v>2a</v>
          </cell>
          <cell r="D1" t="str">
            <v>2b</v>
          </cell>
          <cell r="E1" t="str">
            <v>3a</v>
          </cell>
          <cell r="F1" t="str">
            <v>3b</v>
          </cell>
          <cell r="G1" t="str">
            <v>selskap_navn</v>
          </cell>
        </row>
        <row r="2">
          <cell r="A2" t="str">
            <v>19</v>
          </cell>
          <cell r="B2" t="str">
            <v>01</v>
          </cell>
          <cell r="C2">
            <v>3</v>
          </cell>
          <cell r="E2">
            <v>3</v>
          </cell>
          <cell r="G2" t="str">
            <v>ACE European Group Ltd</v>
          </cell>
        </row>
        <row r="3">
          <cell r="A3" t="str">
            <v>34</v>
          </cell>
          <cell r="B3" t="str">
            <v>02</v>
          </cell>
          <cell r="C3">
            <v>7</v>
          </cell>
          <cell r="D3">
            <v>3</v>
          </cell>
          <cell r="E3">
            <v>7</v>
          </cell>
          <cell r="F3">
            <v>3</v>
          </cell>
          <cell r="G3" t="str">
            <v>Danica Pensjonsforsikring</v>
          </cell>
        </row>
        <row r="4">
          <cell r="A4" t="str">
            <v>35</v>
          </cell>
          <cell r="B4" t="str">
            <v>03</v>
          </cell>
          <cell r="C4">
            <v>11</v>
          </cell>
          <cell r="D4">
            <v>7</v>
          </cell>
          <cell r="E4">
            <v>11</v>
          </cell>
          <cell r="F4">
            <v>7</v>
          </cell>
          <cell r="G4" t="str">
            <v>DNB Livsforsikring ASA</v>
          </cell>
          <cell r="N4">
            <v>16</v>
          </cell>
        </row>
        <row r="5">
          <cell r="A5" t="str">
            <v>15</v>
          </cell>
          <cell r="B5" t="str">
            <v>04</v>
          </cell>
          <cell r="C5">
            <v>15</v>
          </cell>
          <cell r="E5">
            <v>15</v>
          </cell>
          <cell r="G5" t="str">
            <v>Eika Gruppen AS</v>
          </cell>
          <cell r="N5" t="str">
            <v>4.-kvartal-2015-markedsandeler---endelige-tall-og-regnskapsstatistikk.xlsx</v>
          </cell>
        </row>
        <row r="6">
          <cell r="A6" t="str">
            <v>36</v>
          </cell>
          <cell r="B6" t="str">
            <v>05</v>
          </cell>
          <cell r="C6">
            <v>19</v>
          </cell>
          <cell r="D6">
            <v>11</v>
          </cell>
          <cell r="E6">
            <v>19</v>
          </cell>
          <cell r="F6">
            <v>11</v>
          </cell>
          <cell r="G6" t="str">
            <v>Frende Livsforsikring AS</v>
          </cell>
        </row>
        <row r="7">
          <cell r="A7" t="str">
            <v>20</v>
          </cell>
          <cell r="B7" t="str">
            <v>06</v>
          </cell>
          <cell r="C7">
            <v>23</v>
          </cell>
          <cell r="E7">
            <v>23</v>
          </cell>
          <cell r="G7" t="str">
            <v>Frende Skadeforsikring AS</v>
          </cell>
        </row>
        <row r="8">
          <cell r="A8" t="str">
            <v>4</v>
          </cell>
          <cell r="B8" t="str">
            <v>07</v>
          </cell>
          <cell r="C8">
            <v>27</v>
          </cell>
          <cell r="E8">
            <v>27</v>
          </cell>
          <cell r="G8" t="str">
            <v>Gjensidige Forsikring ASA</v>
          </cell>
        </row>
        <row r="9">
          <cell r="A9" t="str">
            <v>37</v>
          </cell>
          <cell r="B9" t="str">
            <v>08</v>
          </cell>
          <cell r="C9">
            <v>31</v>
          </cell>
          <cell r="D9">
            <v>15</v>
          </cell>
          <cell r="E9">
            <v>31</v>
          </cell>
          <cell r="F9">
            <v>15</v>
          </cell>
          <cell r="G9" t="str">
            <v>Gjensidige Pensjon og Sparing</v>
          </cell>
        </row>
        <row r="10">
          <cell r="A10" t="str">
            <v>38</v>
          </cell>
          <cell r="B10" t="str">
            <v>09</v>
          </cell>
          <cell r="C10">
            <v>35</v>
          </cell>
          <cell r="E10">
            <v>35</v>
          </cell>
          <cell r="G10" t="str">
            <v>Handelsbanken Liv</v>
          </cell>
        </row>
        <row r="11">
          <cell r="A11" t="str">
            <v>6</v>
          </cell>
          <cell r="B11" t="str">
            <v>10</v>
          </cell>
          <cell r="C11">
            <v>39</v>
          </cell>
          <cell r="E11">
            <v>39</v>
          </cell>
          <cell r="G11" t="str">
            <v>If Skadeforsikring nuf</v>
          </cell>
        </row>
        <row r="12">
          <cell r="A12" t="str">
            <v>39</v>
          </cell>
          <cell r="B12" t="str">
            <v>11</v>
          </cell>
          <cell r="C12">
            <v>47</v>
          </cell>
          <cell r="D12">
            <v>23</v>
          </cell>
          <cell r="E12">
            <v>47</v>
          </cell>
          <cell r="F12">
            <v>23</v>
          </cell>
          <cell r="G12" t="str">
            <v>KLP Bedriftspensjon AS</v>
          </cell>
        </row>
        <row r="13">
          <cell r="A13" t="str">
            <v>5</v>
          </cell>
          <cell r="B13" t="str">
            <v>12</v>
          </cell>
          <cell r="C13">
            <v>43</v>
          </cell>
          <cell r="D13">
            <v>19</v>
          </cell>
          <cell r="E13">
            <v>43</v>
          </cell>
          <cell r="F13">
            <v>19</v>
          </cell>
          <cell r="G13" t="str">
            <v>KLP</v>
          </cell>
        </row>
        <row r="14">
          <cell r="A14" t="str">
            <v>22</v>
          </cell>
          <cell r="B14" t="str">
            <v>13</v>
          </cell>
          <cell r="C14">
            <v>55</v>
          </cell>
          <cell r="E14">
            <v>55</v>
          </cell>
          <cell r="G14" t="str">
            <v>Landbruksforsikring AS</v>
          </cell>
        </row>
        <row r="15">
          <cell r="A15" t="str">
            <v>17</v>
          </cell>
          <cell r="B15" t="str">
            <v>14</v>
          </cell>
          <cell r="C15">
            <v>59</v>
          </cell>
          <cell r="E15">
            <v>59</v>
          </cell>
          <cell r="G15" t="str">
            <v>NEMI Forsikring AS</v>
          </cell>
        </row>
        <row r="16">
          <cell r="A16" t="str">
            <v>40</v>
          </cell>
          <cell r="B16" t="str">
            <v>15</v>
          </cell>
          <cell r="C16">
            <v>63</v>
          </cell>
          <cell r="D16">
            <v>27</v>
          </cell>
          <cell r="E16">
            <v>63</v>
          </cell>
          <cell r="F16">
            <v>27</v>
          </cell>
          <cell r="G16" t="str">
            <v>Livsforsikringsselskapet Nordea Liv Norge AS</v>
          </cell>
        </row>
        <row r="17">
          <cell r="A17" t="str">
            <v>41</v>
          </cell>
          <cell r="B17" t="str">
            <v>16</v>
          </cell>
          <cell r="C17">
            <v>67</v>
          </cell>
          <cell r="E17">
            <v>67</v>
          </cell>
          <cell r="G17" t="str">
            <v>Oslo Pensjonsforsikring</v>
          </cell>
        </row>
        <row r="18">
          <cell r="A18" t="str">
            <v>43</v>
          </cell>
          <cell r="B18" t="str">
            <v>17</v>
          </cell>
          <cell r="C18">
            <v>71</v>
          </cell>
          <cell r="D18">
            <v>35</v>
          </cell>
          <cell r="E18">
            <v>71</v>
          </cell>
          <cell r="F18">
            <v>35</v>
          </cell>
          <cell r="G18" t="str">
            <v>Silver Pensjonsforsikring  AS</v>
          </cell>
        </row>
        <row r="19">
          <cell r="A19" t="str">
            <v>49</v>
          </cell>
          <cell r="B19" t="str">
            <v>18</v>
          </cell>
          <cell r="C19">
            <v>75</v>
          </cell>
          <cell r="D19">
            <v>39</v>
          </cell>
          <cell r="E19">
            <v>75</v>
          </cell>
          <cell r="F19">
            <v>39</v>
          </cell>
          <cell r="G19" t="str">
            <v>Sparebank 1 Fondsforsikring</v>
          </cell>
        </row>
        <row r="20">
          <cell r="A20" t="str">
            <v>50</v>
          </cell>
          <cell r="B20" t="str">
            <v>19</v>
          </cell>
          <cell r="C20">
            <v>79</v>
          </cell>
          <cell r="D20">
            <v>43</v>
          </cell>
          <cell r="E20">
            <v>79</v>
          </cell>
          <cell r="F20">
            <v>43</v>
          </cell>
          <cell r="G20" t="str">
            <v>Storebrand Fondsforsikring</v>
          </cell>
        </row>
        <row r="21">
          <cell r="A21" t="str">
            <v>16</v>
          </cell>
          <cell r="B21" t="str">
            <v>20</v>
          </cell>
          <cell r="C21">
            <v>83</v>
          </cell>
          <cell r="E21">
            <v>83</v>
          </cell>
          <cell r="G21" t="str">
            <v>Telenor Forsikring AS</v>
          </cell>
        </row>
        <row r="22">
          <cell r="A22" t="str">
            <v>47</v>
          </cell>
          <cell r="B22" t="str">
            <v>21</v>
          </cell>
          <cell r="G22" t="str">
            <v>TrygVesta Forsikring</v>
          </cell>
        </row>
        <row r="23">
          <cell r="A23" t="str">
            <v>8</v>
          </cell>
          <cell r="B23" t="str">
            <v>22</v>
          </cell>
          <cell r="C23">
            <v>87</v>
          </cell>
          <cell r="E23">
            <v>87</v>
          </cell>
          <cell r="G23" t="str">
            <v>Tryg Forsikring</v>
          </cell>
        </row>
        <row r="24">
          <cell r="A24" t="str">
            <v>10</v>
          </cell>
          <cell r="B24" t="str">
            <v>23</v>
          </cell>
          <cell r="G24" t="str">
            <v>SpareBank 1 Forsikring AS</v>
          </cell>
        </row>
        <row r="25">
          <cell r="A25" t="str">
            <v>32</v>
          </cell>
          <cell r="B25" t="str">
            <v>24</v>
          </cell>
          <cell r="G25" t="str">
            <v>Storebrand ASA</v>
          </cell>
        </row>
        <row r="26">
          <cell r="A26" t="str">
            <v>33</v>
          </cell>
          <cell r="B26" t="str">
            <v>25</v>
          </cell>
          <cell r="G26" t="str">
            <v>Altraplan Luxembourg</v>
          </cell>
        </row>
        <row r="27">
          <cell r="A27" t="str">
            <v>42</v>
          </cell>
          <cell r="B27" t="str">
            <v>26</v>
          </cell>
          <cell r="D27">
            <v>31</v>
          </cell>
          <cell r="F27">
            <v>31</v>
          </cell>
          <cell r="G27" t="str">
            <v>SHB Liv</v>
          </cell>
        </row>
        <row r="28">
          <cell r="A28" t="str">
            <v>44</v>
          </cell>
          <cell r="B28" t="str">
            <v>27</v>
          </cell>
          <cell r="C28">
            <v>51</v>
          </cell>
          <cell r="E28">
            <v>51</v>
          </cell>
          <cell r="G28" t="str">
            <v>KLP Skadeforsikring</v>
          </cell>
        </row>
        <row r="29">
          <cell r="A29" t="str">
            <v>45</v>
          </cell>
          <cell r="B29" t="str">
            <v>28</v>
          </cell>
          <cell r="G29" t="str">
            <v>Commercial Union International Life</v>
          </cell>
        </row>
        <row r="30">
          <cell r="A30" t="str">
            <v>46</v>
          </cell>
          <cell r="B30" t="str">
            <v>29</v>
          </cell>
          <cell r="G30" t="str">
            <v>Gjensidige NOR Spareforsikring</v>
          </cell>
        </row>
        <row r="31">
          <cell r="A31" t="str">
            <v>48</v>
          </cell>
          <cell r="B31" t="str">
            <v>30</v>
          </cell>
          <cell r="G31" t="str">
            <v>Vesta</v>
          </cell>
        </row>
        <row r="32">
          <cell r="A32" t="str">
            <v>51</v>
          </cell>
          <cell r="B32" t="str">
            <v>31</v>
          </cell>
          <cell r="G32" t="str">
            <v>Danica Link</v>
          </cell>
        </row>
        <row r="33">
          <cell r="A33" t="str">
            <v>52</v>
          </cell>
          <cell r="B33" t="str">
            <v>32</v>
          </cell>
          <cell r="G33" t="str">
            <v>Danica Fondsforsikring</v>
          </cell>
        </row>
        <row r="34">
          <cell r="A34" t="str">
            <v>53</v>
          </cell>
          <cell r="B34" t="str">
            <v>33</v>
          </cell>
          <cell r="G34" t="str">
            <v>Gjensidige NOR Fondsforsikring</v>
          </cell>
        </row>
        <row r="35">
          <cell r="A35" t="str">
            <v>54</v>
          </cell>
          <cell r="B35" t="str">
            <v>34</v>
          </cell>
          <cell r="G35" t="str">
            <v>Vital Link</v>
          </cell>
        </row>
        <row r="36">
          <cell r="A36" t="str">
            <v>55</v>
          </cell>
          <cell r="B36" t="str">
            <v>35</v>
          </cell>
          <cell r="G36" t="str">
            <v>Nordea Link</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2a"/>
      <sheetName val="Tabell 2b"/>
      <sheetName val="Tabell 3a"/>
      <sheetName val="Tabell 3b"/>
      <sheetName val="Tabell 4"/>
      <sheetName val="Tabell 5.1"/>
      <sheetName val="Tabell 5.2"/>
      <sheetName val="Tabell 5.3"/>
      <sheetName val="Tabell 6"/>
      <sheetName val="Tabell 7a"/>
      <sheetName val="Tabell 7b"/>
      <sheetName val="Tabell 8"/>
      <sheetName val="Noter og kommentarer"/>
      <sheetName val="Utkast statistikk MA 4 kvarta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I55"/>
  <sheetViews>
    <sheetView showGridLines="0" topLeftCell="A19" workbookViewId="0">
      <selection activeCell="C108" sqref="C107:C108"/>
    </sheetView>
  </sheetViews>
  <sheetFormatPr baseColWidth="10" defaultColWidth="11.42578125" defaultRowHeight="12.75" x14ac:dyDescent="0.2"/>
  <sheetData>
    <row r="1" spans="2:9" s="44" customFormat="1" x14ac:dyDescent="0.2"/>
    <row r="2" spans="2:9" s="44" customFormat="1" x14ac:dyDescent="0.2"/>
    <row r="3" spans="2:9" s="44" customFormat="1" x14ac:dyDescent="0.2"/>
    <row r="4" spans="2:9" s="44" customFormat="1" x14ac:dyDescent="0.2"/>
    <row r="5" spans="2:9" s="44" customFormat="1" x14ac:dyDescent="0.2">
      <c r="B5" s="45"/>
      <c r="C5" s="45"/>
      <c r="D5" s="45"/>
      <c r="E5" s="45"/>
      <c r="F5" s="45"/>
      <c r="G5" s="45"/>
      <c r="H5" s="45"/>
    </row>
    <row r="6" spans="2:9" s="44" customFormat="1" ht="23.25" x14ac:dyDescent="0.35">
      <c r="B6" s="46"/>
      <c r="C6" s="45"/>
      <c r="D6" s="45"/>
      <c r="E6" s="45"/>
      <c r="F6" s="45"/>
      <c r="G6" s="45"/>
      <c r="H6" s="45"/>
      <c r="I6" s="47"/>
    </row>
    <row r="7" spans="2:9" s="44" customFormat="1" x14ac:dyDescent="0.2">
      <c r="B7" s="45"/>
      <c r="C7" s="45"/>
      <c r="D7" s="45"/>
      <c r="E7" s="45"/>
      <c r="F7" s="45"/>
      <c r="G7" s="45"/>
      <c r="H7" s="45"/>
      <c r="I7" s="45"/>
    </row>
    <row r="8" spans="2:9" s="44" customFormat="1" x14ac:dyDescent="0.2">
      <c r="B8" s="45"/>
      <c r="C8" s="45"/>
      <c r="D8" s="45"/>
      <c r="F8" s="45"/>
      <c r="G8" s="45"/>
      <c r="H8" s="45"/>
    </row>
    <row r="9" spans="2:9" s="44" customFormat="1" x14ac:dyDescent="0.2">
      <c r="B9" s="45"/>
      <c r="C9" s="45"/>
      <c r="D9" s="45"/>
      <c r="E9" s="45"/>
      <c r="F9" s="45"/>
      <c r="G9" s="45"/>
      <c r="H9" s="45"/>
    </row>
    <row r="10" spans="2:9" s="44" customFormat="1" ht="23.25" x14ac:dyDescent="0.35">
      <c r="B10" s="45"/>
      <c r="C10" s="45"/>
      <c r="D10" s="45"/>
      <c r="I10" s="47"/>
    </row>
    <row r="11" spans="2:9" s="44" customFormat="1" x14ac:dyDescent="0.2">
      <c r="B11" s="45"/>
      <c r="C11" s="45"/>
      <c r="D11" s="45"/>
    </row>
    <row r="12" spans="2:9" s="44" customFormat="1" ht="27" customHeight="1" x14ac:dyDescent="0.35">
      <c r="B12" s="45"/>
      <c r="C12" s="45"/>
      <c r="D12" s="45"/>
      <c r="E12" s="45"/>
      <c r="F12" s="45"/>
      <c r="G12" s="45"/>
      <c r="H12" s="45"/>
      <c r="I12" s="47"/>
    </row>
    <row r="13" spans="2:9" s="44" customFormat="1" ht="19.5" customHeight="1" x14ac:dyDescent="0.35">
      <c r="B13" s="45"/>
      <c r="I13" s="47"/>
    </row>
    <row r="14" spans="2:9" s="44" customFormat="1" x14ac:dyDescent="0.2">
      <c r="B14" s="45"/>
      <c r="C14" s="45"/>
      <c r="D14" s="45"/>
      <c r="F14" s="45"/>
      <c r="G14" s="45"/>
      <c r="H14" s="45"/>
    </row>
    <row r="15" spans="2:9" s="44" customFormat="1" x14ac:dyDescent="0.2">
      <c r="B15" s="45"/>
      <c r="C15" s="45"/>
      <c r="D15" s="45"/>
      <c r="F15" s="45"/>
      <c r="G15" s="45"/>
      <c r="H15" s="45"/>
      <c r="I15" s="45"/>
    </row>
    <row r="16" spans="2:9" s="44" customFormat="1" ht="34.5" x14ac:dyDescent="0.45">
      <c r="B16" s="45"/>
      <c r="C16" s="45"/>
      <c r="D16" s="45"/>
      <c r="E16" s="48"/>
      <c r="F16" s="45"/>
      <c r="G16" s="45"/>
      <c r="H16" s="45"/>
      <c r="I16" s="45"/>
    </row>
    <row r="17" spans="2:9" s="44" customFormat="1" ht="33" x14ac:dyDescent="0.45">
      <c r="B17" s="45"/>
      <c r="C17" s="45"/>
      <c r="D17" s="45"/>
      <c r="E17" s="49"/>
      <c r="F17" s="45"/>
      <c r="G17" s="45"/>
      <c r="H17" s="45"/>
      <c r="I17" s="45"/>
    </row>
    <row r="18" spans="2:9" s="44" customFormat="1" ht="33" x14ac:dyDescent="0.45">
      <c r="D18" s="49"/>
    </row>
    <row r="19" spans="2:9" s="44" customFormat="1" ht="18.75" x14ac:dyDescent="0.3">
      <c r="E19" s="50"/>
      <c r="I19" s="51"/>
    </row>
    <row r="20" spans="2:9" s="44" customFormat="1" x14ac:dyDescent="0.2"/>
    <row r="21" spans="2:9" s="44" customFormat="1" x14ac:dyDescent="0.2">
      <c r="E21" s="52"/>
    </row>
    <row r="22" spans="2:9" s="44" customFormat="1" ht="26.25" x14ac:dyDescent="0.4">
      <c r="E22" s="53"/>
    </row>
    <row r="23" spans="2:9" s="44" customFormat="1" x14ac:dyDescent="0.2"/>
    <row r="24" spans="2:9" s="44" customFormat="1" x14ac:dyDescent="0.2"/>
    <row r="25" spans="2:9" s="44" customFormat="1" ht="18.75" x14ac:dyDescent="0.3">
      <c r="E25" s="54"/>
    </row>
    <row r="26" spans="2:9" s="44" customFormat="1" ht="18.75" x14ac:dyDescent="0.3">
      <c r="E26" s="55"/>
    </row>
    <row r="27" spans="2:9" s="44" customFormat="1" x14ac:dyDescent="0.2"/>
    <row r="28" spans="2:9" s="44" customFormat="1" x14ac:dyDescent="0.2"/>
    <row r="29" spans="2:9" s="44" customFormat="1" x14ac:dyDescent="0.2"/>
    <row r="30" spans="2:9" s="44" customFormat="1" x14ac:dyDescent="0.2"/>
    <row r="31" spans="2:9" s="44" customFormat="1" x14ac:dyDescent="0.2"/>
    <row r="32" spans="2:9" s="44" customFormat="1" x14ac:dyDescent="0.2"/>
    <row r="33" spans="1:9" s="44" customFormat="1" ht="35.25" x14ac:dyDescent="0.2">
      <c r="A33" s="56"/>
    </row>
    <row r="34" spans="1:9" s="44" customFormat="1" x14ac:dyDescent="0.2"/>
    <row r="35" spans="1:9" s="44" customFormat="1" x14ac:dyDescent="0.2"/>
    <row r="36" spans="1:9" s="44" customFormat="1" ht="33" x14ac:dyDescent="0.2">
      <c r="B36" s="57"/>
    </row>
    <row r="37" spans="1:9" s="44" customFormat="1" x14ac:dyDescent="0.2"/>
    <row r="38" spans="1:9" s="44" customFormat="1" x14ac:dyDescent="0.2"/>
    <row r="39" spans="1:9" s="44" customFormat="1" ht="18" x14ac:dyDescent="0.25">
      <c r="B39" s="58"/>
    </row>
    <row r="40" spans="1:9" s="44" customFormat="1" x14ac:dyDescent="0.2"/>
    <row r="41" spans="1:9" s="44" customFormat="1" ht="18.75" x14ac:dyDescent="0.3">
      <c r="I41" s="59"/>
    </row>
    <row r="42" spans="1:9" s="44" customFormat="1" x14ac:dyDescent="0.2"/>
    <row r="43" spans="1:9" s="44" customFormat="1" ht="18.75" x14ac:dyDescent="0.3">
      <c r="B43" s="810"/>
      <c r="C43" s="810"/>
      <c r="D43" s="810"/>
    </row>
    <row r="44" spans="1:9" s="44" customFormat="1" x14ac:dyDescent="0.2"/>
    <row r="45" spans="1:9" s="44" customFormat="1" x14ac:dyDescent="0.2"/>
    <row r="46" spans="1:9" s="44" customFormat="1" x14ac:dyDescent="0.2"/>
    <row r="47" spans="1:9" s="44" customFormat="1" x14ac:dyDescent="0.2"/>
    <row r="48" spans="1:9" s="44" customFormat="1" x14ac:dyDescent="0.2"/>
    <row r="49" s="44" customFormat="1" x14ac:dyDescent="0.2"/>
    <row r="50" s="44" customFormat="1" x14ac:dyDescent="0.2"/>
    <row r="51" s="44" customFormat="1" x14ac:dyDescent="0.2"/>
    <row r="52" s="44" customFormat="1" x14ac:dyDescent="0.2"/>
    <row r="53" s="44" customFormat="1" x14ac:dyDescent="0.2"/>
    <row r="54" s="44" customFormat="1" x14ac:dyDescent="0.2"/>
    <row r="55" s="44" customFormat="1" x14ac:dyDescent="0.2"/>
  </sheetData>
  <mergeCells count="1">
    <mergeCell ref="B43:D43"/>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Q176"/>
  <sheetViews>
    <sheetView showGridLines="0" zoomScale="90" zoomScaleNormal="90" workbookViewId="0">
      <selection activeCell="A4" sqref="A4"/>
    </sheetView>
  </sheetViews>
  <sheetFormatPr baseColWidth="10" defaultColWidth="11.42578125" defaultRowHeight="12.75" x14ac:dyDescent="0.2"/>
  <cols>
    <col min="1" max="1" width="41.5703125" style="143" customWidth="1"/>
    <col min="2" max="2" width="10.85546875" style="143" customWidth="1"/>
    <col min="3" max="3" width="11" style="143" customWidth="1"/>
    <col min="4" max="5" width="8.7109375" style="143" customWidth="1"/>
    <col min="6" max="7" width="10.85546875" style="143" customWidth="1"/>
    <col min="8" max="8" width="8.7109375" style="143" customWidth="1"/>
    <col min="9" max="9" width="8.140625" style="143" customWidth="1"/>
    <col min="10" max="11" width="10.85546875" style="143" customWidth="1"/>
    <col min="12" max="13" width="8.7109375" style="143" customWidth="1"/>
    <col min="14" max="14" width="11.42578125" style="143"/>
    <col min="15" max="16384" width="11.42578125" style="1"/>
  </cols>
  <sheetData>
    <row r="1" spans="1:17" x14ac:dyDescent="0.2">
      <c r="A1" s="165" t="s">
        <v>159</v>
      </c>
      <c r="B1" s="401"/>
      <c r="C1" s="245" t="s">
        <v>105</v>
      </c>
      <c r="D1" s="20"/>
      <c r="E1" s="20"/>
      <c r="F1" s="20"/>
      <c r="G1" s="20"/>
      <c r="H1" s="20"/>
      <c r="I1" s="20"/>
      <c r="J1" s="20"/>
      <c r="K1" s="20"/>
      <c r="L1" s="20"/>
      <c r="M1" s="20"/>
    </row>
    <row r="2" spans="1:17" ht="15.75" x14ac:dyDescent="0.25">
      <c r="A2" s="158" t="s">
        <v>36</v>
      </c>
      <c r="B2" s="835"/>
      <c r="C2" s="835"/>
      <c r="D2" s="835"/>
      <c r="E2" s="301"/>
      <c r="F2" s="835"/>
      <c r="G2" s="835"/>
      <c r="H2" s="835"/>
      <c r="I2" s="301"/>
      <c r="J2" s="835"/>
      <c r="K2" s="835"/>
      <c r="L2" s="835"/>
      <c r="M2" s="301"/>
    </row>
    <row r="3" spans="1:17" ht="15.75" x14ac:dyDescent="0.25">
      <c r="A3" s="156"/>
      <c r="B3" s="301"/>
      <c r="C3" s="301"/>
      <c r="D3" s="301"/>
      <c r="E3" s="301"/>
      <c r="F3" s="301"/>
      <c r="G3" s="301"/>
      <c r="H3" s="301"/>
      <c r="I3" s="301"/>
      <c r="J3" s="301"/>
      <c r="K3" s="301"/>
      <c r="L3" s="301"/>
      <c r="M3" s="301"/>
    </row>
    <row r="4" spans="1:17" x14ac:dyDescent="0.2">
      <c r="A4" s="138"/>
      <c r="B4" s="808" t="s">
        <v>0</v>
      </c>
      <c r="C4" s="802"/>
      <c r="D4" s="802"/>
      <c r="E4" s="802"/>
      <c r="F4" s="808" t="s">
        <v>1</v>
      </c>
      <c r="G4" s="802"/>
      <c r="H4" s="802"/>
      <c r="I4" s="803"/>
      <c r="J4" s="801" t="s">
        <v>2</v>
      </c>
      <c r="K4" s="802"/>
      <c r="L4" s="802"/>
      <c r="M4" s="803"/>
    </row>
    <row r="5" spans="1:17" x14ac:dyDescent="0.2">
      <c r="A5" s="151"/>
      <c r="B5" s="145" t="s">
        <v>400</v>
      </c>
      <c r="C5" s="145" t="s">
        <v>401</v>
      </c>
      <c r="D5" s="242" t="s">
        <v>3</v>
      </c>
      <c r="E5" s="307" t="s">
        <v>37</v>
      </c>
      <c r="F5" s="145" t="s">
        <v>400</v>
      </c>
      <c r="G5" s="145" t="s">
        <v>401</v>
      </c>
      <c r="H5" s="242" t="s">
        <v>3</v>
      </c>
      <c r="I5" s="307" t="s">
        <v>37</v>
      </c>
      <c r="J5" s="145" t="s">
        <v>400</v>
      </c>
      <c r="K5" s="145" t="s">
        <v>401</v>
      </c>
      <c r="L5" s="242" t="s">
        <v>3</v>
      </c>
      <c r="M5" s="155" t="s">
        <v>37</v>
      </c>
    </row>
    <row r="6" spans="1:17" x14ac:dyDescent="0.2">
      <c r="A6" s="402"/>
      <c r="B6" s="149"/>
      <c r="C6" s="149"/>
      <c r="D6" s="243" t="s">
        <v>4</v>
      </c>
      <c r="E6" s="149" t="s">
        <v>38</v>
      </c>
      <c r="F6" s="154"/>
      <c r="G6" s="154"/>
      <c r="H6" s="242" t="s">
        <v>4</v>
      </c>
      <c r="I6" s="149" t="s">
        <v>38</v>
      </c>
      <c r="J6" s="154"/>
      <c r="K6" s="154"/>
      <c r="L6" s="242" t="s">
        <v>4</v>
      </c>
      <c r="M6" s="149" t="s">
        <v>38</v>
      </c>
    </row>
    <row r="7" spans="1:17" ht="15.75" x14ac:dyDescent="0.2">
      <c r="A7" s="12" t="s">
        <v>30</v>
      </c>
      <c r="B7" s="308">
        <v>3568818</v>
      </c>
      <c r="C7" s="309">
        <v>1210524</v>
      </c>
      <c r="D7" s="251">
        <f>IF(B7=0, "    ---- ", IF(ABS(ROUND(100/B7*C7-100,1))&lt;999,ROUND(100/B7*C7-100,1),IF(ROUND(100/B7*C7-100,1)&gt;999,999,-999)))</f>
        <v>-66.099999999999994</v>
      </c>
      <c r="E7" s="170">
        <f>IFERROR(100/'Skjema total MA'!C7*C7,0)</f>
        <v>24.130216682376243</v>
      </c>
      <c r="F7" s="308">
        <v>842592</v>
      </c>
      <c r="G7" s="309">
        <v>1194584</v>
      </c>
      <c r="H7" s="251">
        <f>IF(F7=0, "    ---- ", IF(ABS(ROUND(100/F7*G7-100,1))&lt;999,ROUND(100/F7*G7-100,1),IF(ROUND(100/F7*G7-100,1)&gt;999,999,-999)))</f>
        <v>41.8</v>
      </c>
      <c r="I7" s="170">
        <f>IFERROR(100/'Skjema total MA'!F7*G7,0)</f>
        <v>13.132667205880614</v>
      </c>
      <c r="J7" s="310">
        <f t="shared" ref="J7:K15" si="0">SUM(B7,F7)</f>
        <v>4411410</v>
      </c>
      <c r="K7" s="311">
        <f t="shared" si="0"/>
        <v>2405108</v>
      </c>
      <c r="L7" s="255">
        <f>IF(J7=0, "    ---- ", IF(ABS(ROUND(100/J7*K7-100,1))&lt;999,ROUND(100/J7*K7-100,1),IF(ROUND(100/J7*K7-100,1)&gt;999,999,-999)))</f>
        <v>-45.5</v>
      </c>
      <c r="M7" s="170">
        <f>IFERROR(100/'Skjema total MA'!I7*K7,0)</f>
        <v>17.041900038437511</v>
      </c>
    </row>
    <row r="8" spans="1:17" ht="15.75" x14ac:dyDescent="0.2">
      <c r="A8" s="18" t="s">
        <v>32</v>
      </c>
      <c r="B8" s="282">
        <v>133558</v>
      </c>
      <c r="C8" s="283">
        <v>138553</v>
      </c>
      <c r="D8" s="159">
        <f t="shared" ref="D8:D15" si="1">IF(B8=0, "    ---- ", IF(ABS(ROUND(100/B8*C8-100,1))&lt;999,ROUND(100/B8*C8-100,1),IF(ROUND(100/B8*C8-100,1)&gt;999,999,-999)))</f>
        <v>3.7</v>
      </c>
      <c r="E8" s="170">
        <f>IFERROR(100/'Skjema total MA'!C8*C8,0)</f>
        <v>5.7287054664488357</v>
      </c>
      <c r="F8" s="286"/>
      <c r="G8" s="287"/>
      <c r="H8" s="159"/>
      <c r="I8" s="170"/>
      <c r="J8" s="229">
        <f t="shared" si="0"/>
        <v>133558</v>
      </c>
      <c r="K8" s="288">
        <f t="shared" si="0"/>
        <v>138553</v>
      </c>
      <c r="L8" s="256">
        <f t="shared" ref="L8:L9" si="2">IF(J8=0, "    ---- ", IF(ABS(ROUND(100/J8*K8-100,1))&lt;999,ROUND(100/J8*K8-100,1),IF(ROUND(100/J8*K8-100,1)&gt;999,999,-999)))</f>
        <v>3.7</v>
      </c>
      <c r="M8" s="170">
        <f>IFERROR(100/'Skjema total MA'!I8*K8,0)</f>
        <v>5.7287054664488357</v>
      </c>
    </row>
    <row r="9" spans="1:17" ht="15.75" x14ac:dyDescent="0.2">
      <c r="A9" s="18" t="s">
        <v>31</v>
      </c>
      <c r="B9" s="282">
        <v>65432</v>
      </c>
      <c r="C9" s="283">
        <v>60422</v>
      </c>
      <c r="D9" s="159">
        <f t="shared" si="1"/>
        <v>-7.7</v>
      </c>
      <c r="E9" s="170">
        <f>IFERROR(100/'Skjema total MA'!C9*C9,0)</f>
        <v>5.2695544719662069</v>
      </c>
      <c r="F9" s="286"/>
      <c r="G9" s="287"/>
      <c r="H9" s="159"/>
      <c r="I9" s="170"/>
      <c r="J9" s="229">
        <f t="shared" si="0"/>
        <v>65432</v>
      </c>
      <c r="K9" s="288">
        <f t="shared" si="0"/>
        <v>60422</v>
      </c>
      <c r="L9" s="256">
        <f t="shared" si="2"/>
        <v>-7.7</v>
      </c>
      <c r="M9" s="170">
        <f>IFERROR(100/'Skjema total MA'!I9*K9,0)</f>
        <v>5.2695544719662069</v>
      </c>
    </row>
    <row r="10" spans="1:17" ht="15.75" x14ac:dyDescent="0.2">
      <c r="A10" s="11" t="s">
        <v>29</v>
      </c>
      <c r="B10" s="312">
        <v>1925287</v>
      </c>
      <c r="C10" s="313">
        <v>91631</v>
      </c>
      <c r="D10" s="159">
        <f t="shared" si="1"/>
        <v>-95.2</v>
      </c>
      <c r="E10" s="170">
        <f>IFERROR(100/'Skjema total MA'!C10*C10,0)</f>
        <v>25.766529958193594</v>
      </c>
      <c r="F10" s="312">
        <v>403898</v>
      </c>
      <c r="G10" s="313">
        <v>517331.891</v>
      </c>
      <c r="H10" s="159">
        <f t="shared" ref="H10:H15" si="3">IF(F10=0, "    ---- ", IF(ABS(ROUND(100/F10*G10-100,1))&lt;999,ROUND(100/F10*G10-100,1),IF(ROUND(100/F10*G10-100,1)&gt;999,999,-999)))</f>
        <v>28.1</v>
      </c>
      <c r="I10" s="170">
        <f>IFERROR(100/'Skjema total MA'!F10*G10,0)</f>
        <v>6.7474147228192995</v>
      </c>
      <c r="J10" s="310">
        <f t="shared" si="0"/>
        <v>2329185</v>
      </c>
      <c r="K10" s="311">
        <f t="shared" si="0"/>
        <v>608962.89100000006</v>
      </c>
      <c r="L10" s="256">
        <f t="shared" ref="L10:L15" si="4">IF(J10=0, "    ---- ", IF(ABS(ROUND(100/J10*K10-100,1))&lt;999,ROUND(100/J10*K10-100,1),IF(ROUND(100/J10*K10-100,1)&gt;999,999,-999)))</f>
        <v>-73.900000000000006</v>
      </c>
      <c r="M10" s="170">
        <f>IFERROR(100/'Skjema total MA'!I10*K10,0)</f>
        <v>7.5904669198463033</v>
      </c>
    </row>
    <row r="11" spans="1:17" ht="15.75" x14ac:dyDescent="0.2">
      <c r="A11" s="18" t="s">
        <v>32</v>
      </c>
      <c r="B11" s="282">
        <v>9159</v>
      </c>
      <c r="C11" s="283">
        <v>9341</v>
      </c>
      <c r="D11" s="159">
        <f t="shared" si="1"/>
        <v>2</v>
      </c>
      <c r="E11" s="170">
        <f>IFERROR(100/'Skjema total MA'!C11*C11,0)</f>
        <v>4.8951439347500267</v>
      </c>
      <c r="F11" s="286"/>
      <c r="G11" s="287"/>
      <c r="H11" s="159"/>
      <c r="I11" s="170"/>
      <c r="J11" s="229">
        <f t="shared" si="0"/>
        <v>9159</v>
      </c>
      <c r="K11" s="288">
        <f t="shared" si="0"/>
        <v>9341</v>
      </c>
      <c r="L11" s="256">
        <f t="shared" ref="L11:L12" si="5">IF(J11=0, "    ---- ", IF(ABS(ROUND(100/J11*K11-100,1))&lt;999,ROUND(100/J11*K11-100,1),IF(ROUND(100/J11*K11-100,1)&gt;999,999,-999)))</f>
        <v>2</v>
      </c>
      <c r="M11" s="170">
        <f>IFERROR(100/'Skjema total MA'!I11*K11,0)</f>
        <v>4.8951439347500267</v>
      </c>
    </row>
    <row r="12" spans="1:17" ht="15.75" x14ac:dyDescent="0.2">
      <c r="A12" s="18" t="s">
        <v>31</v>
      </c>
      <c r="B12" s="282">
        <v>303</v>
      </c>
      <c r="C12" s="283">
        <v>257</v>
      </c>
      <c r="D12" s="159">
        <f t="shared" si="1"/>
        <v>-15.2</v>
      </c>
      <c r="E12" s="170">
        <f>IFERROR(100/'Skjema total MA'!C12*C12,0)</f>
        <v>0.40576923062825826</v>
      </c>
      <c r="F12" s="286"/>
      <c r="G12" s="287"/>
      <c r="H12" s="159"/>
      <c r="I12" s="170"/>
      <c r="J12" s="229">
        <f t="shared" si="0"/>
        <v>303</v>
      </c>
      <c r="K12" s="288">
        <f t="shared" si="0"/>
        <v>257</v>
      </c>
      <c r="L12" s="256">
        <f t="shared" si="5"/>
        <v>-15.2</v>
      </c>
      <c r="M12" s="170">
        <f>IFERROR(100/'Skjema total MA'!I12*K12,0)</f>
        <v>0.40576923062825826</v>
      </c>
    </row>
    <row r="13" spans="1:17" ht="15.75" x14ac:dyDescent="0.2">
      <c r="A13" s="11" t="s">
        <v>28</v>
      </c>
      <c r="B13" s="312">
        <v>18772256</v>
      </c>
      <c r="C13" s="313">
        <v>17435923</v>
      </c>
      <c r="D13" s="159">
        <f t="shared" si="1"/>
        <v>-7.1</v>
      </c>
      <c r="E13" s="170">
        <f>IFERROR(100/'Skjema total MA'!C13*C13,0)</f>
        <v>67.413831658842071</v>
      </c>
      <c r="F13" s="312">
        <v>4265795</v>
      </c>
      <c r="G13" s="313">
        <v>5213616</v>
      </c>
      <c r="H13" s="159">
        <f t="shared" si="3"/>
        <v>22.2</v>
      </c>
      <c r="I13" s="170">
        <f>IFERROR(100/'Skjema total MA'!F13*G13,0)</f>
        <v>15.742277275450254</v>
      </c>
      <c r="J13" s="310">
        <f t="shared" si="0"/>
        <v>23038051</v>
      </c>
      <c r="K13" s="311">
        <f t="shared" si="0"/>
        <v>22649539</v>
      </c>
      <c r="L13" s="256">
        <f t="shared" si="4"/>
        <v>-1.7</v>
      </c>
      <c r="M13" s="170">
        <f>IFERROR(100/'Skjema total MA'!I13*K13,0)</f>
        <v>38.4003889164415</v>
      </c>
      <c r="Q13" s="143"/>
    </row>
    <row r="14" spans="1:17" s="36" customFormat="1" ht="15.75" x14ac:dyDescent="0.2">
      <c r="A14" s="11" t="s">
        <v>27</v>
      </c>
      <c r="B14" s="312">
        <v>103371</v>
      </c>
      <c r="C14" s="313">
        <v>81436</v>
      </c>
      <c r="D14" s="159">
        <f t="shared" si="1"/>
        <v>-21.2</v>
      </c>
      <c r="E14" s="170">
        <f>IFERROR(100/'Skjema total MA'!C14*C14,0)</f>
        <v>100</v>
      </c>
      <c r="F14" s="312">
        <v>52322</v>
      </c>
      <c r="G14" s="313">
        <v>67926</v>
      </c>
      <c r="H14" s="159">
        <f t="shared" si="3"/>
        <v>29.8</v>
      </c>
      <c r="I14" s="170">
        <f>IFERROR(100/'Skjema total MA'!F14*G14,0)</f>
        <v>14.921508528465647</v>
      </c>
      <c r="J14" s="310">
        <f t="shared" si="0"/>
        <v>155693</v>
      </c>
      <c r="K14" s="311">
        <f t="shared" si="0"/>
        <v>149362</v>
      </c>
      <c r="L14" s="256">
        <f t="shared" si="4"/>
        <v>-4.0999999999999996</v>
      </c>
      <c r="M14" s="170">
        <f>IFERROR(100/'Skjema total MA'!I14*K14,0)</f>
        <v>27.831874399506717</v>
      </c>
      <c r="N14" s="137"/>
    </row>
    <row r="15" spans="1:17" s="36" customFormat="1" ht="15.75" x14ac:dyDescent="0.2">
      <c r="A15" s="34" t="s">
        <v>26</v>
      </c>
      <c r="B15" s="314">
        <v>50951</v>
      </c>
      <c r="C15" s="315">
        <v>41581</v>
      </c>
      <c r="D15" s="160">
        <f t="shared" si="1"/>
        <v>-18.399999999999999</v>
      </c>
      <c r="E15" s="160">
        <f>IFERROR(100/'Skjema total MA'!C15*C15,0)</f>
        <v>99.808595720676536</v>
      </c>
      <c r="F15" s="314">
        <v>48543</v>
      </c>
      <c r="G15" s="315">
        <v>43458</v>
      </c>
      <c r="H15" s="160">
        <f t="shared" si="3"/>
        <v>-10.5</v>
      </c>
      <c r="I15" s="160">
        <f>IFERROR(100/'Skjema total MA'!F15*G15,0)</f>
        <v>25.428307199499343</v>
      </c>
      <c r="J15" s="316">
        <f t="shared" si="0"/>
        <v>99494</v>
      </c>
      <c r="K15" s="317">
        <f t="shared" si="0"/>
        <v>85039</v>
      </c>
      <c r="L15" s="257">
        <f t="shared" si="4"/>
        <v>-14.5</v>
      </c>
      <c r="M15" s="160">
        <f>IFERROR(100/'Skjema total MA'!I15*K15,0)</f>
        <v>40.006160287238764</v>
      </c>
      <c r="N15" s="137"/>
      <c r="Q15" s="137"/>
    </row>
    <row r="16" spans="1:17" s="36" customFormat="1" x14ac:dyDescent="0.2">
      <c r="A16" s="161"/>
      <c r="B16" s="139"/>
      <c r="C16" s="27"/>
      <c r="D16" s="152"/>
      <c r="E16" s="152"/>
      <c r="F16" s="139"/>
      <c r="G16" s="27"/>
      <c r="H16" s="152"/>
      <c r="I16" s="152"/>
      <c r="J16" s="41"/>
      <c r="K16" s="41"/>
      <c r="L16" s="152"/>
      <c r="M16" s="152"/>
      <c r="N16" s="137"/>
    </row>
    <row r="17" spans="1:14" x14ac:dyDescent="0.2">
      <c r="A17" s="146" t="s">
        <v>307</v>
      </c>
      <c r="B17" s="20"/>
    </row>
    <row r="18" spans="1:14" x14ac:dyDescent="0.2">
      <c r="F18" s="140"/>
      <c r="G18" s="140"/>
      <c r="H18" s="140"/>
      <c r="I18" s="140"/>
      <c r="J18" s="140"/>
      <c r="K18" s="140"/>
      <c r="L18" s="140"/>
      <c r="M18" s="140"/>
    </row>
    <row r="19" spans="1:14" s="3" customFormat="1" ht="15.75" x14ac:dyDescent="0.25">
      <c r="A19" s="157"/>
      <c r="B19" s="142"/>
      <c r="C19" s="147"/>
      <c r="D19" s="147"/>
      <c r="E19" s="147"/>
      <c r="F19" s="147"/>
      <c r="G19" s="147"/>
      <c r="H19" s="147"/>
      <c r="I19" s="147"/>
      <c r="J19" s="147"/>
      <c r="K19" s="147"/>
      <c r="L19" s="147"/>
      <c r="M19" s="147"/>
      <c r="N19" s="142"/>
    </row>
    <row r="20" spans="1:14" ht="15.75" x14ac:dyDescent="0.25">
      <c r="A20" s="141" t="s">
        <v>304</v>
      </c>
      <c r="B20" s="150"/>
      <c r="C20" s="150"/>
      <c r="D20" s="144"/>
      <c r="E20" s="144"/>
      <c r="F20" s="150"/>
      <c r="G20" s="150"/>
      <c r="H20" s="150"/>
      <c r="I20" s="150"/>
      <c r="J20" s="150"/>
      <c r="K20" s="150"/>
      <c r="L20" s="150"/>
      <c r="M20" s="150"/>
    </row>
    <row r="21" spans="1:14" ht="15.75" x14ac:dyDescent="0.25">
      <c r="B21" s="832"/>
      <c r="C21" s="832"/>
      <c r="D21" s="832"/>
      <c r="E21" s="301"/>
      <c r="F21" s="832"/>
      <c r="G21" s="832"/>
      <c r="H21" s="832"/>
      <c r="I21" s="301"/>
      <c r="J21" s="832"/>
      <c r="K21" s="832"/>
      <c r="L21" s="832"/>
      <c r="M21" s="301"/>
    </row>
    <row r="22" spans="1:14" x14ac:dyDescent="0.2">
      <c r="A22" s="138"/>
      <c r="B22" s="833" t="s">
        <v>0</v>
      </c>
      <c r="C22" s="834"/>
      <c r="D22" s="834"/>
      <c r="E22" s="303"/>
      <c r="F22" s="833" t="s">
        <v>1</v>
      </c>
      <c r="G22" s="834"/>
      <c r="H22" s="834"/>
      <c r="I22" s="306"/>
      <c r="J22" s="833" t="s">
        <v>2</v>
      </c>
      <c r="K22" s="834"/>
      <c r="L22" s="834"/>
      <c r="M22" s="306"/>
    </row>
    <row r="23" spans="1:14" x14ac:dyDescent="0.2">
      <c r="A23" s="134" t="s">
        <v>5</v>
      </c>
      <c r="B23" s="145" t="s">
        <v>400</v>
      </c>
      <c r="C23" s="145" t="s">
        <v>401</v>
      </c>
      <c r="D23" s="242" t="s">
        <v>3</v>
      </c>
      <c r="E23" s="307" t="s">
        <v>37</v>
      </c>
      <c r="F23" s="145" t="s">
        <v>400</v>
      </c>
      <c r="G23" s="145" t="s">
        <v>401</v>
      </c>
      <c r="H23" s="242" t="s">
        <v>3</v>
      </c>
      <c r="I23" s="307" t="s">
        <v>37</v>
      </c>
      <c r="J23" s="145" t="s">
        <v>400</v>
      </c>
      <c r="K23" s="145" t="s">
        <v>401</v>
      </c>
      <c r="L23" s="242" t="s">
        <v>3</v>
      </c>
      <c r="M23" s="155" t="s">
        <v>37</v>
      </c>
    </row>
    <row r="24" spans="1:14" x14ac:dyDescent="0.2">
      <c r="A24" s="403"/>
      <c r="B24" s="149"/>
      <c r="C24" s="149"/>
      <c r="D24" s="243" t="s">
        <v>4</v>
      </c>
      <c r="E24" s="149" t="s">
        <v>38</v>
      </c>
      <c r="F24" s="154"/>
      <c r="G24" s="154"/>
      <c r="H24" s="242" t="s">
        <v>4</v>
      </c>
      <c r="I24" s="149" t="s">
        <v>38</v>
      </c>
      <c r="J24" s="154"/>
      <c r="K24" s="154"/>
      <c r="L24" s="149" t="s">
        <v>4</v>
      </c>
      <c r="M24" s="149" t="s">
        <v>38</v>
      </c>
    </row>
    <row r="25" spans="1:14" ht="15.75" x14ac:dyDescent="0.2">
      <c r="A25" s="12" t="s">
        <v>30</v>
      </c>
      <c r="B25" s="318">
        <v>445087</v>
      </c>
      <c r="C25" s="319">
        <v>430236</v>
      </c>
      <c r="D25" s="251">
        <f t="shared" ref="D25:D46" si="6">IF(B25=0, "    ---- ", IF(ABS(ROUND(100/B25*C25-100,1))&lt;999,ROUND(100/B25*C25-100,1),IF(ROUND(100/B25*C25-100,1)&gt;999,999,-999)))</f>
        <v>-3.3</v>
      </c>
      <c r="E25" s="170">
        <f>IFERROR(100/'Skjema total MA'!C25*C25,0)</f>
        <v>29.972559844932825</v>
      </c>
      <c r="F25" s="320">
        <v>162028</v>
      </c>
      <c r="G25" s="319">
        <v>124496</v>
      </c>
      <c r="H25" s="251">
        <f t="shared" ref="H25:H41" si="7">IF(F25=0, "    ---- ", IF(ABS(ROUND(100/F25*G25-100,1))&lt;999,ROUND(100/F25*G25-100,1),IF(ROUND(100/F25*G25-100,1)&gt;999,999,-999)))</f>
        <v>-23.2</v>
      </c>
      <c r="I25" s="170">
        <f>IFERROR(100/'Skjema total MA'!F25*G25,0)</f>
        <v>31.232659880728637</v>
      </c>
      <c r="J25" s="318">
        <f t="shared" ref="J25:K41" si="8">SUM(B25,F25)</f>
        <v>607115</v>
      </c>
      <c r="K25" s="318">
        <f t="shared" si="8"/>
        <v>554732</v>
      </c>
      <c r="L25" s="255">
        <f t="shared" ref="L25:L41" si="9">IF(J25=0, "    ---- ", IF(ABS(ROUND(100/J25*K25-100,1))&lt;999,ROUND(100/J25*K25-100,1),IF(ROUND(100/J25*K25-100,1)&gt;999,999,-999)))</f>
        <v>-8.6</v>
      </c>
      <c r="M25" s="159">
        <f>IFERROR(100/'Skjema total MA'!I25*K25,0)</f>
        <v>30.246428501536684</v>
      </c>
    </row>
    <row r="26" spans="1:14" ht="15.75" x14ac:dyDescent="0.2">
      <c r="A26" s="298" t="s">
        <v>318</v>
      </c>
      <c r="B26" s="291">
        <v>324980</v>
      </c>
      <c r="C26" s="291">
        <v>314072</v>
      </c>
      <c r="D26" s="159">
        <f t="shared" si="6"/>
        <v>-3.4</v>
      </c>
      <c r="E26" s="170">
        <f>IFERROR(100/'Skjema total MA'!C26*C26,0)</f>
        <v>24.171907594235613</v>
      </c>
      <c r="F26" s="291">
        <v>140563</v>
      </c>
      <c r="G26" s="291">
        <v>103208</v>
      </c>
      <c r="H26" s="159">
        <f t="shared" si="7"/>
        <v>-26.6</v>
      </c>
      <c r="I26" s="237">
        <f>IFERROR(100/'Skjema total MA'!F26*G26,0)</f>
        <v>65.274462206145259</v>
      </c>
      <c r="J26" s="37">
        <f t="shared" ref="J26:J29" si="10">SUM(B26,F26)</f>
        <v>465543</v>
      </c>
      <c r="K26" s="37">
        <f t="shared" ref="K26:K29" si="11">SUM(C26,G26)</f>
        <v>417280</v>
      </c>
      <c r="L26" s="256">
        <f t="shared" si="9"/>
        <v>-10.4</v>
      </c>
      <c r="M26" s="159">
        <f>IFERROR(100/'Skjema total MA'!I26*K26,0)</f>
        <v>28.631016415942771</v>
      </c>
    </row>
    <row r="27" spans="1:14" ht="15.75" x14ac:dyDescent="0.2">
      <c r="A27" s="298" t="s">
        <v>319</v>
      </c>
      <c r="B27" s="291"/>
      <c r="C27" s="291"/>
      <c r="D27" s="159"/>
      <c r="E27" s="237"/>
      <c r="F27" s="291">
        <v>359</v>
      </c>
      <c r="G27" s="291">
        <v>38</v>
      </c>
      <c r="H27" s="159">
        <f t="shared" si="7"/>
        <v>-89.4</v>
      </c>
      <c r="I27" s="237">
        <f>IFERROR(100/'Skjema total MA'!F27*G27,0)</f>
        <v>0.59919877662531884</v>
      </c>
      <c r="J27" s="37">
        <f t="shared" si="10"/>
        <v>359</v>
      </c>
      <c r="K27" s="37">
        <f t="shared" si="11"/>
        <v>38</v>
      </c>
      <c r="L27" s="256">
        <f t="shared" si="9"/>
        <v>-89.4</v>
      </c>
      <c r="M27" s="159">
        <f>IFERROR(100/'Skjema total MA'!I27*K27,0)</f>
        <v>0.14796928168025023</v>
      </c>
    </row>
    <row r="28" spans="1:14" ht="15.75" x14ac:dyDescent="0.2">
      <c r="A28" s="298" t="s">
        <v>320</v>
      </c>
      <c r="B28" s="291">
        <v>120107</v>
      </c>
      <c r="C28" s="291">
        <v>116164</v>
      </c>
      <c r="D28" s="159">
        <f t="shared" si="6"/>
        <v>-3.3</v>
      </c>
      <c r="E28" s="170">
        <f>IFERROR(100/'Skjema total MA'!C28*C28,0)</f>
        <v>99.483373976864243</v>
      </c>
      <c r="F28" s="291">
        <v>21106</v>
      </c>
      <c r="G28" s="291">
        <v>21250</v>
      </c>
      <c r="H28" s="159">
        <f t="shared" si="7"/>
        <v>0.7</v>
      </c>
      <c r="I28" s="237">
        <f>IFERROR(100/'Skjema total MA'!F28*G28,0)</f>
        <v>9.0752753084528788</v>
      </c>
      <c r="J28" s="37">
        <f t="shared" si="10"/>
        <v>141213</v>
      </c>
      <c r="K28" s="37">
        <f t="shared" si="11"/>
        <v>137414</v>
      </c>
      <c r="L28" s="256">
        <f t="shared" si="9"/>
        <v>-2.7</v>
      </c>
      <c r="M28" s="159">
        <f>IFERROR(100/'Skjema total MA'!I28*K28,0)</f>
        <v>39.158220942121751</v>
      </c>
    </row>
    <row r="29" spans="1:14" x14ac:dyDescent="0.2">
      <c r="A29" s="298" t="s">
        <v>11</v>
      </c>
      <c r="B29" s="291">
        <v>44439.59</v>
      </c>
      <c r="C29" s="291">
        <v>0</v>
      </c>
      <c r="D29" s="159">
        <f t="shared" si="6"/>
        <v>-100</v>
      </c>
      <c r="E29" s="170">
        <f>IFERROR(100/'Skjema total MA'!C29*C29,0)</f>
        <v>0</v>
      </c>
      <c r="F29" s="291"/>
      <c r="G29" s="291"/>
      <c r="H29" s="159"/>
      <c r="I29" s="237"/>
      <c r="J29" s="37">
        <f t="shared" si="10"/>
        <v>44439.59</v>
      </c>
      <c r="K29" s="37">
        <f t="shared" si="11"/>
        <v>0</v>
      </c>
      <c r="L29" s="256">
        <f t="shared" si="9"/>
        <v>-100</v>
      </c>
      <c r="M29" s="159">
        <f>IFERROR(100/'Skjema total MA'!I29*K29,0)</f>
        <v>0</v>
      </c>
    </row>
    <row r="30" spans="1:14" ht="15.75" x14ac:dyDescent="0.2">
      <c r="A30" s="42" t="s">
        <v>308</v>
      </c>
      <c r="B30" s="37">
        <v>185671</v>
      </c>
      <c r="C30" s="288">
        <v>189234</v>
      </c>
      <c r="D30" s="159">
        <f t="shared" si="6"/>
        <v>1.9</v>
      </c>
      <c r="E30" s="170">
        <f>IFERROR(100/'Skjema total MA'!C30*C30,0)</f>
        <v>12.662757317846536</v>
      </c>
      <c r="F30" s="229"/>
      <c r="G30" s="288"/>
      <c r="H30" s="159"/>
      <c r="I30" s="170"/>
      <c r="J30" s="37">
        <f t="shared" si="8"/>
        <v>185671</v>
      </c>
      <c r="K30" s="37">
        <f t="shared" si="8"/>
        <v>189234</v>
      </c>
      <c r="L30" s="256">
        <f t="shared" si="9"/>
        <v>1.9</v>
      </c>
      <c r="M30" s="159">
        <f>IFERROR(100/'Skjema total MA'!I30*K30,0)</f>
        <v>12.662757317846536</v>
      </c>
    </row>
    <row r="31" spans="1:14" ht="15.75" x14ac:dyDescent="0.2">
      <c r="A31" s="11" t="s">
        <v>29</v>
      </c>
      <c r="B31" s="231">
        <v>121336</v>
      </c>
      <c r="C31" s="231">
        <v>112419</v>
      </c>
      <c r="D31" s="159">
        <f t="shared" si="6"/>
        <v>-7.3</v>
      </c>
      <c r="E31" s="170">
        <f>IFERROR(100/'Skjema total MA'!C31*C31,0)</f>
        <v>42.676382363631362</v>
      </c>
      <c r="F31" s="310">
        <v>424.66399999999999</v>
      </c>
      <c r="G31" s="310">
        <v>331</v>
      </c>
      <c r="H31" s="159">
        <f t="shared" si="7"/>
        <v>-22.1</v>
      </c>
      <c r="I31" s="170">
        <f>IFERROR(100/'Skjema total MA'!F31*G31,0)</f>
        <v>2.5511032159921605</v>
      </c>
      <c r="J31" s="231">
        <f t="shared" si="8"/>
        <v>121760.664</v>
      </c>
      <c r="K31" s="231">
        <f t="shared" si="8"/>
        <v>112750</v>
      </c>
      <c r="L31" s="256">
        <f t="shared" si="9"/>
        <v>-7.4</v>
      </c>
      <c r="M31" s="159">
        <f>IFERROR(100/'Skjema total MA'!I31*K31,0)</f>
        <v>40.792798422666074</v>
      </c>
    </row>
    <row r="32" spans="1:14" ht="15.75" x14ac:dyDescent="0.2">
      <c r="A32" s="298" t="s">
        <v>318</v>
      </c>
      <c r="B32" s="291">
        <v>121183</v>
      </c>
      <c r="C32" s="291">
        <v>112419</v>
      </c>
      <c r="D32" s="159">
        <f t="shared" si="6"/>
        <v>-7.2</v>
      </c>
      <c r="E32" s="170">
        <f>IFERROR(100/'Skjema total MA'!C32*C32,0)</f>
        <v>42.676382363631348</v>
      </c>
      <c r="F32" s="291">
        <v>237.476</v>
      </c>
      <c r="G32" s="291">
        <v>0</v>
      </c>
      <c r="H32" s="159">
        <f t="shared" si="7"/>
        <v>-100</v>
      </c>
      <c r="I32" s="237">
        <f>IFERROR(100/'Skjema total MA'!F32*G32,0)</f>
        <v>0</v>
      </c>
      <c r="J32" s="37">
        <f t="shared" ref="J32:J33" si="12">SUM(B32,F32)</f>
        <v>121420.476</v>
      </c>
      <c r="K32" s="37">
        <f t="shared" ref="K32:K33" si="13">SUM(C32,G32)</f>
        <v>112419</v>
      </c>
      <c r="L32" s="256">
        <f t="shared" si="9"/>
        <v>-7.4</v>
      </c>
      <c r="M32" s="159">
        <f>IFERROR(100/'Skjema total MA'!I32*K32,0)</f>
        <v>42.552805402227769</v>
      </c>
    </row>
    <row r="33" spans="1:14" ht="15.75" x14ac:dyDescent="0.2">
      <c r="A33" s="298" t="s">
        <v>320</v>
      </c>
      <c r="B33" s="291">
        <v>153</v>
      </c>
      <c r="C33" s="291">
        <v>0</v>
      </c>
      <c r="D33" s="159">
        <f t="shared" si="6"/>
        <v>-100</v>
      </c>
      <c r="E33" s="170">
        <f>IFERROR(100/'Skjema total MA'!C33*C33,0)</f>
        <v>0</v>
      </c>
      <c r="F33" s="291">
        <v>187.18799999999999</v>
      </c>
      <c r="G33" s="291">
        <v>331</v>
      </c>
      <c r="H33" s="159">
        <f t="shared" si="7"/>
        <v>76.8</v>
      </c>
      <c r="I33" s="237">
        <f>IFERROR(100/'Skjema total MA'!F33*G33,0)</f>
        <v>2.7109418164620434</v>
      </c>
      <c r="J33" s="37">
        <f t="shared" si="12"/>
        <v>340.18799999999999</v>
      </c>
      <c r="K33" s="37">
        <f t="shared" si="13"/>
        <v>331</v>
      </c>
      <c r="L33" s="256">
        <f t="shared" si="9"/>
        <v>-2.7</v>
      </c>
      <c r="M33" s="159">
        <f>IFERROR(100/'Skjema total MA'!I33*K33,0)</f>
        <v>2.7109418164620434</v>
      </c>
    </row>
    <row r="34" spans="1:14" s="21" customFormat="1" x14ac:dyDescent="0.2">
      <c r="A34" s="298" t="s">
        <v>16</v>
      </c>
      <c r="B34" s="291"/>
      <c r="C34" s="291"/>
      <c r="D34" s="159"/>
      <c r="E34" s="237"/>
      <c r="F34" s="291"/>
      <c r="G34" s="291"/>
      <c r="H34" s="159"/>
      <c r="I34" s="237"/>
      <c r="J34" s="291"/>
      <c r="K34" s="291"/>
      <c r="L34" s="159"/>
      <c r="M34" s="159"/>
      <c r="N34" s="166"/>
    </row>
    <row r="35" spans="1:14" ht="15.75" x14ac:dyDescent="0.2">
      <c r="A35" s="42" t="s">
        <v>308</v>
      </c>
      <c r="B35" s="37">
        <v>10750</v>
      </c>
      <c r="C35" s="288">
        <v>12136</v>
      </c>
      <c r="D35" s="159">
        <f t="shared" si="6"/>
        <v>12.9</v>
      </c>
      <c r="E35" s="170">
        <f>IFERROR(100/'Skjema total MA'!C35*C35,0)</f>
        <v>6.4699429758366565</v>
      </c>
      <c r="F35" s="229"/>
      <c r="G35" s="288"/>
      <c r="H35" s="159"/>
      <c r="I35" s="170"/>
      <c r="J35" s="37">
        <f t="shared" si="8"/>
        <v>10750</v>
      </c>
      <c r="K35" s="37">
        <f t="shared" si="8"/>
        <v>12136</v>
      </c>
      <c r="L35" s="256">
        <f t="shared" si="9"/>
        <v>12.9</v>
      </c>
      <c r="M35" s="159">
        <f>IFERROR(100/'Skjema total MA'!I35*K35,0)</f>
        <v>6.4699429758366565</v>
      </c>
    </row>
    <row r="36" spans="1:14" s="3" customFormat="1" ht="15.75" x14ac:dyDescent="0.2">
      <c r="A36" s="11" t="s">
        <v>28</v>
      </c>
      <c r="B36" s="231">
        <v>29654216</v>
      </c>
      <c r="C36" s="311">
        <v>28414232</v>
      </c>
      <c r="D36" s="159">
        <f t="shared" si="6"/>
        <v>-4.2</v>
      </c>
      <c r="E36" s="170">
        <f>IFERROR(100/'Skjema total MA'!C36*C36,0)</f>
        <v>56.18911796133569</v>
      </c>
      <c r="F36" s="310">
        <v>5800359</v>
      </c>
      <c r="G36" s="311">
        <v>5589745</v>
      </c>
      <c r="H36" s="159">
        <f t="shared" si="7"/>
        <v>-3.6</v>
      </c>
      <c r="I36" s="170">
        <f>IFERROR(100/'Skjema total MA'!F36*G36,0)</f>
        <v>29.244700627995421</v>
      </c>
      <c r="J36" s="231">
        <f t="shared" si="8"/>
        <v>35454575</v>
      </c>
      <c r="K36" s="231">
        <f t="shared" si="8"/>
        <v>34003977</v>
      </c>
      <c r="L36" s="256">
        <f t="shared" si="9"/>
        <v>-4.0999999999999996</v>
      </c>
      <c r="M36" s="159">
        <f>IFERROR(100/'Skjema total MA'!I36*K36,0)</f>
        <v>48.798357846431351</v>
      </c>
      <c r="N36" s="142"/>
    </row>
    <row r="37" spans="1:14" s="3" customFormat="1" ht="15.75" x14ac:dyDescent="0.2">
      <c r="A37" s="298" t="s">
        <v>318</v>
      </c>
      <c r="B37" s="291">
        <v>6403123</v>
      </c>
      <c r="C37" s="291">
        <v>6135378</v>
      </c>
      <c r="D37" s="159">
        <f t="shared" si="6"/>
        <v>-4.2</v>
      </c>
      <c r="E37" s="170">
        <f>IFERROR(100/'Skjema total MA'!C37*C37,0)</f>
        <v>47.67487462348798</v>
      </c>
      <c r="F37" s="291">
        <v>1753320</v>
      </c>
      <c r="G37" s="291">
        <v>1744227</v>
      </c>
      <c r="H37" s="159">
        <f t="shared" si="7"/>
        <v>-0.5</v>
      </c>
      <c r="I37" s="237">
        <f>IFERROR(100/'Skjema total MA'!F37*G37,0)</f>
        <v>40.64993751352781</v>
      </c>
      <c r="J37" s="37">
        <f t="shared" ref="J37:J39" si="14">SUM(B37,F37)</f>
        <v>8156443</v>
      </c>
      <c r="K37" s="37">
        <f t="shared" ref="K37:K39" si="15">SUM(C37,G37)</f>
        <v>7879605</v>
      </c>
      <c r="L37" s="159">
        <f t="shared" si="9"/>
        <v>-3.4</v>
      </c>
      <c r="M37" s="159">
        <f>IFERROR(100/'Skjema total MA'!I37*K37,0)</f>
        <v>45.918298781336638</v>
      </c>
      <c r="N37" s="142"/>
    </row>
    <row r="38" spans="1:14" s="3" customFormat="1" ht="15.75" x14ac:dyDescent="0.2">
      <c r="A38" s="298" t="s">
        <v>319</v>
      </c>
      <c r="B38" s="291">
        <v>22125822</v>
      </c>
      <c r="C38" s="291">
        <v>21200636</v>
      </c>
      <c r="D38" s="159">
        <f t="shared" si="6"/>
        <v>-4.2</v>
      </c>
      <c r="E38" s="170">
        <f>IFERROR(100/'Skjema total MA'!C38*C38,0)</f>
        <v>58.326858148634486</v>
      </c>
      <c r="F38" s="291">
        <v>3765328</v>
      </c>
      <c r="G38" s="291">
        <v>3521717</v>
      </c>
      <c r="H38" s="159">
        <f t="shared" si="7"/>
        <v>-6.5</v>
      </c>
      <c r="I38" s="237">
        <f>IFERROR(100/'Skjema total MA'!F38*G38,0)</f>
        <v>30.927448170864569</v>
      </c>
      <c r="J38" s="37">
        <f t="shared" si="14"/>
        <v>25891150</v>
      </c>
      <c r="K38" s="37">
        <f t="shared" si="15"/>
        <v>24722353</v>
      </c>
      <c r="L38" s="159">
        <f t="shared" ref="L38" si="16">IF(J38=0, "    ---- ", IF(ABS(ROUND(100/J38*K38-100,1))&lt;999,ROUND(100/J38*K38-100,1),IF(ROUND(100/J38*K38-100,1)&gt;999,999,-999)))</f>
        <v>-4.5</v>
      </c>
      <c r="M38" s="159">
        <f>IFERROR(100/'Skjema total MA'!I38*K38,0)</f>
        <v>51.790820235310001</v>
      </c>
      <c r="N38" s="142"/>
    </row>
    <row r="39" spans="1:14" ht="15.75" x14ac:dyDescent="0.2">
      <c r="A39" s="298" t="s">
        <v>320</v>
      </c>
      <c r="B39" s="291">
        <v>1125271</v>
      </c>
      <c r="C39" s="291">
        <v>1078218</v>
      </c>
      <c r="D39" s="159">
        <f t="shared" si="6"/>
        <v>-4.2</v>
      </c>
      <c r="E39" s="170">
        <f>IFERROR(100/'Skjema total MA'!C39*C39,0)</f>
        <v>79.765496787041059</v>
      </c>
      <c r="F39" s="291">
        <v>281711</v>
      </c>
      <c r="G39" s="291">
        <v>323801</v>
      </c>
      <c r="H39" s="159">
        <f t="shared" si="7"/>
        <v>14.9</v>
      </c>
      <c r="I39" s="237">
        <f>IFERROR(100/'Skjema total MA'!F39*G39,0)</f>
        <v>9.4242523978034587</v>
      </c>
      <c r="J39" s="37">
        <f t="shared" si="14"/>
        <v>1406982</v>
      </c>
      <c r="K39" s="37">
        <f t="shared" si="15"/>
        <v>1402019</v>
      </c>
      <c r="L39" s="159">
        <f t="shared" ref="L39" si="17">IF(J39=0, "    ---- ", IF(ABS(ROUND(100/J39*K39-100,1))&lt;999,ROUND(100/J39*K39-100,1),IF(ROUND(100/J39*K39-100,1)&gt;999,999,-999)))</f>
        <v>-0.4</v>
      </c>
      <c r="M39" s="159">
        <f>IFERROR(100/'Skjema total MA'!I39*K39,0)</f>
        <v>29.28461452537487</v>
      </c>
    </row>
    <row r="40" spans="1:14" ht="15.75" x14ac:dyDescent="0.2">
      <c r="A40" s="11" t="s">
        <v>27</v>
      </c>
      <c r="B40" s="231">
        <v>38317</v>
      </c>
      <c r="C40" s="311">
        <v>31934</v>
      </c>
      <c r="D40" s="159">
        <f t="shared" si="6"/>
        <v>-16.7</v>
      </c>
      <c r="E40" s="170">
        <f>IFERROR(100/'Skjema total MA'!C40*C40,0)</f>
        <v>72.067035576664821</v>
      </c>
      <c r="F40" s="310">
        <v>-91152</v>
      </c>
      <c r="G40" s="311">
        <v>-51103</v>
      </c>
      <c r="H40" s="159">
        <f t="shared" si="7"/>
        <v>-43.9</v>
      </c>
      <c r="I40" s="170">
        <f>IFERROR(100/'Skjema total MA'!F40*G40,0)</f>
        <v>-64.935706910456688</v>
      </c>
      <c r="J40" s="231">
        <f t="shared" si="8"/>
        <v>-52835</v>
      </c>
      <c r="K40" s="231">
        <f t="shared" si="8"/>
        <v>-19169</v>
      </c>
      <c r="L40" s="256">
        <f t="shared" si="9"/>
        <v>-63.7</v>
      </c>
      <c r="M40" s="159">
        <f>IFERROR(100/'Skjema total MA'!I40*K40,0)</f>
        <v>-15.58336654464655</v>
      </c>
    </row>
    <row r="41" spans="1:14" ht="15.75" x14ac:dyDescent="0.2">
      <c r="A41" s="11" t="s">
        <v>26</v>
      </c>
      <c r="B41" s="231">
        <v>-98934</v>
      </c>
      <c r="C41" s="311">
        <v>-67131</v>
      </c>
      <c r="D41" s="159">
        <f t="shared" si="6"/>
        <v>-32.1</v>
      </c>
      <c r="E41" s="170">
        <f>IFERROR(100/'Skjema total MA'!C41*C41,0)</f>
        <v>111.29550283521303</v>
      </c>
      <c r="F41" s="310">
        <v>48961</v>
      </c>
      <c r="G41" s="311">
        <v>56278</v>
      </c>
      <c r="H41" s="159">
        <f t="shared" si="7"/>
        <v>14.9</v>
      </c>
      <c r="I41" s="170">
        <f>IFERROR(100/'Skjema total MA'!F41*G41,0)</f>
        <v>53.870319483123559</v>
      </c>
      <c r="J41" s="231">
        <f t="shared" si="8"/>
        <v>-49973</v>
      </c>
      <c r="K41" s="231">
        <f t="shared" si="8"/>
        <v>-10853</v>
      </c>
      <c r="L41" s="256">
        <f t="shared" si="9"/>
        <v>-78.3</v>
      </c>
      <c r="M41" s="159">
        <f>IFERROR(100/'Skjema total MA'!I41*K41,0)</f>
        <v>-24.581215752268722</v>
      </c>
    </row>
    <row r="42" spans="1:14" ht="15.75" x14ac:dyDescent="0.2">
      <c r="A42" s="10" t="s">
        <v>321</v>
      </c>
      <c r="B42" s="231">
        <v>20213</v>
      </c>
      <c r="C42" s="311">
        <v>19111</v>
      </c>
      <c r="D42" s="159">
        <f t="shared" si="6"/>
        <v>-5.5</v>
      </c>
      <c r="E42" s="170">
        <f>100/'Skjema total MA'!C42*C42</f>
        <v>99.015697648513182</v>
      </c>
      <c r="F42" s="321"/>
      <c r="G42" s="322"/>
      <c r="H42" s="159"/>
      <c r="I42" s="237"/>
      <c r="J42" s="231">
        <f t="shared" ref="J42:J46" si="18">SUM(B42,F42)</f>
        <v>20213</v>
      </c>
      <c r="K42" s="231">
        <f t="shared" ref="K42:K46" si="19">SUM(C42,G42)</f>
        <v>19111</v>
      </c>
      <c r="L42" s="256"/>
      <c r="M42" s="159">
        <f>IFERROR(100/'Skjema total MA'!I42*K42,0)</f>
        <v>99.015697648513182</v>
      </c>
    </row>
    <row r="43" spans="1:14" ht="15.75" x14ac:dyDescent="0.2">
      <c r="A43" s="10" t="s">
        <v>322</v>
      </c>
      <c r="B43" s="231"/>
      <c r="C43" s="311"/>
      <c r="D43" s="159"/>
      <c r="E43" s="170"/>
      <c r="F43" s="321"/>
      <c r="G43" s="322"/>
      <c r="H43" s="159"/>
      <c r="I43" s="237"/>
      <c r="J43" s="231"/>
      <c r="K43" s="231"/>
      <c r="L43" s="256"/>
      <c r="M43" s="159"/>
    </row>
    <row r="44" spans="1:14" ht="15.75" x14ac:dyDescent="0.2">
      <c r="A44" s="10" t="s">
        <v>323</v>
      </c>
      <c r="B44" s="231">
        <v>3699389</v>
      </c>
      <c r="C44" s="311">
        <v>3575173</v>
      </c>
      <c r="D44" s="159">
        <f t="shared" si="6"/>
        <v>-3.4</v>
      </c>
      <c r="E44" s="170">
        <f>100/'Skjema total MA'!C44*C44</f>
        <v>87.797739462545977</v>
      </c>
      <c r="F44" s="321"/>
      <c r="G44" s="323"/>
      <c r="H44" s="159"/>
      <c r="I44" s="237"/>
      <c r="J44" s="231">
        <f t="shared" si="18"/>
        <v>3699389</v>
      </c>
      <c r="K44" s="231">
        <f t="shared" si="19"/>
        <v>3575173</v>
      </c>
      <c r="L44" s="256"/>
      <c r="M44" s="159">
        <f>IFERROR(100/'Skjema total MA'!I44*K44,0)</f>
        <v>87.797739462545977</v>
      </c>
    </row>
    <row r="45" spans="1:14" ht="15.75" x14ac:dyDescent="0.2">
      <c r="A45" s="10" t="s">
        <v>324</v>
      </c>
      <c r="B45" s="231">
        <v>412</v>
      </c>
      <c r="C45" s="311">
        <v>0</v>
      </c>
      <c r="D45" s="159">
        <f t="shared" si="6"/>
        <v>-100</v>
      </c>
      <c r="E45" s="170">
        <f>IFERROR(100/'Skjema total MA'!C45*C45,0)</f>
        <v>0</v>
      </c>
      <c r="F45" s="321"/>
      <c r="G45" s="322"/>
      <c r="H45" s="159"/>
      <c r="I45" s="237"/>
      <c r="J45" s="231">
        <f t="shared" si="18"/>
        <v>412</v>
      </c>
      <c r="K45" s="231">
        <f t="shared" si="19"/>
        <v>0</v>
      </c>
      <c r="L45" s="256"/>
      <c r="M45" s="159">
        <f>IFERROR(100/'Skjema total MA'!I45*K45,0)</f>
        <v>0</v>
      </c>
    </row>
    <row r="46" spans="1:14" ht="15.75" x14ac:dyDescent="0.2">
      <c r="A46" s="16" t="s">
        <v>325</v>
      </c>
      <c r="B46" s="277">
        <v>0</v>
      </c>
      <c r="C46" s="317">
        <v>19</v>
      </c>
      <c r="D46" s="160" t="str">
        <f t="shared" si="6"/>
        <v xml:space="preserve">    ---- </v>
      </c>
      <c r="E46" s="170">
        <f>IFERROR(100/'Skjema total MA'!C46*C46,0)</f>
        <v>100</v>
      </c>
      <c r="F46" s="324"/>
      <c r="G46" s="325"/>
      <c r="H46" s="160"/>
      <c r="I46" s="160"/>
      <c r="J46" s="231">
        <f t="shared" si="18"/>
        <v>0</v>
      </c>
      <c r="K46" s="231">
        <f t="shared" si="19"/>
        <v>19</v>
      </c>
      <c r="L46" s="257"/>
      <c r="M46" s="160">
        <f>IFERROR(100/'Skjema total MA'!I46*K46,0)</f>
        <v>100</v>
      </c>
    </row>
    <row r="47" spans="1:14" ht="15.75" x14ac:dyDescent="0.25">
      <c r="A47" s="40"/>
      <c r="B47" s="254"/>
      <c r="C47" s="254"/>
      <c r="D47" s="836"/>
      <c r="E47" s="836"/>
      <c r="F47" s="836"/>
      <c r="G47" s="836"/>
      <c r="H47" s="836"/>
      <c r="I47" s="836"/>
      <c r="J47" s="836"/>
      <c r="K47" s="836"/>
      <c r="L47" s="836"/>
      <c r="M47" s="304"/>
    </row>
    <row r="48" spans="1:14" x14ac:dyDescent="0.2">
      <c r="A48" s="148"/>
    </row>
    <row r="49" spans="1:14" ht="15.75" x14ac:dyDescent="0.25">
      <c r="A49" s="141" t="s">
        <v>305</v>
      </c>
      <c r="B49" s="835"/>
      <c r="C49" s="835"/>
      <c r="D49" s="835"/>
      <c r="E49" s="301"/>
      <c r="F49" s="837"/>
      <c r="G49" s="837"/>
      <c r="H49" s="837"/>
      <c r="I49" s="304"/>
      <c r="J49" s="837"/>
      <c r="K49" s="837"/>
      <c r="L49" s="837"/>
      <c r="M49" s="304"/>
    </row>
    <row r="50" spans="1:14" ht="15.75" x14ac:dyDescent="0.25">
      <c r="A50" s="156"/>
      <c r="B50" s="305"/>
      <c r="C50" s="305"/>
      <c r="D50" s="305"/>
      <c r="E50" s="305"/>
      <c r="F50" s="304"/>
      <c r="G50" s="304"/>
      <c r="H50" s="304"/>
      <c r="I50" s="304"/>
      <c r="J50" s="304"/>
      <c r="K50" s="304"/>
      <c r="L50" s="304"/>
      <c r="M50" s="304"/>
    </row>
    <row r="51" spans="1:14" ht="15.75" x14ac:dyDescent="0.25">
      <c r="A51" s="244"/>
      <c r="B51" s="833" t="s">
        <v>0</v>
      </c>
      <c r="C51" s="834"/>
      <c r="D51" s="834"/>
      <c r="E51" s="240"/>
      <c r="F51" s="304"/>
      <c r="G51" s="304"/>
      <c r="H51" s="304"/>
      <c r="I51" s="304"/>
      <c r="J51" s="304"/>
      <c r="K51" s="304"/>
      <c r="L51" s="304"/>
      <c r="M51" s="304"/>
    </row>
    <row r="52" spans="1:14" s="3" customFormat="1" x14ac:dyDescent="0.2">
      <c r="A52" s="134"/>
      <c r="B52" s="167" t="s">
        <v>400</v>
      </c>
      <c r="C52" s="167" t="s">
        <v>401</v>
      </c>
      <c r="D52" s="155" t="s">
        <v>3</v>
      </c>
      <c r="E52" s="155" t="s">
        <v>37</v>
      </c>
      <c r="F52" s="169"/>
      <c r="G52" s="169"/>
      <c r="H52" s="168"/>
      <c r="I52" s="168"/>
      <c r="J52" s="169"/>
      <c r="K52" s="169"/>
      <c r="L52" s="168"/>
      <c r="M52" s="168"/>
      <c r="N52" s="142"/>
    </row>
    <row r="53" spans="1:14" s="3" customFormat="1" x14ac:dyDescent="0.2">
      <c r="A53" s="403"/>
      <c r="B53" s="241"/>
      <c r="C53" s="241"/>
      <c r="D53" s="242" t="s">
        <v>4</v>
      </c>
      <c r="E53" s="149" t="s">
        <v>38</v>
      </c>
      <c r="F53" s="168"/>
      <c r="G53" s="168"/>
      <c r="H53" s="168"/>
      <c r="I53" s="168"/>
      <c r="J53" s="168"/>
      <c r="K53" s="168"/>
      <c r="L53" s="168"/>
      <c r="M53" s="168"/>
      <c r="N53" s="142"/>
    </row>
    <row r="54" spans="1:14" s="3" customFormat="1" ht="15.75" x14ac:dyDescent="0.2">
      <c r="A54" s="12" t="s">
        <v>30</v>
      </c>
      <c r="B54" s="312">
        <v>550891</v>
      </c>
      <c r="C54" s="313">
        <v>516768</v>
      </c>
      <c r="D54" s="255">
        <f t="shared" ref="D54:D71" si="20">IF(B54=0, "    ---- ", IF(ABS(ROUND(100/B54*C54-100,1))&lt;999,ROUND(100/B54*C54-100,1),IF(ROUND(100/B54*C54-100,1)&gt;999,999,-999)))</f>
        <v>-6.2</v>
      </c>
      <c r="E54" s="170">
        <f>IFERROR(100/'Skjema total MA'!C54*C54,0)</f>
        <v>13.840919115443571</v>
      </c>
      <c r="F54" s="139"/>
      <c r="G54" s="27"/>
      <c r="H54" s="152"/>
      <c r="I54" s="152"/>
      <c r="J54" s="30"/>
      <c r="K54" s="30"/>
      <c r="L54" s="152"/>
      <c r="M54" s="152"/>
      <c r="N54" s="142"/>
    </row>
    <row r="55" spans="1:14" s="3" customFormat="1" ht="15.75" x14ac:dyDescent="0.2">
      <c r="A55" s="31" t="s">
        <v>326</v>
      </c>
      <c r="B55" s="282">
        <v>391978</v>
      </c>
      <c r="C55" s="283">
        <v>332057</v>
      </c>
      <c r="D55" s="256">
        <f t="shared" si="20"/>
        <v>-15.3</v>
      </c>
      <c r="E55" s="170">
        <f>IFERROR(100/'Skjema total MA'!C55*C55,0)</f>
        <v>16.3125004983903</v>
      </c>
      <c r="F55" s="139"/>
      <c r="G55" s="27"/>
      <c r="H55" s="139"/>
      <c r="I55" s="139"/>
      <c r="J55" s="27"/>
      <c r="K55" s="27"/>
      <c r="L55" s="152"/>
      <c r="M55" s="152"/>
      <c r="N55" s="142"/>
    </row>
    <row r="56" spans="1:14" s="3" customFormat="1" ht="15.75" x14ac:dyDescent="0.2">
      <c r="A56" s="31" t="s">
        <v>327</v>
      </c>
      <c r="B56" s="37">
        <v>158913</v>
      </c>
      <c r="C56" s="288">
        <v>184711</v>
      </c>
      <c r="D56" s="256">
        <f>IF(B56=0, "    ---- ", IF(ABS(ROUND(100/B56*C56-100,1))&lt;999,ROUND(100/B56*C56-100,1),IF(ROUND(100/B56*C56-100,1)&gt;999,999,-999)))</f>
        <v>16.2</v>
      </c>
      <c r="E56" s="170">
        <f>IFERROR(100/'Skjema total MA'!C56*C56,0)</f>
        <v>10.877981145848786</v>
      </c>
      <c r="F56" s="139"/>
      <c r="G56" s="27"/>
      <c r="H56" s="139"/>
      <c r="I56" s="139"/>
      <c r="J56" s="30"/>
      <c r="K56" s="30"/>
      <c r="L56" s="152"/>
      <c r="M56" s="152"/>
      <c r="N56" s="142"/>
    </row>
    <row r="57" spans="1:14" s="3" customFormat="1" x14ac:dyDescent="0.2">
      <c r="A57" s="298" t="s">
        <v>6</v>
      </c>
      <c r="B57" s="291">
        <v>192</v>
      </c>
      <c r="C57" s="292">
        <v>0</v>
      </c>
      <c r="D57" s="256">
        <f t="shared" si="20"/>
        <v>-100</v>
      </c>
      <c r="E57" s="170">
        <f>IFERROR(100/'Skjema total MA'!C57*C57,0)</f>
        <v>0</v>
      </c>
      <c r="F57" s="139"/>
      <c r="G57" s="27"/>
      <c r="H57" s="139"/>
      <c r="I57" s="139"/>
      <c r="J57" s="27"/>
      <c r="K57" s="27"/>
      <c r="L57" s="152"/>
      <c r="M57" s="152"/>
      <c r="N57" s="142"/>
    </row>
    <row r="58" spans="1:14" s="3" customFormat="1" x14ac:dyDescent="0.2">
      <c r="A58" s="298" t="s">
        <v>7</v>
      </c>
      <c r="B58" s="291">
        <v>158721</v>
      </c>
      <c r="C58" s="292">
        <v>184711</v>
      </c>
      <c r="D58" s="256">
        <f t="shared" si="20"/>
        <v>16.399999999999999</v>
      </c>
      <c r="E58" s="170">
        <f>IFERROR(100/'Skjema total MA'!C58*C58,0)</f>
        <v>12.754215650128589</v>
      </c>
      <c r="F58" s="139"/>
      <c r="G58" s="27"/>
      <c r="H58" s="139"/>
      <c r="I58" s="139"/>
      <c r="J58" s="27"/>
      <c r="K58" s="27"/>
      <c r="L58" s="152"/>
      <c r="M58" s="152"/>
      <c r="N58" s="142"/>
    </row>
    <row r="59" spans="1:14" s="3" customFormat="1" x14ac:dyDescent="0.2">
      <c r="A59" s="298" t="s">
        <v>8</v>
      </c>
      <c r="B59" s="291"/>
      <c r="C59" s="292"/>
      <c r="D59" s="256"/>
      <c r="E59" s="170"/>
      <c r="F59" s="139"/>
      <c r="G59" s="27"/>
      <c r="H59" s="139"/>
      <c r="I59" s="139"/>
      <c r="J59" s="27"/>
      <c r="K59" s="27"/>
      <c r="L59" s="152"/>
      <c r="M59" s="152"/>
      <c r="N59" s="142"/>
    </row>
    <row r="60" spans="1:14" s="3" customFormat="1" ht="15.75" x14ac:dyDescent="0.2">
      <c r="A60" s="11" t="s">
        <v>29</v>
      </c>
      <c r="B60" s="312">
        <v>16792</v>
      </c>
      <c r="C60" s="313">
        <v>24616</v>
      </c>
      <c r="D60" s="256">
        <f t="shared" si="20"/>
        <v>46.6</v>
      </c>
      <c r="E60" s="170">
        <f>IFERROR(100/'Skjema total MA'!C60*C60,0)</f>
        <v>27.869987730004667</v>
      </c>
      <c r="F60" s="139"/>
      <c r="G60" s="27"/>
      <c r="H60" s="139"/>
      <c r="I60" s="139"/>
      <c r="J60" s="27"/>
      <c r="K60" s="27"/>
      <c r="L60" s="152"/>
      <c r="M60" s="152"/>
      <c r="N60" s="142"/>
    </row>
    <row r="61" spans="1:14" s="3" customFormat="1" ht="15.75" x14ac:dyDescent="0.2">
      <c r="A61" s="31" t="s">
        <v>326</v>
      </c>
      <c r="B61" s="282">
        <v>1123</v>
      </c>
      <c r="C61" s="283">
        <v>1300</v>
      </c>
      <c r="D61" s="256">
        <f t="shared" si="20"/>
        <v>15.8</v>
      </c>
      <c r="E61" s="170">
        <f>IFERROR(100/'Skjema total MA'!C61*C61,0)</f>
        <v>3.3506599395381147</v>
      </c>
      <c r="F61" s="139"/>
      <c r="G61" s="27"/>
      <c r="H61" s="139"/>
      <c r="I61" s="139"/>
      <c r="J61" s="27"/>
      <c r="K61" s="27"/>
      <c r="L61" s="152"/>
      <c r="M61" s="152"/>
      <c r="N61" s="142"/>
    </row>
    <row r="62" spans="1:14" s="3" customFormat="1" ht="15.75" x14ac:dyDescent="0.2">
      <c r="A62" s="31" t="s">
        <v>327</v>
      </c>
      <c r="B62" s="37">
        <v>15669</v>
      </c>
      <c r="C62" s="288">
        <v>23316</v>
      </c>
      <c r="D62" s="256">
        <f t="shared" si="20"/>
        <v>48.8</v>
      </c>
      <c r="E62" s="170">
        <f>IFERROR(100/'Skjema total MA'!C62*C62,0)</f>
        <v>47.07823101265344</v>
      </c>
      <c r="F62" s="139"/>
      <c r="G62" s="27"/>
      <c r="H62" s="139"/>
      <c r="I62" s="139"/>
      <c r="J62" s="27"/>
      <c r="K62" s="27"/>
      <c r="L62" s="152"/>
      <c r="M62" s="152"/>
      <c r="N62" s="142"/>
    </row>
    <row r="63" spans="1:14" s="3" customFormat="1" x14ac:dyDescent="0.2">
      <c r="A63" s="298" t="s">
        <v>6</v>
      </c>
      <c r="B63" s="282"/>
      <c r="C63" s="283"/>
      <c r="D63" s="256"/>
      <c r="E63" s="170"/>
      <c r="F63" s="139"/>
      <c r="G63" s="27"/>
      <c r="H63" s="139"/>
      <c r="I63" s="139"/>
      <c r="J63" s="27"/>
      <c r="K63" s="27"/>
      <c r="L63" s="152"/>
      <c r="M63" s="152"/>
      <c r="N63" s="142"/>
    </row>
    <row r="64" spans="1:14" s="3" customFormat="1" x14ac:dyDescent="0.2">
      <c r="A64" s="298" t="s">
        <v>7</v>
      </c>
      <c r="B64" s="282">
        <v>15669</v>
      </c>
      <c r="C64" s="283">
        <v>23316</v>
      </c>
      <c r="D64" s="256">
        <f t="shared" si="20"/>
        <v>48.8</v>
      </c>
      <c r="E64" s="170">
        <v>0</v>
      </c>
      <c r="F64" s="139"/>
      <c r="G64" s="27"/>
      <c r="H64" s="139"/>
      <c r="I64" s="139"/>
      <c r="J64" s="27"/>
      <c r="K64" s="27"/>
      <c r="L64" s="152"/>
      <c r="M64" s="152"/>
      <c r="N64" s="142"/>
    </row>
    <row r="65" spans="1:14" s="3" customFormat="1" x14ac:dyDescent="0.2">
      <c r="A65" s="298" t="s">
        <v>8</v>
      </c>
      <c r="B65" s="282"/>
      <c r="C65" s="283"/>
      <c r="D65" s="256"/>
      <c r="E65" s="170"/>
      <c r="F65" s="139"/>
      <c r="G65" s="27"/>
      <c r="H65" s="139"/>
      <c r="I65" s="139"/>
      <c r="J65" s="27"/>
      <c r="K65" s="27"/>
      <c r="L65" s="152"/>
      <c r="M65" s="152"/>
      <c r="N65" s="142"/>
    </row>
    <row r="66" spans="1:14" s="3" customFormat="1" ht="15.75" x14ac:dyDescent="0.2">
      <c r="A66" s="32" t="s">
        <v>328</v>
      </c>
      <c r="B66" s="312">
        <v>16638</v>
      </c>
      <c r="C66" s="313">
        <v>25389</v>
      </c>
      <c r="D66" s="256">
        <f t="shared" si="20"/>
        <v>52.6</v>
      </c>
      <c r="E66" s="170">
        <f>IFERROR(100/'Skjema total MA'!C66*C66,0)</f>
        <v>15.092411551046641</v>
      </c>
      <c r="F66" s="139"/>
      <c r="G66" s="27"/>
      <c r="H66" s="139"/>
      <c r="I66" s="139"/>
      <c r="J66" s="27"/>
      <c r="K66" s="27"/>
      <c r="L66" s="152"/>
      <c r="M66" s="152"/>
      <c r="N66" s="142"/>
    </row>
    <row r="67" spans="1:14" s="3" customFormat="1" ht="15.75" x14ac:dyDescent="0.2">
      <c r="A67" s="31" t="s">
        <v>326</v>
      </c>
      <c r="B67" s="282">
        <v>16638</v>
      </c>
      <c r="C67" s="283">
        <v>25389</v>
      </c>
      <c r="D67" s="256">
        <f t="shared" si="20"/>
        <v>52.6</v>
      </c>
      <c r="E67" s="170">
        <f>IFERROR(100/'Skjema total MA'!C67*C67,0)</f>
        <v>18.306456308378237</v>
      </c>
      <c r="F67" s="139"/>
      <c r="G67" s="27"/>
      <c r="H67" s="139"/>
      <c r="I67" s="139"/>
      <c r="J67" s="27"/>
      <c r="K67" s="27"/>
      <c r="L67" s="152"/>
      <c r="M67" s="152"/>
      <c r="N67" s="142"/>
    </row>
    <row r="68" spans="1:14" s="3" customFormat="1" ht="15.75" x14ac:dyDescent="0.2">
      <c r="A68" s="31" t="s">
        <v>327</v>
      </c>
      <c r="B68" s="282"/>
      <c r="C68" s="283"/>
      <c r="D68" s="256"/>
      <c r="E68" s="170"/>
      <c r="F68" s="139"/>
      <c r="G68" s="27"/>
      <c r="H68" s="139"/>
      <c r="I68" s="139"/>
      <c r="J68" s="27"/>
      <c r="K68" s="27"/>
      <c r="L68" s="152"/>
      <c r="M68" s="152"/>
      <c r="N68" s="142"/>
    </row>
    <row r="69" spans="1:14" s="3" customFormat="1" ht="15.75" x14ac:dyDescent="0.2">
      <c r="A69" s="32" t="s">
        <v>329</v>
      </c>
      <c r="B69" s="312">
        <v>200136.94899999999</v>
      </c>
      <c r="C69" s="313">
        <v>33788</v>
      </c>
      <c r="D69" s="256">
        <f t="shared" si="20"/>
        <v>-83.1</v>
      </c>
      <c r="E69" s="170">
        <f>IFERROR(100/'Skjema total MA'!C69*C69,0)</f>
        <v>17.761978978423471</v>
      </c>
      <c r="F69" s="139"/>
      <c r="G69" s="27"/>
      <c r="H69" s="139"/>
      <c r="I69" s="139"/>
      <c r="J69" s="27"/>
      <c r="K69" s="27"/>
      <c r="L69" s="152"/>
      <c r="M69" s="152"/>
      <c r="N69" s="142"/>
    </row>
    <row r="70" spans="1:14" s="3" customFormat="1" ht="15.75" x14ac:dyDescent="0.2">
      <c r="A70" s="31" t="s">
        <v>326</v>
      </c>
      <c r="B70" s="282">
        <v>37416</v>
      </c>
      <c r="C70" s="283">
        <v>33788</v>
      </c>
      <c r="D70" s="256">
        <f t="shared" si="20"/>
        <v>-9.6999999999999993</v>
      </c>
      <c r="E70" s="170">
        <f>IFERROR(100/'Skjema total MA'!C70*C70,0)</f>
        <v>18.044576416252387</v>
      </c>
      <c r="F70" s="139"/>
      <c r="G70" s="27"/>
      <c r="H70" s="139"/>
      <c r="I70" s="139"/>
      <c r="J70" s="27"/>
      <c r="K70" s="27"/>
      <c r="L70" s="152"/>
      <c r="M70" s="152"/>
      <c r="N70" s="142"/>
    </row>
    <row r="71" spans="1:14" s="3" customFormat="1" ht="15.75" x14ac:dyDescent="0.2">
      <c r="A71" s="39" t="s">
        <v>327</v>
      </c>
      <c r="B71" s="284">
        <v>162720.94899999999</v>
      </c>
      <c r="C71" s="285">
        <v>0</v>
      </c>
      <c r="D71" s="257">
        <f t="shared" si="20"/>
        <v>-100</v>
      </c>
      <c r="E71" s="160">
        <f>IFERROR(100/'Skjema total MA'!C71*C71,0)</f>
        <v>0</v>
      </c>
      <c r="F71" s="139"/>
      <c r="G71" s="27"/>
      <c r="H71" s="139"/>
      <c r="I71" s="139"/>
      <c r="J71" s="27"/>
      <c r="K71" s="27"/>
      <c r="L71" s="152"/>
      <c r="M71" s="152"/>
      <c r="N71" s="142"/>
    </row>
    <row r="72" spans="1:14" s="3" customFormat="1" ht="15.75" x14ac:dyDescent="0.25">
      <c r="A72" s="157"/>
      <c r="B72" s="147"/>
      <c r="C72" s="147"/>
      <c r="D72" s="147"/>
      <c r="E72" s="147"/>
      <c r="F72" s="136"/>
      <c r="G72" s="136"/>
      <c r="H72" s="136"/>
      <c r="I72" s="136"/>
      <c r="J72" s="136"/>
      <c r="K72" s="136"/>
      <c r="L72" s="136"/>
      <c r="M72" s="136"/>
      <c r="N72" s="142"/>
    </row>
    <row r="73" spans="1:14" x14ac:dyDescent="0.2">
      <c r="A73" s="148"/>
    </row>
    <row r="74" spans="1:14" ht="15.75" x14ac:dyDescent="0.25">
      <c r="A74" s="141" t="s">
        <v>306</v>
      </c>
      <c r="C74" s="20"/>
      <c r="D74" s="20"/>
      <c r="E74" s="20"/>
      <c r="F74" s="20"/>
      <c r="G74" s="20"/>
      <c r="H74" s="20"/>
      <c r="I74" s="20"/>
      <c r="J74" s="20"/>
      <c r="K74" s="20"/>
      <c r="L74" s="20"/>
      <c r="M74" s="20"/>
    </row>
    <row r="75" spans="1:14" ht="15.75" x14ac:dyDescent="0.25">
      <c r="B75" s="832"/>
      <c r="C75" s="832"/>
      <c r="D75" s="832"/>
      <c r="E75" s="301"/>
      <c r="F75" s="832"/>
      <c r="G75" s="832"/>
      <c r="H75" s="832"/>
      <c r="I75" s="301"/>
      <c r="J75" s="832"/>
      <c r="K75" s="832"/>
      <c r="L75" s="832"/>
      <c r="M75" s="301"/>
    </row>
    <row r="76" spans="1:14" x14ac:dyDescent="0.2">
      <c r="A76" s="138"/>
      <c r="B76" s="833" t="s">
        <v>0</v>
      </c>
      <c r="C76" s="834"/>
      <c r="D76" s="838"/>
      <c r="E76" s="302"/>
      <c r="F76" s="834" t="s">
        <v>1</v>
      </c>
      <c r="G76" s="834"/>
      <c r="H76" s="834"/>
      <c r="I76" s="306"/>
      <c r="J76" s="833" t="s">
        <v>2</v>
      </c>
      <c r="K76" s="834"/>
      <c r="L76" s="834"/>
      <c r="M76" s="306"/>
    </row>
    <row r="77" spans="1:14" x14ac:dyDescent="0.2">
      <c r="A77" s="134"/>
      <c r="B77" s="145" t="s">
        <v>400</v>
      </c>
      <c r="C77" s="145" t="s">
        <v>401</v>
      </c>
      <c r="D77" s="242" t="s">
        <v>3</v>
      </c>
      <c r="E77" s="307" t="s">
        <v>37</v>
      </c>
      <c r="F77" s="145" t="s">
        <v>400</v>
      </c>
      <c r="G77" s="145" t="s">
        <v>401</v>
      </c>
      <c r="H77" s="242" t="s">
        <v>3</v>
      </c>
      <c r="I77" s="307" t="s">
        <v>37</v>
      </c>
      <c r="J77" s="145" t="s">
        <v>400</v>
      </c>
      <c r="K77" s="145" t="s">
        <v>401</v>
      </c>
      <c r="L77" s="242" t="s">
        <v>3</v>
      </c>
      <c r="M77" s="155" t="s">
        <v>37</v>
      </c>
    </row>
    <row r="78" spans="1:14" x14ac:dyDescent="0.2">
      <c r="A78" s="403"/>
      <c r="B78" s="149"/>
      <c r="C78" s="149"/>
      <c r="D78" s="243" t="s">
        <v>4</v>
      </c>
      <c r="E78" s="149" t="s">
        <v>38</v>
      </c>
      <c r="F78" s="154"/>
      <c r="G78" s="154"/>
      <c r="H78" s="242" t="s">
        <v>4</v>
      </c>
      <c r="I78" s="149" t="s">
        <v>38</v>
      </c>
      <c r="J78" s="154"/>
      <c r="K78" s="154"/>
      <c r="L78" s="242" t="s">
        <v>4</v>
      </c>
      <c r="M78" s="149" t="s">
        <v>38</v>
      </c>
    </row>
    <row r="79" spans="1:14" ht="15.75" x14ac:dyDescent="0.2">
      <c r="A79" s="12" t="s">
        <v>30</v>
      </c>
      <c r="B79" s="355">
        <v>6245636</v>
      </c>
      <c r="C79" s="355">
        <v>4178130</v>
      </c>
      <c r="D79" s="251">
        <f t="shared" ref="D79:D142" si="21">IF(B79=0, "    ---- ", IF(ABS(ROUND(100/B79*C79-100,1))&lt;999,ROUND(100/B79*C79-100,1),IF(ROUND(100/B79*C79-100,1)&gt;999,999,-999)))</f>
        <v>-33.1</v>
      </c>
      <c r="E79" s="170">
        <f>IFERROR(100/'Skjema total MA'!C79*C79,0)</f>
        <v>35.790651683595037</v>
      </c>
      <c r="F79" s="354">
        <v>5666639</v>
      </c>
      <c r="G79" s="354">
        <v>6569640</v>
      </c>
      <c r="H79" s="251">
        <f t="shared" ref="H79:H142" si="22">IF(F79=0, "    ---- ", IF(ABS(ROUND(100/F79*G79-100,1))&lt;999,ROUND(100/F79*G79-100,1),IF(ROUND(100/F79*G79-100,1)&gt;999,999,-999)))</f>
        <v>15.9</v>
      </c>
      <c r="I79" s="170">
        <f>IFERROR(100/'Skjema total MA'!F79*G79,0)</f>
        <v>28.433286686557391</v>
      </c>
      <c r="J79" s="311">
        <f t="shared" ref="J79:K110" si="23">SUM(B79,F79)</f>
        <v>11912275</v>
      </c>
      <c r="K79" s="318">
        <f t="shared" si="23"/>
        <v>10747770</v>
      </c>
      <c r="L79" s="255">
        <f t="shared" ref="L79:L142" si="24">IF(J79=0, "    ---- ", IF(ABS(ROUND(100/J79*K79-100,1))&lt;999,ROUND(100/J79*K79-100,1),IF(ROUND(100/J79*K79-100,1)&gt;999,999,-999)))</f>
        <v>-9.8000000000000007</v>
      </c>
      <c r="M79" s="170">
        <f>IFERROR(100/'Skjema total MA'!I79*K79,0)</f>
        <v>30.902816931134449</v>
      </c>
    </row>
    <row r="80" spans="1:14" x14ac:dyDescent="0.2">
      <c r="A80" s="18" t="s">
        <v>9</v>
      </c>
      <c r="B80" s="37">
        <v>6245636</v>
      </c>
      <c r="C80" s="139">
        <v>4178130</v>
      </c>
      <c r="D80" s="159">
        <f t="shared" si="21"/>
        <v>-33.1</v>
      </c>
      <c r="E80" s="170">
        <f>IFERROR(100/'Skjema total MA'!C80*C80,0)</f>
        <v>36.581680294779531</v>
      </c>
      <c r="F80" s="229"/>
      <c r="G80" s="139"/>
      <c r="H80" s="159"/>
      <c r="I80" s="170"/>
      <c r="J80" s="288">
        <f t="shared" si="23"/>
        <v>6245636</v>
      </c>
      <c r="K80" s="37">
        <f t="shared" si="23"/>
        <v>4178130</v>
      </c>
      <c r="L80" s="256">
        <f t="shared" si="24"/>
        <v>-33.1</v>
      </c>
      <c r="M80" s="170">
        <f>IFERROR(100/'Skjema total MA'!I80*K80,0)</f>
        <v>36.581680294779531</v>
      </c>
    </row>
    <row r="81" spans="1:14" x14ac:dyDescent="0.2">
      <c r="A81" s="18" t="s">
        <v>10</v>
      </c>
      <c r="B81" s="293"/>
      <c r="C81" s="294"/>
      <c r="D81" s="159"/>
      <c r="E81" s="170"/>
      <c r="F81" s="293">
        <v>5666639</v>
      </c>
      <c r="G81" s="294">
        <v>6569640</v>
      </c>
      <c r="H81" s="159">
        <f t="shared" si="22"/>
        <v>15.9</v>
      </c>
      <c r="I81" s="170">
        <f>IFERROR(100/'Skjema total MA'!F81*G81,0)</f>
        <v>28.692347793477534</v>
      </c>
      <c r="J81" s="288">
        <f t="shared" si="23"/>
        <v>5666639</v>
      </c>
      <c r="K81" s="37">
        <f t="shared" si="23"/>
        <v>6569640</v>
      </c>
      <c r="L81" s="256">
        <f t="shared" si="24"/>
        <v>15.9</v>
      </c>
      <c r="M81" s="170">
        <f>IFERROR(100/'Skjema total MA'!I81*K81,0)</f>
        <v>28.478179117433793</v>
      </c>
    </row>
    <row r="82" spans="1:14" ht="15.75" x14ac:dyDescent="0.2">
      <c r="A82" s="298" t="s">
        <v>330</v>
      </c>
      <c r="B82" s="282"/>
      <c r="C82" s="282"/>
      <c r="D82" s="159"/>
      <c r="E82" s="237"/>
      <c r="F82" s="282"/>
      <c r="G82" s="282"/>
      <c r="H82" s="159"/>
      <c r="I82" s="237"/>
      <c r="J82" s="291"/>
      <c r="K82" s="291"/>
      <c r="L82" s="159"/>
      <c r="M82" s="159"/>
    </row>
    <row r="83" spans="1:14" x14ac:dyDescent="0.2">
      <c r="A83" s="298" t="s">
        <v>12</v>
      </c>
      <c r="B83" s="295"/>
      <c r="C83" s="296"/>
      <c r="D83" s="159"/>
      <c r="E83" s="237"/>
      <c r="F83" s="282"/>
      <c r="G83" s="282"/>
      <c r="H83" s="159"/>
      <c r="I83" s="237"/>
      <c r="J83" s="291"/>
      <c r="K83" s="291"/>
      <c r="L83" s="159"/>
      <c r="M83" s="159"/>
    </row>
    <row r="84" spans="1:14" x14ac:dyDescent="0.2">
      <c r="A84" s="298" t="s">
        <v>13</v>
      </c>
      <c r="B84" s="230"/>
      <c r="C84" s="290"/>
      <c r="D84" s="159"/>
      <c r="E84" s="237"/>
      <c r="F84" s="282"/>
      <c r="G84" s="282"/>
      <c r="H84" s="159"/>
      <c r="I84" s="237"/>
      <c r="J84" s="291"/>
      <c r="K84" s="291"/>
      <c r="L84" s="159"/>
      <c r="M84" s="159"/>
    </row>
    <row r="85" spans="1:14" ht="15.75" x14ac:dyDescent="0.2">
      <c r="A85" s="298" t="s">
        <v>331</v>
      </c>
      <c r="B85" s="282"/>
      <c r="C85" s="282"/>
      <c r="D85" s="159"/>
      <c r="E85" s="237"/>
      <c r="F85" s="282">
        <v>5666639</v>
      </c>
      <c r="G85" s="282">
        <v>6569640</v>
      </c>
      <c r="H85" s="159">
        <f t="shared" si="22"/>
        <v>15.9</v>
      </c>
      <c r="I85" s="237">
        <f>IFERROR(100/'Skjema total MA'!F85*G85,0)</f>
        <v>0</v>
      </c>
      <c r="J85" s="288">
        <f t="shared" ref="J85:J87" si="25">SUM(B85,F85)</f>
        <v>5666639</v>
      </c>
      <c r="K85" s="37">
        <f t="shared" ref="K85:K87" si="26">SUM(C85,G85)</f>
        <v>6569640</v>
      </c>
      <c r="L85" s="159">
        <f t="shared" ref="L85" si="27">IF(J85=0, "    ---- ", IF(ABS(ROUND(100/J85*K85-100,1))&lt;999,ROUND(100/J85*K85-100,1),IF(ROUND(100/J85*K85-100,1)&gt;999,999,-999)))</f>
        <v>15.9</v>
      </c>
      <c r="M85" s="159">
        <f>IFERROR(100/'Skjema total MA'!I85*K85,0)</f>
        <v>0</v>
      </c>
    </row>
    <row r="86" spans="1:14" x14ac:dyDescent="0.2">
      <c r="A86" s="298" t="s">
        <v>12</v>
      </c>
      <c r="B86" s="230"/>
      <c r="C86" s="290"/>
      <c r="D86" s="159"/>
      <c r="E86" s="237"/>
      <c r="F86" s="282"/>
      <c r="G86" s="282"/>
      <c r="H86" s="159"/>
      <c r="I86" s="237"/>
      <c r="J86" s="288"/>
      <c r="K86" s="37"/>
      <c r="L86" s="159"/>
      <c r="M86" s="159"/>
    </row>
    <row r="87" spans="1:14" s="3" customFormat="1" x14ac:dyDescent="0.2">
      <c r="A87" s="298" t="s">
        <v>13</v>
      </c>
      <c r="B87" s="230"/>
      <c r="C87" s="290"/>
      <c r="D87" s="159"/>
      <c r="E87" s="237"/>
      <c r="F87" s="282">
        <v>5666639</v>
      </c>
      <c r="G87" s="282">
        <v>6569640</v>
      </c>
      <c r="H87" s="159">
        <f t="shared" si="22"/>
        <v>15.9</v>
      </c>
      <c r="I87" s="237">
        <f>IFERROR(100/'Skjema total MA'!F87*G87,0)</f>
        <v>0</v>
      </c>
      <c r="J87" s="288">
        <f t="shared" si="25"/>
        <v>5666639</v>
      </c>
      <c r="K87" s="37">
        <f t="shared" si="26"/>
        <v>6569640</v>
      </c>
      <c r="L87" s="159">
        <f t="shared" ref="L87" si="28">IF(J87=0, "    ---- ", IF(ABS(ROUND(100/J87*K87-100,1))&lt;999,ROUND(100/J87*K87-100,1),IF(ROUND(100/J87*K87-100,1)&gt;999,999,-999)))</f>
        <v>15.9</v>
      </c>
      <c r="M87" s="159">
        <f>IFERROR(100/'Skjema total MA'!I87*K87,0)</f>
        <v>0</v>
      </c>
      <c r="N87" s="142"/>
    </row>
    <row r="88" spans="1:14" s="3" customFormat="1" x14ac:dyDescent="0.2">
      <c r="A88" s="18" t="s">
        <v>33</v>
      </c>
      <c r="B88" s="229"/>
      <c r="C88" s="139"/>
      <c r="D88" s="159"/>
      <c r="E88" s="170"/>
      <c r="F88" s="229"/>
      <c r="G88" s="139"/>
      <c r="H88" s="159"/>
      <c r="I88" s="170"/>
      <c r="J88" s="288"/>
      <c r="K88" s="37"/>
      <c r="L88" s="256"/>
      <c r="M88" s="170"/>
      <c r="N88" s="142"/>
    </row>
    <row r="89" spans="1:14" ht="15.75" x14ac:dyDescent="0.2">
      <c r="A89" s="18" t="s">
        <v>332</v>
      </c>
      <c r="B89" s="229">
        <v>6197262.5439999998</v>
      </c>
      <c r="C89" s="229">
        <v>4138403</v>
      </c>
      <c r="D89" s="159">
        <f t="shared" si="21"/>
        <v>-33.200000000000003</v>
      </c>
      <c r="E89" s="170">
        <f>IFERROR(100/'Skjema total MA'!C89*C89,0)</f>
        <v>36.753960678409506</v>
      </c>
      <c r="F89" s="229">
        <v>5666639</v>
      </c>
      <c r="G89" s="139">
        <v>6569640</v>
      </c>
      <c r="H89" s="159">
        <f t="shared" si="22"/>
        <v>15.9</v>
      </c>
      <c r="I89" s="170">
        <f>IFERROR(100/'Skjema total MA'!F89*G89,0)</f>
        <v>28.709127339324848</v>
      </c>
      <c r="J89" s="288">
        <f t="shared" si="23"/>
        <v>11863901.544</v>
      </c>
      <c r="K89" s="37">
        <f t="shared" si="23"/>
        <v>10708043</v>
      </c>
      <c r="L89" s="256">
        <f t="shared" si="24"/>
        <v>-9.6999999999999993</v>
      </c>
      <c r="M89" s="170">
        <f>IFERROR(100/'Skjema total MA'!I89*K89,0)</f>
        <v>31.362152982740252</v>
      </c>
    </row>
    <row r="90" spans="1:14" x14ac:dyDescent="0.2">
      <c r="A90" s="18" t="s">
        <v>9</v>
      </c>
      <c r="B90" s="229">
        <v>6197262.5439999998</v>
      </c>
      <c r="C90" s="139">
        <v>4138403</v>
      </c>
      <c r="D90" s="159">
        <f t="shared" si="21"/>
        <v>-33.200000000000003</v>
      </c>
      <c r="E90" s="170">
        <f>IFERROR(100/'Skjema total MA'!C90*C90,0)</f>
        <v>37.31302439406857</v>
      </c>
      <c r="F90" s="229"/>
      <c r="G90" s="139"/>
      <c r="H90" s="159"/>
      <c r="I90" s="170"/>
      <c r="J90" s="288">
        <f t="shared" si="23"/>
        <v>6197262.5439999998</v>
      </c>
      <c r="K90" s="37">
        <f t="shared" si="23"/>
        <v>4138403</v>
      </c>
      <c r="L90" s="256">
        <f t="shared" si="24"/>
        <v>-33.200000000000003</v>
      </c>
      <c r="M90" s="170">
        <f>IFERROR(100/'Skjema total MA'!I90*K90,0)</f>
        <v>37.313021029819936</v>
      </c>
    </row>
    <row r="91" spans="1:14" x14ac:dyDescent="0.2">
      <c r="A91" s="18" t="s">
        <v>10</v>
      </c>
      <c r="B91" s="293"/>
      <c r="C91" s="294"/>
      <c r="D91" s="159"/>
      <c r="E91" s="170"/>
      <c r="F91" s="293">
        <v>5666639</v>
      </c>
      <c r="G91" s="294">
        <v>6569640</v>
      </c>
      <c r="H91" s="159">
        <f t="shared" si="22"/>
        <v>15.9</v>
      </c>
      <c r="I91" s="170">
        <f>IFERROR(100/'Skjema total MA'!F91*G91,0)</f>
        <v>28.709127339324848</v>
      </c>
      <c r="J91" s="288">
        <f t="shared" si="23"/>
        <v>5666639</v>
      </c>
      <c r="K91" s="37">
        <f t="shared" si="23"/>
        <v>6569640</v>
      </c>
      <c r="L91" s="256">
        <f t="shared" si="24"/>
        <v>15.9</v>
      </c>
      <c r="M91" s="170">
        <f>IFERROR(100/'Skjema total MA'!I91*K91,0)</f>
        <v>28.499021627537303</v>
      </c>
    </row>
    <row r="92" spans="1:14" ht="15.75" x14ac:dyDescent="0.2">
      <c r="A92" s="298" t="s">
        <v>330</v>
      </c>
      <c r="B92" s="282"/>
      <c r="C92" s="282"/>
      <c r="D92" s="159"/>
      <c r="E92" s="237"/>
      <c r="F92" s="282"/>
      <c r="G92" s="282"/>
      <c r="H92" s="159"/>
      <c r="I92" s="237"/>
      <c r="J92" s="291"/>
      <c r="K92" s="291"/>
      <c r="L92" s="159"/>
      <c r="M92" s="159"/>
    </row>
    <row r="93" spans="1:14" x14ac:dyDescent="0.2">
      <c r="A93" s="298" t="s">
        <v>12</v>
      </c>
      <c r="B93" s="230"/>
      <c r="C93" s="290"/>
      <c r="D93" s="159"/>
      <c r="E93" s="237"/>
      <c r="F93" s="282"/>
      <c r="G93" s="282"/>
      <c r="H93" s="159"/>
      <c r="I93" s="237"/>
      <c r="J93" s="291"/>
      <c r="K93" s="291"/>
      <c r="L93" s="159"/>
      <c r="M93" s="159"/>
    </row>
    <row r="94" spans="1:14" x14ac:dyDescent="0.2">
      <c r="A94" s="298" t="s">
        <v>13</v>
      </c>
      <c r="B94" s="230"/>
      <c r="C94" s="290"/>
      <c r="D94" s="159"/>
      <c r="E94" s="237"/>
      <c r="F94" s="282"/>
      <c r="G94" s="282"/>
      <c r="H94" s="159"/>
      <c r="I94" s="237"/>
      <c r="J94" s="291"/>
      <c r="K94" s="291"/>
      <c r="L94" s="159"/>
      <c r="M94" s="159"/>
    </row>
    <row r="95" spans="1:14" ht="15.75" x14ac:dyDescent="0.2">
      <c r="A95" s="298" t="s">
        <v>331</v>
      </c>
      <c r="B95" s="282"/>
      <c r="C95" s="282"/>
      <c r="D95" s="159"/>
      <c r="E95" s="237"/>
      <c r="F95" s="282">
        <v>5666639</v>
      </c>
      <c r="G95" s="282">
        <v>6569640</v>
      </c>
      <c r="H95" s="159">
        <f t="shared" si="22"/>
        <v>15.9</v>
      </c>
      <c r="I95" s="237">
        <f>IFERROR(100/'Skjema total MA'!F95*G95,0)</f>
        <v>0</v>
      </c>
      <c r="J95" s="288">
        <f t="shared" ref="J95" si="29">SUM(B95,F95)</f>
        <v>5666639</v>
      </c>
      <c r="K95" s="37">
        <f t="shared" ref="K95" si="30">SUM(C95,G95)</f>
        <v>6569640</v>
      </c>
      <c r="L95" s="159">
        <f t="shared" ref="L95" si="31">IF(J95=0, "    ---- ", IF(ABS(ROUND(100/J95*K95-100,1))&lt;999,ROUND(100/J95*K95-100,1),IF(ROUND(100/J95*K95-100,1)&gt;999,999,-999)))</f>
        <v>15.9</v>
      </c>
      <c r="M95" s="159">
        <f>IFERROR(100/'Skjema total MA'!I95*K95,0)</f>
        <v>0</v>
      </c>
    </row>
    <row r="96" spans="1:14" x14ac:dyDescent="0.2">
      <c r="A96" s="298" t="s">
        <v>12</v>
      </c>
      <c r="B96" s="230"/>
      <c r="C96" s="290"/>
      <c r="D96" s="159"/>
      <c r="E96" s="237"/>
      <c r="F96" s="282"/>
      <c r="G96" s="282"/>
      <c r="H96" s="159"/>
      <c r="I96" s="237"/>
      <c r="J96" s="291"/>
      <c r="K96" s="291"/>
      <c r="L96" s="159"/>
      <c r="M96" s="159"/>
    </row>
    <row r="97" spans="1:13" x14ac:dyDescent="0.2">
      <c r="A97" s="298" t="s">
        <v>13</v>
      </c>
      <c r="B97" s="230"/>
      <c r="C97" s="290"/>
      <c r="D97" s="159"/>
      <c r="E97" s="237"/>
      <c r="F97" s="282">
        <v>5666639</v>
      </c>
      <c r="G97" s="282">
        <v>6569640</v>
      </c>
      <c r="H97" s="159">
        <f t="shared" si="22"/>
        <v>15.9</v>
      </c>
      <c r="I97" s="237">
        <f>IFERROR(100/'Skjema total MA'!F97*G97,0)</f>
        <v>0</v>
      </c>
      <c r="J97" s="288">
        <f t="shared" ref="J97" si="32">SUM(B97,F97)</f>
        <v>5666639</v>
      </c>
      <c r="K97" s="37">
        <f t="shared" ref="K97" si="33">SUM(C97,G97)</f>
        <v>6569640</v>
      </c>
      <c r="L97" s="159">
        <f t="shared" ref="L97" si="34">IF(J97=0, "    ---- ", IF(ABS(ROUND(100/J97*K97-100,1))&lt;999,ROUND(100/J97*K97-100,1),IF(ROUND(100/J97*K97-100,1)&gt;999,999,-999)))</f>
        <v>15.9</v>
      </c>
      <c r="M97" s="159">
        <f>IFERROR(100/'Skjema total MA'!I97*K97,0)</f>
        <v>0</v>
      </c>
    </row>
    <row r="98" spans="1:13" ht="15.75" x14ac:dyDescent="0.2">
      <c r="A98" s="18" t="s">
        <v>342</v>
      </c>
      <c r="B98" s="229">
        <v>48373.455999999998</v>
      </c>
      <c r="C98" s="139">
        <v>39727</v>
      </c>
      <c r="D98" s="159">
        <f t="shared" si="21"/>
        <v>-17.899999999999999</v>
      </c>
      <c r="E98" s="170">
        <f>IFERROR(100/'Skjema total MA'!C98*C98,0)</f>
        <v>11.900724585084038</v>
      </c>
      <c r="F98" s="229"/>
      <c r="G98" s="139"/>
      <c r="H98" s="159"/>
      <c r="I98" s="170"/>
      <c r="J98" s="288">
        <f t="shared" si="23"/>
        <v>48373.455999999998</v>
      </c>
      <c r="K98" s="37">
        <f t="shared" si="23"/>
        <v>39727</v>
      </c>
      <c r="L98" s="256">
        <f t="shared" si="24"/>
        <v>-17.899999999999999</v>
      </c>
      <c r="M98" s="170">
        <f>IFERROR(100/'Skjema total MA'!I98*K98,0)</f>
        <v>11.442027157710356</v>
      </c>
    </row>
    <row r="99" spans="1:13" ht="15.75" x14ac:dyDescent="0.2">
      <c r="A99" s="11" t="s">
        <v>29</v>
      </c>
      <c r="B99" s="310">
        <v>34612</v>
      </c>
      <c r="C99" s="310">
        <v>44456</v>
      </c>
      <c r="D99" s="159">
        <f t="shared" si="21"/>
        <v>28.4</v>
      </c>
      <c r="E99" s="170">
        <f>IFERROR(100/'Skjema total MA'!C99*C99,0)</f>
        <v>13.769838792406201</v>
      </c>
      <c r="F99" s="310">
        <v>241872</v>
      </c>
      <c r="G99" s="310">
        <v>176705</v>
      </c>
      <c r="H99" s="159">
        <f t="shared" si="22"/>
        <v>-26.9</v>
      </c>
      <c r="I99" s="170">
        <f>IFERROR(100/'Skjema total MA'!F99*G99,0)</f>
        <v>14.481666659935517</v>
      </c>
      <c r="J99" s="311">
        <f t="shared" si="23"/>
        <v>276484</v>
      </c>
      <c r="K99" s="231">
        <f t="shared" si="23"/>
        <v>221161</v>
      </c>
      <c r="L99" s="256">
        <f t="shared" si="24"/>
        <v>-20</v>
      </c>
      <c r="M99" s="170">
        <f>IFERROR(100/'Skjema total MA'!I99*K99,0)</f>
        <v>14.332731602409126</v>
      </c>
    </row>
    <row r="100" spans="1:13" x14ac:dyDescent="0.2">
      <c r="A100" s="18" t="s">
        <v>9</v>
      </c>
      <c r="B100" s="229">
        <v>34612</v>
      </c>
      <c r="C100" s="139">
        <v>44456</v>
      </c>
      <c r="D100" s="159">
        <f t="shared" si="21"/>
        <v>28.4</v>
      </c>
      <c r="E100" s="170">
        <f>IFERROR(100/'Skjema total MA'!C100*C100,0)</f>
        <v>17.21266785448633</v>
      </c>
      <c r="F100" s="229"/>
      <c r="G100" s="139"/>
      <c r="H100" s="159"/>
      <c r="I100" s="170"/>
      <c r="J100" s="288">
        <f t="shared" si="23"/>
        <v>34612</v>
      </c>
      <c r="K100" s="37">
        <f t="shared" si="23"/>
        <v>44456</v>
      </c>
      <c r="L100" s="256">
        <f t="shared" si="24"/>
        <v>28.4</v>
      </c>
      <c r="M100" s="170">
        <f>IFERROR(100/'Skjema total MA'!I100*K100,0)</f>
        <v>17.21266785448633</v>
      </c>
    </row>
    <row r="101" spans="1:13" x14ac:dyDescent="0.2">
      <c r="A101" s="18" t="s">
        <v>10</v>
      </c>
      <c r="B101" s="229"/>
      <c r="C101" s="139"/>
      <c r="D101" s="159"/>
      <c r="E101" s="170"/>
      <c r="F101" s="293">
        <v>241872</v>
      </c>
      <c r="G101" s="293">
        <v>176705</v>
      </c>
      <c r="H101" s="159">
        <f t="shared" si="22"/>
        <v>-26.9</v>
      </c>
      <c r="I101" s="170">
        <f>IFERROR(100/'Skjema total MA'!F101*G101,0)</f>
        <v>17.59964846160079</v>
      </c>
      <c r="J101" s="288">
        <f t="shared" si="23"/>
        <v>241872</v>
      </c>
      <c r="K101" s="37">
        <f t="shared" si="23"/>
        <v>176705</v>
      </c>
      <c r="L101" s="256">
        <f t="shared" si="24"/>
        <v>-26.9</v>
      </c>
      <c r="M101" s="170">
        <f>IFERROR(100/'Skjema total MA'!I101*K101,0)</f>
        <v>17.478710721631174</v>
      </c>
    </row>
    <row r="102" spans="1:13" ht="15.75" x14ac:dyDescent="0.2">
      <c r="A102" s="298" t="s">
        <v>330</v>
      </c>
      <c r="B102" s="282"/>
      <c r="C102" s="282"/>
      <c r="D102" s="159"/>
      <c r="E102" s="237"/>
      <c r="F102" s="282"/>
      <c r="G102" s="282"/>
      <c r="H102" s="159"/>
      <c r="I102" s="237"/>
      <c r="J102" s="291"/>
      <c r="K102" s="291"/>
      <c r="L102" s="159"/>
      <c r="M102" s="159"/>
    </row>
    <row r="103" spans="1:13" x14ac:dyDescent="0.2">
      <c r="A103" s="298" t="s">
        <v>12</v>
      </c>
      <c r="B103" s="230"/>
      <c r="C103" s="290"/>
      <c r="D103" s="159"/>
      <c r="E103" s="237"/>
      <c r="F103" s="282"/>
      <c r="G103" s="282"/>
      <c r="H103" s="159"/>
      <c r="I103" s="237"/>
      <c r="J103" s="291"/>
      <c r="K103" s="291"/>
      <c r="L103" s="159"/>
      <c r="M103" s="159"/>
    </row>
    <row r="104" spans="1:13" x14ac:dyDescent="0.2">
      <c r="A104" s="298" t="s">
        <v>13</v>
      </c>
      <c r="B104" s="230"/>
      <c r="C104" s="290"/>
      <c r="D104" s="159"/>
      <c r="E104" s="237"/>
      <c r="F104" s="282"/>
      <c r="G104" s="282"/>
      <c r="H104" s="159"/>
      <c r="I104" s="237"/>
      <c r="J104" s="291"/>
      <c r="K104" s="291"/>
      <c r="L104" s="159"/>
      <c r="M104" s="159"/>
    </row>
    <row r="105" spans="1:13" ht="15.75" x14ac:dyDescent="0.2">
      <c r="A105" s="298" t="s">
        <v>331</v>
      </c>
      <c r="B105" s="282"/>
      <c r="C105" s="282"/>
      <c r="D105" s="159"/>
      <c r="E105" s="237"/>
      <c r="F105" s="282">
        <v>241872</v>
      </c>
      <c r="G105" s="282">
        <v>176705</v>
      </c>
      <c r="H105" s="159">
        <f t="shared" si="22"/>
        <v>-26.9</v>
      </c>
      <c r="I105" s="237">
        <f>IFERROR(100/'Skjema total MA'!F105*G105,0)</f>
        <v>0</v>
      </c>
      <c r="J105" s="288">
        <f t="shared" ref="J105" si="35">SUM(B105,F105)</f>
        <v>241872</v>
      </c>
      <c r="K105" s="37">
        <f t="shared" ref="K105" si="36">SUM(C105,G105)</f>
        <v>176705</v>
      </c>
      <c r="L105" s="159">
        <f t="shared" ref="L105" si="37">IF(J105=0, "    ---- ", IF(ABS(ROUND(100/J105*K105-100,1))&lt;999,ROUND(100/J105*K105-100,1),IF(ROUND(100/J105*K105-100,1)&gt;999,999,-999)))</f>
        <v>-26.9</v>
      </c>
      <c r="M105" s="159">
        <f>IFERROR(100/'Skjema total MA'!I105*K105,0)</f>
        <v>0</v>
      </c>
    </row>
    <row r="106" spans="1:13" x14ac:dyDescent="0.2">
      <c r="A106" s="298" t="s">
        <v>12</v>
      </c>
      <c r="B106" s="230"/>
      <c r="C106" s="290"/>
      <c r="D106" s="159"/>
      <c r="E106" s="237"/>
      <c r="F106" s="282"/>
      <c r="G106" s="282"/>
      <c r="H106" s="159"/>
      <c r="I106" s="237"/>
      <c r="J106" s="291"/>
      <c r="K106" s="291"/>
      <c r="L106" s="159"/>
      <c r="M106" s="159"/>
    </row>
    <row r="107" spans="1:13" x14ac:dyDescent="0.2">
      <c r="A107" s="298" t="s">
        <v>13</v>
      </c>
      <c r="B107" s="230"/>
      <c r="C107" s="290"/>
      <c r="D107" s="159"/>
      <c r="E107" s="237"/>
      <c r="F107" s="282">
        <v>241872</v>
      </c>
      <c r="G107" s="282">
        <v>176705</v>
      </c>
      <c r="H107" s="159">
        <f t="shared" si="22"/>
        <v>-26.9</v>
      </c>
      <c r="I107" s="237">
        <f>IFERROR(100/'Skjema total MA'!F107*G107,0)</f>
        <v>0</v>
      </c>
      <c r="J107" s="288">
        <f t="shared" ref="J107" si="38">SUM(B107,F107)</f>
        <v>241872</v>
      </c>
      <c r="K107" s="37">
        <f t="shared" ref="K107" si="39">SUM(C107,G107)</f>
        <v>176705</v>
      </c>
      <c r="L107" s="159">
        <f t="shared" ref="L107" si="40">IF(J107=0, "    ---- ", IF(ABS(ROUND(100/J107*K107-100,1))&lt;999,ROUND(100/J107*K107-100,1),IF(ROUND(100/J107*K107-100,1)&gt;999,999,-999)))</f>
        <v>-26.9</v>
      </c>
      <c r="M107" s="159">
        <f>IFERROR(100/'Skjema total MA'!I107*K107,0)</f>
        <v>0</v>
      </c>
    </row>
    <row r="108" spans="1:13" x14ac:dyDescent="0.2">
      <c r="A108" s="18" t="s">
        <v>33</v>
      </c>
      <c r="B108" s="229"/>
      <c r="C108" s="139"/>
      <c r="D108" s="159"/>
      <c r="E108" s="170"/>
      <c r="F108" s="229"/>
      <c r="G108" s="139"/>
      <c r="H108" s="159"/>
      <c r="I108" s="170"/>
      <c r="J108" s="288"/>
      <c r="K108" s="37"/>
      <c r="L108" s="256"/>
      <c r="M108" s="170"/>
    </row>
    <row r="109" spans="1:13" ht="15.75" x14ac:dyDescent="0.2">
      <c r="A109" s="18" t="s">
        <v>332</v>
      </c>
      <c r="B109" s="229">
        <v>28831.51</v>
      </c>
      <c r="C109" s="139">
        <v>30367</v>
      </c>
      <c r="D109" s="159">
        <f t="shared" si="21"/>
        <v>5.3</v>
      </c>
      <c r="E109" s="170">
        <f>IFERROR(100/'Skjema total MA'!C109*C109,0)</f>
        <v>12.19210037733159</v>
      </c>
      <c r="F109" s="293">
        <v>241872</v>
      </c>
      <c r="G109" s="293">
        <v>176705</v>
      </c>
      <c r="H109" s="159">
        <f t="shared" si="22"/>
        <v>-26.9</v>
      </c>
      <c r="I109" s="170">
        <f>IFERROR(100/'Skjema total MA'!F109*G109,0)</f>
        <v>17.59964846160079</v>
      </c>
      <c r="J109" s="288">
        <f t="shared" si="23"/>
        <v>270703.51</v>
      </c>
      <c r="K109" s="37">
        <f t="shared" si="23"/>
        <v>207072</v>
      </c>
      <c r="L109" s="256">
        <f t="shared" si="24"/>
        <v>-23.5</v>
      </c>
      <c r="M109" s="170">
        <f>IFERROR(100/'Skjema total MA'!I109*K109,0)</f>
        <v>16.524820113584092</v>
      </c>
    </row>
    <row r="110" spans="1:13" x14ac:dyDescent="0.2">
      <c r="A110" s="18" t="s">
        <v>9</v>
      </c>
      <c r="B110" s="229">
        <v>28831.51</v>
      </c>
      <c r="C110" s="139">
        <v>30367</v>
      </c>
      <c r="D110" s="159">
        <f t="shared" si="21"/>
        <v>5.3</v>
      </c>
      <c r="E110" s="170">
        <f>IFERROR(100/'Skjema total MA'!C110*C110,0)</f>
        <v>12.541914861240095</v>
      </c>
      <c r="F110" s="293"/>
      <c r="G110" s="294"/>
      <c r="H110" s="159"/>
      <c r="I110" s="170"/>
      <c r="J110" s="288">
        <f t="shared" si="23"/>
        <v>28831.51</v>
      </c>
      <c r="K110" s="37">
        <f t="shared" si="23"/>
        <v>30367</v>
      </c>
      <c r="L110" s="256">
        <f t="shared" si="24"/>
        <v>5.3</v>
      </c>
      <c r="M110" s="170">
        <f>IFERROR(100/'Skjema total MA'!I110*K110,0)</f>
        <v>12.541914861240095</v>
      </c>
    </row>
    <row r="111" spans="1:13" x14ac:dyDescent="0.2">
      <c r="A111" s="18" t="s">
        <v>10</v>
      </c>
      <c r="B111" s="293"/>
      <c r="C111" s="294"/>
      <c r="D111" s="159"/>
      <c r="E111" s="170"/>
      <c r="F111" s="293">
        <v>241872</v>
      </c>
      <c r="G111" s="294">
        <v>176705</v>
      </c>
      <c r="H111" s="159">
        <f t="shared" si="22"/>
        <v>-26.9</v>
      </c>
      <c r="I111" s="170">
        <f>IFERROR(100/'Skjema total MA'!F111*G111,0)</f>
        <v>17.59964846160079</v>
      </c>
      <c r="J111" s="288">
        <f t="shared" ref="J111:K142" si="41">SUM(B111,F111)</f>
        <v>241872</v>
      </c>
      <c r="K111" s="37">
        <f t="shared" si="41"/>
        <v>176705</v>
      </c>
      <c r="L111" s="256">
        <f t="shared" si="24"/>
        <v>-26.9</v>
      </c>
      <c r="M111" s="170">
        <f>IFERROR(100/'Skjema total MA'!I111*K111,0)</f>
        <v>17.478710721631174</v>
      </c>
    </row>
    <row r="112" spans="1:13" ht="15.75" x14ac:dyDescent="0.2">
      <c r="A112" s="298" t="s">
        <v>330</v>
      </c>
      <c r="B112" s="282"/>
      <c r="C112" s="282"/>
      <c r="D112" s="159"/>
      <c r="E112" s="237"/>
      <c r="F112" s="282"/>
      <c r="G112" s="282"/>
      <c r="H112" s="159"/>
      <c r="I112" s="237"/>
      <c r="J112" s="291"/>
      <c r="K112" s="291"/>
      <c r="L112" s="159"/>
      <c r="M112" s="159"/>
    </row>
    <row r="113" spans="1:13" x14ac:dyDescent="0.2">
      <c r="A113" s="298" t="s">
        <v>12</v>
      </c>
      <c r="B113" s="230"/>
      <c r="C113" s="290"/>
      <c r="D113" s="159"/>
      <c r="E113" s="237"/>
      <c r="F113" s="282"/>
      <c r="G113" s="282"/>
      <c r="H113" s="159"/>
      <c r="I113" s="237"/>
      <c r="J113" s="291"/>
      <c r="K113" s="291"/>
      <c r="L113" s="159"/>
      <c r="M113" s="159"/>
    </row>
    <row r="114" spans="1:13" x14ac:dyDescent="0.2">
      <c r="A114" s="298" t="s">
        <v>13</v>
      </c>
      <c r="B114" s="230"/>
      <c r="C114" s="290"/>
      <c r="D114" s="159"/>
      <c r="E114" s="237"/>
      <c r="F114" s="282"/>
      <c r="G114" s="282"/>
      <c r="H114" s="159"/>
      <c r="I114" s="237"/>
      <c r="J114" s="291"/>
      <c r="K114" s="291"/>
      <c r="L114" s="159"/>
      <c r="M114" s="159"/>
    </row>
    <row r="115" spans="1:13" ht="15.75" x14ac:dyDescent="0.2">
      <c r="A115" s="298" t="s">
        <v>331</v>
      </c>
      <c r="B115" s="282"/>
      <c r="C115" s="282"/>
      <c r="D115" s="159"/>
      <c r="E115" s="237"/>
      <c r="F115" s="282">
        <v>241872</v>
      </c>
      <c r="G115" s="282">
        <v>176705</v>
      </c>
      <c r="H115" s="159">
        <f t="shared" si="22"/>
        <v>-26.9</v>
      </c>
      <c r="I115" s="237">
        <f>IFERROR(100/'Skjema total MA'!F115*G115,0)</f>
        <v>0</v>
      </c>
      <c r="J115" s="288">
        <f t="shared" ref="J115" si="42">SUM(B115,F115)</f>
        <v>241872</v>
      </c>
      <c r="K115" s="37">
        <f t="shared" ref="K115" si="43">SUM(C115,G115)</f>
        <v>176705</v>
      </c>
      <c r="L115" s="159">
        <f t="shared" ref="L115:L117" si="44">IF(J115=0, "    ---- ", IF(ABS(ROUND(100/J115*K115-100,1))&lt;999,ROUND(100/J115*K115-100,1),IF(ROUND(100/J115*K115-100,1)&gt;999,999,-999)))</f>
        <v>-26.9</v>
      </c>
      <c r="M115" s="159">
        <f>IFERROR(100/'Skjema total MA'!I115*K115,0)</f>
        <v>0</v>
      </c>
    </row>
    <row r="116" spans="1:13" x14ac:dyDescent="0.2">
      <c r="A116" s="298" t="s">
        <v>12</v>
      </c>
      <c r="B116" s="230"/>
      <c r="C116" s="290"/>
      <c r="D116" s="159"/>
      <c r="E116" s="237"/>
      <c r="F116" s="282"/>
      <c r="G116" s="282"/>
      <c r="H116" s="159"/>
      <c r="I116" s="237"/>
      <c r="J116" s="291"/>
      <c r="K116" s="291"/>
      <c r="L116" s="159"/>
      <c r="M116" s="159"/>
    </row>
    <row r="117" spans="1:13" x14ac:dyDescent="0.2">
      <c r="A117" s="298" t="s">
        <v>13</v>
      </c>
      <c r="B117" s="232"/>
      <c r="C117" s="297"/>
      <c r="D117" s="159"/>
      <c r="E117" s="237"/>
      <c r="F117" s="282">
        <v>241872</v>
      </c>
      <c r="G117" s="282">
        <v>176705</v>
      </c>
      <c r="H117" s="159">
        <f t="shared" si="22"/>
        <v>-26.9</v>
      </c>
      <c r="I117" s="237">
        <f>IFERROR(100/'Skjema total MA'!F117*G117,0)</f>
        <v>0</v>
      </c>
      <c r="J117" s="288">
        <f t="shared" ref="J117" si="45">SUM(B117,F117)</f>
        <v>241872</v>
      </c>
      <c r="K117" s="37">
        <f t="shared" ref="K117" si="46">SUM(C117,G117)</f>
        <v>176705</v>
      </c>
      <c r="L117" s="159">
        <f t="shared" si="44"/>
        <v>-26.9</v>
      </c>
      <c r="M117" s="159">
        <f>IFERROR(100/'Skjema total MA'!I117*K117,0)</f>
        <v>0</v>
      </c>
    </row>
    <row r="118" spans="1:13" ht="15.75" x14ac:dyDescent="0.2">
      <c r="A118" s="18" t="s">
        <v>342</v>
      </c>
      <c r="B118" s="229">
        <v>5780.5609999999997</v>
      </c>
      <c r="C118" s="139">
        <v>14089</v>
      </c>
      <c r="D118" s="159">
        <f t="shared" si="21"/>
        <v>143.69999999999999</v>
      </c>
      <c r="E118" s="170">
        <f>IFERROR(100/'Skjema total MA'!C118*C118,0)</f>
        <v>87.234155941540877</v>
      </c>
      <c r="F118" s="229"/>
      <c r="G118" s="139"/>
      <c r="H118" s="159"/>
      <c r="I118" s="170"/>
      <c r="J118" s="288">
        <f t="shared" si="41"/>
        <v>5780.5609999999997</v>
      </c>
      <c r="K118" s="37">
        <f t="shared" si="41"/>
        <v>14089</v>
      </c>
      <c r="L118" s="256">
        <f t="shared" si="24"/>
        <v>143.69999999999999</v>
      </c>
      <c r="M118" s="170">
        <f>IFERROR(100/'Skjema total MA'!I118*K118,0)</f>
        <v>87.234155941540877</v>
      </c>
    </row>
    <row r="119" spans="1:13" ht="15.75" x14ac:dyDescent="0.2">
      <c r="A119" s="11" t="s">
        <v>28</v>
      </c>
      <c r="B119" s="355">
        <v>149588270</v>
      </c>
      <c r="C119" s="355">
        <v>153911268</v>
      </c>
      <c r="D119" s="159">
        <f t="shared" si="21"/>
        <v>2.9</v>
      </c>
      <c r="E119" s="170">
        <f>IFERROR(100/'Skjema total MA'!C119*C119,0)</f>
        <v>41.26504351115927</v>
      </c>
      <c r="F119" s="354">
        <v>39612988.280000001</v>
      </c>
      <c r="G119" s="354">
        <v>49416831.588040002</v>
      </c>
      <c r="H119" s="159">
        <f t="shared" si="22"/>
        <v>24.7</v>
      </c>
      <c r="I119" s="170">
        <f>IFERROR(100/'Skjema total MA'!F119*G119,0)</f>
        <v>27.804195155236446</v>
      </c>
      <c r="J119" s="311">
        <f t="shared" si="41"/>
        <v>189201258.28</v>
      </c>
      <c r="K119" s="231">
        <f t="shared" si="41"/>
        <v>203328099.58803999</v>
      </c>
      <c r="L119" s="256">
        <f t="shared" si="24"/>
        <v>7.5</v>
      </c>
      <c r="M119" s="170">
        <f>IFERROR(100/'Skjema total MA'!I119*K119,0)</f>
        <v>36.920830962807415</v>
      </c>
    </row>
    <row r="120" spans="1:13" x14ac:dyDescent="0.2">
      <c r="A120" s="18" t="s">
        <v>9</v>
      </c>
      <c r="B120" s="229">
        <v>149491845</v>
      </c>
      <c r="C120" s="139">
        <v>153814847</v>
      </c>
      <c r="D120" s="159">
        <f t="shared" si="21"/>
        <v>2.9</v>
      </c>
      <c r="E120" s="170">
        <f>IFERROR(100/'Skjema total MA'!C120*C120,0)</f>
        <v>41.503210074686123</v>
      </c>
      <c r="F120" s="229"/>
      <c r="G120" s="139"/>
      <c r="H120" s="159"/>
      <c r="I120" s="170"/>
      <c r="J120" s="288">
        <f t="shared" si="41"/>
        <v>149491845</v>
      </c>
      <c r="K120" s="37">
        <f t="shared" si="41"/>
        <v>153814847</v>
      </c>
      <c r="L120" s="256">
        <f t="shared" si="24"/>
        <v>2.9</v>
      </c>
      <c r="M120" s="170">
        <f>IFERROR(100/'Skjema total MA'!I120*K120,0)</f>
        <v>41.503210074686123</v>
      </c>
    </row>
    <row r="121" spans="1:13" x14ac:dyDescent="0.2">
      <c r="A121" s="18" t="s">
        <v>10</v>
      </c>
      <c r="B121" s="229">
        <v>96425</v>
      </c>
      <c r="C121" s="139">
        <v>96421</v>
      </c>
      <c r="D121" s="159">
        <f t="shared" si="21"/>
        <v>0</v>
      </c>
      <c r="E121" s="170">
        <f>IFERROR(100/'Skjema total MA'!C121*C121,0)</f>
        <v>4.2416984606926311</v>
      </c>
      <c r="F121" s="229">
        <v>39612988.280000001</v>
      </c>
      <c r="G121" s="139">
        <v>49416831.588040002</v>
      </c>
      <c r="H121" s="159">
        <f t="shared" si="22"/>
        <v>24.7</v>
      </c>
      <c r="I121" s="170">
        <f>IFERROR(100/'Skjema total MA'!F121*G121,0)</f>
        <v>27.837890784577262</v>
      </c>
      <c r="J121" s="288">
        <f t="shared" si="41"/>
        <v>39709413.280000001</v>
      </c>
      <c r="K121" s="37">
        <f t="shared" si="41"/>
        <v>49513252.588040002</v>
      </c>
      <c r="L121" s="256">
        <f t="shared" si="24"/>
        <v>24.7</v>
      </c>
      <c r="M121" s="170">
        <f>IFERROR(100/'Skjema total MA'!I121*K121,0)</f>
        <v>27.539552363319256</v>
      </c>
    </row>
    <row r="122" spans="1:13" ht="15.75" x14ac:dyDescent="0.2">
      <c r="A122" s="298" t="s">
        <v>330</v>
      </c>
      <c r="B122" s="282"/>
      <c r="C122" s="282"/>
      <c r="D122" s="159"/>
      <c r="E122" s="237"/>
      <c r="F122" s="282">
        <v>190525</v>
      </c>
      <c r="G122" s="282">
        <v>158168</v>
      </c>
      <c r="H122" s="159">
        <f t="shared" si="22"/>
        <v>-17</v>
      </c>
      <c r="I122" s="237">
        <f>IFERROR(100/'Skjema total MA'!F122*G122,0)</f>
        <v>0</v>
      </c>
      <c r="J122" s="288">
        <f t="shared" si="41"/>
        <v>190525</v>
      </c>
      <c r="K122" s="37">
        <f t="shared" si="41"/>
        <v>158168</v>
      </c>
      <c r="L122" s="159">
        <f t="shared" si="24"/>
        <v>-17</v>
      </c>
      <c r="M122" s="159">
        <f>IFERROR(100/'Skjema total MA'!I122*K122,0)</f>
        <v>0</v>
      </c>
    </row>
    <row r="123" spans="1:13" x14ac:dyDescent="0.2">
      <c r="A123" s="298" t="s">
        <v>12</v>
      </c>
      <c r="B123" s="230"/>
      <c r="C123" s="290"/>
      <c r="D123" s="159"/>
      <c r="E123" s="237"/>
      <c r="F123" s="282">
        <v>190525</v>
      </c>
      <c r="G123" s="282">
        <v>158168</v>
      </c>
      <c r="H123" s="159">
        <f t="shared" si="22"/>
        <v>-17</v>
      </c>
      <c r="I123" s="237">
        <f>IFERROR(100/'Skjema total MA'!F123*G123,0)</f>
        <v>0</v>
      </c>
      <c r="J123" s="288">
        <f t="shared" si="41"/>
        <v>190525</v>
      </c>
      <c r="K123" s="37">
        <f t="shared" si="41"/>
        <v>158168</v>
      </c>
      <c r="L123" s="159">
        <f t="shared" si="24"/>
        <v>-17</v>
      </c>
      <c r="M123" s="159">
        <f>IFERROR(100/'Skjema total MA'!I123*K123,0)</f>
        <v>0</v>
      </c>
    </row>
    <row r="124" spans="1:13" x14ac:dyDescent="0.2">
      <c r="A124" s="298" t="s">
        <v>13</v>
      </c>
      <c r="B124" s="230"/>
      <c r="C124" s="290"/>
      <c r="D124" s="159"/>
      <c r="E124" s="237"/>
      <c r="F124" s="282"/>
      <c r="G124" s="282"/>
      <c r="H124" s="159"/>
      <c r="I124" s="237"/>
      <c r="J124" s="291"/>
      <c r="K124" s="291"/>
      <c r="L124" s="159"/>
      <c r="M124" s="159"/>
    </row>
    <row r="125" spans="1:13" ht="15.75" x14ac:dyDescent="0.2">
      <c r="A125" s="298" t="s">
        <v>331</v>
      </c>
      <c r="B125" s="282">
        <v>96425</v>
      </c>
      <c r="C125" s="282">
        <v>96421</v>
      </c>
      <c r="D125" s="159">
        <f t="shared" ref="D125" si="47">IF(B125=0, "    ---- ", IF(ABS(ROUND(100/B125*C125-100,1))&lt;999,ROUND(100/B125*C125-100,1),IF(ROUND(100/B125*C125-100,1)&gt;999,999,-999)))</f>
        <v>0</v>
      </c>
      <c r="E125" s="170">
        <f>IFERROR(100/'Skjema total MA'!C125*C125,0)</f>
        <v>0</v>
      </c>
      <c r="F125" s="282">
        <v>39422463.280000001</v>
      </c>
      <c r="G125" s="282">
        <v>49258663.588040002</v>
      </c>
      <c r="H125" s="159">
        <f t="shared" si="22"/>
        <v>25</v>
      </c>
      <c r="I125" s="237">
        <f>IFERROR(100/'Skjema total MA'!F125*G125,0)</f>
        <v>0</v>
      </c>
      <c r="J125" s="288">
        <f t="shared" ref="J125" si="48">SUM(B125,F125)</f>
        <v>39518888.280000001</v>
      </c>
      <c r="K125" s="37">
        <f t="shared" ref="K125" si="49">SUM(C125,G125)</f>
        <v>49355084.588040002</v>
      </c>
      <c r="L125" s="159">
        <f t="shared" ref="L125" si="50">IF(J125=0, "    ---- ", IF(ABS(ROUND(100/J125*K125-100,1))&lt;999,ROUND(100/J125*K125-100,1),IF(ROUND(100/J125*K125-100,1)&gt;999,999,-999)))</f>
        <v>24.9</v>
      </c>
      <c r="M125" s="159">
        <f>IFERROR(100/'Skjema total MA'!I125*K125,0)</f>
        <v>0</v>
      </c>
    </row>
    <row r="126" spans="1:13" x14ac:dyDescent="0.2">
      <c r="A126" s="298" t="s">
        <v>12</v>
      </c>
      <c r="B126" s="230"/>
      <c r="C126" s="290"/>
      <c r="D126" s="159"/>
      <c r="E126" s="170">
        <f>IFERROR(100/'Skjema total MA'!C126*C126,0)</f>
        <v>0</v>
      </c>
      <c r="F126" s="282"/>
      <c r="G126" s="282"/>
      <c r="H126" s="159"/>
      <c r="I126" s="237"/>
      <c r="J126" s="291"/>
      <c r="K126" s="291"/>
      <c r="L126" s="159"/>
      <c r="M126" s="159"/>
    </row>
    <row r="127" spans="1:13" x14ac:dyDescent="0.2">
      <c r="A127" s="298" t="s">
        <v>13</v>
      </c>
      <c r="B127" s="230"/>
      <c r="C127" s="290"/>
      <c r="D127" s="159"/>
      <c r="E127" s="170">
        <f>IFERROR(100/'Skjema total MA'!C127*C127,0)</f>
        <v>0</v>
      </c>
      <c r="F127" s="282">
        <v>39422463.280000001</v>
      </c>
      <c r="G127" s="282">
        <v>49258663.588040002</v>
      </c>
      <c r="H127" s="159">
        <f t="shared" si="22"/>
        <v>25</v>
      </c>
      <c r="I127" s="237">
        <f>IFERROR(100/'Skjema total MA'!F127*G127,0)</f>
        <v>0</v>
      </c>
      <c r="J127" s="288">
        <f t="shared" ref="J127" si="51">SUM(B127,F127)</f>
        <v>39422463.280000001</v>
      </c>
      <c r="K127" s="37">
        <f t="shared" ref="K127" si="52">SUM(C127,G127)</f>
        <v>49258663.588040002</v>
      </c>
      <c r="L127" s="159">
        <f t="shared" ref="L127" si="53">IF(J127=0, "    ---- ", IF(ABS(ROUND(100/J127*K127-100,1))&lt;999,ROUND(100/J127*K127-100,1),IF(ROUND(100/J127*K127-100,1)&gt;999,999,-999)))</f>
        <v>25</v>
      </c>
      <c r="M127" s="159">
        <f>IFERROR(100/'Skjema total MA'!I127*K127,0)</f>
        <v>0</v>
      </c>
    </row>
    <row r="128" spans="1:13" x14ac:dyDescent="0.2">
      <c r="A128" s="18" t="s">
        <v>34</v>
      </c>
      <c r="B128" s="229"/>
      <c r="C128" s="139"/>
      <c r="D128" s="159"/>
      <c r="E128" s="170"/>
      <c r="F128" s="229"/>
      <c r="G128" s="139"/>
      <c r="H128" s="159"/>
      <c r="I128" s="170"/>
      <c r="J128" s="288"/>
      <c r="K128" s="37"/>
      <c r="L128" s="256"/>
      <c r="M128" s="170"/>
    </row>
    <row r="129" spans="1:13" ht="15.75" x14ac:dyDescent="0.2">
      <c r="A129" s="18" t="s">
        <v>332</v>
      </c>
      <c r="B129" s="229">
        <v>148317664</v>
      </c>
      <c r="C129" s="229">
        <v>152606380</v>
      </c>
      <c r="D129" s="159">
        <f t="shared" si="21"/>
        <v>2.9</v>
      </c>
      <c r="E129" s="170">
        <f>IFERROR(100/'Skjema total MA'!C129*C129,0)</f>
        <v>41.463647206266806</v>
      </c>
      <c r="F129" s="293">
        <v>39422463.280000001</v>
      </c>
      <c r="G129" s="293">
        <v>49258663.588040002</v>
      </c>
      <c r="H129" s="159">
        <f t="shared" si="22"/>
        <v>25</v>
      </c>
      <c r="I129" s="170">
        <f>IFERROR(100/'Skjema total MA'!F129*G129,0)</f>
        <v>27.80914088004501</v>
      </c>
      <c r="J129" s="288">
        <f t="shared" si="41"/>
        <v>187740127.28</v>
      </c>
      <c r="K129" s="37">
        <f t="shared" si="41"/>
        <v>201865043.58803999</v>
      </c>
      <c r="L129" s="256">
        <f t="shared" si="24"/>
        <v>7.5</v>
      </c>
      <c r="M129" s="170">
        <f>IFERROR(100/'Skjema total MA'!I129*K129,0)</f>
        <v>37.027241140847821</v>
      </c>
    </row>
    <row r="130" spans="1:13" x14ac:dyDescent="0.2">
      <c r="A130" s="18" t="s">
        <v>9</v>
      </c>
      <c r="B130" s="293">
        <v>148221239</v>
      </c>
      <c r="C130" s="294">
        <v>152509959</v>
      </c>
      <c r="D130" s="159">
        <f t="shared" si="21"/>
        <v>2.9</v>
      </c>
      <c r="E130" s="170">
        <f>IFERROR(100/'Skjema total MA'!C130*C130,0)</f>
        <v>41.694968899136029</v>
      </c>
      <c r="F130" s="229"/>
      <c r="G130" s="139"/>
      <c r="H130" s="159"/>
      <c r="I130" s="170"/>
      <c r="J130" s="288">
        <f t="shared" si="41"/>
        <v>148221239</v>
      </c>
      <c r="K130" s="37">
        <f t="shared" si="41"/>
        <v>152509959</v>
      </c>
      <c r="L130" s="256">
        <f t="shared" si="24"/>
        <v>2.9</v>
      </c>
      <c r="M130" s="170">
        <f>IFERROR(100/'Skjema total MA'!I130*K130,0)</f>
        <v>41.694968899136029</v>
      </c>
    </row>
    <row r="131" spans="1:13" x14ac:dyDescent="0.2">
      <c r="A131" s="18" t="s">
        <v>10</v>
      </c>
      <c r="B131" s="293">
        <v>96425</v>
      </c>
      <c r="C131" s="294">
        <v>96421</v>
      </c>
      <c r="D131" s="159">
        <f t="shared" si="21"/>
        <v>0</v>
      </c>
      <c r="E131" s="170">
        <f>IFERROR(100/'Skjema total MA'!C131*C131,0)</f>
        <v>4.2416987629820859</v>
      </c>
      <c r="F131" s="229">
        <v>39422463.280000001</v>
      </c>
      <c r="G131" s="229">
        <v>49258663.588040002</v>
      </c>
      <c r="H131" s="159">
        <f t="shared" si="22"/>
        <v>25</v>
      </c>
      <c r="I131" s="170">
        <f>IFERROR(100/'Skjema total MA'!F131*G131,0)</f>
        <v>27.80914088004501</v>
      </c>
      <c r="J131" s="288">
        <f t="shared" si="41"/>
        <v>39518888.280000001</v>
      </c>
      <c r="K131" s="37">
        <f t="shared" si="41"/>
        <v>49355084.588040002</v>
      </c>
      <c r="L131" s="256">
        <f t="shared" si="24"/>
        <v>24.9</v>
      </c>
      <c r="M131" s="170">
        <f>IFERROR(100/'Skjema total MA'!I131*K131,0)</f>
        <v>27.510526131583649</v>
      </c>
    </row>
    <row r="132" spans="1:13" ht="15.75" x14ac:dyDescent="0.2">
      <c r="A132" s="298" t="s">
        <v>330</v>
      </c>
      <c r="B132" s="282"/>
      <c r="C132" s="282"/>
      <c r="D132" s="159"/>
      <c r="E132" s="237"/>
      <c r="F132" s="282"/>
      <c r="G132" s="282"/>
      <c r="H132" s="159"/>
      <c r="I132" s="237"/>
      <c r="J132" s="291"/>
      <c r="K132" s="291"/>
      <c r="L132" s="159"/>
      <c r="M132" s="159"/>
    </row>
    <row r="133" spans="1:13" x14ac:dyDescent="0.2">
      <c r="A133" s="298" t="s">
        <v>12</v>
      </c>
      <c r="B133" s="230"/>
      <c r="C133" s="290"/>
      <c r="D133" s="159"/>
      <c r="E133" s="237"/>
      <c r="F133" s="282"/>
      <c r="G133" s="282"/>
      <c r="H133" s="159"/>
      <c r="I133" s="237"/>
      <c r="J133" s="291"/>
      <c r="K133" s="291"/>
      <c r="L133" s="159"/>
      <c r="M133" s="159"/>
    </row>
    <row r="134" spans="1:13" x14ac:dyDescent="0.2">
      <c r="A134" s="298" t="s">
        <v>13</v>
      </c>
      <c r="B134" s="230"/>
      <c r="C134" s="290"/>
      <c r="D134" s="159"/>
      <c r="E134" s="237"/>
      <c r="F134" s="282"/>
      <c r="G134" s="282"/>
      <c r="H134" s="159"/>
      <c r="I134" s="237"/>
      <c r="J134" s="291"/>
      <c r="K134" s="291"/>
      <c r="L134" s="159"/>
      <c r="M134" s="159"/>
    </row>
    <row r="135" spans="1:13" ht="15.75" x14ac:dyDescent="0.2">
      <c r="A135" s="298" t="s">
        <v>331</v>
      </c>
      <c r="B135" s="282">
        <v>96425</v>
      </c>
      <c r="C135" s="282">
        <v>96421</v>
      </c>
      <c r="D135" s="159">
        <f t="shared" ref="D135" si="54">IF(B135=0, "    ---- ", IF(ABS(ROUND(100/B135*C135-100,1))&lt;999,ROUND(100/B135*C135-100,1),IF(ROUND(100/B135*C135-100,1)&gt;999,999,-999)))</f>
        <v>0</v>
      </c>
      <c r="E135" s="170">
        <f>IFERROR(100/'Skjema total MA'!C135*C135,0)</f>
        <v>0</v>
      </c>
      <c r="F135" s="282">
        <v>39422463.280000001</v>
      </c>
      <c r="G135" s="282">
        <v>49258663.588040002</v>
      </c>
      <c r="H135" s="159">
        <f t="shared" si="22"/>
        <v>25</v>
      </c>
      <c r="I135" s="237">
        <f>IFERROR(100/'Skjema total MA'!F135*G135,0)</f>
        <v>0</v>
      </c>
      <c r="J135" s="288">
        <f t="shared" ref="J135" si="55">SUM(B135,F135)</f>
        <v>39518888.280000001</v>
      </c>
      <c r="K135" s="37">
        <f t="shared" ref="K135" si="56">SUM(C135,G135)</f>
        <v>49355084.588040002</v>
      </c>
      <c r="L135" s="159">
        <f t="shared" ref="L135" si="57">IF(J135=0, "    ---- ", IF(ABS(ROUND(100/J135*K135-100,1))&lt;999,ROUND(100/J135*K135-100,1),IF(ROUND(100/J135*K135-100,1)&gt;999,999,-999)))</f>
        <v>24.9</v>
      </c>
      <c r="M135" s="159">
        <f>IFERROR(100/'Skjema total MA'!I135*K135,0)</f>
        <v>0</v>
      </c>
    </row>
    <row r="136" spans="1:13" x14ac:dyDescent="0.2">
      <c r="A136" s="298" t="s">
        <v>12</v>
      </c>
      <c r="B136" s="230"/>
      <c r="C136" s="290"/>
      <c r="D136" s="159"/>
      <c r="E136" s="237"/>
      <c r="F136" s="282"/>
      <c r="G136" s="282"/>
      <c r="H136" s="159"/>
      <c r="I136" s="237"/>
      <c r="J136" s="291"/>
      <c r="K136" s="291"/>
      <c r="L136" s="159"/>
      <c r="M136" s="159"/>
    </row>
    <row r="137" spans="1:13" x14ac:dyDescent="0.2">
      <c r="A137" s="298" t="s">
        <v>13</v>
      </c>
      <c r="B137" s="230"/>
      <c r="C137" s="290"/>
      <c r="D137" s="159"/>
      <c r="E137" s="170">
        <f>IFERROR(100/'Skjema total MA'!C137*C137,0)</f>
        <v>0</v>
      </c>
      <c r="F137" s="282">
        <v>39422463.280000001</v>
      </c>
      <c r="G137" s="282">
        <v>49258663.588040002</v>
      </c>
      <c r="H137" s="159">
        <f t="shared" si="22"/>
        <v>25</v>
      </c>
      <c r="I137" s="237">
        <f>IFERROR(100/'Skjema total MA'!F137*G137,0)</f>
        <v>0</v>
      </c>
      <c r="J137" s="288">
        <f t="shared" ref="J137" si="58">SUM(B137,F137)</f>
        <v>39422463.280000001</v>
      </c>
      <c r="K137" s="37">
        <f t="shared" ref="K137" si="59">SUM(C137,G137)</f>
        <v>49258663.588040002</v>
      </c>
      <c r="L137" s="159">
        <f t="shared" ref="L137" si="60">IF(J137=0, "    ---- ", IF(ABS(ROUND(100/J137*K137-100,1))&lt;999,ROUND(100/J137*K137-100,1),IF(ROUND(100/J137*K137-100,1)&gt;999,999,-999)))</f>
        <v>25</v>
      </c>
      <c r="M137" s="159">
        <f>IFERROR(100/'Skjema total MA'!I137*K137,0)</f>
        <v>0</v>
      </c>
    </row>
    <row r="138" spans="1:13" ht="15.75" x14ac:dyDescent="0.2">
      <c r="A138" s="18" t="s">
        <v>342</v>
      </c>
      <c r="B138" s="229">
        <v>1270606</v>
      </c>
      <c r="C138" s="139">
        <v>1304888</v>
      </c>
      <c r="D138" s="159">
        <f t="shared" si="21"/>
        <v>2.7</v>
      </c>
      <c r="E138" s="170">
        <f>IFERROR(100/'Skjema total MA'!C138*C138,0)</f>
        <v>26.993562234163015</v>
      </c>
      <c r="F138" s="229">
        <v>190525</v>
      </c>
      <c r="G138" s="139">
        <v>158168</v>
      </c>
      <c r="H138" s="159">
        <f t="shared" si="22"/>
        <v>-17</v>
      </c>
      <c r="I138" s="170">
        <f>IFERROR(100/'Skjema total MA'!F138*G138,0)</f>
        <v>41.056903867386858</v>
      </c>
      <c r="J138" s="288">
        <f t="shared" si="41"/>
        <v>1461131</v>
      </c>
      <c r="K138" s="37">
        <f t="shared" si="41"/>
        <v>1463056</v>
      </c>
      <c r="L138" s="256">
        <f t="shared" si="24"/>
        <v>0.1</v>
      </c>
      <c r="M138" s="170">
        <f>IFERROR(100/'Skjema total MA'!I138*K138,0)</f>
        <v>28.031586938869854</v>
      </c>
    </row>
    <row r="139" spans="1:13" ht="15.75" x14ac:dyDescent="0.2">
      <c r="A139" s="18" t="s">
        <v>343</v>
      </c>
      <c r="B139" s="229">
        <v>90186950</v>
      </c>
      <c r="C139" s="229">
        <v>116938504</v>
      </c>
      <c r="D139" s="159">
        <f t="shared" si="21"/>
        <v>29.7</v>
      </c>
      <c r="E139" s="170">
        <f>IFERROR(100/'Skjema total MA'!C139*C139,0)</f>
        <v>43.397954642841761</v>
      </c>
      <c r="F139" s="229">
        <v>111320</v>
      </c>
      <c r="G139" s="229">
        <v>182912</v>
      </c>
      <c r="H139" s="159">
        <f t="shared" si="22"/>
        <v>64.3</v>
      </c>
      <c r="I139" s="170">
        <f>IFERROR(100/'Skjema total MA'!F139*G139,0)</f>
        <v>3.142981390313059</v>
      </c>
      <c r="J139" s="288">
        <f t="shared" si="41"/>
        <v>90298270</v>
      </c>
      <c r="K139" s="37">
        <f t="shared" si="41"/>
        <v>117121416</v>
      </c>
      <c r="L139" s="256">
        <f t="shared" si="24"/>
        <v>29.7</v>
      </c>
      <c r="M139" s="170">
        <f>IFERROR(100/'Skjema total MA'!I139*K139,0)</f>
        <v>42.546911346209605</v>
      </c>
    </row>
    <row r="140" spans="1:13" ht="15.75" x14ac:dyDescent="0.2">
      <c r="A140" s="18" t="s">
        <v>334</v>
      </c>
      <c r="B140" s="229">
        <v>96425</v>
      </c>
      <c r="C140" s="229">
        <v>96421</v>
      </c>
      <c r="D140" s="159">
        <f t="shared" si="21"/>
        <v>0</v>
      </c>
      <c r="E140" s="170">
        <f>IFERROR(100/'Skjema total MA'!C140*C140,0)</f>
        <v>12.912216612031861</v>
      </c>
      <c r="F140" s="229">
        <v>11564834</v>
      </c>
      <c r="G140" s="229">
        <v>14768901</v>
      </c>
      <c r="H140" s="159">
        <f t="shared" si="22"/>
        <v>27.7</v>
      </c>
      <c r="I140" s="170">
        <f>IFERROR(100/'Skjema total MA'!F140*G140,0)</f>
        <v>26.476310690217275</v>
      </c>
      <c r="J140" s="288">
        <f t="shared" si="41"/>
        <v>11661259</v>
      </c>
      <c r="K140" s="37">
        <f t="shared" si="41"/>
        <v>14865322</v>
      </c>
      <c r="L140" s="256">
        <f t="shared" si="24"/>
        <v>27.5</v>
      </c>
      <c r="M140" s="170">
        <f>IFERROR(100/'Skjema total MA'!I140*K140,0)</f>
        <v>26.297128176960054</v>
      </c>
    </row>
    <row r="141" spans="1:13" ht="15.75" x14ac:dyDescent="0.2">
      <c r="A141" s="18" t="s">
        <v>335</v>
      </c>
      <c r="B141" s="229"/>
      <c r="C141" s="229"/>
      <c r="D141" s="159"/>
      <c r="E141" s="170"/>
      <c r="F141" s="229"/>
      <c r="G141" s="229"/>
      <c r="H141" s="159"/>
      <c r="I141" s="170"/>
      <c r="J141" s="288"/>
      <c r="K141" s="37"/>
      <c r="L141" s="256"/>
      <c r="M141" s="170"/>
    </row>
    <row r="142" spans="1:13" ht="15.75" x14ac:dyDescent="0.2">
      <c r="A142" s="11" t="s">
        <v>27</v>
      </c>
      <c r="B142" s="310">
        <v>603447</v>
      </c>
      <c r="C142" s="152">
        <v>827412</v>
      </c>
      <c r="D142" s="159">
        <f t="shared" si="21"/>
        <v>37.1</v>
      </c>
      <c r="E142" s="170">
        <f>IFERROR(100/'Skjema total MA'!C142*C142,0)</f>
        <v>66.786820326743026</v>
      </c>
      <c r="F142" s="310">
        <v>964889</v>
      </c>
      <c r="G142" s="152">
        <v>1467617</v>
      </c>
      <c r="H142" s="159">
        <f t="shared" si="22"/>
        <v>52.1</v>
      </c>
      <c r="I142" s="170">
        <f>IFERROR(100/'Skjema total MA'!F142*G142,0)</f>
        <v>24.193614856576097</v>
      </c>
      <c r="J142" s="311">
        <f t="shared" si="41"/>
        <v>1568336</v>
      </c>
      <c r="K142" s="231">
        <f t="shared" si="41"/>
        <v>2295029</v>
      </c>
      <c r="L142" s="256">
        <f t="shared" si="24"/>
        <v>46.3</v>
      </c>
      <c r="M142" s="170">
        <f>IFERROR(100/'Skjema total MA'!I142*K142,0)</f>
        <v>31.417154123622993</v>
      </c>
    </row>
    <row r="143" spans="1:13" x14ac:dyDescent="0.2">
      <c r="A143" s="18" t="s">
        <v>9</v>
      </c>
      <c r="B143" s="229">
        <v>603447</v>
      </c>
      <c r="C143" s="139">
        <v>827412</v>
      </c>
      <c r="D143" s="159">
        <f t="shared" ref="D143:D155" si="61">IF(B143=0, "    ---- ", IF(ABS(ROUND(100/B143*C143-100,1))&lt;999,ROUND(100/B143*C143-100,1),IF(ROUND(100/B143*C143-100,1)&gt;999,999,-999)))</f>
        <v>37.1</v>
      </c>
      <c r="E143" s="170">
        <f>IFERROR(100/'Skjema total MA'!C143*C143,0)</f>
        <v>67.014247918273441</v>
      </c>
      <c r="F143" s="229"/>
      <c r="G143" s="139"/>
      <c r="H143" s="159"/>
      <c r="I143" s="170"/>
      <c r="J143" s="288">
        <f t="shared" ref="J143:K156" si="62">SUM(B143,F143)</f>
        <v>603447</v>
      </c>
      <c r="K143" s="37">
        <f t="shared" si="62"/>
        <v>827412</v>
      </c>
      <c r="L143" s="256">
        <f t="shared" ref="L143:L156" si="63">IF(J143=0, "    ---- ", IF(ABS(ROUND(100/J143*K143-100,1))&lt;999,ROUND(100/J143*K143-100,1),IF(ROUND(100/J143*K143-100,1)&gt;999,999,-999)))</f>
        <v>37.1</v>
      </c>
      <c r="M143" s="170">
        <f>IFERROR(100/'Skjema total MA'!I143*K143,0)</f>
        <v>67.014247918273441</v>
      </c>
    </row>
    <row r="144" spans="1:13" x14ac:dyDescent="0.2">
      <c r="A144" s="18" t="s">
        <v>10</v>
      </c>
      <c r="B144" s="229"/>
      <c r="C144" s="139"/>
      <c r="D144" s="159"/>
      <c r="E144" s="170"/>
      <c r="F144" s="229">
        <v>964889</v>
      </c>
      <c r="G144" s="139">
        <v>1467617</v>
      </c>
      <c r="H144" s="159">
        <f t="shared" ref="H144:H156" si="64">IF(F144=0, "    ---- ", IF(ABS(ROUND(100/F144*G144-100,1))&lt;999,ROUND(100/F144*G144-100,1),IF(ROUND(100/F144*G144-100,1)&gt;999,999,-999)))</f>
        <v>52.1</v>
      </c>
      <c r="I144" s="170">
        <f>IFERROR(100/'Skjema total MA'!F144*G144,0)</f>
        <v>24.193614856576097</v>
      </c>
      <c r="J144" s="288">
        <f t="shared" si="62"/>
        <v>964889</v>
      </c>
      <c r="K144" s="37">
        <f t="shared" si="62"/>
        <v>1467617</v>
      </c>
      <c r="L144" s="256">
        <f t="shared" si="63"/>
        <v>52.1</v>
      </c>
      <c r="M144" s="170">
        <f>IFERROR(100/'Skjema total MA'!I144*K144,0)</f>
        <v>24.176857907919803</v>
      </c>
    </row>
    <row r="145" spans="1:14" x14ac:dyDescent="0.2">
      <c r="A145" s="18" t="s">
        <v>34</v>
      </c>
      <c r="B145" s="229"/>
      <c r="C145" s="139"/>
      <c r="D145" s="159"/>
      <c r="E145" s="170"/>
      <c r="F145" s="229"/>
      <c r="G145" s="139"/>
      <c r="H145" s="159"/>
      <c r="I145" s="170"/>
      <c r="J145" s="288"/>
      <c r="K145" s="37"/>
      <c r="L145" s="256"/>
      <c r="M145" s="170"/>
    </row>
    <row r="146" spans="1:14" x14ac:dyDescent="0.2">
      <c r="A146" s="298" t="s">
        <v>15</v>
      </c>
      <c r="B146" s="282"/>
      <c r="C146" s="282"/>
      <c r="D146" s="159"/>
      <c r="E146" s="237"/>
      <c r="F146" s="282"/>
      <c r="G146" s="282"/>
      <c r="H146" s="159"/>
      <c r="I146" s="237"/>
      <c r="J146" s="291"/>
      <c r="K146" s="291"/>
      <c r="L146" s="159"/>
      <c r="M146" s="159"/>
    </row>
    <row r="147" spans="1:14" ht="15.75" x14ac:dyDescent="0.2">
      <c r="A147" s="18" t="s">
        <v>344</v>
      </c>
      <c r="B147" s="229">
        <v>233435</v>
      </c>
      <c r="C147" s="229">
        <v>465094</v>
      </c>
      <c r="D147" s="159">
        <f t="shared" si="61"/>
        <v>99.2</v>
      </c>
      <c r="E147" s="170">
        <f>IFERROR(100/'Skjema total MA'!C147*C147,0)</f>
        <v>83.413519445349408</v>
      </c>
      <c r="F147" s="229"/>
      <c r="G147" s="229"/>
      <c r="H147" s="159"/>
      <c r="I147" s="170"/>
      <c r="J147" s="288">
        <f t="shared" si="62"/>
        <v>233435</v>
      </c>
      <c r="K147" s="37">
        <f t="shared" si="62"/>
        <v>465094</v>
      </c>
      <c r="L147" s="256">
        <f t="shared" si="63"/>
        <v>99.2</v>
      </c>
      <c r="M147" s="170">
        <f>IFERROR(100/'Skjema total MA'!I147*K147,0)</f>
        <v>74.738610529056928</v>
      </c>
    </row>
    <row r="148" spans="1:14" ht="15.75" x14ac:dyDescent="0.2">
      <c r="A148" s="18" t="s">
        <v>336</v>
      </c>
      <c r="B148" s="229"/>
      <c r="C148" s="229"/>
      <c r="D148" s="159"/>
      <c r="E148" s="170"/>
      <c r="F148" s="229">
        <v>162009</v>
      </c>
      <c r="G148" s="229">
        <v>175760.51300000001</v>
      </c>
      <c r="H148" s="159">
        <f t="shared" si="64"/>
        <v>8.5</v>
      </c>
      <c r="I148" s="170">
        <f>IFERROR(100/'Skjema total MA'!F148*G148,0)</f>
        <v>15.598847083875976</v>
      </c>
      <c r="J148" s="288">
        <f t="shared" si="62"/>
        <v>162009</v>
      </c>
      <c r="K148" s="37">
        <f t="shared" si="62"/>
        <v>175760.51300000001</v>
      </c>
      <c r="L148" s="256">
        <f t="shared" si="63"/>
        <v>8.5</v>
      </c>
      <c r="M148" s="170">
        <f>IFERROR(100/'Skjema total MA'!I148*K148,0)</f>
        <v>15.598654695250875</v>
      </c>
    </row>
    <row r="149" spans="1:14" ht="15.75" x14ac:dyDescent="0.2">
      <c r="A149" s="18" t="s">
        <v>335</v>
      </c>
      <c r="B149" s="229"/>
      <c r="C149" s="229"/>
      <c r="D149" s="159"/>
      <c r="E149" s="170"/>
      <c r="F149" s="229"/>
      <c r="G149" s="229"/>
      <c r="H149" s="159"/>
      <c r="I149" s="170"/>
      <c r="J149" s="288"/>
      <c r="K149" s="37"/>
      <c r="L149" s="256"/>
      <c r="M149" s="170"/>
    </row>
    <row r="150" spans="1:14" ht="15.75" x14ac:dyDescent="0.2">
      <c r="A150" s="11" t="s">
        <v>26</v>
      </c>
      <c r="B150" s="310">
        <v>131292</v>
      </c>
      <c r="C150" s="152">
        <v>267283</v>
      </c>
      <c r="D150" s="159">
        <f t="shared" si="61"/>
        <v>103.6</v>
      </c>
      <c r="E150" s="170">
        <f>IFERROR(100/'Skjema total MA'!C150*C150,0)</f>
        <v>30.617432587640064</v>
      </c>
      <c r="F150" s="310">
        <v>722347</v>
      </c>
      <c r="G150" s="152">
        <v>1097693</v>
      </c>
      <c r="H150" s="159">
        <f t="shared" si="64"/>
        <v>52</v>
      </c>
      <c r="I150" s="170">
        <f>IFERROR(100/'Skjema total MA'!F150*G150,0)</f>
        <v>17.696050478339078</v>
      </c>
      <c r="J150" s="311">
        <f t="shared" si="62"/>
        <v>853639</v>
      </c>
      <c r="K150" s="231">
        <f t="shared" si="62"/>
        <v>1364976</v>
      </c>
      <c r="L150" s="256">
        <f t="shared" si="63"/>
        <v>59.9</v>
      </c>
      <c r="M150" s="170">
        <f>IFERROR(100/'Skjema total MA'!I150*K150,0)</f>
        <v>19.29017678576411</v>
      </c>
    </row>
    <row r="151" spans="1:14" x14ac:dyDescent="0.2">
      <c r="A151" s="18" t="s">
        <v>9</v>
      </c>
      <c r="B151" s="229">
        <v>131292</v>
      </c>
      <c r="C151" s="139">
        <v>267283</v>
      </c>
      <c r="D151" s="159">
        <f t="shared" si="61"/>
        <v>103.6</v>
      </c>
      <c r="E151" s="170">
        <f>IFERROR(100/'Skjema total MA'!C151*C151,0)</f>
        <v>32.331247437271166</v>
      </c>
      <c r="F151" s="229"/>
      <c r="G151" s="139"/>
      <c r="H151" s="159"/>
      <c r="I151" s="170"/>
      <c r="J151" s="288">
        <f t="shared" si="62"/>
        <v>131292</v>
      </c>
      <c r="K151" s="37">
        <f t="shared" si="62"/>
        <v>267283</v>
      </c>
      <c r="L151" s="256">
        <f t="shared" si="63"/>
        <v>103.6</v>
      </c>
      <c r="M151" s="170">
        <f>IFERROR(100/'Skjema total MA'!I151*K151,0)</f>
        <v>32.331247437271166</v>
      </c>
    </row>
    <row r="152" spans="1:14" x14ac:dyDescent="0.2">
      <c r="A152" s="18" t="s">
        <v>10</v>
      </c>
      <c r="B152" s="229"/>
      <c r="C152" s="139"/>
      <c r="D152" s="159"/>
      <c r="E152" s="170"/>
      <c r="F152" s="229">
        <v>722347</v>
      </c>
      <c r="G152" s="139">
        <v>1097693</v>
      </c>
      <c r="H152" s="159">
        <f t="shared" si="64"/>
        <v>52</v>
      </c>
      <c r="I152" s="170">
        <f>IFERROR(100/'Skjema total MA'!F152*G152,0)</f>
        <v>17.696050478339078</v>
      </c>
      <c r="J152" s="288">
        <f t="shared" si="62"/>
        <v>722347</v>
      </c>
      <c r="K152" s="37">
        <f t="shared" si="62"/>
        <v>1097693</v>
      </c>
      <c r="L152" s="256">
        <f t="shared" si="63"/>
        <v>52</v>
      </c>
      <c r="M152" s="170">
        <f>IFERROR(100/'Skjema total MA'!I152*K152,0)</f>
        <v>17.565015273299188</v>
      </c>
    </row>
    <row r="153" spans="1:14" x14ac:dyDescent="0.2">
      <c r="A153" s="18" t="s">
        <v>34</v>
      </c>
      <c r="B153" s="229"/>
      <c r="C153" s="139"/>
      <c r="D153" s="159"/>
      <c r="E153" s="170"/>
      <c r="F153" s="229"/>
      <c r="G153" s="139"/>
      <c r="H153" s="159"/>
      <c r="I153" s="170"/>
      <c r="J153" s="288"/>
      <c r="K153" s="37"/>
      <c r="L153" s="256"/>
      <c r="M153" s="170"/>
    </row>
    <row r="154" spans="1:14" x14ac:dyDescent="0.2">
      <c r="A154" s="298" t="s">
        <v>14</v>
      </c>
      <c r="B154" s="282"/>
      <c r="C154" s="282"/>
      <c r="D154" s="159"/>
      <c r="E154" s="237"/>
      <c r="F154" s="282"/>
      <c r="G154" s="282"/>
      <c r="H154" s="159"/>
      <c r="I154" s="237"/>
      <c r="J154" s="291"/>
      <c r="K154" s="291"/>
      <c r="L154" s="159"/>
      <c r="M154" s="159"/>
    </row>
    <row r="155" spans="1:14" ht="15.75" x14ac:dyDescent="0.2">
      <c r="A155" s="18" t="s">
        <v>333</v>
      </c>
      <c r="B155" s="229">
        <v>80999</v>
      </c>
      <c r="C155" s="229">
        <v>47702</v>
      </c>
      <c r="D155" s="159">
        <f t="shared" si="61"/>
        <v>-41.1</v>
      </c>
      <c r="E155" s="170">
        <f>IFERROR(100/'Skjema total MA'!C155*C155,0)</f>
        <v>63.975695297799817</v>
      </c>
      <c r="F155" s="229"/>
      <c r="G155" s="229"/>
      <c r="H155" s="159"/>
      <c r="I155" s="170"/>
      <c r="J155" s="288">
        <f t="shared" si="62"/>
        <v>80999</v>
      </c>
      <c r="K155" s="37">
        <f t="shared" si="62"/>
        <v>47702</v>
      </c>
      <c r="L155" s="256">
        <f t="shared" si="63"/>
        <v>-41.1</v>
      </c>
      <c r="M155" s="170">
        <f>IFERROR(100/'Skjema total MA'!I155*K155,0)</f>
        <v>43.311362984223557</v>
      </c>
    </row>
    <row r="156" spans="1:14" ht="15.75" x14ac:dyDescent="0.2">
      <c r="A156" s="18" t="s">
        <v>334</v>
      </c>
      <c r="B156" s="229"/>
      <c r="C156" s="229"/>
      <c r="D156" s="159"/>
      <c r="E156" s="170"/>
      <c r="F156" s="229">
        <v>173161.00399999999</v>
      </c>
      <c r="G156" s="229">
        <v>281202.39</v>
      </c>
      <c r="H156" s="159">
        <f t="shared" si="64"/>
        <v>62.4</v>
      </c>
      <c r="I156" s="170">
        <f>IFERROR(100/'Skjema total MA'!F156*G156,0)</f>
        <v>31.033141571816277</v>
      </c>
      <c r="J156" s="288">
        <f t="shared" si="62"/>
        <v>173161.00399999999</v>
      </c>
      <c r="K156" s="37">
        <f t="shared" si="62"/>
        <v>281202.39</v>
      </c>
      <c r="L156" s="256">
        <f t="shared" si="63"/>
        <v>62.4</v>
      </c>
      <c r="M156" s="170">
        <f>IFERROR(100/'Skjema total MA'!I156*K156,0)</f>
        <v>30.907760000781735</v>
      </c>
    </row>
    <row r="157" spans="1:14" ht="15.75" x14ac:dyDescent="0.2">
      <c r="A157" s="9" t="s">
        <v>335</v>
      </c>
      <c r="B157" s="38"/>
      <c r="C157" s="38"/>
      <c r="D157" s="160"/>
      <c r="E157" s="201"/>
      <c r="F157" s="38"/>
      <c r="G157" s="38"/>
      <c r="H157" s="160"/>
      <c r="I157" s="160"/>
      <c r="J157" s="289"/>
      <c r="K157" s="38"/>
      <c r="L157" s="257"/>
      <c r="M157" s="160"/>
    </row>
    <row r="158" spans="1:14" x14ac:dyDescent="0.2">
      <c r="A158" s="148"/>
      <c r="L158" s="20"/>
      <c r="M158" s="20"/>
      <c r="N158" s="20"/>
    </row>
    <row r="159" spans="1:14" x14ac:dyDescent="0.2">
      <c r="L159" s="20"/>
      <c r="M159" s="20"/>
      <c r="N159" s="20"/>
    </row>
    <row r="160" spans="1:14" ht="15.75" x14ac:dyDescent="0.25">
      <c r="A160" s="158" t="s">
        <v>35</v>
      </c>
    </row>
    <row r="161" spans="1:14" ht="15.75" x14ac:dyDescent="0.25">
      <c r="B161" s="832"/>
      <c r="C161" s="832"/>
      <c r="D161" s="832"/>
      <c r="E161" s="301"/>
      <c r="F161" s="832"/>
      <c r="G161" s="832"/>
      <c r="H161" s="832"/>
      <c r="I161" s="301"/>
      <c r="J161" s="832"/>
      <c r="K161" s="832"/>
      <c r="L161" s="832"/>
      <c r="M161" s="301"/>
    </row>
    <row r="162" spans="1:14" s="3" customFormat="1" x14ac:dyDescent="0.2">
      <c r="A162" s="138"/>
      <c r="B162" s="833" t="s">
        <v>0</v>
      </c>
      <c r="C162" s="834"/>
      <c r="D162" s="834"/>
      <c r="E162" s="303"/>
      <c r="F162" s="833" t="s">
        <v>1</v>
      </c>
      <c r="G162" s="834"/>
      <c r="H162" s="834"/>
      <c r="I162" s="306"/>
      <c r="J162" s="833" t="s">
        <v>2</v>
      </c>
      <c r="K162" s="834"/>
      <c r="L162" s="834"/>
      <c r="M162" s="306"/>
      <c r="N162" s="142"/>
    </row>
    <row r="163" spans="1:14" s="3" customFormat="1" x14ac:dyDescent="0.2">
      <c r="A163" s="134"/>
      <c r="B163" s="145" t="s">
        <v>400</v>
      </c>
      <c r="C163" s="145" t="s">
        <v>401</v>
      </c>
      <c r="D163" s="242" t="s">
        <v>3</v>
      </c>
      <c r="E163" s="307" t="s">
        <v>37</v>
      </c>
      <c r="F163" s="145" t="s">
        <v>400</v>
      </c>
      <c r="G163" s="145" t="s">
        <v>401</v>
      </c>
      <c r="H163" s="242" t="s">
        <v>3</v>
      </c>
      <c r="I163" s="307" t="s">
        <v>37</v>
      </c>
      <c r="J163" s="145" t="s">
        <v>400</v>
      </c>
      <c r="K163" s="145" t="s">
        <v>401</v>
      </c>
      <c r="L163" s="242" t="s">
        <v>3</v>
      </c>
      <c r="M163" s="155" t="s">
        <v>37</v>
      </c>
      <c r="N163" s="142"/>
    </row>
    <row r="164" spans="1:14" s="3" customFormat="1" x14ac:dyDescent="0.2">
      <c r="A164" s="403"/>
      <c r="B164" s="149"/>
      <c r="C164" s="149"/>
      <c r="D164" s="243" t="s">
        <v>4</v>
      </c>
      <c r="E164" s="149" t="s">
        <v>38</v>
      </c>
      <c r="F164" s="154"/>
      <c r="G164" s="154"/>
      <c r="H164" s="242" t="s">
        <v>4</v>
      </c>
      <c r="I164" s="149" t="s">
        <v>38</v>
      </c>
      <c r="J164" s="154"/>
      <c r="K164" s="154"/>
      <c r="L164" s="242" t="s">
        <v>4</v>
      </c>
      <c r="M164" s="149" t="s">
        <v>38</v>
      </c>
      <c r="N164" s="142"/>
    </row>
    <row r="165" spans="1:14" s="3" customFormat="1" ht="15.75" x14ac:dyDescent="0.2">
      <c r="A165" s="12" t="s">
        <v>337</v>
      </c>
      <c r="B165" s="231">
        <v>201687</v>
      </c>
      <c r="C165" s="311">
        <v>0</v>
      </c>
      <c r="D165" s="251">
        <f t="shared" ref="D165:D169" si="65">IF(B165=0, "    ---- ", IF(ABS(ROUND(100/B165*C165-100,1))&lt;999,ROUND(100/B165*C165-100,1),IF(ROUND(100/B165*C165-100,1)&gt;999,999,-999)))</f>
        <v>-100</v>
      </c>
      <c r="E165" s="170"/>
      <c r="F165" s="318"/>
      <c r="G165" s="319"/>
      <c r="H165" s="252"/>
      <c r="I165" s="159"/>
      <c r="J165" s="320">
        <f t="shared" ref="J165:K169" si="66">SUM(B165,F165)</f>
        <v>201687</v>
      </c>
      <c r="K165" s="320">
        <f t="shared" si="66"/>
        <v>0</v>
      </c>
      <c r="L165" s="255">
        <f t="shared" ref="L165:L169" si="67">IF(J165=0, "    ---- ", IF(ABS(ROUND(100/J165*K165-100,1))&lt;999,ROUND(100/J165*K165-100,1),IF(ROUND(100/J165*K165-100,1)&gt;999,999,-999)))</f>
        <v>-100</v>
      </c>
      <c r="M165" s="170">
        <f>IFERROR(100/'Skjema total MA'!I165*K165,0)</f>
        <v>0</v>
      </c>
      <c r="N165" s="142"/>
    </row>
    <row r="166" spans="1:14" s="3" customFormat="1" ht="15.75" x14ac:dyDescent="0.2">
      <c r="A166" s="11" t="s">
        <v>338</v>
      </c>
      <c r="B166" s="231"/>
      <c r="C166" s="311"/>
      <c r="D166" s="159"/>
      <c r="E166" s="170"/>
      <c r="F166" s="231"/>
      <c r="G166" s="311"/>
      <c r="H166" s="236"/>
      <c r="I166" s="159"/>
      <c r="J166" s="310"/>
      <c r="K166" s="310"/>
      <c r="L166" s="256"/>
      <c r="M166" s="170"/>
      <c r="N166" s="142"/>
    </row>
    <row r="167" spans="1:14" s="3" customFormat="1" ht="15.75" x14ac:dyDescent="0.2">
      <c r="A167" s="11" t="s">
        <v>339</v>
      </c>
      <c r="B167" s="231">
        <v>2337541</v>
      </c>
      <c r="C167" s="311">
        <v>27793</v>
      </c>
      <c r="D167" s="159">
        <f t="shared" si="65"/>
        <v>-98.8</v>
      </c>
      <c r="E167" s="170"/>
      <c r="F167" s="231"/>
      <c r="G167" s="311"/>
      <c r="H167" s="236"/>
      <c r="I167" s="159"/>
      <c r="J167" s="310">
        <f t="shared" si="66"/>
        <v>2337541</v>
      </c>
      <c r="K167" s="310">
        <f t="shared" si="66"/>
        <v>27793</v>
      </c>
      <c r="L167" s="256">
        <f t="shared" si="67"/>
        <v>-98.8</v>
      </c>
      <c r="M167" s="170">
        <f>IFERROR(100/'Skjema total MA'!I167*K167,0)</f>
        <v>5.6541710316132662E-3</v>
      </c>
      <c r="N167" s="142"/>
    </row>
    <row r="168" spans="1:14" s="3" customFormat="1" ht="15.75" x14ac:dyDescent="0.2">
      <c r="A168" s="11" t="s">
        <v>340</v>
      </c>
      <c r="B168" s="231"/>
      <c r="C168" s="311"/>
      <c r="D168" s="159"/>
      <c r="E168" s="170"/>
      <c r="F168" s="231"/>
      <c r="G168" s="311"/>
      <c r="H168" s="236"/>
      <c r="I168" s="159"/>
      <c r="J168" s="310"/>
      <c r="K168" s="310"/>
      <c r="L168" s="256"/>
      <c r="M168" s="170"/>
      <c r="N168" s="142"/>
    </row>
    <row r="169" spans="1:14" s="3" customFormat="1" ht="15.75" x14ac:dyDescent="0.2">
      <c r="A169" s="34" t="s">
        <v>341</v>
      </c>
      <c r="B169" s="277">
        <v>13885808</v>
      </c>
      <c r="C169" s="317">
        <v>0</v>
      </c>
      <c r="D169" s="160">
        <f t="shared" si="65"/>
        <v>-100</v>
      </c>
      <c r="E169" s="201"/>
      <c r="F169" s="277"/>
      <c r="G169" s="317"/>
      <c r="H169" s="239"/>
      <c r="I169" s="160"/>
      <c r="J169" s="316">
        <f t="shared" si="66"/>
        <v>13885808</v>
      </c>
      <c r="K169" s="316">
        <f t="shared" si="66"/>
        <v>0</v>
      </c>
      <c r="L169" s="257">
        <f t="shared" si="67"/>
        <v>-100</v>
      </c>
      <c r="M169" s="160">
        <f>IFERROR(100/'Skjema total MA'!I169*K169,0)</f>
        <v>0</v>
      </c>
      <c r="N169" s="142"/>
    </row>
    <row r="170" spans="1:14" s="3" customFormat="1" x14ac:dyDescent="0.2">
      <c r="A170" s="161"/>
      <c r="B170" s="27"/>
      <c r="C170" s="27"/>
      <c r="D170" s="152"/>
      <c r="E170" s="152"/>
      <c r="F170" s="27"/>
      <c r="G170" s="27"/>
      <c r="H170" s="152"/>
      <c r="I170" s="152"/>
      <c r="J170" s="27"/>
      <c r="K170" s="27"/>
      <c r="L170" s="152"/>
      <c r="M170" s="152"/>
      <c r="N170" s="142"/>
    </row>
    <row r="171" spans="1:14" x14ac:dyDescent="0.2">
      <c r="A171" s="161"/>
      <c r="B171" s="27"/>
      <c r="C171" s="27"/>
      <c r="D171" s="152"/>
      <c r="E171" s="152"/>
      <c r="F171" s="27"/>
      <c r="G171" s="27"/>
      <c r="H171" s="152"/>
      <c r="I171" s="152"/>
      <c r="J171" s="27"/>
      <c r="K171" s="27"/>
      <c r="L171" s="152"/>
      <c r="M171" s="152"/>
      <c r="N171" s="142"/>
    </row>
    <row r="172" spans="1:14" x14ac:dyDescent="0.2">
      <c r="A172" s="161"/>
      <c r="B172" s="27"/>
      <c r="C172" s="27"/>
      <c r="D172" s="152"/>
      <c r="E172" s="152"/>
      <c r="F172" s="27"/>
      <c r="G172" s="27"/>
      <c r="H172" s="152"/>
      <c r="I172" s="152"/>
      <c r="J172" s="27"/>
      <c r="K172" s="27"/>
      <c r="L172" s="152"/>
      <c r="M172" s="152"/>
      <c r="N172" s="142"/>
    </row>
    <row r="173" spans="1:14" x14ac:dyDescent="0.2">
      <c r="A173" s="140"/>
      <c r="B173" s="140"/>
      <c r="C173" s="140"/>
      <c r="D173" s="140"/>
      <c r="E173" s="140"/>
      <c r="F173" s="140"/>
      <c r="G173" s="140"/>
      <c r="H173" s="140"/>
      <c r="I173" s="140"/>
      <c r="J173" s="140"/>
      <c r="K173" s="140"/>
      <c r="L173" s="140"/>
      <c r="M173" s="140"/>
      <c r="N173" s="140"/>
    </row>
    <row r="174" spans="1:14" ht="15.75" x14ac:dyDescent="0.25">
      <c r="B174" s="136"/>
      <c r="C174" s="136"/>
      <c r="D174" s="136"/>
      <c r="E174" s="136"/>
      <c r="F174" s="136"/>
      <c r="G174" s="136"/>
      <c r="H174" s="136"/>
      <c r="I174" s="136"/>
      <c r="J174" s="136"/>
      <c r="K174" s="136"/>
      <c r="L174" s="136"/>
      <c r="M174" s="136"/>
      <c r="N174" s="136"/>
    </row>
    <row r="175" spans="1:14" ht="15.75" x14ac:dyDescent="0.25">
      <c r="B175" s="150"/>
      <c r="C175" s="150"/>
      <c r="D175" s="150"/>
      <c r="E175" s="150"/>
      <c r="F175" s="150"/>
      <c r="G175" s="150"/>
      <c r="H175" s="150"/>
      <c r="I175" s="150"/>
      <c r="J175" s="150"/>
      <c r="K175" s="150"/>
      <c r="L175" s="150"/>
      <c r="M175" s="150"/>
      <c r="N175" s="150"/>
    </row>
    <row r="176" spans="1:14" ht="15.75" x14ac:dyDescent="0.25">
      <c r="B176" s="150"/>
      <c r="C176" s="150"/>
      <c r="D176" s="150"/>
      <c r="E176" s="150"/>
      <c r="F176" s="150"/>
      <c r="G176" s="150"/>
      <c r="H176" s="150"/>
      <c r="I176" s="150"/>
      <c r="J176" s="150"/>
      <c r="K176" s="150"/>
      <c r="L176" s="150"/>
      <c r="M176" s="150"/>
      <c r="N176" s="150"/>
    </row>
  </sheetData>
  <mergeCells count="28">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22:D22"/>
    <mergeCell ref="F22:H22"/>
    <mergeCell ref="J22:L22"/>
    <mergeCell ref="D47:F47"/>
    <mergeCell ref="G47:I47"/>
    <mergeCell ref="J47:L47"/>
  </mergeCells>
  <conditionalFormatting sqref="B57:C59">
    <cfRule type="expression" dxfId="2406" priority="132">
      <formula>kvartal &lt; 4</formula>
    </cfRule>
  </conditionalFormatting>
  <conditionalFormatting sqref="B63:C65">
    <cfRule type="expression" dxfId="2405" priority="131">
      <formula>kvartal &lt; 4</formula>
    </cfRule>
  </conditionalFormatting>
  <conditionalFormatting sqref="B37">
    <cfRule type="expression" dxfId="2404" priority="130">
      <formula>kvartal &lt; 4</formula>
    </cfRule>
  </conditionalFormatting>
  <conditionalFormatting sqref="B38">
    <cfRule type="expression" dxfId="2403" priority="129">
      <formula>kvartal &lt; 4</formula>
    </cfRule>
  </conditionalFormatting>
  <conditionalFormatting sqref="B39">
    <cfRule type="expression" dxfId="2402" priority="128">
      <formula>kvartal &lt; 4</formula>
    </cfRule>
  </conditionalFormatting>
  <conditionalFormatting sqref="A34">
    <cfRule type="expression" dxfId="2401" priority="1">
      <formula>kvartal &lt; 4</formula>
    </cfRule>
  </conditionalFormatting>
  <conditionalFormatting sqref="C37">
    <cfRule type="expression" dxfId="2400" priority="127">
      <formula>kvartal &lt; 4</formula>
    </cfRule>
  </conditionalFormatting>
  <conditionalFormatting sqref="C38">
    <cfRule type="expression" dxfId="2399" priority="126">
      <formula>kvartal &lt; 4</formula>
    </cfRule>
  </conditionalFormatting>
  <conditionalFormatting sqref="C39">
    <cfRule type="expression" dxfId="2398" priority="125">
      <formula>kvartal &lt; 4</formula>
    </cfRule>
  </conditionalFormatting>
  <conditionalFormatting sqref="B26:C28">
    <cfRule type="expression" dxfId="2397" priority="124">
      <formula>kvartal &lt; 4</formula>
    </cfRule>
  </conditionalFormatting>
  <conditionalFormatting sqref="B32:C33">
    <cfRule type="expression" dxfId="2396" priority="123">
      <formula>kvartal &lt; 4</formula>
    </cfRule>
  </conditionalFormatting>
  <conditionalFormatting sqref="B34">
    <cfRule type="expression" dxfId="2395" priority="122">
      <formula>kvartal &lt; 4</formula>
    </cfRule>
  </conditionalFormatting>
  <conditionalFormatting sqref="C34">
    <cfRule type="expression" dxfId="2394" priority="121">
      <formula>kvartal &lt; 4</formula>
    </cfRule>
  </conditionalFormatting>
  <conditionalFormatting sqref="F26:G28">
    <cfRule type="expression" dxfId="2393" priority="120">
      <formula>kvartal &lt; 4</formula>
    </cfRule>
  </conditionalFormatting>
  <conditionalFormatting sqref="F32">
    <cfRule type="expression" dxfId="2392" priority="119">
      <formula>kvartal &lt; 4</formula>
    </cfRule>
  </conditionalFormatting>
  <conditionalFormatting sqref="G32">
    <cfRule type="expression" dxfId="2391" priority="118">
      <formula>kvartal &lt; 4</formula>
    </cfRule>
  </conditionalFormatting>
  <conditionalFormatting sqref="F33">
    <cfRule type="expression" dxfId="2390" priority="117">
      <formula>kvartal &lt; 4</formula>
    </cfRule>
  </conditionalFormatting>
  <conditionalFormatting sqref="G33">
    <cfRule type="expression" dxfId="2389" priority="116">
      <formula>kvartal &lt; 4</formula>
    </cfRule>
  </conditionalFormatting>
  <conditionalFormatting sqref="F34">
    <cfRule type="expression" dxfId="2388" priority="115">
      <formula>kvartal &lt; 4</formula>
    </cfRule>
  </conditionalFormatting>
  <conditionalFormatting sqref="G34">
    <cfRule type="expression" dxfId="2387" priority="114">
      <formula>kvartal &lt; 4</formula>
    </cfRule>
  </conditionalFormatting>
  <conditionalFormatting sqref="F37">
    <cfRule type="expression" dxfId="2386" priority="113">
      <formula>kvartal &lt; 4</formula>
    </cfRule>
  </conditionalFormatting>
  <conditionalFormatting sqref="F38">
    <cfRule type="expression" dxfId="2385" priority="112">
      <formula>kvartal &lt; 4</formula>
    </cfRule>
  </conditionalFormatting>
  <conditionalFormatting sqref="F39">
    <cfRule type="expression" dxfId="2384" priority="111">
      <formula>kvartal &lt; 4</formula>
    </cfRule>
  </conditionalFormatting>
  <conditionalFormatting sqref="G37">
    <cfRule type="expression" dxfId="2383" priority="110">
      <formula>kvartal &lt; 4</formula>
    </cfRule>
  </conditionalFormatting>
  <conditionalFormatting sqref="G38">
    <cfRule type="expression" dxfId="2382" priority="109">
      <formula>kvartal &lt; 4</formula>
    </cfRule>
  </conditionalFormatting>
  <conditionalFormatting sqref="G39">
    <cfRule type="expression" dxfId="2381" priority="108">
      <formula>kvartal &lt; 4</formula>
    </cfRule>
  </conditionalFormatting>
  <conditionalFormatting sqref="B29">
    <cfRule type="expression" dxfId="2380" priority="107">
      <formula>kvartal &lt; 4</formula>
    </cfRule>
  </conditionalFormatting>
  <conditionalFormatting sqref="C29">
    <cfRule type="expression" dxfId="2379" priority="106">
      <formula>kvartal &lt; 4</formula>
    </cfRule>
  </conditionalFormatting>
  <conditionalFormatting sqref="F29">
    <cfRule type="expression" dxfId="2378" priority="105">
      <formula>kvartal &lt; 4</formula>
    </cfRule>
  </conditionalFormatting>
  <conditionalFormatting sqref="G29">
    <cfRule type="expression" dxfId="2377" priority="104">
      <formula>kvartal &lt; 4</formula>
    </cfRule>
  </conditionalFormatting>
  <conditionalFormatting sqref="J34:K34">
    <cfRule type="expression" dxfId="2376" priority="102">
      <formula>kvartal &lt; 4</formula>
    </cfRule>
  </conditionalFormatting>
  <conditionalFormatting sqref="B82">
    <cfRule type="expression" dxfId="2375" priority="100">
      <formula>kvartal &lt; 4</formula>
    </cfRule>
  </conditionalFormatting>
  <conditionalFormatting sqref="C82">
    <cfRule type="expression" dxfId="2374" priority="99">
      <formula>kvartal &lt; 4</formula>
    </cfRule>
  </conditionalFormatting>
  <conditionalFormatting sqref="B85">
    <cfRule type="expression" dxfId="2373" priority="98">
      <formula>kvartal &lt; 4</formula>
    </cfRule>
  </conditionalFormatting>
  <conditionalFormatting sqref="C85">
    <cfRule type="expression" dxfId="2372" priority="97">
      <formula>kvartal &lt; 4</formula>
    </cfRule>
  </conditionalFormatting>
  <conditionalFormatting sqref="B92">
    <cfRule type="expression" dxfId="2371" priority="96">
      <formula>kvartal &lt; 4</formula>
    </cfRule>
  </conditionalFormatting>
  <conditionalFormatting sqref="C92">
    <cfRule type="expression" dxfId="2370" priority="95">
      <formula>kvartal &lt; 4</formula>
    </cfRule>
  </conditionalFormatting>
  <conditionalFormatting sqref="B95">
    <cfRule type="expression" dxfId="2369" priority="94">
      <formula>kvartal &lt; 4</formula>
    </cfRule>
  </conditionalFormatting>
  <conditionalFormatting sqref="C95">
    <cfRule type="expression" dxfId="2368" priority="93">
      <formula>kvartal &lt; 4</formula>
    </cfRule>
  </conditionalFormatting>
  <conditionalFormatting sqref="B102">
    <cfRule type="expression" dxfId="2367" priority="92">
      <formula>kvartal &lt; 4</formula>
    </cfRule>
  </conditionalFormatting>
  <conditionalFormatting sqref="C102">
    <cfRule type="expression" dxfId="2366" priority="91">
      <formula>kvartal &lt; 4</formula>
    </cfRule>
  </conditionalFormatting>
  <conditionalFormatting sqref="B105">
    <cfRule type="expression" dxfId="2365" priority="90">
      <formula>kvartal &lt; 4</formula>
    </cfRule>
  </conditionalFormatting>
  <conditionalFormatting sqref="C105">
    <cfRule type="expression" dxfId="2364" priority="89">
      <formula>kvartal &lt; 4</formula>
    </cfRule>
  </conditionalFormatting>
  <conditionalFormatting sqref="B112">
    <cfRule type="expression" dxfId="2363" priority="88">
      <formula>kvartal &lt; 4</formula>
    </cfRule>
  </conditionalFormatting>
  <conditionalFormatting sqref="C112">
    <cfRule type="expression" dxfId="2362" priority="87">
      <formula>kvartal &lt; 4</formula>
    </cfRule>
  </conditionalFormatting>
  <conditionalFormatting sqref="B115">
    <cfRule type="expression" dxfId="2361" priority="86">
      <formula>kvartal &lt; 4</formula>
    </cfRule>
  </conditionalFormatting>
  <conditionalFormatting sqref="C115">
    <cfRule type="expression" dxfId="2360" priority="85">
      <formula>kvartal &lt; 4</formula>
    </cfRule>
  </conditionalFormatting>
  <conditionalFormatting sqref="B122">
    <cfRule type="expression" dxfId="2359" priority="84">
      <formula>kvartal &lt; 4</formula>
    </cfRule>
  </conditionalFormatting>
  <conditionalFormatting sqref="C122">
    <cfRule type="expression" dxfId="2358" priority="83">
      <formula>kvartal &lt; 4</formula>
    </cfRule>
  </conditionalFormatting>
  <conditionalFormatting sqref="B125">
    <cfRule type="expression" dxfId="2357" priority="82">
      <formula>kvartal &lt; 4</formula>
    </cfRule>
  </conditionalFormatting>
  <conditionalFormatting sqref="C125">
    <cfRule type="expression" dxfId="2356" priority="81">
      <formula>kvartal &lt; 4</formula>
    </cfRule>
  </conditionalFormatting>
  <conditionalFormatting sqref="B132">
    <cfRule type="expression" dxfId="2355" priority="80">
      <formula>kvartal &lt; 4</formula>
    </cfRule>
  </conditionalFormatting>
  <conditionalFormatting sqref="C132">
    <cfRule type="expression" dxfId="2354" priority="79">
      <formula>kvartal &lt; 4</formula>
    </cfRule>
  </conditionalFormatting>
  <conditionalFormatting sqref="B135">
    <cfRule type="expression" dxfId="2353" priority="78">
      <formula>kvartal &lt; 4</formula>
    </cfRule>
  </conditionalFormatting>
  <conditionalFormatting sqref="C135">
    <cfRule type="expression" dxfId="2352" priority="77">
      <formula>kvartal &lt; 4</formula>
    </cfRule>
  </conditionalFormatting>
  <conditionalFormatting sqref="B146">
    <cfRule type="expression" dxfId="2351" priority="76">
      <formula>kvartal &lt; 4</formula>
    </cfRule>
  </conditionalFormatting>
  <conditionalFormatting sqref="C146">
    <cfRule type="expression" dxfId="2350" priority="75">
      <formula>kvartal &lt; 4</formula>
    </cfRule>
  </conditionalFormatting>
  <conditionalFormatting sqref="B154">
    <cfRule type="expression" dxfId="2349" priority="74">
      <formula>kvartal &lt; 4</formula>
    </cfRule>
  </conditionalFormatting>
  <conditionalFormatting sqref="C154">
    <cfRule type="expression" dxfId="2348" priority="73">
      <formula>kvartal &lt; 4</formula>
    </cfRule>
  </conditionalFormatting>
  <conditionalFormatting sqref="F83">
    <cfRule type="expression" dxfId="2347" priority="72">
      <formula>kvartal &lt; 4</formula>
    </cfRule>
  </conditionalFormatting>
  <conditionalFormatting sqref="G83">
    <cfRule type="expression" dxfId="2346" priority="71">
      <formula>kvartal &lt; 4</formula>
    </cfRule>
  </conditionalFormatting>
  <conditionalFormatting sqref="F84:G84">
    <cfRule type="expression" dxfId="2345" priority="70">
      <formula>kvartal &lt; 4</formula>
    </cfRule>
  </conditionalFormatting>
  <conditionalFormatting sqref="F86:G87">
    <cfRule type="expression" dxfId="2344" priority="69">
      <formula>kvartal &lt; 4</formula>
    </cfRule>
  </conditionalFormatting>
  <conditionalFormatting sqref="F93:G94">
    <cfRule type="expression" dxfId="2343" priority="68">
      <formula>kvartal &lt; 4</formula>
    </cfRule>
  </conditionalFormatting>
  <conditionalFormatting sqref="F96:G97">
    <cfRule type="expression" dxfId="2342" priority="67">
      <formula>kvartal &lt; 4</formula>
    </cfRule>
  </conditionalFormatting>
  <conditionalFormatting sqref="F103:G104">
    <cfRule type="expression" dxfId="2341" priority="66">
      <formula>kvartal &lt; 4</formula>
    </cfRule>
  </conditionalFormatting>
  <conditionalFormatting sqref="F106:G107">
    <cfRule type="expression" dxfId="2340" priority="65">
      <formula>kvartal &lt; 4</formula>
    </cfRule>
  </conditionalFormatting>
  <conditionalFormatting sqref="F113:G114">
    <cfRule type="expression" dxfId="2339" priority="64">
      <formula>kvartal &lt; 4</formula>
    </cfRule>
  </conditionalFormatting>
  <conditionalFormatting sqref="F116:G117">
    <cfRule type="expression" dxfId="2338" priority="63">
      <formula>kvartal &lt; 4</formula>
    </cfRule>
  </conditionalFormatting>
  <conditionalFormatting sqref="F123:G124">
    <cfRule type="expression" dxfId="2337" priority="62">
      <formula>kvartal &lt; 4</formula>
    </cfRule>
  </conditionalFormatting>
  <conditionalFormatting sqref="F126:G127">
    <cfRule type="expression" dxfId="2336" priority="61">
      <formula>kvartal &lt; 4</formula>
    </cfRule>
  </conditionalFormatting>
  <conditionalFormatting sqref="F133:G134">
    <cfRule type="expression" dxfId="2335" priority="60">
      <formula>kvartal &lt; 4</formula>
    </cfRule>
  </conditionalFormatting>
  <conditionalFormatting sqref="F136:G137">
    <cfRule type="expression" dxfId="2334" priority="59">
      <formula>kvartal &lt; 4</formula>
    </cfRule>
  </conditionalFormatting>
  <conditionalFormatting sqref="F146">
    <cfRule type="expression" dxfId="2333" priority="58">
      <formula>kvartal &lt; 4</formula>
    </cfRule>
  </conditionalFormatting>
  <conditionalFormatting sqref="G146">
    <cfRule type="expression" dxfId="2332" priority="57">
      <formula>kvartal &lt; 4</formula>
    </cfRule>
  </conditionalFormatting>
  <conditionalFormatting sqref="F154:G154">
    <cfRule type="expression" dxfId="2331" priority="56">
      <formula>kvartal &lt; 4</formula>
    </cfRule>
  </conditionalFormatting>
  <conditionalFormatting sqref="F82:G82">
    <cfRule type="expression" dxfId="2330" priority="55">
      <formula>kvartal &lt; 4</formula>
    </cfRule>
  </conditionalFormatting>
  <conditionalFormatting sqref="F85:G85">
    <cfRule type="expression" dxfId="2329" priority="54">
      <formula>kvartal &lt; 4</formula>
    </cfRule>
  </conditionalFormatting>
  <conditionalFormatting sqref="F92:G92">
    <cfRule type="expression" dxfId="2328" priority="53">
      <formula>kvartal &lt; 4</formula>
    </cfRule>
  </conditionalFormatting>
  <conditionalFormatting sqref="F95:G95">
    <cfRule type="expression" dxfId="2327" priority="52">
      <formula>kvartal &lt; 4</formula>
    </cfRule>
  </conditionalFormatting>
  <conditionalFormatting sqref="F102:G102">
    <cfRule type="expression" dxfId="2326" priority="51">
      <formula>kvartal &lt; 4</formula>
    </cfRule>
  </conditionalFormatting>
  <conditionalFormatting sqref="F105:G105">
    <cfRule type="expression" dxfId="2325" priority="50">
      <formula>kvartal &lt; 4</formula>
    </cfRule>
  </conditionalFormatting>
  <conditionalFormatting sqref="F112:G112">
    <cfRule type="expression" dxfId="2324" priority="49">
      <formula>kvartal &lt; 4</formula>
    </cfRule>
  </conditionalFormatting>
  <conditionalFormatting sqref="F115">
    <cfRule type="expression" dxfId="2323" priority="48">
      <formula>kvartal &lt; 4</formula>
    </cfRule>
  </conditionalFormatting>
  <conditionalFormatting sqref="G115">
    <cfRule type="expression" dxfId="2322" priority="47">
      <formula>kvartal &lt; 4</formula>
    </cfRule>
  </conditionalFormatting>
  <conditionalFormatting sqref="F122:G122">
    <cfRule type="expression" dxfId="2321" priority="46">
      <formula>kvartal &lt; 4</formula>
    </cfRule>
  </conditionalFormatting>
  <conditionalFormatting sqref="F125">
    <cfRule type="expression" dxfId="2320" priority="45">
      <formula>kvartal &lt; 4</formula>
    </cfRule>
  </conditionalFormatting>
  <conditionalFormatting sqref="G125">
    <cfRule type="expression" dxfId="2319" priority="44">
      <formula>kvartal &lt; 4</formula>
    </cfRule>
  </conditionalFormatting>
  <conditionalFormatting sqref="F132">
    <cfRule type="expression" dxfId="2318" priority="43">
      <formula>kvartal &lt; 4</formula>
    </cfRule>
  </conditionalFormatting>
  <conditionalFormatting sqref="G132">
    <cfRule type="expression" dxfId="2317" priority="42">
      <formula>kvartal &lt; 4</formula>
    </cfRule>
  </conditionalFormatting>
  <conditionalFormatting sqref="G135">
    <cfRule type="expression" dxfId="2316" priority="41">
      <formula>kvartal &lt; 4</formula>
    </cfRule>
  </conditionalFormatting>
  <conditionalFormatting sqref="F135">
    <cfRule type="expression" dxfId="2315" priority="40">
      <formula>kvartal &lt; 4</formula>
    </cfRule>
  </conditionalFormatting>
  <conditionalFormatting sqref="J82:K84">
    <cfRule type="expression" dxfId="2314" priority="39">
      <formula>kvartal &lt; 4</formula>
    </cfRule>
  </conditionalFormatting>
  <conditionalFormatting sqref="J92:K94 J96:K96">
    <cfRule type="expression" dxfId="2313" priority="37">
      <formula>kvartal &lt; 4</formula>
    </cfRule>
  </conditionalFormatting>
  <conditionalFormatting sqref="J102:K104 J106:K106">
    <cfRule type="expression" dxfId="2312" priority="36">
      <formula>kvartal &lt; 4</formula>
    </cfRule>
  </conditionalFormatting>
  <conditionalFormatting sqref="J112:K114 J116:K116">
    <cfRule type="expression" dxfId="2311" priority="35">
      <formula>kvartal &lt; 4</formula>
    </cfRule>
  </conditionalFormatting>
  <conditionalFormatting sqref="J124:K124 J126:K126">
    <cfRule type="expression" dxfId="2310" priority="34">
      <formula>kvartal &lt; 4</formula>
    </cfRule>
  </conditionalFormatting>
  <conditionalFormatting sqref="J132:K134 J136:K136">
    <cfRule type="expression" dxfId="2309" priority="33">
      <formula>kvartal &lt; 4</formula>
    </cfRule>
  </conditionalFormatting>
  <conditionalFormatting sqref="J146:K146">
    <cfRule type="expression" dxfId="2308" priority="32">
      <formula>kvartal &lt; 4</formula>
    </cfRule>
  </conditionalFormatting>
  <conditionalFormatting sqref="J154:K154">
    <cfRule type="expression" dxfId="2307" priority="31">
      <formula>kvartal &lt; 4</formula>
    </cfRule>
  </conditionalFormatting>
  <conditionalFormatting sqref="A26:A28">
    <cfRule type="expression" dxfId="2306" priority="15">
      <formula>kvartal &lt; 4</formula>
    </cfRule>
  </conditionalFormatting>
  <conditionalFormatting sqref="A32:A33">
    <cfRule type="expression" dxfId="2305" priority="14">
      <formula>kvartal &lt; 4</formula>
    </cfRule>
  </conditionalFormatting>
  <conditionalFormatting sqref="A37:A39">
    <cfRule type="expression" dxfId="2304" priority="13">
      <formula>kvartal &lt; 4</formula>
    </cfRule>
  </conditionalFormatting>
  <conditionalFormatting sqref="A57:A59">
    <cfRule type="expression" dxfId="2303" priority="12">
      <formula>kvartal &lt; 4</formula>
    </cfRule>
  </conditionalFormatting>
  <conditionalFormatting sqref="A63:A65">
    <cfRule type="expression" dxfId="2302" priority="11">
      <formula>kvartal &lt; 4</formula>
    </cfRule>
  </conditionalFormatting>
  <conditionalFormatting sqref="A82:A87">
    <cfRule type="expression" dxfId="2301" priority="10">
      <formula>kvartal &lt; 4</formula>
    </cfRule>
  </conditionalFormatting>
  <conditionalFormatting sqref="A92:A97">
    <cfRule type="expression" dxfId="2300" priority="9">
      <formula>kvartal &lt; 4</formula>
    </cfRule>
  </conditionalFormatting>
  <conditionalFormatting sqref="A102:A107">
    <cfRule type="expression" dxfId="2299" priority="8">
      <formula>kvartal &lt; 4</formula>
    </cfRule>
  </conditionalFormatting>
  <conditionalFormatting sqref="A112:A117">
    <cfRule type="expression" dxfId="2298" priority="7">
      <formula>kvartal &lt; 4</formula>
    </cfRule>
  </conditionalFormatting>
  <conditionalFormatting sqref="A122:A127">
    <cfRule type="expression" dxfId="2297" priority="6">
      <formula>kvartal &lt; 4</formula>
    </cfRule>
  </conditionalFormatting>
  <conditionalFormatting sqref="A132:A137">
    <cfRule type="expression" dxfId="2296" priority="5">
      <formula>kvartal &lt; 4</formula>
    </cfRule>
  </conditionalFormatting>
  <conditionalFormatting sqref="A146">
    <cfRule type="expression" dxfId="2295" priority="4">
      <formula>kvartal &lt; 4</formula>
    </cfRule>
  </conditionalFormatting>
  <conditionalFormatting sqref="A154">
    <cfRule type="expression" dxfId="2294" priority="3">
      <formula>kvartal &lt; 4</formula>
    </cfRule>
  </conditionalFormatting>
  <conditionalFormatting sqref="A29">
    <cfRule type="expression" dxfId="2293" priority="2">
      <formula>kvartal &lt; 4</formula>
    </cfRule>
  </conditionalFormatting>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dimension ref="A1:N176"/>
  <sheetViews>
    <sheetView showGridLines="0" zoomScale="90" zoomScaleNormal="90" workbookViewId="0">
      <selection activeCell="A4" sqref="A4"/>
    </sheetView>
  </sheetViews>
  <sheetFormatPr baseColWidth="10" defaultColWidth="11.42578125" defaultRowHeight="12.75" x14ac:dyDescent="0.2"/>
  <cols>
    <col min="1" max="1" width="41.5703125" style="143" customWidth="1"/>
    <col min="2" max="2" width="10.85546875" style="143" customWidth="1"/>
    <col min="3" max="3" width="11" style="143" customWidth="1"/>
    <col min="4" max="5" width="8.7109375" style="143" customWidth="1"/>
    <col min="6" max="7" width="10.85546875" style="143" customWidth="1"/>
    <col min="8" max="9" width="8.7109375" style="143" customWidth="1"/>
    <col min="10" max="11" width="10.85546875" style="143" customWidth="1"/>
    <col min="12" max="13" width="8.7109375" style="143" customWidth="1"/>
    <col min="14" max="14" width="11.42578125" style="143"/>
    <col min="15" max="16384" width="11.42578125" style="1"/>
  </cols>
  <sheetData>
    <row r="1" spans="1:14" x14ac:dyDescent="0.2">
      <c r="A1" s="165" t="s">
        <v>159</v>
      </c>
      <c r="B1" s="401"/>
      <c r="C1" s="245" t="s">
        <v>106</v>
      </c>
      <c r="D1" s="20"/>
      <c r="E1" s="20"/>
      <c r="F1" s="20"/>
      <c r="G1" s="20"/>
      <c r="H1" s="20"/>
      <c r="I1" s="20"/>
      <c r="J1" s="20"/>
      <c r="K1" s="20"/>
      <c r="L1" s="20"/>
      <c r="M1" s="20"/>
    </row>
    <row r="2" spans="1:14" ht="15.75" x14ac:dyDescent="0.25">
      <c r="A2" s="158" t="s">
        <v>36</v>
      </c>
      <c r="B2" s="835"/>
      <c r="C2" s="835"/>
      <c r="D2" s="835"/>
      <c r="E2" s="301"/>
      <c r="F2" s="835"/>
      <c r="G2" s="835"/>
      <c r="H2" s="835"/>
      <c r="I2" s="301"/>
      <c r="J2" s="835"/>
      <c r="K2" s="835"/>
      <c r="L2" s="835"/>
      <c r="M2" s="301"/>
    </row>
    <row r="3" spans="1:14" ht="15.75" x14ac:dyDescent="0.25">
      <c r="A3" s="156"/>
      <c r="B3" s="301"/>
      <c r="C3" s="301"/>
      <c r="D3" s="301"/>
      <c r="E3" s="301"/>
      <c r="F3" s="301"/>
      <c r="G3" s="301"/>
      <c r="H3" s="301"/>
      <c r="I3" s="301"/>
      <c r="J3" s="301"/>
      <c r="K3" s="301"/>
      <c r="L3" s="301"/>
      <c r="M3" s="301"/>
    </row>
    <row r="4" spans="1:14" x14ac:dyDescent="0.2">
      <c r="A4" s="138"/>
      <c r="B4" s="808" t="s">
        <v>0</v>
      </c>
      <c r="C4" s="802"/>
      <c r="D4" s="802"/>
      <c r="E4" s="802"/>
      <c r="F4" s="808" t="s">
        <v>1</v>
      </c>
      <c r="G4" s="802"/>
      <c r="H4" s="802"/>
      <c r="I4" s="803"/>
      <c r="J4" s="801" t="s">
        <v>2</v>
      </c>
      <c r="K4" s="802"/>
      <c r="L4" s="802"/>
      <c r="M4" s="803"/>
    </row>
    <row r="5" spans="1:14" x14ac:dyDescent="0.2">
      <c r="A5" s="151"/>
      <c r="B5" s="145" t="s">
        <v>400</v>
      </c>
      <c r="C5" s="145" t="s">
        <v>401</v>
      </c>
      <c r="D5" s="242" t="s">
        <v>3</v>
      </c>
      <c r="E5" s="307" t="s">
        <v>37</v>
      </c>
      <c r="F5" s="145" t="s">
        <v>400</v>
      </c>
      <c r="G5" s="145" t="s">
        <v>401</v>
      </c>
      <c r="H5" s="242" t="s">
        <v>3</v>
      </c>
      <c r="I5" s="307" t="s">
        <v>37</v>
      </c>
      <c r="J5" s="145" t="s">
        <v>400</v>
      </c>
      <c r="K5" s="145" t="s">
        <v>401</v>
      </c>
      <c r="L5" s="242" t="s">
        <v>3</v>
      </c>
      <c r="M5" s="155" t="s">
        <v>37</v>
      </c>
    </row>
    <row r="6" spans="1:14" x14ac:dyDescent="0.2">
      <c r="A6" s="402"/>
      <c r="B6" s="149"/>
      <c r="C6" s="149"/>
      <c r="D6" s="243" t="s">
        <v>4</v>
      </c>
      <c r="E6" s="149" t="s">
        <v>38</v>
      </c>
      <c r="F6" s="154"/>
      <c r="G6" s="154"/>
      <c r="H6" s="242" t="s">
        <v>4</v>
      </c>
      <c r="I6" s="149" t="s">
        <v>38</v>
      </c>
      <c r="J6" s="154"/>
      <c r="K6" s="154"/>
      <c r="L6" s="242" t="s">
        <v>4</v>
      </c>
      <c r="M6" s="149" t="s">
        <v>38</v>
      </c>
    </row>
    <row r="7" spans="1:14" ht="15.75" x14ac:dyDescent="0.2">
      <c r="A7" s="12" t="s">
        <v>30</v>
      </c>
      <c r="B7" s="308">
        <v>222483</v>
      </c>
      <c r="C7" s="309">
        <v>351394</v>
      </c>
      <c r="D7" s="251">
        <f>IF(B7=0, "    ---- ", IF(ABS(ROUND(100/B7*C7-100,1))&lt;999,ROUND(100/B7*C7-100,1),IF(ROUND(100/B7*C7-100,1)&gt;999,999,-999)))</f>
        <v>57.9</v>
      </c>
      <c r="E7" s="170">
        <f>IFERROR(100/'Skjema total MA'!C7*C7,0)</f>
        <v>7.0045809590614629</v>
      </c>
      <c r="F7" s="308"/>
      <c r="G7" s="309"/>
      <c r="H7" s="251"/>
      <c r="I7" s="170"/>
      <c r="J7" s="310">
        <f t="shared" ref="J7:K13" si="0">SUM(B7,F7)</f>
        <v>222483</v>
      </c>
      <c r="K7" s="311">
        <f t="shared" si="0"/>
        <v>351394</v>
      </c>
      <c r="L7" s="255">
        <f>IF(J7=0, "    ---- ", IF(ABS(ROUND(100/J7*K7-100,1))&lt;999,ROUND(100/J7*K7-100,1),IF(ROUND(100/J7*K7-100,1)&gt;999,999,-999)))</f>
        <v>57.9</v>
      </c>
      <c r="M7" s="170">
        <f>IFERROR(100/'Skjema total MA'!I7*K7,0)</f>
        <v>2.4898763058069373</v>
      </c>
    </row>
    <row r="8" spans="1:14" ht="15.75" x14ac:dyDescent="0.2">
      <c r="A8" s="18" t="s">
        <v>32</v>
      </c>
      <c r="B8" s="282">
        <v>111137</v>
      </c>
      <c r="C8" s="283">
        <v>174437</v>
      </c>
      <c r="D8" s="159">
        <f t="shared" ref="D8:D13" si="1">IF(B8=0, "    ---- ", IF(ABS(ROUND(100/B8*C8-100,1))&lt;999,ROUND(100/B8*C8-100,1),IF(ROUND(100/B8*C8-100,1)&gt;999,999,-999)))</f>
        <v>57</v>
      </c>
      <c r="E8" s="170">
        <f>IFERROR(100/'Skjema total MA'!C8*C8,0)</f>
        <v>7.2123894498923562</v>
      </c>
      <c r="F8" s="286"/>
      <c r="G8" s="287"/>
      <c r="H8" s="159"/>
      <c r="I8" s="170"/>
      <c r="J8" s="229">
        <f t="shared" si="0"/>
        <v>111137</v>
      </c>
      <c r="K8" s="288">
        <f t="shared" si="0"/>
        <v>174437</v>
      </c>
      <c r="L8" s="256">
        <f t="shared" ref="L8:L9" si="2">IF(J8=0, "    ---- ", IF(ABS(ROUND(100/J8*K8-100,1))&lt;999,ROUND(100/J8*K8-100,1),IF(ROUND(100/J8*K8-100,1)&gt;999,999,-999)))</f>
        <v>57</v>
      </c>
      <c r="M8" s="170">
        <f>IFERROR(100/'Skjema total MA'!I8*K8,0)</f>
        <v>7.2123894498923562</v>
      </c>
    </row>
    <row r="9" spans="1:14" ht="15.75" x14ac:dyDescent="0.2">
      <c r="A9" s="18" t="s">
        <v>31</v>
      </c>
      <c r="B9" s="282">
        <v>111346</v>
      </c>
      <c r="C9" s="283">
        <v>176957</v>
      </c>
      <c r="D9" s="159">
        <f t="shared" si="1"/>
        <v>58.9</v>
      </c>
      <c r="E9" s="170">
        <f>IFERROR(100/'Skjema total MA'!C9*C9,0)</f>
        <v>15.432864696562909</v>
      </c>
      <c r="F9" s="286"/>
      <c r="G9" s="287"/>
      <c r="H9" s="159"/>
      <c r="I9" s="170"/>
      <c r="J9" s="229">
        <f t="shared" si="0"/>
        <v>111346</v>
      </c>
      <c r="K9" s="288">
        <f t="shared" si="0"/>
        <v>176957</v>
      </c>
      <c r="L9" s="256">
        <f t="shared" si="2"/>
        <v>58.9</v>
      </c>
      <c r="M9" s="170">
        <f>IFERROR(100/'Skjema total MA'!I9*K9,0)</f>
        <v>15.432864696562909</v>
      </c>
    </row>
    <row r="10" spans="1:14" ht="15.75" x14ac:dyDescent="0.2">
      <c r="A10" s="11" t="s">
        <v>29</v>
      </c>
      <c r="B10" s="312">
        <v>34634</v>
      </c>
      <c r="C10" s="313">
        <v>35755</v>
      </c>
      <c r="D10" s="159">
        <f t="shared" si="1"/>
        <v>3.2</v>
      </c>
      <c r="E10" s="170">
        <f>IFERROR(100/'Skjema total MA'!C10*C10,0)</f>
        <v>10.054264153563881</v>
      </c>
      <c r="F10" s="312"/>
      <c r="G10" s="313"/>
      <c r="H10" s="159"/>
      <c r="I10" s="170"/>
      <c r="J10" s="310">
        <f t="shared" si="0"/>
        <v>34634</v>
      </c>
      <c r="K10" s="311">
        <f t="shared" si="0"/>
        <v>35755</v>
      </c>
      <c r="L10" s="256">
        <f t="shared" ref="L10:L13" si="3">IF(J10=0, "    ---- ", IF(ABS(ROUND(100/J10*K10-100,1))&lt;999,ROUND(100/J10*K10-100,1),IF(ROUND(100/J10*K10-100,1)&gt;999,999,-999)))</f>
        <v>3.2</v>
      </c>
      <c r="M10" s="170">
        <f>IFERROR(100/'Skjema total MA'!I10*K10,0)</f>
        <v>0.44567107245801701</v>
      </c>
    </row>
    <row r="11" spans="1:14" ht="15.75" x14ac:dyDescent="0.2">
      <c r="A11" s="18" t="s">
        <v>32</v>
      </c>
      <c r="B11" s="282">
        <v>16643</v>
      </c>
      <c r="C11" s="283">
        <v>17285</v>
      </c>
      <c r="D11" s="159">
        <f t="shared" si="1"/>
        <v>3.9</v>
      </c>
      <c r="E11" s="170">
        <f>IFERROR(100/'Skjema total MA'!C11*C11,0)</f>
        <v>9.0581910836264008</v>
      </c>
      <c r="F11" s="286"/>
      <c r="G11" s="287"/>
      <c r="H11" s="159"/>
      <c r="I11" s="170"/>
      <c r="J11" s="229">
        <f t="shared" si="0"/>
        <v>16643</v>
      </c>
      <c r="K11" s="288">
        <f t="shared" si="0"/>
        <v>17285</v>
      </c>
      <c r="L11" s="256">
        <f t="shared" ref="L11:L12" si="4">IF(J11=0, "    ---- ", IF(ABS(ROUND(100/J11*K11-100,1))&lt;999,ROUND(100/J11*K11-100,1),IF(ROUND(100/J11*K11-100,1)&gt;999,999,-999)))</f>
        <v>3.9</v>
      </c>
      <c r="M11" s="170">
        <f>IFERROR(100/'Skjema total MA'!I11*K11,0)</f>
        <v>9.0581910836264008</v>
      </c>
    </row>
    <row r="12" spans="1:14" ht="15.75" x14ac:dyDescent="0.2">
      <c r="A12" s="18" t="s">
        <v>31</v>
      </c>
      <c r="B12" s="282">
        <v>17991</v>
      </c>
      <c r="C12" s="283">
        <v>18470</v>
      </c>
      <c r="D12" s="159">
        <f t="shared" si="1"/>
        <v>2.7</v>
      </c>
      <c r="E12" s="170">
        <f>IFERROR(100/'Skjema total MA'!C12*C12,0)</f>
        <v>29.161703072777936</v>
      </c>
      <c r="F12" s="286"/>
      <c r="G12" s="287"/>
      <c r="H12" s="159"/>
      <c r="I12" s="170"/>
      <c r="J12" s="229">
        <f t="shared" si="0"/>
        <v>17991</v>
      </c>
      <c r="K12" s="288">
        <f t="shared" si="0"/>
        <v>18470</v>
      </c>
      <c r="L12" s="256">
        <f t="shared" si="4"/>
        <v>2.7</v>
      </c>
      <c r="M12" s="170">
        <f>IFERROR(100/'Skjema total MA'!I12*K12,0)</f>
        <v>29.161703072777936</v>
      </c>
    </row>
    <row r="13" spans="1:14" ht="15.75" x14ac:dyDescent="0.2">
      <c r="A13" s="11" t="s">
        <v>28</v>
      </c>
      <c r="B13" s="312">
        <v>377974</v>
      </c>
      <c r="C13" s="313">
        <v>401746</v>
      </c>
      <c r="D13" s="159">
        <f t="shared" si="1"/>
        <v>6.3</v>
      </c>
      <c r="E13" s="170">
        <f>IFERROR(100/'Skjema total MA'!C13*C13,0)</f>
        <v>1.5533010333673283</v>
      </c>
      <c r="F13" s="312"/>
      <c r="G13" s="313"/>
      <c r="H13" s="159"/>
      <c r="I13" s="170"/>
      <c r="J13" s="310">
        <f t="shared" si="0"/>
        <v>377974</v>
      </c>
      <c r="K13" s="311">
        <f t="shared" si="0"/>
        <v>401746</v>
      </c>
      <c r="L13" s="256">
        <f t="shared" si="3"/>
        <v>6.3</v>
      </c>
      <c r="M13" s="170">
        <f>IFERROR(100/'Skjema total MA'!I13*K13,0)</f>
        <v>0.68112656269183691</v>
      </c>
    </row>
    <row r="14" spans="1:14" s="36" customFormat="1" ht="15.75" x14ac:dyDescent="0.2">
      <c r="A14" s="11" t="s">
        <v>27</v>
      </c>
      <c r="B14" s="312"/>
      <c r="C14" s="313"/>
      <c r="D14" s="159"/>
      <c r="E14" s="170"/>
      <c r="F14" s="312"/>
      <c r="G14" s="313"/>
      <c r="H14" s="159"/>
      <c r="I14" s="170"/>
      <c r="J14" s="310"/>
      <c r="K14" s="311"/>
      <c r="L14" s="256"/>
      <c r="M14" s="170"/>
      <c r="N14" s="137"/>
    </row>
    <row r="15" spans="1:14" s="36" customFormat="1" ht="15.75" x14ac:dyDescent="0.2">
      <c r="A15" s="34" t="s">
        <v>26</v>
      </c>
      <c r="B15" s="314"/>
      <c r="C15" s="315"/>
      <c r="D15" s="160"/>
      <c r="E15" s="160"/>
      <c r="F15" s="314"/>
      <c r="G15" s="315"/>
      <c r="H15" s="160"/>
      <c r="I15" s="160"/>
      <c r="J15" s="316"/>
      <c r="K15" s="317"/>
      <c r="L15" s="257"/>
      <c r="M15" s="160"/>
      <c r="N15" s="137"/>
    </row>
    <row r="16" spans="1:14" s="36" customFormat="1" x14ac:dyDescent="0.2">
      <c r="A16" s="161"/>
      <c r="B16" s="139"/>
      <c r="C16" s="27"/>
      <c r="D16" s="152"/>
      <c r="E16" s="152"/>
      <c r="F16" s="139"/>
      <c r="G16" s="27"/>
      <c r="H16" s="152"/>
      <c r="I16" s="152"/>
      <c r="J16" s="41"/>
      <c r="K16" s="41"/>
      <c r="L16" s="152"/>
      <c r="M16" s="152"/>
      <c r="N16" s="137"/>
    </row>
    <row r="17" spans="1:14" x14ac:dyDescent="0.2">
      <c r="A17" s="146" t="s">
        <v>307</v>
      </c>
      <c r="B17" s="20"/>
    </row>
    <row r="18" spans="1:14" x14ac:dyDescent="0.2">
      <c r="F18" s="140"/>
      <c r="G18" s="140"/>
      <c r="H18" s="140"/>
      <c r="I18" s="140"/>
      <c r="J18" s="140"/>
      <c r="K18" s="140"/>
      <c r="L18" s="140"/>
      <c r="M18" s="140"/>
    </row>
    <row r="19" spans="1:14" s="3" customFormat="1" ht="15.75" x14ac:dyDescent="0.25">
      <c r="A19" s="157"/>
      <c r="B19" s="142"/>
      <c r="C19" s="147"/>
      <c r="D19" s="147"/>
      <c r="E19" s="147"/>
      <c r="F19" s="147"/>
      <c r="G19" s="147"/>
      <c r="H19" s="147"/>
      <c r="I19" s="147"/>
      <c r="J19" s="147"/>
      <c r="K19" s="147"/>
      <c r="L19" s="147"/>
      <c r="M19" s="147"/>
      <c r="N19" s="142"/>
    </row>
    <row r="20" spans="1:14" ht="15.75" x14ac:dyDescent="0.25">
      <c r="A20" s="141" t="s">
        <v>304</v>
      </c>
      <c r="B20" s="150"/>
      <c r="C20" s="150"/>
      <c r="D20" s="144"/>
      <c r="E20" s="144"/>
      <c r="F20" s="150"/>
      <c r="G20" s="150"/>
      <c r="H20" s="150"/>
      <c r="I20" s="150"/>
      <c r="J20" s="150"/>
      <c r="K20" s="150"/>
      <c r="L20" s="150"/>
      <c r="M20" s="150"/>
    </row>
    <row r="21" spans="1:14" ht="15.75" x14ac:dyDescent="0.25">
      <c r="B21" s="832"/>
      <c r="C21" s="832"/>
      <c r="D21" s="832"/>
      <c r="E21" s="301"/>
      <c r="F21" s="832"/>
      <c r="G21" s="832"/>
      <c r="H21" s="832"/>
      <c r="I21" s="301"/>
      <c r="J21" s="832"/>
      <c r="K21" s="832"/>
      <c r="L21" s="832"/>
      <c r="M21" s="301"/>
    </row>
    <row r="22" spans="1:14" x14ac:dyDescent="0.2">
      <c r="A22" s="138"/>
      <c r="B22" s="833" t="s">
        <v>0</v>
      </c>
      <c r="C22" s="834"/>
      <c r="D22" s="834"/>
      <c r="E22" s="303"/>
      <c r="F22" s="833" t="s">
        <v>1</v>
      </c>
      <c r="G22" s="834"/>
      <c r="H22" s="834"/>
      <c r="I22" s="306"/>
      <c r="J22" s="833" t="s">
        <v>2</v>
      </c>
      <c r="K22" s="834"/>
      <c r="L22" s="834"/>
      <c r="M22" s="306"/>
    </row>
    <row r="23" spans="1:14" x14ac:dyDescent="0.2">
      <c r="A23" s="134" t="s">
        <v>5</v>
      </c>
      <c r="B23" s="145" t="s">
        <v>400</v>
      </c>
      <c r="C23" s="145" t="s">
        <v>401</v>
      </c>
      <c r="D23" s="242" t="s">
        <v>3</v>
      </c>
      <c r="E23" s="307" t="s">
        <v>37</v>
      </c>
      <c r="F23" s="145" t="s">
        <v>400</v>
      </c>
      <c r="G23" s="145" t="s">
        <v>401</v>
      </c>
      <c r="H23" s="242" t="s">
        <v>3</v>
      </c>
      <c r="I23" s="307" t="s">
        <v>37</v>
      </c>
      <c r="J23" s="145" t="s">
        <v>400</v>
      </c>
      <c r="K23" s="145" t="s">
        <v>401</v>
      </c>
      <c r="L23" s="242" t="s">
        <v>3</v>
      </c>
      <c r="M23" s="155" t="s">
        <v>37</v>
      </c>
    </row>
    <row r="24" spans="1:14" x14ac:dyDescent="0.2">
      <c r="A24" s="403"/>
      <c r="B24" s="149"/>
      <c r="C24" s="149"/>
      <c r="D24" s="243" t="s">
        <v>4</v>
      </c>
      <c r="E24" s="149" t="s">
        <v>38</v>
      </c>
      <c r="F24" s="154"/>
      <c r="G24" s="154"/>
      <c r="H24" s="242" t="s">
        <v>4</v>
      </c>
      <c r="I24" s="149" t="s">
        <v>38</v>
      </c>
      <c r="J24" s="154"/>
      <c r="K24" s="154"/>
      <c r="L24" s="242" t="s">
        <v>4</v>
      </c>
      <c r="M24" s="149" t="s">
        <v>38</v>
      </c>
    </row>
    <row r="25" spans="1:14" ht="15.75" x14ac:dyDescent="0.2">
      <c r="A25" s="12" t="s">
        <v>30</v>
      </c>
      <c r="B25" s="318"/>
      <c r="C25" s="319"/>
      <c r="D25" s="251"/>
      <c r="E25" s="170"/>
      <c r="F25" s="320"/>
      <c r="G25" s="319"/>
      <c r="H25" s="251"/>
      <c r="I25" s="170"/>
      <c r="J25" s="318"/>
      <c r="K25" s="318"/>
      <c r="L25" s="255"/>
      <c r="M25" s="159"/>
    </row>
    <row r="26" spans="1:14" ht="15.75" x14ac:dyDescent="0.2">
      <c r="A26" s="298" t="s">
        <v>318</v>
      </c>
      <c r="B26" s="291"/>
      <c r="C26" s="291"/>
      <c r="D26" s="159"/>
      <c r="E26" s="237"/>
      <c r="F26" s="291"/>
      <c r="G26" s="291"/>
      <c r="H26" s="159"/>
      <c r="I26" s="237"/>
      <c r="J26" s="291"/>
      <c r="K26" s="291"/>
      <c r="L26" s="159"/>
      <c r="M26" s="159"/>
    </row>
    <row r="27" spans="1:14" ht="15.75" x14ac:dyDescent="0.2">
      <c r="A27" s="298" t="s">
        <v>319</v>
      </c>
      <c r="B27" s="291"/>
      <c r="C27" s="291"/>
      <c r="D27" s="159"/>
      <c r="E27" s="237"/>
      <c r="F27" s="291"/>
      <c r="G27" s="291"/>
      <c r="H27" s="159"/>
      <c r="I27" s="237"/>
      <c r="J27" s="291"/>
      <c r="K27" s="291"/>
      <c r="L27" s="159"/>
      <c r="M27" s="159"/>
    </row>
    <row r="28" spans="1:14" ht="15.75" x14ac:dyDescent="0.2">
      <c r="A28" s="298" t="s">
        <v>320</v>
      </c>
      <c r="B28" s="291"/>
      <c r="C28" s="291"/>
      <c r="D28" s="159"/>
      <c r="E28" s="237"/>
      <c r="F28" s="291"/>
      <c r="G28" s="291"/>
      <c r="H28" s="159"/>
      <c r="I28" s="237"/>
      <c r="J28" s="291"/>
      <c r="K28" s="291"/>
      <c r="L28" s="159"/>
      <c r="M28" s="159"/>
    </row>
    <row r="29" spans="1:14" x14ac:dyDescent="0.2">
      <c r="A29" s="298" t="s">
        <v>11</v>
      </c>
      <c r="B29" s="291"/>
      <c r="C29" s="291"/>
      <c r="D29" s="159"/>
      <c r="E29" s="237"/>
      <c r="F29" s="291"/>
      <c r="G29" s="291"/>
      <c r="H29" s="159"/>
      <c r="I29" s="237"/>
      <c r="J29" s="291"/>
      <c r="K29" s="291"/>
      <c r="L29" s="159"/>
      <c r="M29" s="159"/>
    </row>
    <row r="30" spans="1:14" ht="15.75" x14ac:dyDescent="0.2">
      <c r="A30" s="42" t="s">
        <v>308</v>
      </c>
      <c r="B30" s="37"/>
      <c r="C30" s="288"/>
      <c r="D30" s="159"/>
      <c r="E30" s="170"/>
      <c r="F30" s="229"/>
      <c r="G30" s="288"/>
      <c r="H30" s="159"/>
      <c r="I30" s="170"/>
      <c r="J30" s="37"/>
      <c r="K30" s="37"/>
      <c r="L30" s="256"/>
      <c r="M30" s="159"/>
    </row>
    <row r="31" spans="1:14" ht="15.75" x14ac:dyDescent="0.2">
      <c r="A31" s="11" t="s">
        <v>29</v>
      </c>
      <c r="B31" s="231"/>
      <c r="C31" s="231"/>
      <c r="D31" s="159"/>
      <c r="E31" s="170"/>
      <c r="F31" s="310"/>
      <c r="G31" s="310"/>
      <c r="H31" s="159"/>
      <c r="I31" s="170"/>
      <c r="J31" s="231"/>
      <c r="K31" s="231"/>
      <c r="L31" s="256"/>
      <c r="M31" s="159"/>
    </row>
    <row r="32" spans="1:14" ht="15.75" x14ac:dyDescent="0.2">
      <c r="A32" s="298" t="s">
        <v>318</v>
      </c>
      <c r="B32" s="291"/>
      <c r="C32" s="291"/>
      <c r="D32" s="159"/>
      <c r="E32" s="237"/>
      <c r="F32" s="291"/>
      <c r="G32" s="291"/>
      <c r="H32" s="159"/>
      <c r="I32" s="237"/>
      <c r="J32" s="291"/>
      <c r="K32" s="291"/>
      <c r="L32" s="159"/>
      <c r="M32" s="159"/>
    </row>
    <row r="33" spans="1:14" ht="15.75" x14ac:dyDescent="0.2">
      <c r="A33" s="298" t="s">
        <v>320</v>
      </c>
      <c r="B33" s="291"/>
      <c r="C33" s="291"/>
      <c r="D33" s="159"/>
      <c r="E33" s="237"/>
      <c r="F33" s="291"/>
      <c r="G33" s="291"/>
      <c r="H33" s="159"/>
      <c r="I33" s="237"/>
      <c r="J33" s="291"/>
      <c r="K33" s="291"/>
      <c r="L33" s="159"/>
      <c r="M33" s="159"/>
    </row>
    <row r="34" spans="1:14" s="21" customFormat="1" x14ac:dyDescent="0.2">
      <c r="A34" s="298" t="s">
        <v>16</v>
      </c>
      <c r="B34" s="291"/>
      <c r="C34" s="291"/>
      <c r="D34" s="159"/>
      <c r="E34" s="237"/>
      <c r="F34" s="291"/>
      <c r="G34" s="291"/>
      <c r="H34" s="159"/>
      <c r="I34" s="237"/>
      <c r="J34" s="291"/>
      <c r="K34" s="291"/>
      <c r="L34" s="159"/>
      <c r="M34" s="159"/>
      <c r="N34" s="166"/>
    </row>
    <row r="35" spans="1:14" ht="15.75" x14ac:dyDescent="0.2">
      <c r="A35" s="42" t="s">
        <v>308</v>
      </c>
      <c r="B35" s="37"/>
      <c r="C35" s="288"/>
      <c r="D35" s="159"/>
      <c r="E35" s="170"/>
      <c r="F35" s="229"/>
      <c r="G35" s="288"/>
      <c r="H35" s="159"/>
      <c r="I35" s="170"/>
      <c r="J35" s="37"/>
      <c r="K35" s="37"/>
      <c r="L35" s="256"/>
      <c r="M35" s="159"/>
    </row>
    <row r="36" spans="1:14" s="3" customFormat="1" ht="15.75" x14ac:dyDescent="0.2">
      <c r="A36" s="11" t="s">
        <v>28</v>
      </c>
      <c r="B36" s="231"/>
      <c r="C36" s="311"/>
      <c r="D36" s="159"/>
      <c r="E36" s="170"/>
      <c r="F36" s="310"/>
      <c r="G36" s="311"/>
      <c r="H36" s="159"/>
      <c r="I36" s="170"/>
      <c r="J36" s="231"/>
      <c r="K36" s="231"/>
      <c r="L36" s="256"/>
      <c r="M36" s="159"/>
      <c r="N36" s="142"/>
    </row>
    <row r="37" spans="1:14" s="3" customFormat="1" ht="15.75" x14ac:dyDescent="0.2">
      <c r="A37" s="298" t="s">
        <v>318</v>
      </c>
      <c r="B37" s="291"/>
      <c r="C37" s="291"/>
      <c r="D37" s="159"/>
      <c r="E37" s="237"/>
      <c r="F37" s="291"/>
      <c r="G37" s="291"/>
      <c r="H37" s="159"/>
      <c r="I37" s="237"/>
      <c r="J37" s="291"/>
      <c r="K37" s="291"/>
      <c r="L37" s="159"/>
      <c r="M37" s="159"/>
      <c r="N37" s="142"/>
    </row>
    <row r="38" spans="1:14" s="3" customFormat="1" ht="15.75" x14ac:dyDescent="0.2">
      <c r="A38" s="298" t="s">
        <v>319</v>
      </c>
      <c r="B38" s="291"/>
      <c r="C38" s="291"/>
      <c r="D38" s="159"/>
      <c r="E38" s="237"/>
      <c r="F38" s="291"/>
      <c r="G38" s="291"/>
      <c r="H38" s="159"/>
      <c r="I38" s="237"/>
      <c r="J38" s="291"/>
      <c r="K38" s="291"/>
      <c r="L38" s="159"/>
      <c r="M38" s="159"/>
      <c r="N38" s="142"/>
    </row>
    <row r="39" spans="1:14" ht="15.75" x14ac:dyDescent="0.2">
      <c r="A39" s="298" t="s">
        <v>320</v>
      </c>
      <c r="B39" s="291"/>
      <c r="C39" s="291"/>
      <c r="D39" s="159"/>
      <c r="E39" s="237"/>
      <c r="F39" s="291"/>
      <c r="G39" s="291"/>
      <c r="H39" s="159"/>
      <c r="I39" s="237"/>
      <c r="J39" s="291"/>
      <c r="K39" s="291"/>
      <c r="L39" s="159"/>
      <c r="M39" s="159"/>
    </row>
    <row r="40" spans="1:14" ht="15.75" x14ac:dyDescent="0.2">
      <c r="A40" s="11" t="s">
        <v>27</v>
      </c>
      <c r="B40" s="231"/>
      <c r="C40" s="311"/>
      <c r="D40" s="159"/>
      <c r="E40" s="170"/>
      <c r="F40" s="310"/>
      <c r="G40" s="311"/>
      <c r="H40" s="159"/>
      <c r="I40" s="170"/>
      <c r="J40" s="231"/>
      <c r="K40" s="231"/>
      <c r="L40" s="256"/>
      <c r="M40" s="159"/>
    </row>
    <row r="41" spans="1:14" ht="15.75" x14ac:dyDescent="0.2">
      <c r="A41" s="11" t="s">
        <v>26</v>
      </c>
      <c r="B41" s="231"/>
      <c r="C41" s="311"/>
      <c r="D41" s="159"/>
      <c r="E41" s="170"/>
      <c r="F41" s="310"/>
      <c r="G41" s="311"/>
      <c r="H41" s="159"/>
      <c r="I41" s="170"/>
      <c r="J41" s="231"/>
      <c r="K41" s="231"/>
      <c r="L41" s="256"/>
      <c r="M41" s="159"/>
    </row>
    <row r="42" spans="1:14" ht="15.75" x14ac:dyDescent="0.2">
      <c r="A42" s="10" t="s">
        <v>321</v>
      </c>
      <c r="B42" s="231"/>
      <c r="C42" s="311"/>
      <c r="D42" s="159"/>
      <c r="E42" s="170"/>
      <c r="F42" s="321"/>
      <c r="G42" s="322"/>
      <c r="H42" s="159"/>
      <c r="I42" s="237"/>
      <c r="J42" s="231"/>
      <c r="K42" s="231"/>
      <c r="L42" s="256"/>
      <c r="M42" s="159"/>
    </row>
    <row r="43" spans="1:14" ht="15.75" x14ac:dyDescent="0.2">
      <c r="A43" s="10" t="s">
        <v>322</v>
      </c>
      <c r="B43" s="231"/>
      <c r="C43" s="311"/>
      <c r="D43" s="159"/>
      <c r="E43" s="170"/>
      <c r="F43" s="321"/>
      <c r="G43" s="322"/>
      <c r="H43" s="159"/>
      <c r="I43" s="237"/>
      <c r="J43" s="231"/>
      <c r="K43" s="231"/>
      <c r="L43" s="256"/>
      <c r="M43" s="159"/>
    </row>
    <row r="44" spans="1:14" ht="15.75" x14ac:dyDescent="0.2">
      <c r="A44" s="10" t="s">
        <v>323</v>
      </c>
      <c r="B44" s="231"/>
      <c r="C44" s="311"/>
      <c r="D44" s="159"/>
      <c r="E44" s="170"/>
      <c r="F44" s="321"/>
      <c r="G44" s="323"/>
      <c r="H44" s="159"/>
      <c r="I44" s="237"/>
      <c r="J44" s="231"/>
      <c r="K44" s="231"/>
      <c r="L44" s="256"/>
      <c r="M44" s="159"/>
    </row>
    <row r="45" spans="1:14" ht="15.75" x14ac:dyDescent="0.2">
      <c r="A45" s="10" t="s">
        <v>324</v>
      </c>
      <c r="B45" s="231"/>
      <c r="C45" s="311"/>
      <c r="D45" s="159"/>
      <c r="E45" s="170"/>
      <c r="F45" s="321"/>
      <c r="G45" s="322"/>
      <c r="H45" s="159"/>
      <c r="I45" s="237"/>
      <c r="J45" s="231"/>
      <c r="K45" s="231"/>
      <c r="L45" s="256"/>
      <c r="M45" s="159"/>
    </row>
    <row r="46" spans="1:14" ht="15.75" x14ac:dyDescent="0.2">
      <c r="A46" s="16" t="s">
        <v>325</v>
      </c>
      <c r="B46" s="277"/>
      <c r="C46" s="317"/>
      <c r="D46" s="160"/>
      <c r="E46" s="201"/>
      <c r="F46" s="324"/>
      <c r="G46" s="325"/>
      <c r="H46" s="160"/>
      <c r="I46" s="160"/>
      <c r="J46" s="231"/>
      <c r="K46" s="231"/>
      <c r="L46" s="257"/>
      <c r="M46" s="160"/>
    </row>
    <row r="47" spans="1:14" ht="15.75" x14ac:dyDescent="0.25">
      <c r="A47" s="40"/>
      <c r="B47" s="254"/>
      <c r="C47" s="254"/>
      <c r="D47" s="836"/>
      <c r="E47" s="836"/>
      <c r="F47" s="836"/>
      <c r="G47" s="836"/>
      <c r="H47" s="836"/>
      <c r="I47" s="836"/>
      <c r="J47" s="836"/>
      <c r="K47" s="836"/>
      <c r="L47" s="836"/>
      <c r="M47" s="304"/>
    </row>
    <row r="48" spans="1:14" x14ac:dyDescent="0.2">
      <c r="A48" s="148"/>
    </row>
    <row r="49" spans="1:14" ht="15.75" x14ac:dyDescent="0.25">
      <c r="A49" s="141" t="s">
        <v>305</v>
      </c>
      <c r="B49" s="835"/>
      <c r="C49" s="835"/>
      <c r="D49" s="835"/>
      <c r="E49" s="301"/>
      <c r="F49" s="837"/>
      <c r="G49" s="837"/>
      <c r="H49" s="837"/>
      <c r="I49" s="304"/>
      <c r="J49" s="837"/>
      <c r="K49" s="837"/>
      <c r="L49" s="837"/>
      <c r="M49" s="304"/>
    </row>
    <row r="50" spans="1:14" ht="15.75" x14ac:dyDescent="0.25">
      <c r="A50" s="156"/>
      <c r="B50" s="305"/>
      <c r="C50" s="305"/>
      <c r="D50" s="305"/>
      <c r="E50" s="305"/>
      <c r="F50" s="304"/>
      <c r="G50" s="304"/>
      <c r="H50" s="304"/>
      <c r="I50" s="304"/>
      <c r="J50" s="304"/>
      <c r="K50" s="304"/>
      <c r="L50" s="304"/>
      <c r="M50" s="304"/>
    </row>
    <row r="51" spans="1:14" ht="15.75" x14ac:dyDescent="0.25">
      <c r="A51" s="244"/>
      <c r="B51" s="833" t="s">
        <v>0</v>
      </c>
      <c r="C51" s="834"/>
      <c r="D51" s="834"/>
      <c r="E51" s="240"/>
      <c r="F51" s="304"/>
      <c r="G51" s="304"/>
      <c r="H51" s="304"/>
      <c r="I51" s="304"/>
      <c r="J51" s="304"/>
      <c r="K51" s="304"/>
      <c r="L51" s="304"/>
      <c r="M51" s="304"/>
    </row>
    <row r="52" spans="1:14" s="3" customFormat="1" x14ac:dyDescent="0.2">
      <c r="A52" s="134"/>
      <c r="B52" s="167" t="s">
        <v>400</v>
      </c>
      <c r="C52" s="167" t="s">
        <v>401</v>
      </c>
      <c r="D52" s="155" t="s">
        <v>3</v>
      </c>
      <c r="E52" s="155" t="s">
        <v>37</v>
      </c>
      <c r="F52" s="169"/>
      <c r="G52" s="169"/>
      <c r="H52" s="168"/>
      <c r="I52" s="168"/>
      <c r="J52" s="169"/>
      <c r="K52" s="169"/>
      <c r="L52" s="168"/>
      <c r="M52" s="168"/>
      <c r="N52" s="142"/>
    </row>
    <row r="53" spans="1:14" s="3" customFormat="1" x14ac:dyDescent="0.2">
      <c r="A53" s="403"/>
      <c r="B53" s="241"/>
      <c r="C53" s="241"/>
      <c r="D53" s="242" t="s">
        <v>4</v>
      </c>
      <c r="E53" s="149" t="s">
        <v>38</v>
      </c>
      <c r="F53" s="168"/>
      <c r="G53" s="168"/>
      <c r="H53" s="168"/>
      <c r="I53" s="168"/>
      <c r="J53" s="168"/>
      <c r="K53" s="168"/>
      <c r="L53" s="168"/>
      <c r="M53" s="168"/>
      <c r="N53" s="142"/>
    </row>
    <row r="54" spans="1:14" s="3" customFormat="1" ht="15.75" x14ac:dyDescent="0.2">
      <c r="A54" s="12" t="s">
        <v>30</v>
      </c>
      <c r="B54" s="312"/>
      <c r="C54" s="313"/>
      <c r="D54" s="255"/>
      <c r="E54" s="170"/>
      <c r="F54" s="139"/>
      <c r="G54" s="27"/>
      <c r="H54" s="152"/>
      <c r="I54" s="152"/>
      <c r="J54" s="30"/>
      <c r="K54" s="30"/>
      <c r="L54" s="152"/>
      <c r="M54" s="152"/>
      <c r="N54" s="142"/>
    </row>
    <row r="55" spans="1:14" s="3" customFormat="1" ht="15.75" x14ac:dyDescent="0.2">
      <c r="A55" s="31" t="s">
        <v>326</v>
      </c>
      <c r="B55" s="282"/>
      <c r="C55" s="283"/>
      <c r="D55" s="256"/>
      <c r="E55" s="170"/>
      <c r="F55" s="139"/>
      <c r="G55" s="27"/>
      <c r="H55" s="139"/>
      <c r="I55" s="139"/>
      <c r="J55" s="27"/>
      <c r="K55" s="27"/>
      <c r="L55" s="152"/>
      <c r="M55" s="152"/>
      <c r="N55" s="142"/>
    </row>
    <row r="56" spans="1:14" s="3" customFormat="1" ht="15.75" x14ac:dyDescent="0.2">
      <c r="A56" s="31" t="s">
        <v>327</v>
      </c>
      <c r="B56" s="37"/>
      <c r="C56" s="288"/>
      <c r="D56" s="256"/>
      <c r="E56" s="170"/>
      <c r="F56" s="139"/>
      <c r="G56" s="27"/>
      <c r="H56" s="139"/>
      <c r="I56" s="139"/>
      <c r="J56" s="30"/>
      <c r="K56" s="30"/>
      <c r="L56" s="152"/>
      <c r="M56" s="152"/>
      <c r="N56" s="142"/>
    </row>
    <row r="57" spans="1:14" s="3" customFormat="1" x14ac:dyDescent="0.2">
      <c r="A57" s="298" t="s">
        <v>6</v>
      </c>
      <c r="B57" s="291"/>
      <c r="C57" s="292"/>
      <c r="D57" s="256"/>
      <c r="E57" s="159"/>
      <c r="F57" s="139"/>
      <c r="G57" s="27"/>
      <c r="H57" s="139"/>
      <c r="I57" s="139"/>
      <c r="J57" s="27"/>
      <c r="K57" s="27"/>
      <c r="L57" s="152"/>
      <c r="M57" s="152"/>
      <c r="N57" s="142"/>
    </row>
    <row r="58" spans="1:14" s="3" customFormat="1" x14ac:dyDescent="0.2">
      <c r="A58" s="298" t="s">
        <v>7</v>
      </c>
      <c r="B58" s="291"/>
      <c r="C58" s="292"/>
      <c r="D58" s="256"/>
      <c r="E58" s="159"/>
      <c r="F58" s="139"/>
      <c r="G58" s="27"/>
      <c r="H58" s="139"/>
      <c r="I58" s="139"/>
      <c r="J58" s="27"/>
      <c r="K58" s="27"/>
      <c r="L58" s="152"/>
      <c r="M58" s="152"/>
      <c r="N58" s="142"/>
    </row>
    <row r="59" spans="1:14" s="3" customFormat="1" x14ac:dyDescent="0.2">
      <c r="A59" s="298" t="s">
        <v>8</v>
      </c>
      <c r="B59" s="291"/>
      <c r="C59" s="292"/>
      <c r="D59" s="256"/>
      <c r="E59" s="159"/>
      <c r="F59" s="139"/>
      <c r="G59" s="27"/>
      <c r="H59" s="139"/>
      <c r="I59" s="139"/>
      <c r="J59" s="27"/>
      <c r="K59" s="27"/>
      <c r="L59" s="152"/>
      <c r="M59" s="152"/>
      <c r="N59" s="142"/>
    </row>
    <row r="60" spans="1:14" s="3" customFormat="1" ht="15.75" x14ac:dyDescent="0.2">
      <c r="A60" s="11" t="s">
        <v>29</v>
      </c>
      <c r="B60" s="312"/>
      <c r="C60" s="313"/>
      <c r="D60" s="256"/>
      <c r="E60" s="170"/>
      <c r="F60" s="139"/>
      <c r="G60" s="27"/>
      <c r="H60" s="139"/>
      <c r="I60" s="139"/>
      <c r="J60" s="27"/>
      <c r="K60" s="27"/>
      <c r="L60" s="152"/>
      <c r="M60" s="152"/>
      <c r="N60" s="142"/>
    </row>
    <row r="61" spans="1:14" s="3" customFormat="1" ht="15.75" x14ac:dyDescent="0.2">
      <c r="A61" s="31" t="s">
        <v>326</v>
      </c>
      <c r="B61" s="282"/>
      <c r="C61" s="283"/>
      <c r="D61" s="256"/>
      <c r="E61" s="170"/>
      <c r="F61" s="139"/>
      <c r="G61" s="27"/>
      <c r="H61" s="139"/>
      <c r="I61" s="139"/>
      <c r="J61" s="27"/>
      <c r="K61" s="27"/>
      <c r="L61" s="152"/>
      <c r="M61" s="152"/>
      <c r="N61" s="142"/>
    </row>
    <row r="62" spans="1:14" s="3" customFormat="1" ht="15.75" x14ac:dyDescent="0.2">
      <c r="A62" s="31" t="s">
        <v>327</v>
      </c>
      <c r="B62" s="37"/>
      <c r="C62" s="288"/>
      <c r="D62" s="256"/>
      <c r="E62" s="170"/>
      <c r="F62" s="139"/>
      <c r="G62" s="27"/>
      <c r="H62" s="139"/>
      <c r="I62" s="139"/>
      <c r="J62" s="27"/>
      <c r="K62" s="27"/>
      <c r="L62" s="152"/>
      <c r="M62" s="152"/>
      <c r="N62" s="142"/>
    </row>
    <row r="63" spans="1:14" s="3" customFormat="1" x14ac:dyDescent="0.2">
      <c r="A63" s="298" t="s">
        <v>6</v>
      </c>
      <c r="B63" s="282"/>
      <c r="C63" s="283"/>
      <c r="D63" s="256"/>
      <c r="E63" s="159"/>
      <c r="F63" s="139"/>
      <c r="G63" s="27"/>
      <c r="H63" s="139"/>
      <c r="I63" s="139"/>
      <c r="J63" s="27"/>
      <c r="K63" s="27"/>
      <c r="L63" s="152"/>
      <c r="M63" s="152"/>
      <c r="N63" s="142"/>
    </row>
    <row r="64" spans="1:14" s="3" customFormat="1" x14ac:dyDescent="0.2">
      <c r="A64" s="298" t="s">
        <v>7</v>
      </c>
      <c r="B64" s="282"/>
      <c r="C64" s="283"/>
      <c r="D64" s="256"/>
      <c r="E64" s="159"/>
      <c r="F64" s="139"/>
      <c r="G64" s="27"/>
      <c r="H64" s="139"/>
      <c r="I64" s="139"/>
      <c r="J64" s="27"/>
      <c r="K64" s="27"/>
      <c r="L64" s="152"/>
      <c r="M64" s="152"/>
      <c r="N64" s="142"/>
    </row>
    <row r="65" spans="1:14" s="3" customFormat="1" x14ac:dyDescent="0.2">
      <c r="A65" s="298" t="s">
        <v>8</v>
      </c>
      <c r="B65" s="282"/>
      <c r="C65" s="283"/>
      <c r="D65" s="256"/>
      <c r="E65" s="159"/>
      <c r="F65" s="139"/>
      <c r="G65" s="27"/>
      <c r="H65" s="139"/>
      <c r="I65" s="139"/>
      <c r="J65" s="27"/>
      <c r="K65" s="27"/>
      <c r="L65" s="152"/>
      <c r="M65" s="152"/>
      <c r="N65" s="142"/>
    </row>
    <row r="66" spans="1:14" s="3" customFormat="1" ht="15.75" x14ac:dyDescent="0.2">
      <c r="A66" s="32" t="s">
        <v>328</v>
      </c>
      <c r="B66" s="312"/>
      <c r="C66" s="313"/>
      <c r="D66" s="256"/>
      <c r="E66" s="170"/>
      <c r="F66" s="139"/>
      <c r="G66" s="27"/>
      <c r="H66" s="139"/>
      <c r="I66" s="139"/>
      <c r="J66" s="27"/>
      <c r="K66" s="27"/>
      <c r="L66" s="152"/>
      <c r="M66" s="152"/>
      <c r="N66" s="142"/>
    </row>
    <row r="67" spans="1:14" s="3" customFormat="1" ht="15.75" x14ac:dyDescent="0.2">
      <c r="A67" s="31" t="s">
        <v>326</v>
      </c>
      <c r="B67" s="282"/>
      <c r="C67" s="283"/>
      <c r="D67" s="256"/>
      <c r="E67" s="170"/>
      <c r="F67" s="139"/>
      <c r="G67" s="27"/>
      <c r="H67" s="139"/>
      <c r="I67" s="139"/>
      <c r="J67" s="27"/>
      <c r="K67" s="27"/>
      <c r="L67" s="152"/>
      <c r="M67" s="152"/>
      <c r="N67" s="142"/>
    </row>
    <row r="68" spans="1:14" s="3" customFormat="1" ht="15.75" x14ac:dyDescent="0.2">
      <c r="A68" s="31" t="s">
        <v>327</v>
      </c>
      <c r="B68" s="282"/>
      <c r="C68" s="283"/>
      <c r="D68" s="256"/>
      <c r="E68" s="170"/>
      <c r="F68" s="139"/>
      <c r="G68" s="27"/>
      <c r="H68" s="139"/>
      <c r="I68" s="139"/>
      <c r="J68" s="27"/>
      <c r="K68" s="27"/>
      <c r="L68" s="152"/>
      <c r="M68" s="152"/>
      <c r="N68" s="142"/>
    </row>
    <row r="69" spans="1:14" s="3" customFormat="1" ht="15.75" x14ac:dyDescent="0.2">
      <c r="A69" s="32" t="s">
        <v>329</v>
      </c>
      <c r="B69" s="312"/>
      <c r="C69" s="313"/>
      <c r="D69" s="256"/>
      <c r="E69" s="170"/>
      <c r="F69" s="139"/>
      <c r="G69" s="27"/>
      <c r="H69" s="139"/>
      <c r="I69" s="139"/>
      <c r="J69" s="27"/>
      <c r="K69" s="27"/>
      <c r="L69" s="152"/>
      <c r="M69" s="152"/>
      <c r="N69" s="142"/>
    </row>
    <row r="70" spans="1:14" s="3" customFormat="1" ht="15.75" x14ac:dyDescent="0.2">
      <c r="A70" s="31" t="s">
        <v>326</v>
      </c>
      <c r="B70" s="282"/>
      <c r="C70" s="283"/>
      <c r="D70" s="256"/>
      <c r="E70" s="170"/>
      <c r="F70" s="139"/>
      <c r="G70" s="27"/>
      <c r="H70" s="139"/>
      <c r="I70" s="139"/>
      <c r="J70" s="27"/>
      <c r="K70" s="27"/>
      <c r="L70" s="152"/>
      <c r="M70" s="152"/>
      <c r="N70" s="142"/>
    </row>
    <row r="71" spans="1:14" s="3" customFormat="1" ht="15.75" x14ac:dyDescent="0.2">
      <c r="A71" s="39" t="s">
        <v>327</v>
      </c>
      <c r="B71" s="284"/>
      <c r="C71" s="285"/>
      <c r="D71" s="257"/>
      <c r="E71" s="160"/>
      <c r="F71" s="139"/>
      <c r="G71" s="27"/>
      <c r="H71" s="139"/>
      <c r="I71" s="139"/>
      <c r="J71" s="27"/>
      <c r="K71" s="27"/>
      <c r="L71" s="152"/>
      <c r="M71" s="152"/>
      <c r="N71" s="142"/>
    </row>
    <row r="72" spans="1:14" s="3" customFormat="1" ht="15.75" x14ac:dyDescent="0.25">
      <c r="A72" s="157"/>
      <c r="B72" s="147"/>
      <c r="C72" s="147"/>
      <c r="D72" s="147"/>
      <c r="E72" s="147"/>
      <c r="F72" s="136"/>
      <c r="G72" s="136"/>
      <c r="H72" s="136"/>
      <c r="I72" s="136"/>
      <c r="J72" s="136"/>
      <c r="K72" s="136"/>
      <c r="L72" s="136"/>
      <c r="M72" s="136"/>
      <c r="N72" s="142"/>
    </row>
    <row r="73" spans="1:14" x14ac:dyDescent="0.2">
      <c r="A73" s="148"/>
    </row>
    <row r="74" spans="1:14" ht="15.75" x14ac:dyDescent="0.25">
      <c r="A74" s="141" t="s">
        <v>306</v>
      </c>
      <c r="C74" s="20"/>
      <c r="D74" s="20"/>
      <c r="E74" s="20"/>
      <c r="F74" s="20"/>
      <c r="G74" s="20"/>
      <c r="H74" s="20"/>
      <c r="I74" s="20"/>
      <c r="J74" s="20"/>
      <c r="K74" s="20"/>
      <c r="L74" s="20"/>
      <c r="M74" s="20"/>
    </row>
    <row r="75" spans="1:14" ht="15.75" x14ac:dyDescent="0.25">
      <c r="B75" s="832"/>
      <c r="C75" s="832"/>
      <c r="D75" s="832"/>
      <c r="E75" s="301"/>
      <c r="F75" s="832"/>
      <c r="G75" s="832"/>
      <c r="H75" s="832"/>
      <c r="I75" s="301"/>
      <c r="J75" s="832"/>
      <c r="K75" s="832"/>
      <c r="L75" s="832"/>
      <c r="M75" s="301"/>
    </row>
    <row r="76" spans="1:14" x14ac:dyDescent="0.2">
      <c r="A76" s="138"/>
      <c r="B76" s="833" t="s">
        <v>0</v>
      </c>
      <c r="C76" s="834"/>
      <c r="D76" s="838"/>
      <c r="E76" s="302"/>
      <c r="F76" s="834" t="s">
        <v>1</v>
      </c>
      <c r="G76" s="834"/>
      <c r="H76" s="834"/>
      <c r="I76" s="306"/>
      <c r="J76" s="833" t="s">
        <v>2</v>
      </c>
      <c r="K76" s="834"/>
      <c r="L76" s="834"/>
      <c r="M76" s="306"/>
    </row>
    <row r="77" spans="1:14" x14ac:dyDescent="0.2">
      <c r="A77" s="134"/>
      <c r="B77" s="145" t="s">
        <v>400</v>
      </c>
      <c r="C77" s="145" t="s">
        <v>401</v>
      </c>
      <c r="D77" s="242" t="s">
        <v>3</v>
      </c>
      <c r="E77" s="307" t="s">
        <v>37</v>
      </c>
      <c r="F77" s="145" t="s">
        <v>400</v>
      </c>
      <c r="G77" s="145" t="s">
        <v>401</v>
      </c>
      <c r="H77" s="242" t="s">
        <v>3</v>
      </c>
      <c r="I77" s="307" t="s">
        <v>37</v>
      </c>
      <c r="J77" s="145" t="s">
        <v>400</v>
      </c>
      <c r="K77" s="145" t="s">
        <v>401</v>
      </c>
      <c r="L77" s="242" t="s">
        <v>3</v>
      </c>
      <c r="M77" s="155" t="s">
        <v>37</v>
      </c>
    </row>
    <row r="78" spans="1:14" x14ac:dyDescent="0.2">
      <c r="A78" s="403"/>
      <c r="B78" s="149"/>
      <c r="C78" s="149"/>
      <c r="D78" s="243" t="s">
        <v>4</v>
      </c>
      <c r="E78" s="149" t="s">
        <v>38</v>
      </c>
      <c r="F78" s="154"/>
      <c r="G78" s="154"/>
      <c r="H78" s="242" t="s">
        <v>4</v>
      </c>
      <c r="I78" s="149" t="s">
        <v>38</v>
      </c>
      <c r="J78" s="154"/>
      <c r="K78" s="154"/>
      <c r="L78" s="242" t="s">
        <v>4</v>
      </c>
      <c r="M78" s="149" t="s">
        <v>38</v>
      </c>
    </row>
    <row r="79" spans="1:14" ht="15.75" x14ac:dyDescent="0.2">
      <c r="A79" s="12" t="s">
        <v>30</v>
      </c>
      <c r="B79" s="355"/>
      <c r="C79" s="355"/>
      <c r="D79" s="251"/>
      <c r="E79" s="251"/>
      <c r="F79" s="355"/>
      <c r="G79" s="355"/>
      <c r="H79" s="251"/>
      <c r="I79" s="170"/>
      <c r="J79" s="311"/>
      <c r="K79" s="318"/>
      <c r="L79" s="255"/>
      <c r="M79" s="170"/>
    </row>
    <row r="80" spans="1:14" x14ac:dyDescent="0.2">
      <c r="A80" s="18" t="s">
        <v>9</v>
      </c>
      <c r="B80" s="37"/>
      <c r="C80" s="139"/>
      <c r="D80" s="159"/>
      <c r="E80" s="159"/>
      <c r="F80" s="37"/>
      <c r="G80" s="139"/>
      <c r="H80" s="159"/>
      <c r="I80" s="170"/>
      <c r="J80" s="288"/>
      <c r="K80" s="37"/>
      <c r="L80" s="256"/>
      <c r="M80" s="170"/>
    </row>
    <row r="81" spans="1:14" x14ac:dyDescent="0.2">
      <c r="A81" s="18" t="s">
        <v>10</v>
      </c>
      <c r="B81" s="293"/>
      <c r="C81" s="294"/>
      <c r="D81" s="159"/>
      <c r="E81" s="159"/>
      <c r="F81" s="293"/>
      <c r="G81" s="294"/>
      <c r="H81" s="159"/>
      <c r="I81" s="170"/>
      <c r="J81" s="288"/>
      <c r="K81" s="37"/>
      <c r="L81" s="256"/>
      <c r="M81" s="170"/>
    </row>
    <row r="82" spans="1:14" ht="15.75" x14ac:dyDescent="0.2">
      <c r="A82" s="298" t="s">
        <v>330</v>
      </c>
      <c r="B82" s="282"/>
      <c r="C82" s="282"/>
      <c r="D82" s="159"/>
      <c r="E82" s="159"/>
      <c r="F82" s="805"/>
      <c r="G82" s="282"/>
      <c r="H82" s="159"/>
      <c r="I82" s="237"/>
      <c r="J82" s="291"/>
      <c r="K82" s="291"/>
      <c r="L82" s="159"/>
      <c r="M82" s="159"/>
    </row>
    <row r="83" spans="1:14" x14ac:dyDescent="0.2">
      <c r="A83" s="298" t="s">
        <v>12</v>
      </c>
      <c r="B83" s="295"/>
      <c r="C83" s="296"/>
      <c r="D83" s="159"/>
      <c r="E83" s="159"/>
      <c r="F83" s="806"/>
      <c r="G83" s="41"/>
      <c r="H83" s="159"/>
      <c r="I83" s="237"/>
      <c r="J83" s="291"/>
      <c r="K83" s="291"/>
      <c r="L83" s="159"/>
      <c r="M83" s="159"/>
    </row>
    <row r="84" spans="1:14" x14ac:dyDescent="0.2">
      <c r="A84" s="298" t="s">
        <v>13</v>
      </c>
      <c r="B84" s="230"/>
      <c r="C84" s="290"/>
      <c r="D84" s="159"/>
      <c r="E84" s="159"/>
      <c r="F84" s="229"/>
      <c r="G84" s="139"/>
      <c r="H84" s="159"/>
      <c r="I84" s="237"/>
      <c r="J84" s="291"/>
      <c r="K84" s="291"/>
      <c r="L84" s="159"/>
      <c r="M84" s="159"/>
    </row>
    <row r="85" spans="1:14" ht="15.75" x14ac:dyDescent="0.2">
      <c r="A85" s="298" t="s">
        <v>331</v>
      </c>
      <c r="B85" s="282"/>
      <c r="C85" s="282"/>
      <c r="D85" s="159"/>
      <c r="E85" s="159"/>
      <c r="F85" s="805"/>
      <c r="G85" s="282"/>
      <c r="H85" s="159"/>
      <c r="I85" s="237"/>
      <c r="J85" s="291"/>
      <c r="K85" s="291"/>
      <c r="L85" s="159"/>
      <c r="M85" s="159"/>
    </row>
    <row r="86" spans="1:14" x14ac:dyDescent="0.2">
      <c r="A86" s="298" t="s">
        <v>12</v>
      </c>
      <c r="B86" s="230"/>
      <c r="C86" s="290"/>
      <c r="D86" s="159"/>
      <c r="E86" s="159"/>
      <c r="F86" s="229"/>
      <c r="G86" s="139"/>
      <c r="H86" s="159"/>
      <c r="I86" s="237"/>
      <c r="J86" s="291"/>
      <c r="K86" s="291"/>
      <c r="L86" s="159"/>
      <c r="M86" s="159"/>
    </row>
    <row r="87" spans="1:14" s="3" customFormat="1" x14ac:dyDescent="0.2">
      <c r="A87" s="298" t="s">
        <v>13</v>
      </c>
      <c r="B87" s="230"/>
      <c r="C87" s="290"/>
      <c r="D87" s="159"/>
      <c r="E87" s="159"/>
      <c r="F87" s="229"/>
      <c r="G87" s="139"/>
      <c r="H87" s="159"/>
      <c r="I87" s="237"/>
      <c r="J87" s="291"/>
      <c r="K87" s="291"/>
      <c r="L87" s="159"/>
      <c r="M87" s="159"/>
      <c r="N87" s="142"/>
    </row>
    <row r="88" spans="1:14" s="3" customFormat="1" x14ac:dyDescent="0.2">
      <c r="A88" s="18" t="s">
        <v>33</v>
      </c>
      <c r="B88" s="229"/>
      <c r="C88" s="139"/>
      <c r="D88" s="159"/>
      <c r="E88" s="159"/>
      <c r="F88" s="229"/>
      <c r="G88" s="139"/>
      <c r="H88" s="159"/>
      <c r="I88" s="170"/>
      <c r="J88" s="288"/>
      <c r="K88" s="37"/>
      <c r="L88" s="256"/>
      <c r="M88" s="170"/>
      <c r="N88" s="142"/>
    </row>
    <row r="89" spans="1:14" ht="15.75" x14ac:dyDescent="0.2">
      <c r="A89" s="18" t="s">
        <v>332</v>
      </c>
      <c r="B89" s="229"/>
      <c r="C89" s="229"/>
      <c r="D89" s="159"/>
      <c r="E89" s="159"/>
      <c r="F89" s="229"/>
      <c r="G89" s="229"/>
      <c r="H89" s="159"/>
      <c r="I89" s="170"/>
      <c r="J89" s="288"/>
      <c r="K89" s="37"/>
      <c r="L89" s="256"/>
      <c r="M89" s="170"/>
    </row>
    <row r="90" spans="1:14" x14ac:dyDescent="0.2">
      <c r="A90" s="18" t="s">
        <v>9</v>
      </c>
      <c r="B90" s="229"/>
      <c r="C90" s="139"/>
      <c r="D90" s="159"/>
      <c r="E90" s="159"/>
      <c r="F90" s="229"/>
      <c r="G90" s="139"/>
      <c r="H90" s="159"/>
      <c r="I90" s="170"/>
      <c r="J90" s="288"/>
      <c r="K90" s="37"/>
      <c r="L90" s="256"/>
      <c r="M90" s="170"/>
    </row>
    <row r="91" spans="1:14" x14ac:dyDescent="0.2">
      <c r="A91" s="18" t="s">
        <v>10</v>
      </c>
      <c r="B91" s="293"/>
      <c r="C91" s="294"/>
      <c r="D91" s="159"/>
      <c r="E91" s="159"/>
      <c r="F91" s="293"/>
      <c r="G91" s="294"/>
      <c r="H91" s="159"/>
      <c r="I91" s="170"/>
      <c r="J91" s="288"/>
      <c r="K91" s="37"/>
      <c r="L91" s="256"/>
      <c r="M91" s="170"/>
    </row>
    <row r="92" spans="1:14" ht="15.75" x14ac:dyDescent="0.2">
      <c r="A92" s="298" t="s">
        <v>330</v>
      </c>
      <c r="B92" s="282"/>
      <c r="C92" s="282"/>
      <c r="D92" s="159"/>
      <c r="E92" s="159"/>
      <c r="F92" s="805"/>
      <c r="G92" s="282"/>
      <c r="H92" s="159"/>
      <c r="I92" s="237"/>
      <c r="J92" s="291"/>
      <c r="K92" s="291"/>
      <c r="L92" s="159"/>
      <c r="M92" s="159"/>
    </row>
    <row r="93" spans="1:14" x14ac:dyDescent="0.2">
      <c r="A93" s="298" t="s">
        <v>12</v>
      </c>
      <c r="B93" s="230"/>
      <c r="C93" s="290"/>
      <c r="D93" s="159"/>
      <c r="E93" s="159"/>
      <c r="F93" s="229"/>
      <c r="G93" s="139"/>
      <c r="H93" s="159"/>
      <c r="I93" s="237"/>
      <c r="J93" s="291"/>
      <c r="K93" s="291"/>
      <c r="L93" s="159"/>
      <c r="M93" s="159"/>
    </row>
    <row r="94" spans="1:14" x14ac:dyDescent="0.2">
      <c r="A94" s="298" t="s">
        <v>13</v>
      </c>
      <c r="B94" s="230"/>
      <c r="C94" s="290"/>
      <c r="D94" s="159"/>
      <c r="E94" s="159"/>
      <c r="F94" s="229"/>
      <c r="G94" s="139"/>
      <c r="H94" s="159"/>
      <c r="I94" s="237"/>
      <c r="J94" s="291"/>
      <c r="K94" s="291"/>
      <c r="L94" s="159"/>
      <c r="M94" s="159"/>
    </row>
    <row r="95" spans="1:14" ht="15.75" x14ac:dyDescent="0.2">
      <c r="A95" s="298" t="s">
        <v>331</v>
      </c>
      <c r="B95" s="282"/>
      <c r="C95" s="282"/>
      <c r="D95" s="159"/>
      <c r="E95" s="159"/>
      <c r="F95" s="805"/>
      <c r="G95" s="282"/>
      <c r="H95" s="159"/>
      <c r="I95" s="237"/>
      <c r="J95" s="291"/>
      <c r="K95" s="291"/>
      <c r="L95" s="159"/>
      <c r="M95" s="159"/>
    </row>
    <row r="96" spans="1:14" x14ac:dyDescent="0.2">
      <c r="A96" s="298" t="s">
        <v>12</v>
      </c>
      <c r="B96" s="230"/>
      <c r="C96" s="290"/>
      <c r="D96" s="159"/>
      <c r="E96" s="159"/>
      <c r="F96" s="229"/>
      <c r="G96" s="139"/>
      <c r="H96" s="159"/>
      <c r="I96" s="237"/>
      <c r="J96" s="291"/>
      <c r="K96" s="291"/>
      <c r="L96" s="159"/>
      <c r="M96" s="159"/>
    </row>
    <row r="97" spans="1:13" x14ac:dyDescent="0.2">
      <c r="A97" s="298" t="s">
        <v>13</v>
      </c>
      <c r="B97" s="230"/>
      <c r="C97" s="290"/>
      <c r="D97" s="159"/>
      <c r="E97" s="159"/>
      <c r="F97" s="229"/>
      <c r="G97" s="139"/>
      <c r="H97" s="159"/>
      <c r="I97" s="237"/>
      <c r="J97" s="291"/>
      <c r="K97" s="291"/>
      <c r="L97" s="159"/>
      <c r="M97" s="159"/>
    </row>
    <row r="98" spans="1:13" ht="15.75" x14ac:dyDescent="0.2">
      <c r="A98" s="18" t="s">
        <v>342</v>
      </c>
      <c r="B98" s="229"/>
      <c r="C98" s="139"/>
      <c r="D98" s="159"/>
      <c r="E98" s="159"/>
      <c r="F98" s="229"/>
      <c r="G98" s="139"/>
      <c r="H98" s="159"/>
      <c r="I98" s="170"/>
      <c r="J98" s="288"/>
      <c r="K98" s="37"/>
      <c r="L98" s="256"/>
      <c r="M98" s="170"/>
    </row>
    <row r="99" spans="1:13" ht="15.75" x14ac:dyDescent="0.2">
      <c r="A99" s="11" t="s">
        <v>29</v>
      </c>
      <c r="B99" s="310"/>
      <c r="C99" s="310"/>
      <c r="D99" s="159"/>
      <c r="E99" s="159"/>
      <c r="F99" s="310"/>
      <c r="G99" s="310"/>
      <c r="H99" s="159"/>
      <c r="I99" s="170"/>
      <c r="J99" s="311"/>
      <c r="K99" s="231"/>
      <c r="L99" s="256"/>
      <c r="M99" s="170"/>
    </row>
    <row r="100" spans="1:13" x14ac:dyDescent="0.2">
      <c r="A100" s="18" t="s">
        <v>9</v>
      </c>
      <c r="B100" s="229"/>
      <c r="C100" s="139"/>
      <c r="D100" s="159"/>
      <c r="E100" s="159"/>
      <c r="F100" s="229"/>
      <c r="G100" s="139"/>
      <c r="H100" s="159"/>
      <c r="I100" s="170"/>
      <c r="J100" s="288"/>
      <c r="K100" s="37"/>
      <c r="L100" s="256"/>
      <c r="M100" s="170"/>
    </row>
    <row r="101" spans="1:13" x14ac:dyDescent="0.2">
      <c r="A101" s="18" t="s">
        <v>10</v>
      </c>
      <c r="B101" s="229"/>
      <c r="C101" s="139"/>
      <c r="D101" s="159"/>
      <c r="E101" s="159"/>
      <c r="F101" s="229"/>
      <c r="G101" s="139"/>
      <c r="H101" s="159"/>
      <c r="I101" s="170"/>
      <c r="J101" s="288"/>
      <c r="K101" s="37"/>
      <c r="L101" s="256"/>
      <c r="M101" s="170"/>
    </row>
    <row r="102" spans="1:13" ht="15.75" x14ac:dyDescent="0.2">
      <c r="A102" s="298" t="s">
        <v>330</v>
      </c>
      <c r="B102" s="282"/>
      <c r="C102" s="282"/>
      <c r="D102" s="159"/>
      <c r="E102" s="159"/>
      <c r="F102" s="805"/>
      <c r="G102" s="282"/>
      <c r="H102" s="159"/>
      <c r="I102" s="237"/>
      <c r="J102" s="291"/>
      <c r="K102" s="291"/>
      <c r="L102" s="159"/>
      <c r="M102" s="159"/>
    </row>
    <row r="103" spans="1:13" x14ac:dyDescent="0.2">
      <c r="A103" s="298" t="s">
        <v>12</v>
      </c>
      <c r="B103" s="230"/>
      <c r="C103" s="290"/>
      <c r="D103" s="159"/>
      <c r="E103" s="159"/>
      <c r="F103" s="229"/>
      <c r="G103" s="139"/>
      <c r="H103" s="159"/>
      <c r="I103" s="237"/>
      <c r="J103" s="291"/>
      <c r="K103" s="291"/>
      <c r="L103" s="159"/>
      <c r="M103" s="159"/>
    </row>
    <row r="104" spans="1:13" x14ac:dyDescent="0.2">
      <c r="A104" s="298" t="s">
        <v>13</v>
      </c>
      <c r="B104" s="230"/>
      <c r="C104" s="290"/>
      <c r="D104" s="159"/>
      <c r="E104" s="159"/>
      <c r="F104" s="229"/>
      <c r="G104" s="139"/>
      <c r="H104" s="159"/>
      <c r="I104" s="237"/>
      <c r="J104" s="291"/>
      <c r="K104" s="291"/>
      <c r="L104" s="159"/>
      <c r="M104" s="159"/>
    </row>
    <row r="105" spans="1:13" ht="15.75" x14ac:dyDescent="0.2">
      <c r="A105" s="298" t="s">
        <v>331</v>
      </c>
      <c r="B105" s="282"/>
      <c r="C105" s="282"/>
      <c r="D105" s="159"/>
      <c r="E105" s="159"/>
      <c r="F105" s="805"/>
      <c r="G105" s="282"/>
      <c r="H105" s="159"/>
      <c r="I105" s="237"/>
      <c r="J105" s="291"/>
      <c r="K105" s="291"/>
      <c r="L105" s="159"/>
      <c r="M105" s="159"/>
    </row>
    <row r="106" spans="1:13" x14ac:dyDescent="0.2">
      <c r="A106" s="298" t="s">
        <v>12</v>
      </c>
      <c r="B106" s="230"/>
      <c r="C106" s="290"/>
      <c r="D106" s="159"/>
      <c r="E106" s="159"/>
      <c r="F106" s="229"/>
      <c r="G106" s="139"/>
      <c r="H106" s="159"/>
      <c r="I106" s="237"/>
      <c r="J106" s="291"/>
      <c r="K106" s="291"/>
      <c r="L106" s="159"/>
      <c r="M106" s="159"/>
    </row>
    <row r="107" spans="1:13" x14ac:dyDescent="0.2">
      <c r="A107" s="298" t="s">
        <v>13</v>
      </c>
      <c r="B107" s="230"/>
      <c r="C107" s="290"/>
      <c r="D107" s="159"/>
      <c r="E107" s="159"/>
      <c r="F107" s="229"/>
      <c r="G107" s="139"/>
      <c r="H107" s="159"/>
      <c r="I107" s="237"/>
      <c r="J107" s="291"/>
      <c r="K107" s="291"/>
      <c r="L107" s="159"/>
      <c r="M107" s="159"/>
    </row>
    <row r="108" spans="1:13" x14ac:dyDescent="0.2">
      <c r="A108" s="18" t="s">
        <v>33</v>
      </c>
      <c r="B108" s="229"/>
      <c r="C108" s="139"/>
      <c r="D108" s="159"/>
      <c r="E108" s="159"/>
      <c r="F108" s="229"/>
      <c r="G108" s="139"/>
      <c r="H108" s="159"/>
      <c r="I108" s="170"/>
      <c r="J108" s="288"/>
      <c r="K108" s="37"/>
      <c r="L108" s="256"/>
      <c r="M108" s="170"/>
    </row>
    <row r="109" spans="1:13" ht="15.75" x14ac:dyDescent="0.2">
      <c r="A109" s="18" t="s">
        <v>332</v>
      </c>
      <c r="B109" s="229"/>
      <c r="C109" s="139"/>
      <c r="D109" s="159"/>
      <c r="E109" s="159"/>
      <c r="F109" s="229"/>
      <c r="G109" s="139"/>
      <c r="H109" s="159"/>
      <c r="I109" s="170"/>
      <c r="J109" s="288"/>
      <c r="K109" s="37"/>
      <c r="L109" s="256"/>
      <c r="M109" s="170"/>
    </row>
    <row r="110" spans="1:13" x14ac:dyDescent="0.2">
      <c r="A110" s="18" t="s">
        <v>9</v>
      </c>
      <c r="B110" s="229"/>
      <c r="C110" s="139"/>
      <c r="D110" s="159"/>
      <c r="E110" s="159"/>
      <c r="F110" s="229"/>
      <c r="G110" s="139"/>
      <c r="H110" s="159"/>
      <c r="I110" s="170"/>
      <c r="J110" s="288"/>
      <c r="K110" s="37"/>
      <c r="L110" s="256"/>
      <c r="M110" s="170"/>
    </row>
    <row r="111" spans="1:13" x14ac:dyDescent="0.2">
      <c r="A111" s="18" t="s">
        <v>10</v>
      </c>
      <c r="B111" s="293"/>
      <c r="C111" s="294"/>
      <c r="D111" s="159"/>
      <c r="E111" s="159"/>
      <c r="F111" s="293"/>
      <c r="G111" s="294"/>
      <c r="H111" s="159"/>
      <c r="I111" s="170"/>
      <c r="J111" s="288"/>
      <c r="K111" s="37"/>
      <c r="L111" s="256"/>
      <c r="M111" s="170"/>
    </row>
    <row r="112" spans="1:13" ht="15.75" x14ac:dyDescent="0.2">
      <c r="A112" s="298" t="s">
        <v>330</v>
      </c>
      <c r="B112" s="282"/>
      <c r="C112" s="282"/>
      <c r="D112" s="159"/>
      <c r="E112" s="159"/>
      <c r="F112" s="805"/>
      <c r="G112" s="282"/>
      <c r="H112" s="159"/>
      <c r="I112" s="237"/>
      <c r="J112" s="291"/>
      <c r="K112" s="291"/>
      <c r="L112" s="159"/>
      <c r="M112" s="159"/>
    </row>
    <row r="113" spans="1:13" x14ac:dyDescent="0.2">
      <c r="A113" s="298" t="s">
        <v>12</v>
      </c>
      <c r="B113" s="230"/>
      <c r="C113" s="290"/>
      <c r="D113" s="159"/>
      <c r="E113" s="159"/>
      <c r="F113" s="229"/>
      <c r="G113" s="139"/>
      <c r="H113" s="159"/>
      <c r="I113" s="237"/>
      <c r="J113" s="291"/>
      <c r="K113" s="291"/>
      <c r="L113" s="159"/>
      <c r="M113" s="159"/>
    </row>
    <row r="114" spans="1:13" x14ac:dyDescent="0.2">
      <c r="A114" s="298" t="s">
        <v>13</v>
      </c>
      <c r="B114" s="230"/>
      <c r="C114" s="290"/>
      <c r="D114" s="159"/>
      <c r="E114" s="159"/>
      <c r="F114" s="229"/>
      <c r="G114" s="139"/>
      <c r="H114" s="159"/>
      <c r="I114" s="237"/>
      <c r="J114" s="291"/>
      <c r="K114" s="291"/>
      <c r="L114" s="159"/>
      <c r="M114" s="159"/>
    </row>
    <row r="115" spans="1:13" ht="15.75" x14ac:dyDescent="0.2">
      <c r="A115" s="298" t="s">
        <v>331</v>
      </c>
      <c r="B115" s="282"/>
      <c r="C115" s="282"/>
      <c r="D115" s="159"/>
      <c r="E115" s="159"/>
      <c r="F115" s="805"/>
      <c r="G115" s="282"/>
      <c r="H115" s="159"/>
      <c r="I115" s="237"/>
      <c r="J115" s="291"/>
      <c r="K115" s="291"/>
      <c r="L115" s="159"/>
      <c r="M115" s="159"/>
    </row>
    <row r="116" spans="1:13" x14ac:dyDescent="0.2">
      <c r="A116" s="298" t="s">
        <v>12</v>
      </c>
      <c r="B116" s="230"/>
      <c r="C116" s="290"/>
      <c r="D116" s="159"/>
      <c r="E116" s="159"/>
      <c r="F116" s="229"/>
      <c r="G116" s="139"/>
      <c r="H116" s="159"/>
      <c r="I116" s="237"/>
      <c r="J116" s="291"/>
      <c r="K116" s="291"/>
      <c r="L116" s="159"/>
      <c r="M116" s="159"/>
    </row>
    <row r="117" spans="1:13" x14ac:dyDescent="0.2">
      <c r="A117" s="298" t="s">
        <v>13</v>
      </c>
      <c r="B117" s="232"/>
      <c r="C117" s="297"/>
      <c r="D117" s="159"/>
      <c r="E117" s="159"/>
      <c r="F117" s="233"/>
      <c r="G117" s="807"/>
      <c r="H117" s="159"/>
      <c r="I117" s="237"/>
      <c r="J117" s="291"/>
      <c r="K117" s="291"/>
      <c r="L117" s="159"/>
      <c r="M117" s="159"/>
    </row>
    <row r="118" spans="1:13" ht="15.75" x14ac:dyDescent="0.2">
      <c r="A118" s="18" t="s">
        <v>342</v>
      </c>
      <c r="B118" s="229"/>
      <c r="C118" s="139"/>
      <c r="D118" s="159"/>
      <c r="E118" s="159"/>
      <c r="F118" s="229"/>
      <c r="G118" s="139"/>
      <c r="H118" s="159"/>
      <c r="I118" s="170"/>
      <c r="J118" s="288"/>
      <c r="K118" s="37"/>
      <c r="L118" s="256"/>
      <c r="M118" s="170"/>
    </row>
    <row r="119" spans="1:13" ht="15.75" x14ac:dyDescent="0.2">
      <c r="A119" s="11" t="s">
        <v>28</v>
      </c>
      <c r="B119" s="355"/>
      <c r="C119" s="355"/>
      <c r="D119" s="159"/>
      <c r="E119" s="159"/>
      <c r="F119" s="355"/>
      <c r="G119" s="355"/>
      <c r="H119" s="159"/>
      <c r="I119" s="170"/>
      <c r="J119" s="311"/>
      <c r="K119" s="231"/>
      <c r="L119" s="256"/>
      <c r="M119" s="170"/>
    </row>
    <row r="120" spans="1:13" x14ac:dyDescent="0.2">
      <c r="A120" s="18" t="s">
        <v>9</v>
      </c>
      <c r="B120" s="229"/>
      <c r="C120" s="139"/>
      <c r="D120" s="159"/>
      <c r="E120" s="159"/>
      <c r="F120" s="229"/>
      <c r="G120" s="139"/>
      <c r="H120" s="159"/>
      <c r="I120" s="170"/>
      <c r="J120" s="288"/>
      <c r="K120" s="37"/>
      <c r="L120" s="256"/>
      <c r="M120" s="170"/>
    </row>
    <row r="121" spans="1:13" x14ac:dyDescent="0.2">
      <c r="A121" s="18" t="s">
        <v>10</v>
      </c>
      <c r="B121" s="229"/>
      <c r="C121" s="139"/>
      <c r="D121" s="159"/>
      <c r="E121" s="159"/>
      <c r="F121" s="229"/>
      <c r="G121" s="139"/>
      <c r="H121" s="159"/>
      <c r="I121" s="170"/>
      <c r="J121" s="288"/>
      <c r="K121" s="37"/>
      <c r="L121" s="256"/>
      <c r="M121" s="170"/>
    </row>
    <row r="122" spans="1:13" ht="15.75" x14ac:dyDescent="0.2">
      <c r="A122" s="298" t="s">
        <v>330</v>
      </c>
      <c r="B122" s="282"/>
      <c r="C122" s="282"/>
      <c r="D122" s="159"/>
      <c r="E122" s="159"/>
      <c r="F122" s="805"/>
      <c r="G122" s="282"/>
      <c r="H122" s="159"/>
      <c r="I122" s="237"/>
      <c r="J122" s="291"/>
      <c r="K122" s="291"/>
      <c r="L122" s="159"/>
      <c r="M122" s="159"/>
    </row>
    <row r="123" spans="1:13" x14ac:dyDescent="0.2">
      <c r="A123" s="298" t="s">
        <v>12</v>
      </c>
      <c r="B123" s="230"/>
      <c r="C123" s="290"/>
      <c r="D123" s="159"/>
      <c r="E123" s="159"/>
      <c r="F123" s="229"/>
      <c r="G123" s="139"/>
      <c r="H123" s="159"/>
      <c r="I123" s="237"/>
      <c r="J123" s="291"/>
      <c r="K123" s="291"/>
      <c r="L123" s="159"/>
      <c r="M123" s="159"/>
    </row>
    <row r="124" spans="1:13" x14ac:dyDescent="0.2">
      <c r="A124" s="298" t="s">
        <v>13</v>
      </c>
      <c r="B124" s="230"/>
      <c r="C124" s="290"/>
      <c r="D124" s="159"/>
      <c r="E124" s="159"/>
      <c r="F124" s="229"/>
      <c r="G124" s="139"/>
      <c r="H124" s="159"/>
      <c r="I124" s="237"/>
      <c r="J124" s="291"/>
      <c r="K124" s="291"/>
      <c r="L124" s="159"/>
      <c r="M124" s="159"/>
    </row>
    <row r="125" spans="1:13" ht="15.75" x14ac:dyDescent="0.2">
      <c r="A125" s="298" t="s">
        <v>331</v>
      </c>
      <c r="B125" s="282"/>
      <c r="C125" s="282"/>
      <c r="D125" s="159"/>
      <c r="E125" s="159"/>
      <c r="F125" s="805"/>
      <c r="G125" s="282"/>
      <c r="H125" s="159"/>
      <c r="I125" s="237"/>
      <c r="J125" s="291"/>
      <c r="K125" s="291"/>
      <c r="L125" s="159"/>
      <c r="M125" s="159"/>
    </row>
    <row r="126" spans="1:13" x14ac:dyDescent="0.2">
      <c r="A126" s="298" t="s">
        <v>12</v>
      </c>
      <c r="B126" s="230"/>
      <c r="C126" s="290"/>
      <c r="D126" s="159"/>
      <c r="E126" s="159"/>
      <c r="F126" s="229"/>
      <c r="G126" s="139"/>
      <c r="H126" s="159"/>
      <c r="I126" s="237"/>
      <c r="J126" s="291"/>
      <c r="K126" s="291"/>
      <c r="L126" s="159"/>
      <c r="M126" s="159"/>
    </row>
    <row r="127" spans="1:13" x14ac:dyDescent="0.2">
      <c r="A127" s="298" t="s">
        <v>13</v>
      </c>
      <c r="B127" s="230"/>
      <c r="C127" s="290"/>
      <c r="D127" s="159"/>
      <c r="E127" s="159"/>
      <c r="F127" s="229"/>
      <c r="G127" s="139"/>
      <c r="H127" s="159"/>
      <c r="I127" s="237"/>
      <c r="J127" s="291"/>
      <c r="K127" s="291"/>
      <c r="L127" s="159"/>
      <c r="M127" s="159"/>
    </row>
    <row r="128" spans="1:13" x14ac:dyDescent="0.2">
      <c r="A128" s="18" t="s">
        <v>34</v>
      </c>
      <c r="B128" s="229"/>
      <c r="C128" s="139"/>
      <c r="D128" s="159"/>
      <c r="E128" s="159"/>
      <c r="F128" s="229"/>
      <c r="G128" s="139"/>
      <c r="H128" s="159"/>
      <c r="I128" s="170"/>
      <c r="J128" s="288"/>
      <c r="K128" s="37"/>
      <c r="L128" s="256"/>
      <c r="M128" s="170"/>
    </row>
    <row r="129" spans="1:13" ht="15.75" x14ac:dyDescent="0.2">
      <c r="A129" s="18" t="s">
        <v>332</v>
      </c>
      <c r="B129" s="229"/>
      <c r="C129" s="229"/>
      <c r="D129" s="159"/>
      <c r="E129" s="159"/>
      <c r="F129" s="229"/>
      <c r="G129" s="229"/>
      <c r="H129" s="159"/>
      <c r="I129" s="170"/>
      <c r="J129" s="288"/>
      <c r="K129" s="37"/>
      <c r="L129" s="256"/>
      <c r="M129" s="170"/>
    </row>
    <row r="130" spans="1:13" x14ac:dyDescent="0.2">
      <c r="A130" s="18" t="s">
        <v>9</v>
      </c>
      <c r="B130" s="293"/>
      <c r="C130" s="294"/>
      <c r="D130" s="159"/>
      <c r="E130" s="159"/>
      <c r="F130" s="293"/>
      <c r="G130" s="294"/>
      <c r="H130" s="159"/>
      <c r="I130" s="170"/>
      <c r="J130" s="288"/>
      <c r="K130" s="37"/>
      <c r="L130" s="256"/>
      <c r="M130" s="170"/>
    </row>
    <row r="131" spans="1:13" x14ac:dyDescent="0.2">
      <c r="A131" s="18" t="s">
        <v>10</v>
      </c>
      <c r="B131" s="293"/>
      <c r="C131" s="294"/>
      <c r="D131" s="159"/>
      <c r="E131" s="159"/>
      <c r="F131" s="293"/>
      <c r="G131" s="294"/>
      <c r="H131" s="159"/>
      <c r="I131" s="170"/>
      <c r="J131" s="288"/>
      <c r="K131" s="37"/>
      <c r="L131" s="256"/>
      <c r="M131" s="170"/>
    </row>
    <row r="132" spans="1:13" ht="15.75" x14ac:dyDescent="0.2">
      <c r="A132" s="298" t="s">
        <v>330</v>
      </c>
      <c r="B132" s="282"/>
      <c r="C132" s="282"/>
      <c r="D132" s="159"/>
      <c r="E132" s="159"/>
      <c r="F132" s="805"/>
      <c r="G132" s="282"/>
      <c r="H132" s="159"/>
      <c r="I132" s="237"/>
      <c r="J132" s="291"/>
      <c r="K132" s="291"/>
      <c r="L132" s="159"/>
      <c r="M132" s="159"/>
    </row>
    <row r="133" spans="1:13" x14ac:dyDescent="0.2">
      <c r="A133" s="298" t="s">
        <v>12</v>
      </c>
      <c r="B133" s="230"/>
      <c r="C133" s="290"/>
      <c r="D133" s="159"/>
      <c r="E133" s="159"/>
      <c r="F133" s="229"/>
      <c r="G133" s="139"/>
      <c r="H133" s="159"/>
      <c r="I133" s="237"/>
      <c r="J133" s="291"/>
      <c r="K133" s="291"/>
      <c r="L133" s="159"/>
      <c r="M133" s="159"/>
    </row>
    <row r="134" spans="1:13" x14ac:dyDescent="0.2">
      <c r="A134" s="298" t="s">
        <v>13</v>
      </c>
      <c r="B134" s="230"/>
      <c r="C134" s="290"/>
      <c r="D134" s="159"/>
      <c r="E134" s="159"/>
      <c r="F134" s="229"/>
      <c r="G134" s="139"/>
      <c r="H134" s="159"/>
      <c r="I134" s="237"/>
      <c r="J134" s="291"/>
      <c r="K134" s="291"/>
      <c r="L134" s="159"/>
      <c r="M134" s="159"/>
    </row>
    <row r="135" spans="1:13" ht="15.75" x14ac:dyDescent="0.2">
      <c r="A135" s="298" t="s">
        <v>331</v>
      </c>
      <c r="B135" s="282"/>
      <c r="C135" s="282"/>
      <c r="D135" s="159"/>
      <c r="E135" s="159"/>
      <c r="F135" s="805"/>
      <c r="G135" s="282"/>
      <c r="H135" s="159"/>
      <c r="I135" s="237"/>
      <c r="J135" s="291"/>
      <c r="K135" s="291"/>
      <c r="L135" s="159"/>
      <c r="M135" s="159"/>
    </row>
    <row r="136" spans="1:13" x14ac:dyDescent="0.2">
      <c r="A136" s="298" t="s">
        <v>12</v>
      </c>
      <c r="B136" s="230"/>
      <c r="C136" s="290"/>
      <c r="D136" s="159"/>
      <c r="E136" s="159"/>
      <c r="F136" s="229"/>
      <c r="G136" s="139"/>
      <c r="H136" s="159"/>
      <c r="I136" s="237"/>
      <c r="J136" s="291"/>
      <c r="K136" s="291"/>
      <c r="L136" s="159"/>
      <c r="M136" s="159"/>
    </row>
    <row r="137" spans="1:13" x14ac:dyDescent="0.2">
      <c r="A137" s="298" t="s">
        <v>13</v>
      </c>
      <c r="B137" s="230"/>
      <c r="C137" s="290"/>
      <c r="D137" s="159"/>
      <c r="E137" s="159"/>
      <c r="F137" s="229"/>
      <c r="G137" s="139"/>
      <c r="H137" s="159"/>
      <c r="I137" s="237"/>
      <c r="J137" s="291"/>
      <c r="K137" s="291"/>
      <c r="L137" s="159"/>
      <c r="M137" s="159"/>
    </row>
    <row r="138" spans="1:13" ht="15.75" x14ac:dyDescent="0.2">
      <c r="A138" s="18" t="s">
        <v>342</v>
      </c>
      <c r="B138" s="229"/>
      <c r="C138" s="139"/>
      <c r="D138" s="159"/>
      <c r="E138" s="159"/>
      <c r="F138" s="229"/>
      <c r="G138" s="139"/>
      <c r="H138" s="159"/>
      <c r="I138" s="170"/>
      <c r="J138" s="288"/>
      <c r="K138" s="37"/>
      <c r="L138" s="256"/>
      <c r="M138" s="170"/>
    </row>
    <row r="139" spans="1:13" ht="15.75" x14ac:dyDescent="0.2">
      <c r="A139" s="18" t="s">
        <v>343</v>
      </c>
      <c r="B139" s="229"/>
      <c r="C139" s="229"/>
      <c r="D139" s="159"/>
      <c r="E139" s="159"/>
      <c r="F139" s="229"/>
      <c r="G139" s="229"/>
      <c r="H139" s="159"/>
      <c r="I139" s="170"/>
      <c r="J139" s="288"/>
      <c r="K139" s="37"/>
      <c r="L139" s="256"/>
      <c r="M139" s="170"/>
    </row>
    <row r="140" spans="1:13" ht="15.75" x14ac:dyDescent="0.2">
      <c r="A140" s="18" t="s">
        <v>334</v>
      </c>
      <c r="B140" s="229"/>
      <c r="C140" s="229"/>
      <c r="D140" s="159"/>
      <c r="E140" s="159"/>
      <c r="F140" s="229"/>
      <c r="G140" s="229"/>
      <c r="H140" s="159"/>
      <c r="I140" s="170"/>
      <c r="J140" s="288"/>
      <c r="K140" s="37"/>
      <c r="L140" s="256"/>
      <c r="M140" s="170"/>
    </row>
    <row r="141" spans="1:13" ht="15.75" x14ac:dyDescent="0.2">
      <c r="A141" s="18" t="s">
        <v>335</v>
      </c>
      <c r="B141" s="229"/>
      <c r="C141" s="229"/>
      <c r="D141" s="159"/>
      <c r="E141" s="159"/>
      <c r="F141" s="229"/>
      <c r="G141" s="229"/>
      <c r="H141" s="159"/>
      <c r="I141" s="170"/>
      <c r="J141" s="288"/>
      <c r="K141" s="37"/>
      <c r="L141" s="256"/>
      <c r="M141" s="170"/>
    </row>
    <row r="142" spans="1:13" ht="15.75" x14ac:dyDescent="0.2">
      <c r="A142" s="11" t="s">
        <v>27</v>
      </c>
      <c r="B142" s="310"/>
      <c r="C142" s="152"/>
      <c r="D142" s="159"/>
      <c r="E142" s="159"/>
      <c r="F142" s="310"/>
      <c r="G142" s="152"/>
      <c r="H142" s="159"/>
      <c r="I142" s="170"/>
      <c r="J142" s="311"/>
      <c r="K142" s="231"/>
      <c r="L142" s="256"/>
      <c r="M142" s="170"/>
    </row>
    <row r="143" spans="1:13" x14ac:dyDescent="0.2">
      <c r="A143" s="18" t="s">
        <v>9</v>
      </c>
      <c r="B143" s="229"/>
      <c r="C143" s="139"/>
      <c r="D143" s="159"/>
      <c r="E143" s="159"/>
      <c r="F143" s="229"/>
      <c r="G143" s="139"/>
      <c r="H143" s="159"/>
      <c r="I143" s="170"/>
      <c r="J143" s="288"/>
      <c r="K143" s="37"/>
      <c r="L143" s="256"/>
      <c r="M143" s="170"/>
    </row>
    <row r="144" spans="1:13" x14ac:dyDescent="0.2">
      <c r="A144" s="18" t="s">
        <v>10</v>
      </c>
      <c r="B144" s="229"/>
      <c r="C144" s="139"/>
      <c r="D144" s="159"/>
      <c r="E144" s="159"/>
      <c r="F144" s="229"/>
      <c r="G144" s="139"/>
      <c r="H144" s="159"/>
      <c r="I144" s="170"/>
      <c r="J144" s="288"/>
      <c r="K144" s="37"/>
      <c r="L144" s="256"/>
      <c r="M144" s="170"/>
    </row>
    <row r="145" spans="1:14" x14ac:dyDescent="0.2">
      <c r="A145" s="18" t="s">
        <v>34</v>
      </c>
      <c r="B145" s="229"/>
      <c r="C145" s="139"/>
      <c r="D145" s="159"/>
      <c r="E145" s="159"/>
      <c r="F145" s="229"/>
      <c r="G145" s="139"/>
      <c r="H145" s="159"/>
      <c r="I145" s="170"/>
      <c r="J145" s="288"/>
      <c r="K145" s="37"/>
      <c r="L145" s="256"/>
      <c r="M145" s="170"/>
    </row>
    <row r="146" spans="1:14" x14ac:dyDescent="0.2">
      <c r="A146" s="298" t="s">
        <v>15</v>
      </c>
      <c r="B146" s="282"/>
      <c r="C146" s="282"/>
      <c r="D146" s="159"/>
      <c r="E146" s="159"/>
      <c r="F146" s="805"/>
      <c r="G146" s="282"/>
      <c r="H146" s="159"/>
      <c r="I146" s="237"/>
      <c r="J146" s="291"/>
      <c r="K146" s="291"/>
      <c r="L146" s="159"/>
      <c r="M146" s="159"/>
    </row>
    <row r="147" spans="1:14" ht="15.75" x14ac:dyDescent="0.2">
      <c r="A147" s="18" t="s">
        <v>344</v>
      </c>
      <c r="B147" s="229"/>
      <c r="C147" s="229"/>
      <c r="D147" s="159"/>
      <c r="E147" s="159"/>
      <c r="F147" s="229"/>
      <c r="G147" s="229"/>
      <c r="H147" s="159"/>
      <c r="I147" s="170"/>
      <c r="J147" s="288"/>
      <c r="K147" s="37"/>
      <c r="L147" s="256"/>
      <c r="M147" s="170"/>
    </row>
    <row r="148" spans="1:14" ht="15.75" x14ac:dyDescent="0.2">
      <c r="A148" s="18" t="s">
        <v>336</v>
      </c>
      <c r="B148" s="229"/>
      <c r="C148" s="229"/>
      <c r="D148" s="159"/>
      <c r="E148" s="159"/>
      <c r="F148" s="229"/>
      <c r="G148" s="229"/>
      <c r="H148" s="159"/>
      <c r="I148" s="170"/>
      <c r="J148" s="288"/>
      <c r="K148" s="37"/>
      <c r="L148" s="256"/>
      <c r="M148" s="170"/>
    </row>
    <row r="149" spans="1:14" ht="15.75" x14ac:dyDescent="0.2">
      <c r="A149" s="18" t="s">
        <v>335</v>
      </c>
      <c r="B149" s="229"/>
      <c r="C149" s="229"/>
      <c r="D149" s="159"/>
      <c r="E149" s="159"/>
      <c r="F149" s="229"/>
      <c r="G149" s="229"/>
      <c r="H149" s="159"/>
      <c r="I149" s="170"/>
      <c r="J149" s="288"/>
      <c r="K149" s="37"/>
      <c r="L149" s="256"/>
      <c r="M149" s="170"/>
    </row>
    <row r="150" spans="1:14" ht="15.75" x14ac:dyDescent="0.2">
      <c r="A150" s="11" t="s">
        <v>26</v>
      </c>
      <c r="B150" s="310"/>
      <c r="C150" s="152"/>
      <c r="D150" s="159"/>
      <c r="E150" s="159"/>
      <c r="F150" s="310"/>
      <c r="G150" s="152"/>
      <c r="H150" s="159"/>
      <c r="I150" s="170"/>
      <c r="J150" s="311"/>
      <c r="K150" s="231"/>
      <c r="L150" s="256"/>
      <c r="M150" s="170"/>
    </row>
    <row r="151" spans="1:14" x14ac:dyDescent="0.2">
      <c r="A151" s="18" t="s">
        <v>9</v>
      </c>
      <c r="B151" s="229"/>
      <c r="C151" s="139"/>
      <c r="D151" s="159"/>
      <c r="E151" s="159"/>
      <c r="F151" s="229"/>
      <c r="G151" s="139"/>
      <c r="H151" s="159"/>
      <c r="I151" s="170"/>
      <c r="J151" s="288"/>
      <c r="K151" s="37"/>
      <c r="L151" s="256"/>
      <c r="M151" s="170"/>
    </row>
    <row r="152" spans="1:14" x14ac:dyDescent="0.2">
      <c r="A152" s="18" t="s">
        <v>10</v>
      </c>
      <c r="B152" s="229"/>
      <c r="C152" s="139"/>
      <c r="D152" s="159"/>
      <c r="E152" s="159"/>
      <c r="F152" s="229"/>
      <c r="G152" s="139"/>
      <c r="H152" s="159"/>
      <c r="I152" s="170"/>
      <c r="J152" s="288"/>
      <c r="K152" s="37"/>
      <c r="L152" s="256"/>
      <c r="M152" s="170"/>
    </row>
    <row r="153" spans="1:14" x14ac:dyDescent="0.2">
      <c r="A153" s="18" t="s">
        <v>34</v>
      </c>
      <c r="B153" s="229"/>
      <c r="C153" s="139"/>
      <c r="D153" s="159"/>
      <c r="E153" s="159"/>
      <c r="F153" s="229"/>
      <c r="G153" s="139"/>
      <c r="H153" s="159"/>
      <c r="I153" s="170"/>
      <c r="J153" s="288"/>
      <c r="K153" s="37"/>
      <c r="L153" s="256"/>
      <c r="M153" s="170"/>
    </row>
    <row r="154" spans="1:14" x14ac:dyDescent="0.2">
      <c r="A154" s="298" t="s">
        <v>14</v>
      </c>
      <c r="B154" s="282"/>
      <c r="C154" s="282"/>
      <c r="D154" s="159"/>
      <c r="E154" s="159"/>
      <c r="F154" s="805"/>
      <c r="G154" s="282"/>
      <c r="H154" s="159"/>
      <c r="I154" s="237"/>
      <c r="J154" s="291"/>
      <c r="K154" s="291"/>
      <c r="L154" s="159"/>
      <c r="M154" s="159"/>
    </row>
    <row r="155" spans="1:14" ht="15.75" x14ac:dyDescent="0.2">
      <c r="A155" s="18" t="s">
        <v>333</v>
      </c>
      <c r="B155" s="229"/>
      <c r="C155" s="229"/>
      <c r="D155" s="159"/>
      <c r="E155" s="159"/>
      <c r="F155" s="229"/>
      <c r="G155" s="229"/>
      <c r="H155" s="159"/>
      <c r="I155" s="170"/>
      <c r="J155" s="288"/>
      <c r="K155" s="37"/>
      <c r="L155" s="256"/>
      <c r="M155" s="170"/>
    </row>
    <row r="156" spans="1:14" ht="15.75" x14ac:dyDescent="0.2">
      <c r="A156" s="18" t="s">
        <v>334</v>
      </c>
      <c r="B156" s="229"/>
      <c r="C156" s="229"/>
      <c r="D156" s="159"/>
      <c r="E156" s="159"/>
      <c r="F156" s="229"/>
      <c r="G156" s="229"/>
      <c r="H156" s="159"/>
      <c r="I156" s="170"/>
      <c r="J156" s="288"/>
      <c r="K156" s="37"/>
      <c r="L156" s="256"/>
      <c r="M156" s="170"/>
    </row>
    <row r="157" spans="1:14" ht="15.75" x14ac:dyDescent="0.2">
      <c r="A157" s="9" t="s">
        <v>335</v>
      </c>
      <c r="B157" s="38"/>
      <c r="C157" s="38"/>
      <c r="D157" s="160"/>
      <c r="E157" s="160"/>
      <c r="F157" s="400"/>
      <c r="G157" s="38"/>
      <c r="H157" s="160"/>
      <c r="I157" s="160"/>
      <c r="J157" s="289"/>
      <c r="K157" s="38"/>
      <c r="L157" s="257"/>
      <c r="M157" s="160"/>
    </row>
    <row r="158" spans="1:14" x14ac:dyDescent="0.2">
      <c r="A158" s="148"/>
      <c r="L158" s="20"/>
      <c r="M158" s="20"/>
      <c r="N158" s="20"/>
    </row>
    <row r="159" spans="1:14" x14ac:dyDescent="0.2">
      <c r="L159" s="20"/>
      <c r="M159" s="20"/>
      <c r="N159" s="20"/>
    </row>
    <row r="160" spans="1:14" ht="15.75" x14ac:dyDescent="0.25">
      <c r="A160" s="158" t="s">
        <v>35</v>
      </c>
    </row>
    <row r="161" spans="1:14" ht="15.75" x14ac:dyDescent="0.25">
      <c r="B161" s="832"/>
      <c r="C161" s="832"/>
      <c r="D161" s="832"/>
      <c r="E161" s="301"/>
      <c r="F161" s="832"/>
      <c r="G161" s="832"/>
      <c r="H161" s="832"/>
      <c r="I161" s="301"/>
      <c r="J161" s="832"/>
      <c r="K161" s="832"/>
      <c r="L161" s="832"/>
      <c r="M161" s="301"/>
    </row>
    <row r="162" spans="1:14" s="3" customFormat="1" x14ac:dyDescent="0.2">
      <c r="A162" s="138"/>
      <c r="B162" s="833" t="s">
        <v>0</v>
      </c>
      <c r="C162" s="834"/>
      <c r="D162" s="834"/>
      <c r="E162" s="303"/>
      <c r="F162" s="833" t="s">
        <v>1</v>
      </c>
      <c r="G162" s="834"/>
      <c r="H162" s="834"/>
      <c r="I162" s="306"/>
      <c r="J162" s="833" t="s">
        <v>2</v>
      </c>
      <c r="K162" s="834"/>
      <c r="L162" s="834"/>
      <c r="M162" s="306"/>
      <c r="N162" s="142"/>
    </row>
    <row r="163" spans="1:14" s="3" customFormat="1" x14ac:dyDescent="0.2">
      <c r="A163" s="134"/>
      <c r="B163" s="145" t="s">
        <v>400</v>
      </c>
      <c r="C163" s="145" t="s">
        <v>401</v>
      </c>
      <c r="D163" s="242" t="s">
        <v>3</v>
      </c>
      <c r="E163" s="307" t="s">
        <v>37</v>
      </c>
      <c r="F163" s="145" t="s">
        <v>400</v>
      </c>
      <c r="G163" s="145" t="s">
        <v>401</v>
      </c>
      <c r="H163" s="242" t="s">
        <v>3</v>
      </c>
      <c r="I163" s="307" t="s">
        <v>37</v>
      </c>
      <c r="J163" s="145" t="s">
        <v>400</v>
      </c>
      <c r="K163" s="145" t="s">
        <v>401</v>
      </c>
      <c r="L163" s="242" t="s">
        <v>3</v>
      </c>
      <c r="M163" s="155" t="s">
        <v>37</v>
      </c>
      <c r="N163" s="142"/>
    </row>
    <row r="164" spans="1:14" s="3" customFormat="1" x14ac:dyDescent="0.2">
      <c r="A164" s="403"/>
      <c r="B164" s="149"/>
      <c r="C164" s="149"/>
      <c r="D164" s="243" t="s">
        <v>4</v>
      </c>
      <c r="E164" s="149" t="s">
        <v>38</v>
      </c>
      <c r="F164" s="154"/>
      <c r="G164" s="154"/>
      <c r="H164" s="242" t="s">
        <v>4</v>
      </c>
      <c r="I164" s="149" t="s">
        <v>38</v>
      </c>
      <c r="J164" s="154"/>
      <c r="K164" s="154"/>
      <c r="L164" s="242" t="s">
        <v>4</v>
      </c>
      <c r="M164" s="149" t="s">
        <v>38</v>
      </c>
      <c r="N164" s="142"/>
    </row>
    <row r="165" spans="1:14" s="3" customFormat="1" ht="15.75" x14ac:dyDescent="0.2">
      <c r="A165" s="12" t="s">
        <v>337</v>
      </c>
      <c r="B165" s="231"/>
      <c r="C165" s="311"/>
      <c r="D165" s="251"/>
      <c r="E165" s="170"/>
      <c r="F165" s="318"/>
      <c r="G165" s="319"/>
      <c r="H165" s="252"/>
      <c r="I165" s="159"/>
      <c r="J165" s="320"/>
      <c r="K165" s="320"/>
      <c r="L165" s="255"/>
      <c r="M165" s="170"/>
      <c r="N165" s="142"/>
    </row>
    <row r="166" spans="1:14" s="3" customFormat="1" ht="15.75" x14ac:dyDescent="0.2">
      <c r="A166" s="11" t="s">
        <v>338</v>
      </c>
      <c r="B166" s="231"/>
      <c r="C166" s="311"/>
      <c r="D166" s="159"/>
      <c r="E166" s="170"/>
      <c r="F166" s="231"/>
      <c r="G166" s="311"/>
      <c r="H166" s="236"/>
      <c r="I166" s="159"/>
      <c r="J166" s="310"/>
      <c r="K166" s="310"/>
      <c r="L166" s="256"/>
      <c r="M166" s="170"/>
      <c r="N166" s="142"/>
    </row>
    <row r="167" spans="1:14" s="3" customFormat="1" ht="15.75" x14ac:dyDescent="0.2">
      <c r="A167" s="11" t="s">
        <v>339</v>
      </c>
      <c r="B167" s="231"/>
      <c r="C167" s="311"/>
      <c r="D167" s="159"/>
      <c r="E167" s="170"/>
      <c r="F167" s="231"/>
      <c r="G167" s="311"/>
      <c r="H167" s="236"/>
      <c r="I167" s="159"/>
      <c r="J167" s="310"/>
      <c r="K167" s="310"/>
      <c r="L167" s="256"/>
      <c r="M167" s="170"/>
      <c r="N167" s="142"/>
    </row>
    <row r="168" spans="1:14" s="3" customFormat="1" ht="15.75" x14ac:dyDescent="0.2">
      <c r="A168" s="11" t="s">
        <v>340</v>
      </c>
      <c r="B168" s="231"/>
      <c r="C168" s="311"/>
      <c r="D168" s="159"/>
      <c r="E168" s="170"/>
      <c r="F168" s="231"/>
      <c r="G168" s="311"/>
      <c r="H168" s="236"/>
      <c r="I168" s="159"/>
      <c r="J168" s="310"/>
      <c r="K168" s="310"/>
      <c r="L168" s="256"/>
      <c r="M168" s="170"/>
      <c r="N168" s="142"/>
    </row>
    <row r="169" spans="1:14" s="3" customFormat="1" ht="15.75" x14ac:dyDescent="0.2">
      <c r="A169" s="34" t="s">
        <v>341</v>
      </c>
      <c r="B169" s="277"/>
      <c r="C169" s="317"/>
      <c r="D169" s="160"/>
      <c r="E169" s="201"/>
      <c r="F169" s="277"/>
      <c r="G169" s="317"/>
      <c r="H169" s="239"/>
      <c r="I169" s="160"/>
      <c r="J169" s="316"/>
      <c r="K169" s="316"/>
      <c r="L169" s="257"/>
      <c r="M169" s="160"/>
      <c r="N169" s="142"/>
    </row>
    <row r="170" spans="1:14" s="3" customFormat="1" x14ac:dyDescent="0.2">
      <c r="A170" s="161"/>
      <c r="B170" s="27"/>
      <c r="C170" s="27"/>
      <c r="D170" s="152"/>
      <c r="E170" s="152"/>
      <c r="F170" s="27"/>
      <c r="G170" s="27"/>
      <c r="H170" s="152"/>
      <c r="I170" s="152"/>
      <c r="J170" s="27"/>
      <c r="K170" s="27"/>
      <c r="L170" s="152"/>
      <c r="M170" s="152"/>
      <c r="N170" s="142"/>
    </row>
    <row r="171" spans="1:14" x14ac:dyDescent="0.2">
      <c r="A171" s="161"/>
      <c r="B171" s="27"/>
      <c r="C171" s="27"/>
      <c r="D171" s="152"/>
      <c r="E171" s="152"/>
      <c r="F171" s="27"/>
      <c r="G171" s="27"/>
      <c r="H171" s="152"/>
      <c r="I171" s="152"/>
      <c r="J171" s="27"/>
      <c r="K171" s="27"/>
      <c r="L171" s="152"/>
      <c r="M171" s="152"/>
      <c r="N171" s="142"/>
    </row>
    <row r="172" spans="1:14" x14ac:dyDescent="0.2">
      <c r="A172" s="161"/>
      <c r="B172" s="27"/>
      <c r="C172" s="27"/>
      <c r="D172" s="152"/>
      <c r="E172" s="152"/>
      <c r="F172" s="27"/>
      <c r="G172" s="27"/>
      <c r="H172" s="152"/>
      <c r="I172" s="152"/>
      <c r="J172" s="27"/>
      <c r="K172" s="27"/>
      <c r="L172" s="152"/>
      <c r="M172" s="152"/>
      <c r="N172" s="142"/>
    </row>
    <row r="173" spans="1:14" x14ac:dyDescent="0.2">
      <c r="A173" s="140"/>
      <c r="B173" s="140"/>
      <c r="C173" s="140"/>
      <c r="D173" s="140"/>
      <c r="E173" s="140"/>
      <c r="F173" s="140"/>
      <c r="G173" s="140"/>
      <c r="H173" s="140"/>
      <c r="I173" s="140"/>
      <c r="J173" s="140"/>
      <c r="K173" s="140"/>
      <c r="L173" s="140"/>
      <c r="M173" s="140"/>
      <c r="N173" s="140"/>
    </row>
    <row r="174" spans="1:14" ht="15.75" x14ac:dyDescent="0.25">
      <c r="B174" s="136"/>
      <c r="C174" s="136"/>
      <c r="D174" s="136"/>
      <c r="E174" s="136"/>
      <c r="F174" s="136"/>
      <c r="G174" s="136"/>
      <c r="H174" s="136"/>
      <c r="I174" s="136"/>
      <c r="J174" s="136"/>
      <c r="K174" s="136"/>
      <c r="L174" s="136"/>
      <c r="M174" s="136"/>
      <c r="N174" s="136"/>
    </row>
    <row r="175" spans="1:14" ht="15.75" x14ac:dyDescent="0.25">
      <c r="B175" s="150"/>
      <c r="C175" s="150"/>
      <c r="D175" s="150"/>
      <c r="E175" s="150"/>
      <c r="F175" s="150"/>
      <c r="G175" s="150"/>
      <c r="H175" s="150"/>
      <c r="I175" s="150"/>
      <c r="J175" s="150"/>
      <c r="K175" s="150"/>
      <c r="L175" s="150"/>
      <c r="M175" s="150"/>
      <c r="N175" s="150"/>
    </row>
    <row r="176" spans="1:14" ht="15.75" x14ac:dyDescent="0.25">
      <c r="B176" s="150"/>
      <c r="C176" s="150"/>
      <c r="D176" s="150"/>
      <c r="E176" s="150"/>
      <c r="F176" s="150"/>
      <c r="G176" s="150"/>
      <c r="H176" s="150"/>
      <c r="I176" s="150"/>
      <c r="J176" s="150"/>
      <c r="K176" s="150"/>
      <c r="L176" s="150"/>
      <c r="M176" s="150"/>
      <c r="N176" s="150"/>
    </row>
  </sheetData>
  <mergeCells count="28">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22:D22"/>
    <mergeCell ref="F22:H22"/>
    <mergeCell ref="J22:L22"/>
    <mergeCell ref="D47:F47"/>
    <mergeCell ref="G47:I47"/>
    <mergeCell ref="J47:L47"/>
  </mergeCells>
  <conditionalFormatting sqref="B57:C59">
    <cfRule type="expression" dxfId="2292" priority="188">
      <formula>kvartal &lt; 4</formula>
    </cfRule>
  </conditionalFormatting>
  <conditionalFormatting sqref="B63:C65">
    <cfRule type="expression" dxfId="2291" priority="187">
      <formula>kvartal &lt; 4</formula>
    </cfRule>
  </conditionalFormatting>
  <conditionalFormatting sqref="B37">
    <cfRule type="expression" dxfId="2290" priority="186">
      <formula>kvartal &lt; 4</formula>
    </cfRule>
  </conditionalFormatting>
  <conditionalFormatting sqref="B38">
    <cfRule type="expression" dxfId="2289" priority="185">
      <formula>kvartal &lt; 4</formula>
    </cfRule>
  </conditionalFormatting>
  <conditionalFormatting sqref="B39">
    <cfRule type="expression" dxfId="2288" priority="184">
      <formula>kvartal &lt; 4</formula>
    </cfRule>
  </conditionalFormatting>
  <conditionalFormatting sqref="A34">
    <cfRule type="expression" dxfId="2287" priority="57">
      <formula>kvartal &lt; 4</formula>
    </cfRule>
  </conditionalFormatting>
  <conditionalFormatting sqref="C37">
    <cfRule type="expression" dxfId="2286" priority="183">
      <formula>kvartal &lt; 4</formula>
    </cfRule>
  </conditionalFormatting>
  <conditionalFormatting sqref="C38">
    <cfRule type="expression" dxfId="2285" priority="182">
      <formula>kvartal &lt; 4</formula>
    </cfRule>
  </conditionalFormatting>
  <conditionalFormatting sqref="C39">
    <cfRule type="expression" dxfId="2284" priority="181">
      <formula>kvartal &lt; 4</formula>
    </cfRule>
  </conditionalFormatting>
  <conditionalFormatting sqref="B26:C28">
    <cfRule type="expression" dxfId="2283" priority="180">
      <formula>kvartal &lt; 4</formula>
    </cfRule>
  </conditionalFormatting>
  <conditionalFormatting sqref="B32:C33">
    <cfRule type="expression" dxfId="2282" priority="179">
      <formula>kvartal &lt; 4</formula>
    </cfRule>
  </conditionalFormatting>
  <conditionalFormatting sqref="B34">
    <cfRule type="expression" dxfId="2281" priority="178">
      <formula>kvartal &lt; 4</formula>
    </cfRule>
  </conditionalFormatting>
  <conditionalFormatting sqref="C34">
    <cfRule type="expression" dxfId="2280" priority="177">
      <formula>kvartal &lt; 4</formula>
    </cfRule>
  </conditionalFormatting>
  <conditionalFormatting sqref="F26:G28">
    <cfRule type="expression" dxfId="2279" priority="176">
      <formula>kvartal &lt; 4</formula>
    </cfRule>
  </conditionalFormatting>
  <conditionalFormatting sqref="F32">
    <cfRule type="expression" dxfId="2278" priority="175">
      <formula>kvartal &lt; 4</formula>
    </cfRule>
  </conditionalFormatting>
  <conditionalFormatting sqref="G32">
    <cfRule type="expression" dxfId="2277" priority="174">
      <formula>kvartal &lt; 4</formula>
    </cfRule>
  </conditionalFormatting>
  <conditionalFormatting sqref="F33">
    <cfRule type="expression" dxfId="2276" priority="173">
      <formula>kvartal &lt; 4</formula>
    </cfRule>
  </conditionalFormatting>
  <conditionalFormatting sqref="G33">
    <cfRule type="expression" dxfId="2275" priority="172">
      <formula>kvartal &lt; 4</formula>
    </cfRule>
  </conditionalFormatting>
  <conditionalFormatting sqref="F34">
    <cfRule type="expression" dxfId="2274" priority="171">
      <formula>kvartal &lt; 4</formula>
    </cfRule>
  </conditionalFormatting>
  <conditionalFormatting sqref="G34">
    <cfRule type="expression" dxfId="2273" priority="170">
      <formula>kvartal &lt; 4</formula>
    </cfRule>
  </conditionalFormatting>
  <conditionalFormatting sqref="F37">
    <cfRule type="expression" dxfId="2272" priority="169">
      <formula>kvartal &lt; 4</formula>
    </cfRule>
  </conditionalFormatting>
  <conditionalFormatting sqref="F38">
    <cfRule type="expression" dxfId="2271" priority="168">
      <formula>kvartal &lt; 4</formula>
    </cfRule>
  </conditionalFormatting>
  <conditionalFormatting sqref="F39">
    <cfRule type="expression" dxfId="2270" priority="167">
      <formula>kvartal &lt; 4</formula>
    </cfRule>
  </conditionalFormatting>
  <conditionalFormatting sqref="G37">
    <cfRule type="expression" dxfId="2269" priority="166">
      <formula>kvartal &lt; 4</formula>
    </cfRule>
  </conditionalFormatting>
  <conditionalFormatting sqref="G38">
    <cfRule type="expression" dxfId="2268" priority="165">
      <formula>kvartal &lt; 4</formula>
    </cfRule>
  </conditionalFormatting>
  <conditionalFormatting sqref="G39">
    <cfRule type="expression" dxfId="2267" priority="164">
      <formula>kvartal &lt; 4</formula>
    </cfRule>
  </conditionalFormatting>
  <conditionalFormatting sqref="B29">
    <cfRule type="expression" dxfId="2266" priority="163">
      <formula>kvartal &lt; 4</formula>
    </cfRule>
  </conditionalFormatting>
  <conditionalFormatting sqref="C29">
    <cfRule type="expression" dxfId="2265" priority="162">
      <formula>kvartal &lt; 4</formula>
    </cfRule>
  </conditionalFormatting>
  <conditionalFormatting sqref="F29">
    <cfRule type="expression" dxfId="2264" priority="161">
      <formula>kvartal &lt; 4</formula>
    </cfRule>
  </conditionalFormatting>
  <conditionalFormatting sqref="G29">
    <cfRule type="expression" dxfId="2263" priority="160">
      <formula>kvartal &lt; 4</formula>
    </cfRule>
  </conditionalFormatting>
  <conditionalFormatting sqref="J26:K29">
    <cfRule type="expression" dxfId="2262" priority="159">
      <formula>kvartal &lt; 4</formula>
    </cfRule>
  </conditionalFormatting>
  <conditionalFormatting sqref="J32:K34">
    <cfRule type="expression" dxfId="2261" priority="158">
      <formula>kvartal &lt; 4</formula>
    </cfRule>
  </conditionalFormatting>
  <conditionalFormatting sqref="J37:K39">
    <cfRule type="expression" dxfId="2260" priority="157">
      <formula>kvartal &lt; 4</formula>
    </cfRule>
  </conditionalFormatting>
  <conditionalFormatting sqref="J82:K86">
    <cfRule type="expression" dxfId="2259" priority="95">
      <formula>kvartal &lt; 4</formula>
    </cfRule>
  </conditionalFormatting>
  <conditionalFormatting sqref="J87:K87">
    <cfRule type="expression" dxfId="2258" priority="94">
      <formula>kvartal &lt; 4</formula>
    </cfRule>
  </conditionalFormatting>
  <conditionalFormatting sqref="J92:K97">
    <cfRule type="expression" dxfId="2257" priority="93">
      <formula>kvartal &lt; 4</formula>
    </cfRule>
  </conditionalFormatting>
  <conditionalFormatting sqref="J102:K107">
    <cfRule type="expression" dxfId="2256" priority="92">
      <formula>kvartal &lt; 4</formula>
    </cfRule>
  </conditionalFormatting>
  <conditionalFormatting sqref="J112:K117">
    <cfRule type="expression" dxfId="2255" priority="91">
      <formula>kvartal &lt; 4</formula>
    </cfRule>
  </conditionalFormatting>
  <conditionalFormatting sqref="J122:K127">
    <cfRule type="expression" dxfId="2254" priority="90">
      <formula>kvartal &lt; 4</formula>
    </cfRule>
  </conditionalFormatting>
  <conditionalFormatting sqref="J132:K137">
    <cfRule type="expression" dxfId="2253" priority="89">
      <formula>kvartal &lt; 4</formula>
    </cfRule>
  </conditionalFormatting>
  <conditionalFormatting sqref="J146:K146">
    <cfRule type="expression" dxfId="2252" priority="88">
      <formula>kvartal &lt; 4</formula>
    </cfRule>
  </conditionalFormatting>
  <conditionalFormatting sqref="J154:K154">
    <cfRule type="expression" dxfId="2251" priority="87">
      <formula>kvartal &lt; 4</formula>
    </cfRule>
  </conditionalFormatting>
  <conditionalFormatting sqref="A26:A28">
    <cfRule type="expression" dxfId="2250" priority="71">
      <formula>kvartal &lt; 4</formula>
    </cfRule>
  </conditionalFormatting>
  <conditionalFormatting sqref="A32:A33">
    <cfRule type="expression" dxfId="2249" priority="70">
      <formula>kvartal &lt; 4</formula>
    </cfRule>
  </conditionalFormatting>
  <conditionalFormatting sqref="A37:A39">
    <cfRule type="expression" dxfId="2248" priority="69">
      <formula>kvartal &lt; 4</formula>
    </cfRule>
  </conditionalFormatting>
  <conditionalFormatting sqref="A57:A59">
    <cfRule type="expression" dxfId="2247" priority="68">
      <formula>kvartal &lt; 4</formula>
    </cfRule>
  </conditionalFormatting>
  <conditionalFormatting sqref="A63:A65">
    <cfRule type="expression" dxfId="2246" priority="67">
      <formula>kvartal &lt; 4</formula>
    </cfRule>
  </conditionalFormatting>
  <conditionalFormatting sqref="A82:A87">
    <cfRule type="expression" dxfId="2245" priority="66">
      <formula>kvartal &lt; 4</formula>
    </cfRule>
  </conditionalFormatting>
  <conditionalFormatting sqref="A92:A97">
    <cfRule type="expression" dxfId="2244" priority="65">
      <formula>kvartal &lt; 4</formula>
    </cfRule>
  </conditionalFormatting>
  <conditionalFormatting sqref="A102:A107">
    <cfRule type="expression" dxfId="2243" priority="64">
      <formula>kvartal &lt; 4</formula>
    </cfRule>
  </conditionalFormatting>
  <conditionalFormatting sqref="A112:A117">
    <cfRule type="expression" dxfId="2242" priority="63">
      <formula>kvartal &lt; 4</formula>
    </cfRule>
  </conditionalFormatting>
  <conditionalFormatting sqref="A122:A127">
    <cfRule type="expression" dxfId="2241" priority="62">
      <formula>kvartal &lt; 4</formula>
    </cfRule>
  </conditionalFormatting>
  <conditionalFormatting sqref="A132:A137">
    <cfRule type="expression" dxfId="2240" priority="61">
      <formula>kvartal &lt; 4</formula>
    </cfRule>
  </conditionalFormatting>
  <conditionalFormatting sqref="A146">
    <cfRule type="expression" dxfId="2239" priority="60">
      <formula>kvartal &lt; 4</formula>
    </cfRule>
  </conditionalFormatting>
  <conditionalFormatting sqref="A154">
    <cfRule type="expression" dxfId="2238" priority="59">
      <formula>kvartal &lt; 4</formula>
    </cfRule>
  </conditionalFormatting>
  <conditionalFormatting sqref="A29">
    <cfRule type="expression" dxfId="2237" priority="58">
      <formula>kvartal &lt; 4</formula>
    </cfRule>
  </conditionalFormatting>
  <conditionalFormatting sqref="B82">
    <cfRule type="expression" dxfId="2236" priority="56">
      <formula>kvartal &lt; 4</formula>
    </cfRule>
  </conditionalFormatting>
  <conditionalFormatting sqref="C82">
    <cfRule type="expression" dxfId="2235" priority="55">
      <formula>kvartal &lt; 4</formula>
    </cfRule>
  </conditionalFormatting>
  <conditionalFormatting sqref="B85">
    <cfRule type="expression" dxfId="2234" priority="54">
      <formula>kvartal &lt; 4</formula>
    </cfRule>
  </conditionalFormatting>
  <conditionalFormatting sqref="C85">
    <cfRule type="expression" dxfId="2233" priority="53">
      <formula>kvartal &lt; 4</formula>
    </cfRule>
  </conditionalFormatting>
  <conditionalFormatting sqref="B92">
    <cfRule type="expression" dxfId="2232" priority="52">
      <formula>kvartal &lt; 4</formula>
    </cfRule>
  </conditionalFormatting>
  <conditionalFormatting sqref="C92">
    <cfRule type="expression" dxfId="2231" priority="51">
      <formula>kvartal &lt; 4</formula>
    </cfRule>
  </conditionalFormatting>
  <conditionalFormatting sqref="B95">
    <cfRule type="expression" dxfId="2230" priority="50">
      <formula>kvartal &lt; 4</formula>
    </cfRule>
  </conditionalFormatting>
  <conditionalFormatting sqref="C95">
    <cfRule type="expression" dxfId="2229" priority="49">
      <formula>kvartal &lt; 4</formula>
    </cfRule>
  </conditionalFormatting>
  <conditionalFormatting sqref="B102">
    <cfRule type="expression" dxfId="2228" priority="48">
      <formula>kvartal &lt; 4</formula>
    </cfRule>
  </conditionalFormatting>
  <conditionalFormatting sqref="C102">
    <cfRule type="expression" dxfId="2227" priority="47">
      <formula>kvartal &lt; 4</formula>
    </cfRule>
  </conditionalFormatting>
  <conditionalFormatting sqref="B105">
    <cfRule type="expression" dxfId="2226" priority="46">
      <formula>kvartal &lt; 4</formula>
    </cfRule>
  </conditionalFormatting>
  <conditionalFormatting sqref="C105">
    <cfRule type="expression" dxfId="2225" priority="45">
      <formula>kvartal &lt; 4</formula>
    </cfRule>
  </conditionalFormatting>
  <conditionalFormatting sqref="B112">
    <cfRule type="expression" dxfId="2224" priority="44">
      <formula>kvartal &lt; 4</formula>
    </cfRule>
  </conditionalFormatting>
  <conditionalFormatting sqref="C112">
    <cfRule type="expression" dxfId="2223" priority="43">
      <formula>kvartal &lt; 4</formula>
    </cfRule>
  </conditionalFormatting>
  <conditionalFormatting sqref="B115">
    <cfRule type="expression" dxfId="2222" priority="42">
      <formula>kvartal &lt; 4</formula>
    </cfRule>
  </conditionalFormatting>
  <conditionalFormatting sqref="C115">
    <cfRule type="expression" dxfId="2221" priority="41">
      <formula>kvartal &lt; 4</formula>
    </cfRule>
  </conditionalFormatting>
  <conditionalFormatting sqref="B122">
    <cfRule type="expression" dxfId="2220" priority="40">
      <formula>kvartal &lt; 4</formula>
    </cfRule>
  </conditionalFormatting>
  <conditionalFormatting sqref="C122">
    <cfRule type="expression" dxfId="2219" priority="39">
      <formula>kvartal &lt; 4</formula>
    </cfRule>
  </conditionalFormatting>
  <conditionalFormatting sqref="B125">
    <cfRule type="expression" dxfId="2218" priority="38">
      <formula>kvartal &lt; 4</formula>
    </cfRule>
  </conditionalFormatting>
  <conditionalFormatting sqref="C125">
    <cfRule type="expression" dxfId="2217" priority="37">
      <formula>kvartal &lt; 4</formula>
    </cfRule>
  </conditionalFormatting>
  <conditionalFormatting sqref="B132">
    <cfRule type="expression" dxfId="2216" priority="36">
      <formula>kvartal &lt; 4</formula>
    </cfRule>
  </conditionalFormatting>
  <conditionalFormatting sqref="C132">
    <cfRule type="expression" dxfId="2215" priority="35">
      <formula>kvartal &lt; 4</formula>
    </cfRule>
  </conditionalFormatting>
  <conditionalFormatting sqref="B135">
    <cfRule type="expression" dxfId="2214" priority="34">
      <formula>kvartal &lt; 4</formula>
    </cfRule>
  </conditionalFormatting>
  <conditionalFormatting sqref="C135">
    <cfRule type="expression" dxfId="2213" priority="33">
      <formula>kvartal &lt; 4</formula>
    </cfRule>
  </conditionalFormatting>
  <conditionalFormatting sqref="B146">
    <cfRule type="expression" dxfId="2212" priority="32">
      <formula>kvartal &lt; 4</formula>
    </cfRule>
  </conditionalFormatting>
  <conditionalFormatting sqref="C146">
    <cfRule type="expression" dxfId="2211" priority="31">
      <formula>kvartal &lt; 4</formula>
    </cfRule>
  </conditionalFormatting>
  <conditionalFormatting sqref="B154">
    <cfRule type="expression" dxfId="2210" priority="30">
      <formula>kvartal &lt; 4</formula>
    </cfRule>
  </conditionalFormatting>
  <conditionalFormatting sqref="C154">
    <cfRule type="expression" dxfId="2209" priority="29">
      <formula>kvartal &lt; 4</formula>
    </cfRule>
  </conditionalFormatting>
  <conditionalFormatting sqref="F82">
    <cfRule type="expression" dxfId="2208" priority="28">
      <formula>kvartal &lt; 4</formula>
    </cfRule>
  </conditionalFormatting>
  <conditionalFormatting sqref="G82">
    <cfRule type="expression" dxfId="2207" priority="27">
      <formula>kvartal &lt; 4</formula>
    </cfRule>
  </conditionalFormatting>
  <conditionalFormatting sqref="F85">
    <cfRule type="expression" dxfId="2206" priority="26">
      <formula>kvartal &lt; 4</formula>
    </cfRule>
  </conditionalFormatting>
  <conditionalFormatting sqref="G85">
    <cfRule type="expression" dxfId="2205" priority="25">
      <formula>kvartal &lt; 4</formula>
    </cfRule>
  </conditionalFormatting>
  <conditionalFormatting sqref="F92">
    <cfRule type="expression" dxfId="2204" priority="24">
      <formula>kvartal &lt; 4</formula>
    </cfRule>
  </conditionalFormatting>
  <conditionalFormatting sqref="G92">
    <cfRule type="expression" dxfId="2203" priority="23">
      <formula>kvartal &lt; 4</formula>
    </cfRule>
  </conditionalFormatting>
  <conditionalFormatting sqref="F95">
    <cfRule type="expression" dxfId="2202" priority="22">
      <formula>kvartal &lt; 4</formula>
    </cfRule>
  </conditionalFormatting>
  <conditionalFormatting sqref="G95">
    <cfRule type="expression" dxfId="2201" priority="21">
      <formula>kvartal &lt; 4</formula>
    </cfRule>
  </conditionalFormatting>
  <conditionalFormatting sqref="F102">
    <cfRule type="expression" dxfId="2200" priority="20">
      <formula>kvartal &lt; 4</formula>
    </cfRule>
  </conditionalFormatting>
  <conditionalFormatting sqref="G102">
    <cfRule type="expression" dxfId="2199" priority="19">
      <formula>kvartal &lt; 4</formula>
    </cfRule>
  </conditionalFormatting>
  <conditionalFormatting sqref="F105">
    <cfRule type="expression" dxfId="2198" priority="18">
      <formula>kvartal &lt; 4</formula>
    </cfRule>
  </conditionalFormatting>
  <conditionalFormatting sqref="G105">
    <cfRule type="expression" dxfId="2197" priority="17">
      <formula>kvartal &lt; 4</formula>
    </cfRule>
  </conditionalFormatting>
  <conditionalFormatting sqref="F112">
    <cfRule type="expression" dxfId="2196" priority="16">
      <formula>kvartal &lt; 4</formula>
    </cfRule>
  </conditionalFormatting>
  <conditionalFormatting sqref="G112">
    <cfRule type="expression" dxfId="2195" priority="15">
      <formula>kvartal &lt; 4</formula>
    </cfRule>
  </conditionalFormatting>
  <conditionalFormatting sqref="F115">
    <cfRule type="expression" dxfId="2194" priority="14">
      <formula>kvartal &lt; 4</formula>
    </cfRule>
  </conditionalFormatting>
  <conditionalFormatting sqref="G115">
    <cfRule type="expression" dxfId="2193" priority="13">
      <formula>kvartal &lt; 4</formula>
    </cfRule>
  </conditionalFormatting>
  <conditionalFormatting sqref="F122">
    <cfRule type="expression" dxfId="2192" priority="12">
      <formula>kvartal &lt; 4</formula>
    </cfRule>
  </conditionalFormatting>
  <conditionalFormatting sqref="G122">
    <cfRule type="expression" dxfId="2191" priority="11">
      <formula>kvartal &lt; 4</formula>
    </cfRule>
  </conditionalFormatting>
  <conditionalFormatting sqref="F125">
    <cfRule type="expression" dxfId="2190" priority="10">
      <formula>kvartal &lt; 4</formula>
    </cfRule>
  </conditionalFormatting>
  <conditionalFormatting sqref="G125">
    <cfRule type="expression" dxfId="2189" priority="9">
      <formula>kvartal &lt; 4</formula>
    </cfRule>
  </conditionalFormatting>
  <conditionalFormatting sqref="F132">
    <cfRule type="expression" dxfId="2188" priority="8">
      <formula>kvartal &lt; 4</formula>
    </cfRule>
  </conditionalFormatting>
  <conditionalFormatting sqref="G132">
    <cfRule type="expression" dxfId="2187" priority="7">
      <formula>kvartal &lt; 4</formula>
    </cfRule>
  </conditionalFormatting>
  <conditionalFormatting sqref="F135">
    <cfRule type="expression" dxfId="2186" priority="6">
      <formula>kvartal &lt; 4</formula>
    </cfRule>
  </conditionalFormatting>
  <conditionalFormatting sqref="G135">
    <cfRule type="expression" dxfId="2185" priority="5">
      <formula>kvartal &lt; 4</formula>
    </cfRule>
  </conditionalFormatting>
  <conditionalFormatting sqref="F146">
    <cfRule type="expression" dxfId="2184" priority="4">
      <formula>kvartal &lt; 4</formula>
    </cfRule>
  </conditionalFormatting>
  <conditionalFormatting sqref="G146">
    <cfRule type="expression" dxfId="2183" priority="3">
      <formula>kvartal &lt; 4</formula>
    </cfRule>
  </conditionalFormatting>
  <conditionalFormatting sqref="F154">
    <cfRule type="expression" dxfId="2182" priority="2">
      <formula>kvartal &lt; 4</formula>
    </cfRule>
  </conditionalFormatting>
  <conditionalFormatting sqref="G154">
    <cfRule type="expression" dxfId="2181" priority="1">
      <formula>kvartal &lt; 4</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dimension ref="A1:Q176"/>
  <sheetViews>
    <sheetView showGridLines="0" zoomScale="90" zoomScaleNormal="90" workbookViewId="0">
      <selection activeCell="A4" sqref="A4"/>
    </sheetView>
  </sheetViews>
  <sheetFormatPr baseColWidth="10" defaultColWidth="11.42578125" defaultRowHeight="12.75" x14ac:dyDescent="0.2"/>
  <cols>
    <col min="1" max="1" width="41.5703125" style="143" customWidth="1"/>
    <col min="2" max="2" width="10.85546875" style="143" customWidth="1"/>
    <col min="3" max="3" width="11" style="143" customWidth="1"/>
    <col min="4" max="5" width="8.7109375" style="143" customWidth="1"/>
    <col min="6" max="7" width="10.85546875" style="143" customWidth="1"/>
    <col min="8" max="9" width="8.7109375" style="143" customWidth="1"/>
    <col min="10" max="11" width="10.85546875" style="143" customWidth="1"/>
    <col min="12" max="13" width="8.7109375" style="143" customWidth="1"/>
    <col min="14" max="14" width="11.42578125" style="143"/>
    <col min="15" max="16384" width="11.42578125" style="1"/>
  </cols>
  <sheetData>
    <row r="1" spans="1:17" x14ac:dyDescent="0.2">
      <c r="A1" s="165" t="s">
        <v>159</v>
      </c>
      <c r="B1" s="401"/>
      <c r="C1" s="245" t="s">
        <v>107</v>
      </c>
      <c r="D1" s="20"/>
      <c r="E1" s="20"/>
      <c r="F1" s="20"/>
      <c r="G1" s="20"/>
      <c r="H1" s="20"/>
      <c r="I1" s="20"/>
      <c r="J1" s="20"/>
      <c r="K1" s="20"/>
      <c r="L1" s="20"/>
      <c r="M1" s="20"/>
    </row>
    <row r="2" spans="1:17" ht="15.75" x14ac:dyDescent="0.25">
      <c r="A2" s="158" t="s">
        <v>36</v>
      </c>
      <c r="B2" s="835"/>
      <c r="C2" s="835"/>
      <c r="D2" s="835"/>
      <c r="E2" s="301"/>
      <c r="F2" s="835"/>
      <c r="G2" s="835"/>
      <c r="H2" s="835"/>
      <c r="I2" s="301"/>
      <c r="J2" s="835"/>
      <c r="K2" s="835"/>
      <c r="L2" s="835"/>
      <c r="M2" s="301"/>
    </row>
    <row r="3" spans="1:17" ht="15.75" x14ac:dyDescent="0.25">
      <c r="A3" s="156"/>
      <c r="B3" s="301"/>
      <c r="C3" s="301"/>
      <c r="D3" s="301"/>
      <c r="E3" s="301"/>
      <c r="F3" s="301"/>
      <c r="G3" s="301"/>
      <c r="H3" s="301"/>
      <c r="I3" s="301"/>
      <c r="J3" s="301"/>
      <c r="K3" s="301"/>
      <c r="L3" s="301"/>
      <c r="M3" s="301"/>
    </row>
    <row r="4" spans="1:17" x14ac:dyDescent="0.2">
      <c r="A4" s="138"/>
      <c r="B4" s="808" t="s">
        <v>0</v>
      </c>
      <c r="C4" s="802"/>
      <c r="D4" s="802"/>
      <c r="E4" s="802"/>
      <c r="F4" s="808" t="s">
        <v>1</v>
      </c>
      <c r="G4" s="802"/>
      <c r="H4" s="802"/>
      <c r="I4" s="803"/>
      <c r="J4" s="801" t="s">
        <v>2</v>
      </c>
      <c r="K4" s="802"/>
      <c r="L4" s="802"/>
      <c r="M4" s="803"/>
    </row>
    <row r="5" spans="1:17" x14ac:dyDescent="0.2">
      <c r="A5" s="151"/>
      <c r="B5" s="145" t="s">
        <v>400</v>
      </c>
      <c r="C5" s="145" t="s">
        <v>401</v>
      </c>
      <c r="D5" s="242" t="s">
        <v>3</v>
      </c>
      <c r="E5" s="307" t="s">
        <v>37</v>
      </c>
      <c r="F5" s="145" t="s">
        <v>400</v>
      </c>
      <c r="G5" s="145" t="s">
        <v>401</v>
      </c>
      <c r="H5" s="242" t="s">
        <v>3</v>
      </c>
      <c r="I5" s="307" t="s">
        <v>37</v>
      </c>
      <c r="J5" s="145" t="s">
        <v>400</v>
      </c>
      <c r="K5" s="145" t="s">
        <v>401</v>
      </c>
      <c r="L5" s="242" t="s">
        <v>3</v>
      </c>
      <c r="M5" s="155" t="s">
        <v>37</v>
      </c>
    </row>
    <row r="6" spans="1:17" x14ac:dyDescent="0.2">
      <c r="A6" s="402"/>
      <c r="B6" s="149"/>
      <c r="C6" s="149"/>
      <c r="D6" s="243" t="s">
        <v>4</v>
      </c>
      <c r="E6" s="149" t="s">
        <v>38</v>
      </c>
      <c r="F6" s="154"/>
      <c r="G6" s="154"/>
      <c r="H6" s="242" t="s">
        <v>4</v>
      </c>
      <c r="I6" s="149" t="s">
        <v>38</v>
      </c>
      <c r="J6" s="154"/>
      <c r="K6" s="154"/>
      <c r="L6" s="242" t="s">
        <v>4</v>
      </c>
      <c r="M6" s="149" t="s">
        <v>38</v>
      </c>
    </row>
    <row r="7" spans="1:17" ht="15.75" x14ac:dyDescent="0.2">
      <c r="A7" s="12" t="s">
        <v>30</v>
      </c>
      <c r="B7" s="308">
        <v>216658</v>
      </c>
      <c r="C7" s="309">
        <v>234703</v>
      </c>
      <c r="D7" s="251">
        <f>IF(B7=0, "    ---- ", IF(ABS(ROUND(100/B7*C7-100,1))&lt;999,ROUND(100/B7*C7-100,1),IF(ROUND(100/B7*C7-100,1)&gt;999,999,-999)))</f>
        <v>8.3000000000000007</v>
      </c>
      <c r="E7" s="170">
        <f>IFERROR(100/'Skjema total MA'!C7*C7,0)</f>
        <v>4.6784981099125273</v>
      </c>
      <c r="F7" s="308"/>
      <c r="G7" s="309"/>
      <c r="H7" s="251"/>
      <c r="I7" s="170"/>
      <c r="J7" s="310">
        <f t="shared" ref="J7:K13" si="0">SUM(B7,F7)</f>
        <v>216658</v>
      </c>
      <c r="K7" s="311">
        <f t="shared" si="0"/>
        <v>234703</v>
      </c>
      <c r="L7" s="255">
        <f>IF(J7=0, "    ---- ", IF(ABS(ROUND(100/J7*K7-100,1))&lt;999,ROUND(100/J7*K7-100,1),IF(ROUND(100/J7*K7-100,1)&gt;999,999,-999)))</f>
        <v>8.3000000000000007</v>
      </c>
      <c r="M7" s="170">
        <f>IFERROR(100/'Skjema total MA'!I7*K7,0)</f>
        <v>1.663037611916554</v>
      </c>
    </row>
    <row r="8" spans="1:17" ht="15.75" x14ac:dyDescent="0.2">
      <c r="A8" s="18" t="s">
        <v>32</v>
      </c>
      <c r="B8" s="282">
        <v>114164</v>
      </c>
      <c r="C8" s="283">
        <v>122044</v>
      </c>
      <c r="D8" s="159">
        <f t="shared" ref="D8:D13" si="1">IF(B8=0, "    ---- ", IF(ABS(ROUND(100/B8*C8-100,1))&lt;999,ROUND(100/B8*C8-100,1),IF(ROUND(100/B8*C8-100,1)&gt;999,999,-999)))</f>
        <v>6.9</v>
      </c>
      <c r="E8" s="170">
        <f>IFERROR(100/'Skjema total MA'!C8*C8,0)</f>
        <v>5.0461132559185415</v>
      </c>
      <c r="F8" s="286"/>
      <c r="G8" s="287"/>
      <c r="H8" s="159"/>
      <c r="I8" s="170"/>
      <c r="J8" s="229">
        <f t="shared" si="0"/>
        <v>114164</v>
      </c>
      <c r="K8" s="288">
        <f t="shared" si="0"/>
        <v>122044</v>
      </c>
      <c r="L8" s="256">
        <f t="shared" ref="L8:L9" si="2">IF(J8=0, "    ---- ", IF(ABS(ROUND(100/J8*K8-100,1))&lt;999,ROUND(100/J8*K8-100,1),IF(ROUND(100/J8*K8-100,1)&gt;999,999,-999)))</f>
        <v>6.9</v>
      </c>
      <c r="M8" s="170">
        <f>IFERROR(100/'Skjema total MA'!I8*K8,0)</f>
        <v>5.0461132559185415</v>
      </c>
    </row>
    <row r="9" spans="1:17" ht="15.75" x14ac:dyDescent="0.2">
      <c r="A9" s="18" t="s">
        <v>31</v>
      </c>
      <c r="B9" s="282">
        <v>102493</v>
      </c>
      <c r="C9" s="283">
        <v>112659</v>
      </c>
      <c r="D9" s="159">
        <f t="shared" si="1"/>
        <v>9.9</v>
      </c>
      <c r="E9" s="170">
        <f>IFERROR(100/'Skjema total MA'!C9*C9,0)</f>
        <v>9.8252745234722596</v>
      </c>
      <c r="F9" s="286"/>
      <c r="G9" s="287"/>
      <c r="H9" s="159"/>
      <c r="I9" s="170"/>
      <c r="J9" s="229">
        <f t="shared" si="0"/>
        <v>102493</v>
      </c>
      <c r="K9" s="288">
        <f t="shared" si="0"/>
        <v>112659</v>
      </c>
      <c r="L9" s="256">
        <f t="shared" si="2"/>
        <v>9.9</v>
      </c>
      <c r="M9" s="170">
        <f>IFERROR(100/'Skjema total MA'!I9*K9,0)</f>
        <v>9.8252745234722596</v>
      </c>
    </row>
    <row r="10" spans="1:17" ht="15.75" x14ac:dyDescent="0.2">
      <c r="A10" s="11" t="s">
        <v>29</v>
      </c>
      <c r="B10" s="312">
        <v>3060</v>
      </c>
      <c r="C10" s="313">
        <v>4105</v>
      </c>
      <c r="D10" s="159">
        <f t="shared" si="1"/>
        <v>34.200000000000003</v>
      </c>
      <c r="E10" s="170">
        <f>IFERROR(100/'Skjema total MA'!C10*C10,0)</f>
        <v>1.1543211956475943</v>
      </c>
      <c r="F10" s="312"/>
      <c r="G10" s="313"/>
      <c r="H10" s="159"/>
      <c r="I10" s="170"/>
      <c r="J10" s="310">
        <f t="shared" si="0"/>
        <v>3060</v>
      </c>
      <c r="K10" s="311">
        <f t="shared" si="0"/>
        <v>4105</v>
      </c>
      <c r="L10" s="256">
        <f t="shared" ref="L10:L13" si="3">IF(J10=0, "    ---- ", IF(ABS(ROUND(100/J10*K10-100,1))&lt;999,ROUND(100/J10*K10-100,1),IF(ROUND(100/J10*K10-100,1)&gt;999,999,-999)))</f>
        <v>34.200000000000003</v>
      </c>
      <c r="M10" s="170">
        <f>IFERROR(100/'Skjema total MA'!I10*K10,0)</f>
        <v>5.1167102571393092E-2</v>
      </c>
    </row>
    <row r="11" spans="1:17" ht="15.75" x14ac:dyDescent="0.2">
      <c r="A11" s="18" t="s">
        <v>32</v>
      </c>
      <c r="B11" s="282">
        <v>3985</v>
      </c>
      <c r="C11" s="283">
        <v>2497</v>
      </c>
      <c r="D11" s="159">
        <f t="shared" si="1"/>
        <v>-37.299999999999997</v>
      </c>
      <c r="E11" s="170">
        <f>IFERROR(100/'Skjema total MA'!C11*C11,0)</f>
        <v>1.3085509479788904</v>
      </c>
      <c r="F11" s="286"/>
      <c r="G11" s="287"/>
      <c r="H11" s="159"/>
      <c r="I11" s="170"/>
      <c r="J11" s="229">
        <f t="shared" si="0"/>
        <v>3985</v>
      </c>
      <c r="K11" s="288">
        <f t="shared" si="0"/>
        <v>2497</v>
      </c>
      <c r="L11" s="256">
        <f t="shared" ref="L11:L12" si="4">IF(J11=0, "    ---- ", IF(ABS(ROUND(100/J11*K11-100,1))&lt;999,ROUND(100/J11*K11-100,1),IF(ROUND(100/J11*K11-100,1)&gt;999,999,-999)))</f>
        <v>-37.299999999999997</v>
      </c>
      <c r="M11" s="170">
        <f>IFERROR(100/'Skjema total MA'!I11*K11,0)</f>
        <v>1.3085509479788904</v>
      </c>
    </row>
    <row r="12" spans="1:17" ht="15.75" x14ac:dyDescent="0.2">
      <c r="A12" s="18" t="s">
        <v>31</v>
      </c>
      <c r="B12" s="282">
        <v>-925</v>
      </c>
      <c r="C12" s="283">
        <v>1608</v>
      </c>
      <c r="D12" s="159">
        <f t="shared" si="1"/>
        <v>-273.8</v>
      </c>
      <c r="E12" s="170">
        <f>IFERROR(100/'Skjema total MA'!C12*C12,0)</f>
        <v>2.5388207114795303</v>
      </c>
      <c r="F12" s="286"/>
      <c r="G12" s="287"/>
      <c r="H12" s="159"/>
      <c r="I12" s="170"/>
      <c r="J12" s="229">
        <f t="shared" si="0"/>
        <v>-925</v>
      </c>
      <c r="K12" s="288">
        <f t="shared" si="0"/>
        <v>1608</v>
      </c>
      <c r="L12" s="256">
        <f t="shared" si="4"/>
        <v>-273.8</v>
      </c>
      <c r="M12" s="170">
        <f>IFERROR(100/'Skjema total MA'!I12*K12,0)</f>
        <v>2.5388207114795303</v>
      </c>
    </row>
    <row r="13" spans="1:17" ht="15.75" x14ac:dyDescent="0.2">
      <c r="A13" s="11" t="s">
        <v>28</v>
      </c>
      <c r="B13" s="312">
        <v>189924</v>
      </c>
      <c r="C13" s="313">
        <v>214223</v>
      </c>
      <c r="D13" s="159">
        <f t="shared" si="1"/>
        <v>12.8</v>
      </c>
      <c r="E13" s="170">
        <f>IFERROR(100/'Skjema total MA'!C13*C13,0)</f>
        <v>0.82826663431882119</v>
      </c>
      <c r="F13" s="312"/>
      <c r="G13" s="313"/>
      <c r="H13" s="159"/>
      <c r="I13" s="170"/>
      <c r="J13" s="310">
        <f t="shared" si="0"/>
        <v>189924</v>
      </c>
      <c r="K13" s="311">
        <f t="shared" si="0"/>
        <v>214223</v>
      </c>
      <c r="L13" s="256">
        <f t="shared" si="3"/>
        <v>12.8</v>
      </c>
      <c r="M13" s="170">
        <f>IFERROR(100/'Skjema total MA'!I13*K13,0)</f>
        <v>0.36319708382792454</v>
      </c>
    </row>
    <row r="14" spans="1:17" s="36" customFormat="1" ht="15.75" x14ac:dyDescent="0.2">
      <c r="A14" s="11" t="s">
        <v>27</v>
      </c>
      <c r="B14" s="312"/>
      <c r="C14" s="313"/>
      <c r="D14" s="159"/>
      <c r="E14" s="170"/>
      <c r="F14" s="312"/>
      <c r="G14" s="313"/>
      <c r="H14" s="159"/>
      <c r="I14" s="170"/>
      <c r="J14" s="310"/>
      <c r="K14" s="311"/>
      <c r="L14" s="256"/>
      <c r="M14" s="170"/>
      <c r="N14" s="137"/>
      <c r="Q14" s="137"/>
    </row>
    <row r="15" spans="1:17" s="36" customFormat="1" ht="15.75" x14ac:dyDescent="0.2">
      <c r="A15" s="34" t="s">
        <v>26</v>
      </c>
      <c r="B15" s="314"/>
      <c r="C15" s="315"/>
      <c r="D15" s="160"/>
      <c r="E15" s="160"/>
      <c r="F15" s="314"/>
      <c r="G15" s="315"/>
      <c r="H15" s="160"/>
      <c r="I15" s="160"/>
      <c r="J15" s="316"/>
      <c r="K15" s="317"/>
      <c r="L15" s="257"/>
      <c r="M15" s="160"/>
      <c r="N15" s="137"/>
    </row>
    <row r="16" spans="1:17" s="36" customFormat="1" x14ac:dyDescent="0.2">
      <c r="A16" s="161"/>
      <c r="B16" s="139"/>
      <c r="C16" s="27"/>
      <c r="D16" s="152"/>
      <c r="E16" s="152"/>
      <c r="F16" s="139"/>
      <c r="G16" s="27"/>
      <c r="H16" s="152"/>
      <c r="I16" s="152"/>
      <c r="J16" s="41"/>
      <c r="K16" s="41"/>
      <c r="L16" s="152"/>
      <c r="M16" s="152"/>
      <c r="N16" s="137"/>
    </row>
    <row r="17" spans="1:14" x14ac:dyDescent="0.2">
      <c r="A17" s="146" t="s">
        <v>307</v>
      </c>
      <c r="B17" s="20"/>
    </row>
    <row r="18" spans="1:14" x14ac:dyDescent="0.2">
      <c r="F18" s="140"/>
      <c r="G18" s="140"/>
      <c r="H18" s="140"/>
      <c r="I18" s="140"/>
      <c r="J18" s="140"/>
      <c r="K18" s="140"/>
      <c r="L18" s="140"/>
      <c r="M18" s="140"/>
    </row>
    <row r="19" spans="1:14" s="3" customFormat="1" ht="15.75" x14ac:dyDescent="0.25">
      <c r="A19" s="157"/>
      <c r="B19" s="142"/>
      <c r="C19" s="147"/>
      <c r="D19" s="147"/>
      <c r="E19" s="147"/>
      <c r="F19" s="147"/>
      <c r="G19" s="147"/>
      <c r="H19" s="147"/>
      <c r="I19" s="147"/>
      <c r="J19" s="147"/>
      <c r="K19" s="147"/>
      <c r="L19" s="147"/>
      <c r="M19" s="147"/>
      <c r="N19" s="142"/>
    </row>
    <row r="20" spans="1:14" ht="15.75" x14ac:dyDescent="0.25">
      <c r="A20" s="141" t="s">
        <v>304</v>
      </c>
      <c r="B20" s="150"/>
      <c r="C20" s="150"/>
      <c r="D20" s="144"/>
      <c r="E20" s="144"/>
      <c r="F20" s="150"/>
      <c r="G20" s="150"/>
      <c r="H20" s="150"/>
      <c r="I20" s="150"/>
      <c r="J20" s="150"/>
      <c r="K20" s="150"/>
      <c r="L20" s="150"/>
      <c r="M20" s="150"/>
    </row>
    <row r="21" spans="1:14" ht="15.75" x14ac:dyDescent="0.25">
      <c r="B21" s="832"/>
      <c r="C21" s="832"/>
      <c r="D21" s="832"/>
      <c r="E21" s="301"/>
      <c r="F21" s="832"/>
      <c r="G21" s="832"/>
      <c r="H21" s="832"/>
      <c r="I21" s="301"/>
      <c r="J21" s="832"/>
      <c r="K21" s="832"/>
      <c r="L21" s="832"/>
      <c r="M21" s="301"/>
    </row>
    <row r="22" spans="1:14" x14ac:dyDescent="0.2">
      <c r="A22" s="138"/>
      <c r="B22" s="833" t="s">
        <v>0</v>
      </c>
      <c r="C22" s="834"/>
      <c r="D22" s="834"/>
      <c r="E22" s="303"/>
      <c r="F22" s="833" t="s">
        <v>1</v>
      </c>
      <c r="G22" s="834"/>
      <c r="H22" s="834"/>
      <c r="I22" s="306"/>
      <c r="J22" s="833" t="s">
        <v>2</v>
      </c>
      <c r="K22" s="834"/>
      <c r="L22" s="834"/>
      <c r="M22" s="306"/>
    </row>
    <row r="23" spans="1:14" x14ac:dyDescent="0.2">
      <c r="A23" s="134" t="s">
        <v>5</v>
      </c>
      <c r="B23" s="145" t="s">
        <v>400</v>
      </c>
      <c r="C23" s="145" t="s">
        <v>401</v>
      </c>
      <c r="D23" s="242" t="s">
        <v>3</v>
      </c>
      <c r="E23" s="307" t="s">
        <v>37</v>
      </c>
      <c r="F23" s="145" t="s">
        <v>400</v>
      </c>
      <c r="G23" s="145" t="s">
        <v>401</v>
      </c>
      <c r="H23" s="242" t="s">
        <v>3</v>
      </c>
      <c r="I23" s="307" t="s">
        <v>37</v>
      </c>
      <c r="J23" s="145" t="s">
        <v>400</v>
      </c>
      <c r="K23" s="145" t="s">
        <v>401</v>
      </c>
      <c r="L23" s="242" t="s">
        <v>3</v>
      </c>
      <c r="M23" s="155" t="s">
        <v>37</v>
      </c>
    </row>
    <row r="24" spans="1:14" x14ac:dyDescent="0.2">
      <c r="A24" s="403"/>
      <c r="B24" s="149"/>
      <c r="C24" s="149"/>
      <c r="D24" s="243" t="s">
        <v>4</v>
      </c>
      <c r="E24" s="149" t="s">
        <v>38</v>
      </c>
      <c r="F24" s="154"/>
      <c r="G24" s="154"/>
      <c r="H24" s="242" t="s">
        <v>4</v>
      </c>
      <c r="I24" s="149" t="s">
        <v>38</v>
      </c>
      <c r="J24" s="154"/>
      <c r="K24" s="154"/>
      <c r="L24" s="242" t="s">
        <v>4</v>
      </c>
      <c r="M24" s="149" t="s">
        <v>38</v>
      </c>
    </row>
    <row r="25" spans="1:14" ht="15.75" x14ac:dyDescent="0.2">
      <c r="A25" s="12" t="s">
        <v>30</v>
      </c>
      <c r="B25" s="318">
        <v>116548</v>
      </c>
      <c r="C25" s="319">
        <v>119712</v>
      </c>
      <c r="D25" s="251">
        <f t="shared" ref="D25:D39" si="5">IF(B25=0, "    ---- ", IF(ABS(ROUND(100/B25*C25-100,1))&lt;999,ROUND(100/B25*C25-100,1),IF(ROUND(100/B25*C25-100,1)&gt;999,999,-999)))</f>
        <v>2.7</v>
      </c>
      <c r="E25" s="170">
        <f>IFERROR(100/'Skjema total MA'!C25*C25,0)</f>
        <v>8.3397834773394095</v>
      </c>
      <c r="F25" s="320">
        <v>6895</v>
      </c>
      <c r="G25" s="319">
        <v>6369</v>
      </c>
      <c r="H25" s="251">
        <f t="shared" ref="H25:H36" si="6">IF(F25=0, "    ---- ", IF(ABS(ROUND(100/F25*G25-100,1))&lt;999,ROUND(100/F25*G25-100,1),IF(ROUND(100/F25*G25-100,1)&gt;999,999,-999)))</f>
        <v>-7.6</v>
      </c>
      <c r="I25" s="170">
        <f>IFERROR(100/'Skjema total MA'!F25*G25,0)</f>
        <v>1.5978088515322635</v>
      </c>
      <c r="J25" s="318">
        <f t="shared" ref="J25:K37" si="7">SUM(B25,F25)</f>
        <v>123443</v>
      </c>
      <c r="K25" s="318">
        <f t="shared" si="7"/>
        <v>126081</v>
      </c>
      <c r="L25" s="255">
        <f t="shared" ref="L25:L39" si="8">IF(J25=0, "    ---- ", IF(ABS(ROUND(100/J25*K25-100,1))&lt;999,ROUND(100/J25*K25-100,1),IF(ROUND(100/J25*K25-100,1)&gt;999,999,-999)))</f>
        <v>2.1</v>
      </c>
      <c r="M25" s="159">
        <f>IFERROR(100/'Skjema total MA'!I25*K25,0)</f>
        <v>6.874490658376021</v>
      </c>
    </row>
    <row r="26" spans="1:14" ht="15.75" x14ac:dyDescent="0.2">
      <c r="A26" s="298" t="s">
        <v>318</v>
      </c>
      <c r="B26" s="291">
        <v>115906</v>
      </c>
      <c r="C26" s="291">
        <v>119118</v>
      </c>
      <c r="D26" s="159">
        <f t="shared" si="5"/>
        <v>2.8</v>
      </c>
      <c r="E26" s="170">
        <f>IFERROR(100/'Skjema total MA'!C26*C26,0)</f>
        <v>9.1676726636254049</v>
      </c>
      <c r="F26" s="291"/>
      <c r="G26" s="291"/>
      <c r="H26" s="159"/>
      <c r="I26" s="237"/>
      <c r="J26" s="291">
        <f>SUM(B26,F26)</f>
        <v>115906</v>
      </c>
      <c r="K26" s="291">
        <f>SUM(C26,G26)</f>
        <v>119118</v>
      </c>
      <c r="L26" s="159">
        <f t="shared" si="8"/>
        <v>2.8</v>
      </c>
      <c r="M26" s="159">
        <f>IFERROR(100/'Skjema total MA'!I26*K26,0)</f>
        <v>8.173095795231669</v>
      </c>
    </row>
    <row r="27" spans="1:14" ht="15.75" x14ac:dyDescent="0.2">
      <c r="A27" s="298" t="s">
        <v>319</v>
      </c>
      <c r="B27" s="291"/>
      <c r="C27" s="291"/>
      <c r="D27" s="159"/>
      <c r="E27" s="237"/>
      <c r="F27" s="291"/>
      <c r="G27" s="291"/>
      <c r="H27" s="159"/>
      <c r="I27" s="237"/>
      <c r="J27" s="291"/>
      <c r="K27" s="291"/>
      <c r="L27" s="159"/>
      <c r="M27" s="159"/>
    </row>
    <row r="28" spans="1:14" ht="15.75" x14ac:dyDescent="0.2">
      <c r="A28" s="298" t="s">
        <v>320</v>
      </c>
      <c r="B28" s="291">
        <v>642</v>
      </c>
      <c r="C28" s="291">
        <v>594</v>
      </c>
      <c r="D28" s="159">
        <f t="shared" si="5"/>
        <v>-7.5</v>
      </c>
      <c r="E28" s="170">
        <f>IFERROR(100/'Skjema total MA'!C28*C28,0)</f>
        <v>0.50870428138026713</v>
      </c>
      <c r="F28" s="291">
        <v>6895</v>
      </c>
      <c r="G28" s="291">
        <v>6369</v>
      </c>
      <c r="H28" s="159">
        <f t="shared" ref="H28" si="9">IF(F28=0, "    ---- ", IF(ABS(ROUND(100/F28*G28-100,1))&lt;999,ROUND(100/F28*G28-100,1),IF(ROUND(100/F28*G28-100,1)&gt;999,999,-999)))</f>
        <v>-7.6</v>
      </c>
      <c r="I28" s="237">
        <f>IFERROR(100/'Skjema total MA'!F28*G28,0)</f>
        <v>2.7200201618605355</v>
      </c>
      <c r="J28" s="37">
        <f>SUM(B28,F28)</f>
        <v>7537</v>
      </c>
      <c r="K28" s="37">
        <f t="shared" ref="K28" si="10">SUM(C28,G28)</f>
        <v>6963</v>
      </c>
      <c r="L28" s="256">
        <f t="shared" si="8"/>
        <v>-7.6</v>
      </c>
      <c r="M28" s="159">
        <f>IFERROR(100/'Skjema total MA'!I28*K28,0)</f>
        <v>1.9842133437640541</v>
      </c>
    </row>
    <row r="29" spans="1:14" x14ac:dyDescent="0.2">
      <c r="A29" s="298" t="s">
        <v>11</v>
      </c>
      <c r="B29" s="291"/>
      <c r="C29" s="291"/>
      <c r="D29" s="159"/>
      <c r="E29" s="237"/>
      <c r="F29" s="291"/>
      <c r="G29" s="291"/>
      <c r="H29" s="159"/>
      <c r="I29" s="237"/>
      <c r="J29" s="291"/>
      <c r="K29" s="291"/>
      <c r="L29" s="159"/>
      <c r="M29" s="159"/>
    </row>
    <row r="30" spans="1:14" ht="15.75" x14ac:dyDescent="0.2">
      <c r="A30" s="42" t="s">
        <v>308</v>
      </c>
      <c r="B30" s="37">
        <v>115264</v>
      </c>
      <c r="C30" s="288">
        <v>118524</v>
      </c>
      <c r="D30" s="159">
        <f t="shared" si="5"/>
        <v>2.8</v>
      </c>
      <c r="E30" s="170">
        <f>IFERROR(100/'Skjema total MA'!C30*C30,0)</f>
        <v>7.9311363092279548</v>
      </c>
      <c r="F30" s="229"/>
      <c r="G30" s="288"/>
      <c r="H30" s="159"/>
      <c r="I30" s="170"/>
      <c r="J30" s="37">
        <f t="shared" si="7"/>
        <v>115264</v>
      </c>
      <c r="K30" s="37">
        <f t="shared" si="7"/>
        <v>118524</v>
      </c>
      <c r="L30" s="256">
        <f t="shared" si="8"/>
        <v>2.8</v>
      </c>
      <c r="M30" s="159">
        <f>IFERROR(100/'Skjema total MA'!I30*K30,0)</f>
        <v>7.9311363092279548</v>
      </c>
    </row>
    <row r="31" spans="1:14" ht="15.75" x14ac:dyDescent="0.2">
      <c r="A31" s="11" t="s">
        <v>29</v>
      </c>
      <c r="B31" s="231">
        <v>500</v>
      </c>
      <c r="C31" s="231">
        <v>-4475</v>
      </c>
      <c r="D31" s="159">
        <f t="shared" si="5"/>
        <v>-995</v>
      </c>
      <c r="E31" s="170">
        <f>IFERROR(100/'Skjema total MA'!C31*C31,0)</f>
        <v>-1.6987947862661146</v>
      </c>
      <c r="F31" s="310"/>
      <c r="G31" s="310"/>
      <c r="H31" s="159"/>
      <c r="I31" s="170"/>
      <c r="J31" s="231">
        <f t="shared" si="7"/>
        <v>500</v>
      </c>
      <c r="K31" s="231">
        <f t="shared" si="7"/>
        <v>-4475</v>
      </c>
      <c r="L31" s="256">
        <f t="shared" si="8"/>
        <v>-995</v>
      </c>
      <c r="M31" s="159">
        <f>IFERROR(100/'Skjema total MA'!I31*K31,0)</f>
        <v>-1.6190489839594739</v>
      </c>
    </row>
    <row r="32" spans="1:14" ht="15.75" x14ac:dyDescent="0.2">
      <c r="A32" s="298" t="s">
        <v>318</v>
      </c>
      <c r="B32" s="291">
        <v>500</v>
      </c>
      <c r="C32" s="291">
        <v>-4475</v>
      </c>
      <c r="D32" s="159">
        <f t="shared" si="5"/>
        <v>-995</v>
      </c>
      <c r="E32" s="170">
        <f>IFERROR(100/'Skjema total MA'!C32*C32,0)</f>
        <v>-1.6987947862661141</v>
      </c>
      <c r="F32" s="291"/>
      <c r="G32" s="291"/>
      <c r="H32" s="159"/>
      <c r="I32" s="237"/>
      <c r="J32" s="37">
        <f>SUM(B32,F32)</f>
        <v>500</v>
      </c>
      <c r="K32" s="37">
        <f t="shared" si="7"/>
        <v>-4475</v>
      </c>
      <c r="L32" s="256">
        <f t="shared" si="8"/>
        <v>-995</v>
      </c>
      <c r="M32" s="159">
        <f>IFERROR(100/'Skjema total MA'!I32*K32,0)</f>
        <v>-1.6938756275626832</v>
      </c>
    </row>
    <row r="33" spans="1:14" ht="15.75" x14ac:dyDescent="0.2">
      <c r="A33" s="298" t="s">
        <v>320</v>
      </c>
      <c r="B33" s="291"/>
      <c r="C33" s="291"/>
      <c r="D33" s="159"/>
      <c r="E33" s="237"/>
      <c r="F33" s="291"/>
      <c r="G33" s="291"/>
      <c r="H33" s="159"/>
      <c r="I33" s="237"/>
      <c r="J33" s="291"/>
      <c r="K33" s="291"/>
      <c r="L33" s="159"/>
      <c r="M33" s="159"/>
    </row>
    <row r="34" spans="1:14" s="21" customFormat="1" x14ac:dyDescent="0.2">
      <c r="A34" s="298" t="s">
        <v>16</v>
      </c>
      <c r="B34" s="291"/>
      <c r="C34" s="291"/>
      <c r="D34" s="159"/>
      <c r="E34" s="237"/>
      <c r="F34" s="291"/>
      <c r="G34" s="291"/>
      <c r="H34" s="159"/>
      <c r="I34" s="237"/>
      <c r="J34" s="291"/>
      <c r="K34" s="291"/>
      <c r="L34" s="159"/>
      <c r="M34" s="159"/>
      <c r="N34" s="166"/>
    </row>
    <row r="35" spans="1:14" ht="15.75" x14ac:dyDescent="0.2">
      <c r="A35" s="42" t="s">
        <v>308</v>
      </c>
      <c r="B35" s="37">
        <v>500</v>
      </c>
      <c r="C35" s="288">
        <v>-4475</v>
      </c>
      <c r="D35" s="159">
        <f t="shared" si="5"/>
        <v>-995</v>
      </c>
      <c r="E35" s="170">
        <f>IFERROR(100/'Skjema total MA'!C35*C35,0)</f>
        <v>-2.3857115043563808</v>
      </c>
      <c r="F35" s="229"/>
      <c r="G35" s="288"/>
      <c r="H35" s="159"/>
      <c r="I35" s="170"/>
      <c r="J35" s="37">
        <f t="shared" si="7"/>
        <v>500</v>
      </c>
      <c r="K35" s="37">
        <f t="shared" si="7"/>
        <v>-4475</v>
      </c>
      <c r="L35" s="256">
        <f t="shared" si="8"/>
        <v>-995</v>
      </c>
      <c r="M35" s="159">
        <f>IFERROR(100/'Skjema total MA'!I35*K35,0)</f>
        <v>-2.3857115043563808</v>
      </c>
    </row>
    <row r="36" spans="1:14" s="3" customFormat="1" ht="15.75" x14ac:dyDescent="0.2">
      <c r="A36" s="11" t="s">
        <v>28</v>
      </c>
      <c r="B36" s="231">
        <v>271282</v>
      </c>
      <c r="C36" s="311">
        <v>322957</v>
      </c>
      <c r="D36" s="159">
        <f t="shared" si="5"/>
        <v>19</v>
      </c>
      <c r="E36" s="170">
        <f>IFERROR(100/'Skjema total MA'!C36*C36,0)</f>
        <v>0.63864717404429905</v>
      </c>
      <c r="F36" s="310">
        <v>71103</v>
      </c>
      <c r="G36" s="311">
        <v>77441</v>
      </c>
      <c r="H36" s="159">
        <f t="shared" si="6"/>
        <v>8.9</v>
      </c>
      <c r="I36" s="170">
        <f>IFERROR(100/'Skjema total MA'!F36*G36,0)</f>
        <v>0.40515960233116061</v>
      </c>
      <c r="J36" s="231">
        <f>SUM(B36,F36)</f>
        <v>342385</v>
      </c>
      <c r="K36" s="231">
        <f t="shared" si="7"/>
        <v>400398</v>
      </c>
      <c r="L36" s="256">
        <f t="shared" si="8"/>
        <v>16.899999999999999</v>
      </c>
      <c r="M36" s="159">
        <f>IFERROR(100/'Skjema total MA'!I36*K36,0)</f>
        <v>0.57460234386687825</v>
      </c>
      <c r="N36" s="142"/>
    </row>
    <row r="37" spans="1:14" s="3" customFormat="1" ht="15.75" x14ac:dyDescent="0.2">
      <c r="A37" s="298" t="s">
        <v>318</v>
      </c>
      <c r="B37" s="291">
        <v>269875</v>
      </c>
      <c r="C37" s="291">
        <v>321279</v>
      </c>
      <c r="D37" s="159">
        <f t="shared" si="5"/>
        <v>19</v>
      </c>
      <c r="E37" s="170">
        <f>IFERROR(100/'Skjema total MA'!C37*C37,0)</f>
        <v>2.4964942737284637</v>
      </c>
      <c r="F37" s="291"/>
      <c r="G37" s="291"/>
      <c r="H37" s="159"/>
      <c r="I37" s="237"/>
      <c r="J37" s="37">
        <f>SUM(B37,F37)</f>
        <v>269875</v>
      </c>
      <c r="K37" s="37">
        <f t="shared" si="7"/>
        <v>321279</v>
      </c>
      <c r="L37" s="256">
        <f t="shared" si="8"/>
        <v>19</v>
      </c>
      <c r="M37" s="159">
        <f>IFERROR(100/'Skjema total MA'!I37*K37,0)</f>
        <v>1.8722493214024121</v>
      </c>
      <c r="N37" s="142"/>
    </row>
    <row r="38" spans="1:14" s="3" customFormat="1" ht="15.75" x14ac:dyDescent="0.2">
      <c r="A38" s="298" t="s">
        <v>319</v>
      </c>
      <c r="B38" s="291"/>
      <c r="C38" s="291"/>
      <c r="D38" s="159"/>
      <c r="E38" s="170"/>
      <c r="F38" s="291"/>
      <c r="G38" s="291"/>
      <c r="H38" s="159"/>
      <c r="I38" s="237"/>
      <c r="J38" s="291"/>
      <c r="K38" s="291"/>
      <c r="L38" s="159"/>
      <c r="M38" s="159"/>
      <c r="N38" s="142"/>
    </row>
    <row r="39" spans="1:14" ht="15.75" x14ac:dyDescent="0.2">
      <c r="A39" s="298" t="s">
        <v>320</v>
      </c>
      <c r="B39" s="291">
        <v>1407</v>
      </c>
      <c r="C39" s="291">
        <v>1678</v>
      </c>
      <c r="D39" s="159">
        <f t="shared" si="5"/>
        <v>19.3</v>
      </c>
      <c r="E39" s="170">
        <f>IFERROR(100/'Skjema total MA'!C39*C39,0)</f>
        <v>0.12413677346200387</v>
      </c>
      <c r="F39" s="291">
        <v>71103</v>
      </c>
      <c r="G39" s="291">
        <v>77441</v>
      </c>
      <c r="H39" s="159">
        <f t="shared" ref="H39" si="11">IF(F39=0, "    ---- ", IF(ABS(ROUND(100/F39*G39-100,1))&lt;999,ROUND(100/F39*G39-100,1),IF(ROUND(100/F39*G39-100,1)&gt;999,999,-999)))</f>
        <v>8.9</v>
      </c>
      <c r="I39" s="237">
        <f>IFERROR(100/'Skjema total MA'!F39*G39,0)</f>
        <v>2.253926114923356</v>
      </c>
      <c r="J39" s="37">
        <f>SUM(B39,F39)</f>
        <v>72510</v>
      </c>
      <c r="K39" s="37">
        <f t="shared" ref="K39" si="12">SUM(C39,G39)</f>
        <v>79119</v>
      </c>
      <c r="L39" s="256">
        <f t="shared" si="8"/>
        <v>9.1</v>
      </c>
      <c r="M39" s="159">
        <f>IFERROR(100/'Skjema total MA'!I39*K39,0)</f>
        <v>1.6525948768405665</v>
      </c>
    </row>
    <row r="40" spans="1:14" ht="15.75" x14ac:dyDescent="0.2">
      <c r="A40" s="11" t="s">
        <v>27</v>
      </c>
      <c r="B40" s="231"/>
      <c r="C40" s="311"/>
      <c r="D40" s="159"/>
      <c r="E40" s="170"/>
      <c r="F40" s="310"/>
      <c r="G40" s="311"/>
      <c r="H40" s="159"/>
      <c r="I40" s="170"/>
      <c r="J40" s="231"/>
      <c r="K40" s="231"/>
      <c r="L40" s="256"/>
      <c r="M40" s="159"/>
    </row>
    <row r="41" spans="1:14" ht="15.75" x14ac:dyDescent="0.2">
      <c r="A41" s="11" t="s">
        <v>26</v>
      </c>
      <c r="B41" s="231"/>
      <c r="C41" s="311"/>
      <c r="D41" s="159"/>
      <c r="E41" s="170"/>
      <c r="F41" s="310"/>
      <c r="G41" s="311"/>
      <c r="H41" s="159"/>
      <c r="I41" s="170"/>
      <c r="J41" s="231"/>
      <c r="K41" s="231"/>
      <c r="L41" s="256"/>
      <c r="M41" s="159"/>
    </row>
    <row r="42" spans="1:14" ht="15.75" x14ac:dyDescent="0.2">
      <c r="A42" s="10" t="s">
        <v>321</v>
      </c>
      <c r="B42" s="231"/>
      <c r="C42" s="311"/>
      <c r="D42" s="159"/>
      <c r="E42" s="170"/>
      <c r="F42" s="321"/>
      <c r="G42" s="322"/>
      <c r="H42" s="159"/>
      <c r="I42" s="237"/>
      <c r="J42" s="231"/>
      <c r="K42" s="231"/>
      <c r="L42" s="256"/>
      <c r="M42" s="159"/>
    </row>
    <row r="43" spans="1:14" ht="15.75" x14ac:dyDescent="0.2">
      <c r="A43" s="10" t="s">
        <v>322</v>
      </c>
      <c r="B43" s="231"/>
      <c r="C43" s="311"/>
      <c r="D43" s="159"/>
      <c r="E43" s="170"/>
      <c r="F43" s="321"/>
      <c r="G43" s="322"/>
      <c r="H43" s="159"/>
      <c r="I43" s="237"/>
      <c r="J43" s="231"/>
      <c r="K43" s="231"/>
      <c r="L43" s="256"/>
      <c r="M43" s="159"/>
    </row>
    <row r="44" spans="1:14" ht="15.75" x14ac:dyDescent="0.2">
      <c r="A44" s="10" t="s">
        <v>323</v>
      </c>
      <c r="B44" s="231"/>
      <c r="C44" s="311"/>
      <c r="D44" s="159"/>
      <c r="E44" s="170"/>
      <c r="F44" s="321"/>
      <c r="G44" s="323"/>
      <c r="H44" s="159"/>
      <c r="I44" s="237"/>
      <c r="J44" s="231"/>
      <c r="K44" s="231"/>
      <c r="L44" s="256"/>
      <c r="M44" s="159"/>
    </row>
    <row r="45" spans="1:14" ht="15.75" x14ac:dyDescent="0.2">
      <c r="A45" s="10" t="s">
        <v>324</v>
      </c>
      <c r="B45" s="231"/>
      <c r="C45" s="311"/>
      <c r="D45" s="159"/>
      <c r="E45" s="170"/>
      <c r="F45" s="321"/>
      <c r="G45" s="322"/>
      <c r="H45" s="159"/>
      <c r="I45" s="237"/>
      <c r="J45" s="231"/>
      <c r="K45" s="231"/>
      <c r="L45" s="256"/>
      <c r="M45" s="159"/>
    </row>
    <row r="46" spans="1:14" ht="15.75" x14ac:dyDescent="0.2">
      <c r="A46" s="16" t="s">
        <v>325</v>
      </c>
      <c r="B46" s="277"/>
      <c r="C46" s="317"/>
      <c r="D46" s="160"/>
      <c r="E46" s="201"/>
      <c r="F46" s="324"/>
      <c r="G46" s="325"/>
      <c r="H46" s="160"/>
      <c r="I46" s="160"/>
      <c r="J46" s="231"/>
      <c r="K46" s="231"/>
      <c r="L46" s="257"/>
      <c r="M46" s="160"/>
    </row>
    <row r="47" spans="1:14" ht="15.75" x14ac:dyDescent="0.25">
      <c r="A47" s="40"/>
      <c r="B47" s="254"/>
      <c r="C47" s="254"/>
      <c r="D47" s="836"/>
      <c r="E47" s="836"/>
      <c r="F47" s="836"/>
      <c r="G47" s="836"/>
      <c r="H47" s="836"/>
      <c r="I47" s="836"/>
      <c r="J47" s="836"/>
      <c r="K47" s="836"/>
      <c r="L47" s="836"/>
      <c r="M47" s="304"/>
    </row>
    <row r="48" spans="1:14" x14ac:dyDescent="0.2">
      <c r="A48" s="148"/>
    </row>
    <row r="49" spans="1:14" ht="15.75" x14ac:dyDescent="0.25">
      <c r="A49" s="141" t="s">
        <v>305</v>
      </c>
      <c r="B49" s="835"/>
      <c r="C49" s="835"/>
      <c r="D49" s="835"/>
      <c r="E49" s="301"/>
      <c r="F49" s="837"/>
      <c r="G49" s="837"/>
      <c r="H49" s="837"/>
      <c r="I49" s="304"/>
      <c r="J49" s="837"/>
      <c r="K49" s="837"/>
      <c r="L49" s="837"/>
      <c r="M49" s="304"/>
    </row>
    <row r="50" spans="1:14" ht="15.75" x14ac:dyDescent="0.25">
      <c r="A50" s="156"/>
      <c r="B50" s="305"/>
      <c r="C50" s="305"/>
      <c r="D50" s="305"/>
      <c r="E50" s="305"/>
      <c r="F50" s="304"/>
      <c r="G50" s="304"/>
      <c r="H50" s="304"/>
      <c r="I50" s="304"/>
      <c r="J50" s="304"/>
      <c r="K50" s="304"/>
      <c r="L50" s="304"/>
      <c r="M50" s="304"/>
    </row>
    <row r="51" spans="1:14" ht="15.75" x14ac:dyDescent="0.25">
      <c r="A51" s="244"/>
      <c r="B51" s="833" t="s">
        <v>0</v>
      </c>
      <c r="C51" s="834"/>
      <c r="D51" s="834"/>
      <c r="E51" s="240"/>
      <c r="F51" s="304"/>
      <c r="G51" s="304"/>
      <c r="H51" s="304"/>
      <c r="I51" s="304"/>
      <c r="J51" s="304"/>
      <c r="K51" s="304"/>
      <c r="L51" s="304"/>
      <c r="M51" s="304"/>
    </row>
    <row r="52" spans="1:14" s="3" customFormat="1" x14ac:dyDescent="0.2">
      <c r="A52" s="134"/>
      <c r="B52" s="167" t="s">
        <v>400</v>
      </c>
      <c r="C52" s="167" t="s">
        <v>401</v>
      </c>
      <c r="D52" s="155" t="s">
        <v>3</v>
      </c>
      <c r="E52" s="155" t="s">
        <v>37</v>
      </c>
      <c r="F52" s="169"/>
      <c r="G52" s="169"/>
      <c r="H52" s="168"/>
      <c r="I52" s="168"/>
      <c r="J52" s="169"/>
      <c r="K52" s="169"/>
      <c r="L52" s="168"/>
      <c r="M52" s="168"/>
      <c r="N52" s="142"/>
    </row>
    <row r="53" spans="1:14" s="3" customFormat="1" x14ac:dyDescent="0.2">
      <c r="A53" s="403"/>
      <c r="B53" s="241"/>
      <c r="C53" s="241"/>
      <c r="D53" s="242" t="s">
        <v>4</v>
      </c>
      <c r="E53" s="149" t="s">
        <v>38</v>
      </c>
      <c r="F53" s="168"/>
      <c r="G53" s="168"/>
      <c r="H53" s="168"/>
      <c r="I53" s="168"/>
      <c r="J53" s="168"/>
      <c r="K53" s="168"/>
      <c r="L53" s="168"/>
      <c r="M53" s="168"/>
      <c r="N53" s="142"/>
    </row>
    <row r="54" spans="1:14" s="3" customFormat="1" ht="15.75" x14ac:dyDescent="0.2">
      <c r="A54" s="12" t="s">
        <v>30</v>
      </c>
      <c r="B54" s="312">
        <v>26694</v>
      </c>
      <c r="C54" s="313">
        <v>28305</v>
      </c>
      <c r="D54" s="255">
        <f t="shared" ref="D54:D61" si="13">IF(B54=0, "    ---- ", IF(ABS(ROUND(100/B54*C54-100,1))&lt;999,ROUND(100/B54*C54-100,1),IF(ROUND(100/B54*C54-100,1)&gt;999,999,-999)))</f>
        <v>6</v>
      </c>
      <c r="E54" s="170">
        <f>IFERROR(100/'Skjema total MA'!C54*C54,0)</f>
        <v>0.75811043942858358</v>
      </c>
      <c r="F54" s="139"/>
      <c r="G54" s="27"/>
      <c r="H54" s="152"/>
      <c r="I54" s="152"/>
      <c r="J54" s="30"/>
      <c r="K54" s="30"/>
      <c r="L54" s="152"/>
      <c r="M54" s="152"/>
      <c r="N54" s="142"/>
    </row>
    <row r="55" spans="1:14" s="3" customFormat="1" ht="15.75" x14ac:dyDescent="0.2">
      <c r="A55" s="31" t="s">
        <v>326</v>
      </c>
      <c r="B55" s="282">
        <v>26694</v>
      </c>
      <c r="C55" s="283">
        <v>28305</v>
      </c>
      <c r="D55" s="256">
        <f t="shared" si="13"/>
        <v>6</v>
      </c>
      <c r="E55" s="170">
        <f>IFERROR(100/'Skjema total MA'!C55*C55,0)</f>
        <v>1.3905002051061639</v>
      </c>
      <c r="F55" s="139"/>
      <c r="G55" s="27"/>
      <c r="H55" s="139"/>
      <c r="I55" s="139"/>
      <c r="J55" s="27"/>
      <c r="K55" s="27"/>
      <c r="L55" s="152"/>
      <c r="M55" s="152"/>
      <c r="N55" s="142"/>
    </row>
    <row r="56" spans="1:14" s="3" customFormat="1" ht="15.75" x14ac:dyDescent="0.2">
      <c r="A56" s="31" t="s">
        <v>327</v>
      </c>
      <c r="B56" s="37"/>
      <c r="C56" s="288"/>
      <c r="D56" s="256"/>
      <c r="E56" s="170"/>
      <c r="F56" s="139"/>
      <c r="G56" s="27"/>
      <c r="H56" s="139"/>
      <c r="I56" s="139"/>
      <c r="J56" s="30"/>
      <c r="K56" s="30"/>
      <c r="L56" s="152"/>
      <c r="M56" s="152"/>
      <c r="N56" s="142"/>
    </row>
    <row r="57" spans="1:14" s="3" customFormat="1" x14ac:dyDescent="0.2">
      <c r="A57" s="298" t="s">
        <v>6</v>
      </c>
      <c r="B57" s="291"/>
      <c r="C57" s="292"/>
      <c r="D57" s="256"/>
      <c r="E57" s="159"/>
      <c r="F57" s="139"/>
      <c r="G57" s="27"/>
      <c r="H57" s="139"/>
      <c r="I57" s="139"/>
      <c r="J57" s="27"/>
      <c r="K57" s="27"/>
      <c r="L57" s="152"/>
      <c r="M57" s="152"/>
      <c r="N57" s="142"/>
    </row>
    <row r="58" spans="1:14" s="3" customFormat="1" x14ac:dyDescent="0.2">
      <c r="A58" s="298" t="s">
        <v>7</v>
      </c>
      <c r="B58" s="291"/>
      <c r="C58" s="292"/>
      <c r="D58" s="256"/>
      <c r="E58" s="159"/>
      <c r="F58" s="139"/>
      <c r="G58" s="27"/>
      <c r="H58" s="139"/>
      <c r="I58" s="139"/>
      <c r="J58" s="27"/>
      <c r="K58" s="27"/>
      <c r="L58" s="152"/>
      <c r="M58" s="152"/>
      <c r="N58" s="142"/>
    </row>
    <row r="59" spans="1:14" s="3" customFormat="1" x14ac:dyDescent="0.2">
      <c r="A59" s="298" t="s">
        <v>8</v>
      </c>
      <c r="B59" s="291"/>
      <c r="C59" s="292"/>
      <c r="D59" s="256"/>
      <c r="E59" s="159"/>
      <c r="F59" s="139"/>
      <c r="G59" s="27"/>
      <c r="H59" s="139"/>
      <c r="I59" s="139"/>
      <c r="J59" s="27"/>
      <c r="K59" s="27"/>
      <c r="L59" s="152"/>
      <c r="M59" s="152"/>
      <c r="N59" s="142"/>
    </row>
    <row r="60" spans="1:14" s="3" customFormat="1" ht="15.75" x14ac:dyDescent="0.2">
      <c r="A60" s="11" t="s">
        <v>29</v>
      </c>
      <c r="B60" s="312">
        <v>644</v>
      </c>
      <c r="C60" s="313">
        <v>0</v>
      </c>
      <c r="D60" s="256">
        <f t="shared" si="13"/>
        <v>-100</v>
      </c>
      <c r="E60" s="170">
        <f>IFERROR(100/'Skjema total MA'!C60*C60,0)</f>
        <v>0</v>
      </c>
      <c r="F60" s="139"/>
      <c r="G60" s="27"/>
      <c r="H60" s="139"/>
      <c r="I60" s="139"/>
      <c r="J60" s="27"/>
      <c r="K60" s="27"/>
      <c r="L60" s="152"/>
      <c r="M60" s="152"/>
      <c r="N60" s="142"/>
    </row>
    <row r="61" spans="1:14" s="3" customFormat="1" ht="15.75" x14ac:dyDescent="0.2">
      <c r="A61" s="31" t="s">
        <v>326</v>
      </c>
      <c r="B61" s="282">
        <v>644</v>
      </c>
      <c r="C61" s="283">
        <v>0</v>
      </c>
      <c r="D61" s="256">
        <f t="shared" si="13"/>
        <v>-100</v>
      </c>
      <c r="E61" s="170">
        <f>IFERROR(100/'Skjema total MA'!C61*C61,0)</f>
        <v>0</v>
      </c>
      <c r="F61" s="139"/>
      <c r="G61" s="27"/>
      <c r="H61" s="139"/>
      <c r="I61" s="139"/>
      <c r="J61" s="27"/>
      <c r="K61" s="27"/>
      <c r="L61" s="152"/>
      <c r="M61" s="152"/>
      <c r="N61" s="142"/>
    </row>
    <row r="62" spans="1:14" s="3" customFormat="1" ht="15.75" x14ac:dyDescent="0.2">
      <c r="A62" s="31" t="s">
        <v>327</v>
      </c>
      <c r="B62" s="37"/>
      <c r="C62" s="288"/>
      <c r="D62" s="256"/>
      <c r="E62" s="170"/>
      <c r="F62" s="139"/>
      <c r="G62" s="27"/>
      <c r="H62" s="139"/>
      <c r="I62" s="139"/>
      <c r="J62" s="27"/>
      <c r="K62" s="27"/>
      <c r="L62" s="152"/>
      <c r="M62" s="152"/>
      <c r="N62" s="142"/>
    </row>
    <row r="63" spans="1:14" s="3" customFormat="1" x14ac:dyDescent="0.2">
      <c r="A63" s="298" t="s">
        <v>6</v>
      </c>
      <c r="B63" s="282"/>
      <c r="C63" s="283"/>
      <c r="D63" s="256"/>
      <c r="E63" s="159"/>
      <c r="F63" s="139"/>
      <c r="G63" s="27"/>
      <c r="H63" s="139"/>
      <c r="I63" s="139"/>
      <c r="J63" s="27"/>
      <c r="K63" s="27"/>
      <c r="L63" s="152"/>
      <c r="M63" s="152"/>
      <c r="N63" s="142"/>
    </row>
    <row r="64" spans="1:14" s="3" customFormat="1" x14ac:dyDescent="0.2">
      <c r="A64" s="298" t="s">
        <v>7</v>
      </c>
      <c r="B64" s="282"/>
      <c r="C64" s="283"/>
      <c r="D64" s="256"/>
      <c r="E64" s="159"/>
      <c r="F64" s="139"/>
      <c r="G64" s="27"/>
      <c r="H64" s="139"/>
      <c r="I64" s="139"/>
      <c r="J64" s="27"/>
      <c r="K64" s="27"/>
      <c r="L64" s="152"/>
      <c r="M64" s="152"/>
      <c r="N64" s="142"/>
    </row>
    <row r="65" spans="1:14" s="3" customFormat="1" x14ac:dyDescent="0.2">
      <c r="A65" s="298" t="s">
        <v>8</v>
      </c>
      <c r="B65" s="282"/>
      <c r="C65" s="283"/>
      <c r="D65" s="256"/>
      <c r="E65" s="159"/>
      <c r="F65" s="139"/>
      <c r="G65" s="27"/>
      <c r="H65" s="139"/>
      <c r="I65" s="139"/>
      <c r="J65" s="27"/>
      <c r="K65" s="27"/>
      <c r="L65" s="152"/>
      <c r="M65" s="152"/>
      <c r="N65" s="142"/>
    </row>
    <row r="66" spans="1:14" s="3" customFormat="1" ht="15.75" x14ac:dyDescent="0.2">
      <c r="A66" s="32" t="s">
        <v>328</v>
      </c>
      <c r="B66" s="312"/>
      <c r="C66" s="313"/>
      <c r="D66" s="256"/>
      <c r="E66" s="170"/>
      <c r="F66" s="139"/>
      <c r="G66" s="27"/>
      <c r="H66" s="139"/>
      <c r="I66" s="139"/>
      <c r="J66" s="27"/>
      <c r="K66" s="27"/>
      <c r="L66" s="152"/>
      <c r="M66" s="152"/>
      <c r="N66" s="142"/>
    </row>
    <row r="67" spans="1:14" s="3" customFormat="1" ht="15.75" x14ac:dyDescent="0.2">
      <c r="A67" s="31" t="s">
        <v>326</v>
      </c>
      <c r="B67" s="282"/>
      <c r="C67" s="283"/>
      <c r="D67" s="256"/>
      <c r="E67" s="170"/>
      <c r="F67" s="139"/>
      <c r="G67" s="27"/>
      <c r="H67" s="139"/>
      <c r="I67" s="139"/>
      <c r="J67" s="27"/>
      <c r="K67" s="27"/>
      <c r="L67" s="152"/>
      <c r="M67" s="152"/>
      <c r="N67" s="142"/>
    </row>
    <row r="68" spans="1:14" s="3" customFormat="1" ht="15.75" x14ac:dyDescent="0.2">
      <c r="A68" s="31" t="s">
        <v>327</v>
      </c>
      <c r="B68" s="282"/>
      <c r="C68" s="283"/>
      <c r="D68" s="256"/>
      <c r="E68" s="170"/>
      <c r="F68" s="139"/>
      <c r="G68" s="27"/>
      <c r="H68" s="139"/>
      <c r="I68" s="139"/>
      <c r="J68" s="27"/>
      <c r="K68" s="27"/>
      <c r="L68" s="152"/>
      <c r="M68" s="152"/>
      <c r="N68" s="142"/>
    </row>
    <row r="69" spans="1:14" s="3" customFormat="1" ht="15.75" x14ac:dyDescent="0.2">
      <c r="A69" s="32" t="s">
        <v>329</v>
      </c>
      <c r="B69" s="312"/>
      <c r="C69" s="313"/>
      <c r="D69" s="256"/>
      <c r="E69" s="170"/>
      <c r="F69" s="139"/>
      <c r="G69" s="27"/>
      <c r="H69" s="139"/>
      <c r="I69" s="139"/>
      <c r="J69" s="27"/>
      <c r="K69" s="27"/>
      <c r="L69" s="152"/>
      <c r="M69" s="152"/>
      <c r="N69" s="142"/>
    </row>
    <row r="70" spans="1:14" s="3" customFormat="1" ht="15.75" x14ac:dyDescent="0.2">
      <c r="A70" s="31" t="s">
        <v>326</v>
      </c>
      <c r="B70" s="282"/>
      <c r="C70" s="283"/>
      <c r="D70" s="256"/>
      <c r="E70" s="170"/>
      <c r="F70" s="139"/>
      <c r="G70" s="27"/>
      <c r="H70" s="139"/>
      <c r="I70" s="139"/>
      <c r="J70" s="27"/>
      <c r="K70" s="27"/>
      <c r="L70" s="152"/>
      <c r="M70" s="152"/>
      <c r="N70" s="142"/>
    </row>
    <row r="71" spans="1:14" s="3" customFormat="1" ht="15.75" x14ac:dyDescent="0.2">
      <c r="A71" s="39" t="s">
        <v>327</v>
      </c>
      <c r="B71" s="284"/>
      <c r="C71" s="285"/>
      <c r="D71" s="257"/>
      <c r="E71" s="160"/>
      <c r="F71" s="139"/>
      <c r="G71" s="27"/>
      <c r="H71" s="139"/>
      <c r="I71" s="139"/>
      <c r="J71" s="27"/>
      <c r="K71" s="27"/>
      <c r="L71" s="152"/>
      <c r="M71" s="152"/>
      <c r="N71" s="142"/>
    </row>
    <row r="72" spans="1:14" s="3" customFormat="1" ht="15.75" x14ac:dyDescent="0.25">
      <c r="A72" s="157"/>
      <c r="B72" s="147"/>
      <c r="C72" s="147"/>
      <c r="D72" s="147"/>
      <c r="E72" s="147"/>
      <c r="F72" s="136"/>
      <c r="G72" s="136"/>
      <c r="H72" s="136"/>
      <c r="I72" s="136"/>
      <c r="J72" s="136"/>
      <c r="K72" s="136"/>
      <c r="L72" s="136"/>
      <c r="M72" s="136"/>
      <c r="N72" s="142"/>
    </row>
    <row r="73" spans="1:14" x14ac:dyDescent="0.2">
      <c r="A73" s="148"/>
    </row>
    <row r="74" spans="1:14" ht="15.75" x14ac:dyDescent="0.25">
      <c r="A74" s="141" t="s">
        <v>306</v>
      </c>
      <c r="C74" s="20"/>
      <c r="D74" s="20"/>
      <c r="E74" s="20"/>
      <c r="F74" s="20"/>
      <c r="G74" s="20"/>
      <c r="H74" s="20"/>
      <c r="I74" s="20"/>
      <c r="J74" s="20"/>
      <c r="K74" s="20"/>
      <c r="L74" s="20"/>
      <c r="M74" s="20"/>
    </row>
    <row r="75" spans="1:14" ht="15.75" x14ac:dyDescent="0.25">
      <c r="B75" s="832"/>
      <c r="C75" s="832"/>
      <c r="D75" s="832"/>
      <c r="E75" s="301"/>
      <c r="F75" s="832"/>
      <c r="G75" s="832"/>
      <c r="H75" s="832"/>
      <c r="I75" s="301"/>
      <c r="J75" s="832"/>
      <c r="K75" s="832"/>
      <c r="L75" s="832"/>
      <c r="M75" s="301"/>
    </row>
    <row r="76" spans="1:14" x14ac:dyDescent="0.2">
      <c r="A76" s="138"/>
      <c r="B76" s="833" t="s">
        <v>0</v>
      </c>
      <c r="C76" s="834"/>
      <c r="D76" s="838"/>
      <c r="E76" s="302"/>
      <c r="F76" s="834" t="s">
        <v>1</v>
      </c>
      <c r="G76" s="834"/>
      <c r="H76" s="834"/>
      <c r="I76" s="306"/>
      <c r="J76" s="833" t="s">
        <v>2</v>
      </c>
      <c r="K76" s="834"/>
      <c r="L76" s="834"/>
      <c r="M76" s="306"/>
    </row>
    <row r="77" spans="1:14" x14ac:dyDescent="0.2">
      <c r="A77" s="134"/>
      <c r="B77" s="145" t="s">
        <v>400</v>
      </c>
      <c r="C77" s="145" t="s">
        <v>401</v>
      </c>
      <c r="D77" s="242" t="s">
        <v>3</v>
      </c>
      <c r="E77" s="307" t="s">
        <v>37</v>
      </c>
      <c r="F77" s="145" t="s">
        <v>400</v>
      </c>
      <c r="G77" s="145" t="s">
        <v>401</v>
      </c>
      <c r="H77" s="242" t="s">
        <v>3</v>
      </c>
      <c r="I77" s="307" t="s">
        <v>37</v>
      </c>
      <c r="J77" s="145" t="s">
        <v>400</v>
      </c>
      <c r="K77" s="145" t="s">
        <v>401</v>
      </c>
      <c r="L77" s="242" t="s">
        <v>3</v>
      </c>
      <c r="M77" s="155" t="s">
        <v>37</v>
      </c>
    </row>
    <row r="78" spans="1:14" x14ac:dyDescent="0.2">
      <c r="A78" s="403"/>
      <c r="B78" s="149"/>
      <c r="C78" s="149"/>
      <c r="D78" s="243" t="s">
        <v>4</v>
      </c>
      <c r="E78" s="149" t="s">
        <v>38</v>
      </c>
      <c r="F78" s="154"/>
      <c r="G78" s="154"/>
      <c r="H78" s="242" t="s">
        <v>4</v>
      </c>
      <c r="I78" s="149" t="s">
        <v>38</v>
      </c>
      <c r="J78" s="154"/>
      <c r="K78" s="154"/>
      <c r="L78" s="242" t="s">
        <v>4</v>
      </c>
      <c r="M78" s="149" t="s">
        <v>38</v>
      </c>
    </row>
    <row r="79" spans="1:14" ht="15.75" x14ac:dyDescent="0.2">
      <c r="A79" s="12" t="s">
        <v>30</v>
      </c>
      <c r="B79" s="355">
        <v>62940</v>
      </c>
      <c r="C79" s="355">
        <v>70271</v>
      </c>
      <c r="D79" s="251">
        <f t="shared" ref="D79:D142" si="14">IF(B79=0, "    ---- ", IF(ABS(ROUND(100/B79*C79-100,1))&lt;999,ROUND(100/B79*C79-100,1),IF(ROUND(100/B79*C79-100,1)&gt;999,999,-999)))</f>
        <v>11.6</v>
      </c>
      <c r="E79" s="170">
        <f>IFERROR(100/'Skjema total MA'!C79*C79,0)</f>
        <v>0.6019546745692228</v>
      </c>
      <c r="F79" s="354">
        <v>281829</v>
      </c>
      <c r="G79" s="354">
        <v>310947</v>
      </c>
      <c r="H79" s="251">
        <f t="shared" ref="H79:H142" si="15">IF(F79=0, "    ---- ", IF(ABS(ROUND(100/F79*G79-100,1))&lt;999,ROUND(100/F79*G79-100,1),IF(ROUND(100/F79*G79-100,1)&gt;999,999,-999)))</f>
        <v>10.3</v>
      </c>
      <c r="I79" s="170">
        <f>IFERROR(100/'Skjema total MA'!F79*G79,0)</f>
        <v>1.345773161896993</v>
      </c>
      <c r="J79" s="311">
        <f t="shared" ref="J79:K109" si="16">SUM(B79,F79)</f>
        <v>344769</v>
      </c>
      <c r="K79" s="318">
        <f t="shared" si="16"/>
        <v>381218</v>
      </c>
      <c r="L79" s="255">
        <f t="shared" ref="L79:L142" si="17">IF(J79=0, "    ---- ", IF(ABS(ROUND(100/J79*K79-100,1))&lt;999,ROUND(100/J79*K79-100,1),IF(ROUND(100/J79*K79-100,1)&gt;999,999,-999)))</f>
        <v>10.6</v>
      </c>
      <c r="M79" s="170">
        <f>IFERROR(100/'Skjema total MA'!I79*K79,0)</f>
        <v>1.0961073845879854</v>
      </c>
    </row>
    <row r="80" spans="1:14" x14ac:dyDescent="0.2">
      <c r="A80" s="18" t="s">
        <v>9</v>
      </c>
      <c r="B80" s="37"/>
      <c r="C80" s="139"/>
      <c r="D80" s="159"/>
      <c r="E80" s="170"/>
      <c r="F80" s="229"/>
      <c r="G80" s="139"/>
      <c r="H80" s="159"/>
      <c r="I80" s="170"/>
      <c r="J80" s="288"/>
      <c r="K80" s="37"/>
      <c r="L80" s="256"/>
      <c r="M80" s="170"/>
    </row>
    <row r="81" spans="1:14" x14ac:dyDescent="0.2">
      <c r="A81" s="18" t="s">
        <v>10</v>
      </c>
      <c r="B81" s="293">
        <v>62940</v>
      </c>
      <c r="C81" s="294">
        <v>70271</v>
      </c>
      <c r="D81" s="159">
        <f t="shared" si="14"/>
        <v>11.6</v>
      </c>
      <c r="E81" s="170">
        <f>IFERROR(100/'Skjema total MA'!C81*C81,0)</f>
        <v>40.809090293918615</v>
      </c>
      <c r="F81" s="293">
        <v>281829</v>
      </c>
      <c r="G81" s="294">
        <v>310947</v>
      </c>
      <c r="H81" s="159">
        <f t="shared" si="15"/>
        <v>10.3</v>
      </c>
      <c r="I81" s="170">
        <f>IFERROR(100/'Skjema total MA'!F81*G81,0)</f>
        <v>1.3580347582726693</v>
      </c>
      <c r="J81" s="288">
        <f t="shared" si="16"/>
        <v>344769</v>
      </c>
      <c r="K81" s="37">
        <f t="shared" si="16"/>
        <v>381218</v>
      </c>
      <c r="L81" s="256">
        <f t="shared" si="17"/>
        <v>10.6</v>
      </c>
      <c r="M81" s="170">
        <f>IFERROR(100/'Skjema total MA'!I81*K81,0)</f>
        <v>1.652509800657247</v>
      </c>
    </row>
    <row r="82" spans="1:14" ht="15.75" x14ac:dyDescent="0.2">
      <c r="A82" s="298" t="s">
        <v>330</v>
      </c>
      <c r="B82" s="282"/>
      <c r="C82" s="282"/>
      <c r="D82" s="159"/>
      <c r="E82" s="237"/>
      <c r="F82" s="282"/>
      <c r="G82" s="282"/>
      <c r="H82" s="159"/>
      <c r="I82" s="237"/>
      <c r="J82" s="291"/>
      <c r="K82" s="291"/>
      <c r="L82" s="159"/>
      <c r="M82" s="159"/>
    </row>
    <row r="83" spans="1:14" x14ac:dyDescent="0.2">
      <c r="A83" s="298" t="s">
        <v>12</v>
      </c>
      <c r="B83" s="295"/>
      <c r="C83" s="296"/>
      <c r="D83" s="159"/>
      <c r="E83" s="237"/>
      <c r="F83" s="282"/>
      <c r="G83" s="282"/>
      <c r="H83" s="159"/>
      <c r="I83" s="237"/>
      <c r="J83" s="291"/>
      <c r="K83" s="291"/>
      <c r="L83" s="159"/>
      <c r="M83" s="159"/>
    </row>
    <row r="84" spans="1:14" x14ac:dyDescent="0.2">
      <c r="A84" s="298" t="s">
        <v>13</v>
      </c>
      <c r="B84" s="230"/>
      <c r="C84" s="290"/>
      <c r="D84" s="159"/>
      <c r="E84" s="237"/>
      <c r="F84" s="282"/>
      <c r="G84" s="282"/>
      <c r="H84" s="159"/>
      <c r="I84" s="237"/>
      <c r="J84" s="291"/>
      <c r="K84" s="291"/>
      <c r="L84" s="159"/>
      <c r="M84" s="159"/>
    </row>
    <row r="85" spans="1:14" ht="15.75" x14ac:dyDescent="0.2">
      <c r="A85" s="298" t="s">
        <v>331</v>
      </c>
      <c r="B85" s="282">
        <v>62940</v>
      </c>
      <c r="C85" s="282">
        <v>70271</v>
      </c>
      <c r="D85" s="159">
        <f t="shared" si="14"/>
        <v>11.6</v>
      </c>
      <c r="E85" s="170">
        <f>IFERROR(100/'Skjema total MA'!C85*C85,0)</f>
        <v>0</v>
      </c>
      <c r="F85" s="282">
        <v>281829</v>
      </c>
      <c r="G85" s="282">
        <v>310947</v>
      </c>
      <c r="H85" s="159">
        <f t="shared" ref="H85" si="18">IF(F85=0, "    ---- ", IF(ABS(ROUND(100/F85*G85-100,1))&lt;999,ROUND(100/F85*G85-100,1),IF(ROUND(100/F85*G85-100,1)&gt;999,999,-999)))</f>
        <v>10.3</v>
      </c>
      <c r="I85" s="237">
        <f>IFERROR(100/'Skjema total MA'!F85*G85,0)</f>
        <v>0</v>
      </c>
      <c r="J85" s="288">
        <f t="shared" ref="J85" si="19">SUM(B85,F85)</f>
        <v>344769</v>
      </c>
      <c r="K85" s="37">
        <f t="shared" ref="K85" si="20">SUM(C85,G85)</f>
        <v>381218</v>
      </c>
      <c r="L85" s="159">
        <f t="shared" ref="L85" si="21">IF(J85=0, "    ---- ", IF(ABS(ROUND(100/J85*K85-100,1))&lt;999,ROUND(100/J85*K85-100,1),IF(ROUND(100/J85*K85-100,1)&gt;999,999,-999)))</f>
        <v>10.6</v>
      </c>
      <c r="M85" s="159">
        <f>IFERROR(100/'Skjema total MA'!I85*K85,0)</f>
        <v>0</v>
      </c>
    </row>
    <row r="86" spans="1:14" x14ac:dyDescent="0.2">
      <c r="A86" s="298" t="s">
        <v>12</v>
      </c>
      <c r="B86" s="230"/>
      <c r="C86" s="290"/>
      <c r="D86" s="159"/>
      <c r="E86" s="237"/>
      <c r="F86" s="282"/>
      <c r="G86" s="282"/>
      <c r="H86" s="159"/>
      <c r="I86" s="237"/>
      <c r="J86" s="291"/>
      <c r="K86" s="291"/>
      <c r="L86" s="159"/>
      <c r="M86" s="159"/>
    </row>
    <row r="87" spans="1:14" s="3" customFormat="1" x14ac:dyDescent="0.2">
      <c r="A87" s="298" t="s">
        <v>13</v>
      </c>
      <c r="B87" s="230"/>
      <c r="C87" s="290"/>
      <c r="D87" s="159"/>
      <c r="E87" s="170">
        <f>IFERROR(100/'Skjema total MA'!C87*C87,0)</f>
        <v>0</v>
      </c>
      <c r="F87" s="282">
        <v>281829</v>
      </c>
      <c r="G87" s="282">
        <v>310947</v>
      </c>
      <c r="H87" s="159">
        <f t="shared" ref="H87" si="22">IF(F87=0, "    ---- ", IF(ABS(ROUND(100/F87*G87-100,1))&lt;999,ROUND(100/F87*G87-100,1),IF(ROUND(100/F87*G87-100,1)&gt;999,999,-999)))</f>
        <v>10.3</v>
      </c>
      <c r="I87" s="237">
        <f>IFERROR(100/'Skjema total MA'!F87*G87,0)</f>
        <v>0</v>
      </c>
      <c r="J87" s="288">
        <f t="shared" ref="J87" si="23">SUM(B87,F87)</f>
        <v>281829</v>
      </c>
      <c r="K87" s="37">
        <f t="shared" ref="K87" si="24">SUM(C87,G87)</f>
        <v>310947</v>
      </c>
      <c r="L87" s="159">
        <f t="shared" ref="L87" si="25">IF(J87=0, "    ---- ", IF(ABS(ROUND(100/J87*K87-100,1))&lt;999,ROUND(100/J87*K87-100,1),IF(ROUND(100/J87*K87-100,1)&gt;999,999,-999)))</f>
        <v>10.3</v>
      </c>
      <c r="M87" s="159">
        <f>IFERROR(100/'Skjema total MA'!I87*K87,0)</f>
        <v>0</v>
      </c>
      <c r="N87" s="142"/>
    </row>
    <row r="88" spans="1:14" s="3" customFormat="1" x14ac:dyDescent="0.2">
      <c r="A88" s="18" t="s">
        <v>33</v>
      </c>
      <c r="B88" s="229"/>
      <c r="C88" s="139"/>
      <c r="D88" s="159"/>
      <c r="E88" s="170"/>
      <c r="F88" s="229"/>
      <c r="G88" s="139"/>
      <c r="H88" s="159"/>
      <c r="I88" s="170"/>
      <c r="J88" s="288"/>
      <c r="K88" s="37"/>
      <c r="L88" s="256"/>
      <c r="M88" s="170"/>
      <c r="N88" s="142"/>
    </row>
    <row r="89" spans="1:14" ht="15.75" x14ac:dyDescent="0.2">
      <c r="A89" s="18" t="s">
        <v>332</v>
      </c>
      <c r="B89" s="229">
        <v>62940</v>
      </c>
      <c r="C89" s="229">
        <v>70271</v>
      </c>
      <c r="D89" s="159">
        <f t="shared" si="14"/>
        <v>11.6</v>
      </c>
      <c r="E89" s="170">
        <f>IFERROR(100/'Skjema total MA'!C89*C89,0)</f>
        <v>0.62409039690733714</v>
      </c>
      <c r="F89" s="229">
        <v>281829</v>
      </c>
      <c r="G89" s="139">
        <v>310947</v>
      </c>
      <c r="H89" s="159">
        <f t="shared" si="15"/>
        <v>10.3</v>
      </c>
      <c r="I89" s="170">
        <f>IFERROR(100/'Skjema total MA'!F89*G89,0)</f>
        <v>1.3588289493459373</v>
      </c>
      <c r="J89" s="288">
        <f t="shared" si="16"/>
        <v>344769</v>
      </c>
      <c r="K89" s="37">
        <f t="shared" si="16"/>
        <v>381218</v>
      </c>
      <c r="L89" s="256">
        <f t="shared" si="17"/>
        <v>10.6</v>
      </c>
      <c r="M89" s="170">
        <f>IFERROR(100/'Skjema total MA'!I89*K89,0)</f>
        <v>1.1165268234143506</v>
      </c>
    </row>
    <row r="90" spans="1:14" x14ac:dyDescent="0.2">
      <c r="A90" s="18" t="s">
        <v>9</v>
      </c>
      <c r="B90" s="229"/>
      <c r="C90" s="139"/>
      <c r="D90" s="159"/>
      <c r="E90" s="170"/>
      <c r="F90" s="229"/>
      <c r="G90" s="139"/>
      <c r="H90" s="159"/>
      <c r="I90" s="170"/>
      <c r="J90" s="288"/>
      <c r="K90" s="37"/>
      <c r="L90" s="256"/>
      <c r="M90" s="170"/>
    </row>
    <row r="91" spans="1:14" x14ac:dyDescent="0.2">
      <c r="A91" s="18" t="s">
        <v>10</v>
      </c>
      <c r="B91" s="293">
        <v>62940</v>
      </c>
      <c r="C91" s="294">
        <v>70271</v>
      </c>
      <c r="D91" s="159">
        <f t="shared" si="14"/>
        <v>11.6</v>
      </c>
      <c r="E91" s="170">
        <f>IFERROR(100/'Skjema total MA'!C91*C91,0)</f>
        <v>41.653034442515235</v>
      </c>
      <c r="F91" s="293">
        <v>281829</v>
      </c>
      <c r="G91" s="294">
        <v>310947</v>
      </c>
      <c r="H91" s="159">
        <f t="shared" si="15"/>
        <v>10.3</v>
      </c>
      <c r="I91" s="170">
        <f>IFERROR(100/'Skjema total MA'!F91*G91,0)</f>
        <v>1.3588289493459373</v>
      </c>
      <c r="J91" s="288">
        <f t="shared" si="16"/>
        <v>344769</v>
      </c>
      <c r="K91" s="37">
        <f t="shared" si="16"/>
        <v>381218</v>
      </c>
      <c r="L91" s="256">
        <f t="shared" si="17"/>
        <v>10.6</v>
      </c>
      <c r="M91" s="170">
        <f>IFERROR(100/'Skjema total MA'!I91*K91,0)</f>
        <v>1.6537192337489597</v>
      </c>
    </row>
    <row r="92" spans="1:14" ht="15.75" x14ac:dyDescent="0.2">
      <c r="A92" s="298" t="s">
        <v>330</v>
      </c>
      <c r="B92" s="282"/>
      <c r="C92" s="282"/>
      <c r="D92" s="159"/>
      <c r="E92" s="237"/>
      <c r="F92" s="282"/>
      <c r="G92" s="282"/>
      <c r="H92" s="159"/>
      <c r="I92" s="237"/>
      <c r="J92" s="291"/>
      <c r="K92" s="291"/>
      <c r="L92" s="159"/>
      <c r="M92" s="159"/>
    </row>
    <row r="93" spans="1:14" x14ac:dyDescent="0.2">
      <c r="A93" s="298" t="s">
        <v>12</v>
      </c>
      <c r="B93" s="230"/>
      <c r="C93" s="290"/>
      <c r="D93" s="159"/>
      <c r="E93" s="237"/>
      <c r="F93" s="282"/>
      <c r="G93" s="282"/>
      <c r="H93" s="159"/>
      <c r="I93" s="237"/>
      <c r="J93" s="291"/>
      <c r="K93" s="291"/>
      <c r="L93" s="159"/>
      <c r="M93" s="159"/>
    </row>
    <row r="94" spans="1:14" x14ac:dyDescent="0.2">
      <c r="A94" s="298" t="s">
        <v>13</v>
      </c>
      <c r="B94" s="230"/>
      <c r="C94" s="290"/>
      <c r="D94" s="159"/>
      <c r="E94" s="237"/>
      <c r="F94" s="282"/>
      <c r="G94" s="282"/>
      <c r="H94" s="159"/>
      <c r="I94" s="237"/>
      <c r="J94" s="291"/>
      <c r="K94" s="291"/>
      <c r="L94" s="159"/>
      <c r="M94" s="159"/>
    </row>
    <row r="95" spans="1:14" ht="15.75" x14ac:dyDescent="0.2">
      <c r="A95" s="298" t="s">
        <v>331</v>
      </c>
      <c r="B95" s="282">
        <v>62940</v>
      </c>
      <c r="C95" s="282">
        <v>70271</v>
      </c>
      <c r="D95" s="159">
        <f t="shared" si="14"/>
        <v>11.6</v>
      </c>
      <c r="E95" s="170">
        <f>IFERROR(100/'Skjema total MA'!C95*C95,0)</f>
        <v>0</v>
      </c>
      <c r="F95" s="282">
        <v>281829</v>
      </c>
      <c r="G95" s="282">
        <v>310947</v>
      </c>
      <c r="H95" s="159">
        <f t="shared" ref="H95" si="26">IF(F95=0, "    ---- ", IF(ABS(ROUND(100/F95*G95-100,1))&lt;999,ROUND(100/F95*G95-100,1),IF(ROUND(100/F95*G95-100,1)&gt;999,999,-999)))</f>
        <v>10.3</v>
      </c>
      <c r="I95" s="237">
        <f>IFERROR(100/'Skjema total MA'!F95*G95,0)</f>
        <v>0</v>
      </c>
      <c r="J95" s="288">
        <f t="shared" ref="J95" si="27">SUM(B95,F95)</f>
        <v>344769</v>
      </c>
      <c r="K95" s="37">
        <f t="shared" ref="K95" si="28">SUM(C95,G95)</f>
        <v>381218</v>
      </c>
      <c r="L95" s="159">
        <f t="shared" ref="L95" si="29">IF(J95=0, "    ---- ", IF(ABS(ROUND(100/J95*K95-100,1))&lt;999,ROUND(100/J95*K95-100,1),IF(ROUND(100/J95*K95-100,1)&gt;999,999,-999)))</f>
        <v>10.6</v>
      </c>
      <c r="M95" s="159">
        <f>IFERROR(100/'Skjema total MA'!I95*K95,0)</f>
        <v>0</v>
      </c>
    </row>
    <row r="96" spans="1:14" x14ac:dyDescent="0.2">
      <c r="A96" s="298" t="s">
        <v>12</v>
      </c>
      <c r="B96" s="230"/>
      <c r="C96" s="290"/>
      <c r="D96" s="159"/>
      <c r="E96" s="237"/>
      <c r="F96" s="282"/>
      <c r="G96" s="282"/>
      <c r="H96" s="159"/>
      <c r="I96" s="237"/>
      <c r="J96" s="291"/>
      <c r="K96" s="291"/>
      <c r="L96" s="159"/>
      <c r="M96" s="159"/>
    </row>
    <row r="97" spans="1:13" x14ac:dyDescent="0.2">
      <c r="A97" s="298" t="s">
        <v>13</v>
      </c>
      <c r="B97" s="230"/>
      <c r="C97" s="290"/>
      <c r="D97" s="159"/>
      <c r="E97" s="237"/>
      <c r="F97" s="282">
        <v>281829</v>
      </c>
      <c r="G97" s="282">
        <v>310947</v>
      </c>
      <c r="H97" s="159">
        <f t="shared" ref="H97" si="30">IF(F97=0, "    ---- ", IF(ABS(ROUND(100/F97*G97-100,1))&lt;999,ROUND(100/F97*G97-100,1),IF(ROUND(100/F97*G97-100,1)&gt;999,999,-999)))</f>
        <v>10.3</v>
      </c>
      <c r="I97" s="237">
        <f>IFERROR(100/'Skjema total MA'!F97*G97,0)</f>
        <v>0</v>
      </c>
      <c r="J97" s="288">
        <f t="shared" ref="J97" si="31">SUM(B97,F97)</f>
        <v>281829</v>
      </c>
      <c r="K97" s="37">
        <f t="shared" ref="K97" si="32">SUM(C97,G97)</f>
        <v>310947</v>
      </c>
      <c r="L97" s="159">
        <f t="shared" ref="L97" si="33">IF(J97=0, "    ---- ", IF(ABS(ROUND(100/J97*K97-100,1))&lt;999,ROUND(100/J97*K97-100,1),IF(ROUND(100/J97*K97-100,1)&gt;999,999,-999)))</f>
        <v>10.3</v>
      </c>
      <c r="M97" s="159">
        <f>IFERROR(100/'Skjema total MA'!I97*K97,0)</f>
        <v>0</v>
      </c>
    </row>
    <row r="98" spans="1:13" ht="15.75" x14ac:dyDescent="0.2">
      <c r="A98" s="18" t="s">
        <v>342</v>
      </c>
      <c r="B98" s="229"/>
      <c r="C98" s="139"/>
      <c r="D98" s="159"/>
      <c r="E98" s="170"/>
      <c r="F98" s="229"/>
      <c r="G98" s="139"/>
      <c r="H98" s="159"/>
      <c r="I98" s="170"/>
      <c r="J98" s="288"/>
      <c r="K98" s="37"/>
      <c r="L98" s="256"/>
      <c r="M98" s="170"/>
    </row>
    <row r="99" spans="1:13" ht="15.75" x14ac:dyDescent="0.2">
      <c r="A99" s="11" t="s">
        <v>29</v>
      </c>
      <c r="B99" s="310">
        <v>6140</v>
      </c>
      <c r="C99" s="310">
        <v>6871</v>
      </c>
      <c r="D99" s="159">
        <f t="shared" si="14"/>
        <v>11.9</v>
      </c>
      <c r="E99" s="170">
        <f>IFERROR(100/'Skjema total MA'!C99*C99,0)</f>
        <v>2.1282293130876151</v>
      </c>
      <c r="F99" s="310">
        <v>44529</v>
      </c>
      <c r="G99" s="310">
        <v>13587</v>
      </c>
      <c r="H99" s="159">
        <f t="shared" si="15"/>
        <v>-69.5</v>
      </c>
      <c r="I99" s="170">
        <f>IFERROR(100/'Skjema total MA'!F99*G99,0)</f>
        <v>1.1135078515522701</v>
      </c>
      <c r="J99" s="311">
        <f t="shared" si="16"/>
        <v>50669</v>
      </c>
      <c r="K99" s="231">
        <f t="shared" si="16"/>
        <v>20458</v>
      </c>
      <c r="L99" s="256">
        <f t="shared" si="17"/>
        <v>-59.6</v>
      </c>
      <c r="M99" s="170">
        <f>IFERROR(100/'Skjema total MA'!I99*K99,0)</f>
        <v>1.3258170433398559</v>
      </c>
    </row>
    <row r="100" spans="1:13" x14ac:dyDescent="0.2">
      <c r="A100" s="18" t="s">
        <v>9</v>
      </c>
      <c r="B100" s="229"/>
      <c r="C100" s="139"/>
      <c r="D100" s="159"/>
      <c r="E100" s="170"/>
      <c r="F100" s="229"/>
      <c r="G100" s="139"/>
      <c r="H100" s="159"/>
      <c r="I100" s="170"/>
      <c r="J100" s="288"/>
      <c r="K100" s="37"/>
      <c r="L100" s="256"/>
      <c r="M100" s="170"/>
    </row>
    <row r="101" spans="1:13" x14ac:dyDescent="0.2">
      <c r="A101" s="18" t="s">
        <v>10</v>
      </c>
      <c r="B101" s="229">
        <v>6140</v>
      </c>
      <c r="C101" s="139">
        <v>6871</v>
      </c>
      <c r="D101" s="159">
        <f t="shared" si="14"/>
        <v>11.9</v>
      </c>
      <c r="E101" s="170">
        <f>IFERROR(100/'Skjema total MA'!C101*C101,0)</f>
        <v>98.906002591046501</v>
      </c>
      <c r="F101" s="293">
        <v>44529</v>
      </c>
      <c r="G101" s="293">
        <v>13587</v>
      </c>
      <c r="H101" s="159">
        <f t="shared" si="15"/>
        <v>-69.5</v>
      </c>
      <c r="I101" s="170">
        <f>IFERROR(100/'Skjema total MA'!F101*G101,0)</f>
        <v>1.3532521640461217</v>
      </c>
      <c r="J101" s="288">
        <f t="shared" si="16"/>
        <v>50669</v>
      </c>
      <c r="K101" s="37">
        <f t="shared" si="16"/>
        <v>20458</v>
      </c>
      <c r="L101" s="256">
        <f t="shared" si="17"/>
        <v>-59.6</v>
      </c>
      <c r="M101" s="170">
        <f>IFERROR(100/'Skjema total MA'!I101*K101,0)</f>
        <v>2.0235956194965086</v>
      </c>
    </row>
    <row r="102" spans="1:13" ht="15.75" x14ac:dyDescent="0.2">
      <c r="A102" s="298" t="s">
        <v>330</v>
      </c>
      <c r="B102" s="282"/>
      <c r="C102" s="282"/>
      <c r="D102" s="159"/>
      <c r="E102" s="237"/>
      <c r="F102" s="282"/>
      <c r="G102" s="282"/>
      <c r="H102" s="159"/>
      <c r="I102" s="237"/>
      <c r="J102" s="291"/>
      <c r="K102" s="291"/>
      <c r="L102" s="159"/>
      <c r="M102" s="159"/>
    </row>
    <row r="103" spans="1:13" x14ac:dyDescent="0.2">
      <c r="A103" s="298" t="s">
        <v>12</v>
      </c>
      <c r="B103" s="230"/>
      <c r="C103" s="290"/>
      <c r="D103" s="159"/>
      <c r="E103" s="237"/>
      <c r="F103" s="282"/>
      <c r="G103" s="282"/>
      <c r="H103" s="159"/>
      <c r="I103" s="237"/>
      <c r="J103" s="291"/>
      <c r="K103" s="291"/>
      <c r="L103" s="159"/>
      <c r="M103" s="159"/>
    </row>
    <row r="104" spans="1:13" x14ac:dyDescent="0.2">
      <c r="A104" s="298" t="s">
        <v>13</v>
      </c>
      <c r="B104" s="230"/>
      <c r="C104" s="290"/>
      <c r="D104" s="159"/>
      <c r="E104" s="237"/>
      <c r="F104" s="282"/>
      <c r="G104" s="282"/>
      <c r="H104" s="159"/>
      <c r="I104" s="237"/>
      <c r="J104" s="291"/>
      <c r="K104" s="291"/>
      <c r="L104" s="159"/>
      <c r="M104" s="159"/>
    </row>
    <row r="105" spans="1:13" ht="15.75" x14ac:dyDescent="0.2">
      <c r="A105" s="298" t="s">
        <v>331</v>
      </c>
      <c r="B105" s="282">
        <v>6140</v>
      </c>
      <c r="C105" s="282">
        <v>6871</v>
      </c>
      <c r="D105" s="159">
        <f t="shared" si="14"/>
        <v>11.9</v>
      </c>
      <c r="E105" s="170">
        <f>IFERROR(100/'Skjema total MA'!C105*C105,0)</f>
        <v>0</v>
      </c>
      <c r="F105" s="282">
        <v>44529</v>
      </c>
      <c r="G105" s="282">
        <v>13587</v>
      </c>
      <c r="H105" s="159">
        <f t="shared" ref="H105" si="34">IF(F105=0, "    ---- ", IF(ABS(ROUND(100/F105*G105-100,1))&lt;999,ROUND(100/F105*G105-100,1),IF(ROUND(100/F105*G105-100,1)&gt;999,999,-999)))</f>
        <v>-69.5</v>
      </c>
      <c r="I105" s="237">
        <f>IFERROR(100/'Skjema total MA'!F105*G105,0)</f>
        <v>0</v>
      </c>
      <c r="J105" s="288">
        <f t="shared" ref="J105" si="35">SUM(B105,F105)</f>
        <v>50669</v>
      </c>
      <c r="K105" s="37">
        <f t="shared" ref="K105" si="36">SUM(C105,G105)</f>
        <v>20458</v>
      </c>
      <c r="L105" s="159">
        <f t="shared" ref="L105" si="37">IF(J105=0, "    ---- ", IF(ABS(ROUND(100/J105*K105-100,1))&lt;999,ROUND(100/J105*K105-100,1),IF(ROUND(100/J105*K105-100,1)&gt;999,999,-999)))</f>
        <v>-59.6</v>
      </c>
      <c r="M105" s="159">
        <f>IFERROR(100/'Skjema total MA'!I105*K105,0)</f>
        <v>0</v>
      </c>
    </row>
    <row r="106" spans="1:13" x14ac:dyDescent="0.2">
      <c r="A106" s="298" t="s">
        <v>12</v>
      </c>
      <c r="B106" s="230"/>
      <c r="C106" s="290"/>
      <c r="D106" s="159"/>
      <c r="E106" s="170"/>
      <c r="F106" s="282"/>
      <c r="G106" s="282"/>
      <c r="H106" s="159"/>
      <c r="I106" s="237"/>
      <c r="J106" s="291"/>
      <c r="K106" s="291"/>
      <c r="L106" s="159"/>
      <c r="M106" s="159"/>
    </row>
    <row r="107" spans="1:13" x14ac:dyDescent="0.2">
      <c r="A107" s="298" t="s">
        <v>13</v>
      </c>
      <c r="B107" s="230"/>
      <c r="C107" s="290"/>
      <c r="D107" s="159"/>
      <c r="E107" s="170">
        <f>IFERROR(100/'Skjema total MA'!C107*C107,0)</f>
        <v>0</v>
      </c>
      <c r="F107" s="282">
        <v>44529</v>
      </c>
      <c r="G107" s="282">
        <v>13587</v>
      </c>
      <c r="H107" s="159">
        <f t="shared" ref="H107" si="38">IF(F107=0, "    ---- ", IF(ABS(ROUND(100/F107*G107-100,1))&lt;999,ROUND(100/F107*G107-100,1),IF(ROUND(100/F107*G107-100,1)&gt;999,999,-999)))</f>
        <v>-69.5</v>
      </c>
      <c r="I107" s="237">
        <f>IFERROR(100/'Skjema total MA'!F107*G107,0)</f>
        <v>0</v>
      </c>
      <c r="J107" s="288">
        <f t="shared" ref="J107" si="39">SUM(B107,F107)</f>
        <v>44529</v>
      </c>
      <c r="K107" s="37">
        <f t="shared" ref="K107" si="40">SUM(C107,G107)</f>
        <v>13587</v>
      </c>
      <c r="L107" s="159">
        <f t="shared" ref="L107" si="41">IF(J107=0, "    ---- ", IF(ABS(ROUND(100/J107*K107-100,1))&lt;999,ROUND(100/J107*K107-100,1),IF(ROUND(100/J107*K107-100,1)&gt;999,999,-999)))</f>
        <v>-69.5</v>
      </c>
      <c r="M107" s="159">
        <f>IFERROR(100/'Skjema total MA'!I107*K107,0)</f>
        <v>0</v>
      </c>
    </row>
    <row r="108" spans="1:13" x14ac:dyDescent="0.2">
      <c r="A108" s="18" t="s">
        <v>33</v>
      </c>
      <c r="B108" s="229"/>
      <c r="C108" s="139"/>
      <c r="D108" s="159"/>
      <c r="E108" s="170"/>
      <c r="F108" s="229"/>
      <c r="G108" s="139"/>
      <c r="H108" s="159"/>
      <c r="I108" s="170"/>
      <c r="J108" s="288"/>
      <c r="K108" s="37"/>
      <c r="L108" s="256"/>
      <c r="M108" s="170"/>
    </row>
    <row r="109" spans="1:13" ht="15.75" x14ac:dyDescent="0.2">
      <c r="A109" s="18" t="s">
        <v>332</v>
      </c>
      <c r="B109" s="229">
        <v>6140</v>
      </c>
      <c r="C109" s="139">
        <v>6871</v>
      </c>
      <c r="D109" s="159">
        <f t="shared" si="14"/>
        <v>11.9</v>
      </c>
      <c r="E109" s="170">
        <f>IFERROR(100/'Skjema total MA'!C109*C109,0)</f>
        <v>2.7586499059059295</v>
      </c>
      <c r="F109" s="293">
        <v>44529</v>
      </c>
      <c r="G109" s="293">
        <v>13587</v>
      </c>
      <c r="H109" s="159">
        <f t="shared" si="15"/>
        <v>-69.5</v>
      </c>
      <c r="I109" s="170">
        <f>IFERROR(100/'Skjema total MA'!F109*G109,0)</f>
        <v>1.3532521640461217</v>
      </c>
      <c r="J109" s="288">
        <f t="shared" si="16"/>
        <v>50669</v>
      </c>
      <c r="K109" s="37">
        <f t="shared" si="16"/>
        <v>20458</v>
      </c>
      <c r="L109" s="256">
        <f t="shared" si="17"/>
        <v>-59.6</v>
      </c>
      <c r="M109" s="170">
        <f>IFERROR(100/'Skjema total MA'!I109*K109,0)</f>
        <v>1.632595280306866</v>
      </c>
    </row>
    <row r="110" spans="1:13" x14ac:dyDescent="0.2">
      <c r="A110" s="18" t="s">
        <v>9</v>
      </c>
      <c r="B110" s="229"/>
      <c r="C110" s="139"/>
      <c r="D110" s="159"/>
      <c r="E110" s="170"/>
      <c r="F110" s="293"/>
      <c r="G110" s="294"/>
      <c r="H110" s="159"/>
      <c r="I110" s="170"/>
      <c r="J110" s="288"/>
      <c r="K110" s="37"/>
      <c r="L110" s="256"/>
      <c r="M110" s="170"/>
    </row>
    <row r="111" spans="1:13" x14ac:dyDescent="0.2">
      <c r="A111" s="18" t="s">
        <v>10</v>
      </c>
      <c r="B111" s="293">
        <v>6140</v>
      </c>
      <c r="C111" s="294">
        <v>6871</v>
      </c>
      <c r="D111" s="159">
        <f t="shared" si="14"/>
        <v>11.9</v>
      </c>
      <c r="E111" s="170">
        <f>IFERROR(100/'Skjema total MA'!C111*C111,0)</f>
        <v>98.906002591046501</v>
      </c>
      <c r="F111" s="293">
        <v>44529</v>
      </c>
      <c r="G111" s="294">
        <v>13587</v>
      </c>
      <c r="H111" s="159">
        <f t="shared" si="15"/>
        <v>-69.5</v>
      </c>
      <c r="I111" s="170">
        <f>IFERROR(100/'Skjema total MA'!F111*G111,0)</f>
        <v>1.3532521640461217</v>
      </c>
      <c r="J111" s="288">
        <f t="shared" ref="J111:K142" si="42">SUM(B111,F111)</f>
        <v>50669</v>
      </c>
      <c r="K111" s="37">
        <f t="shared" si="42"/>
        <v>20458</v>
      </c>
      <c r="L111" s="256">
        <f t="shared" si="17"/>
        <v>-59.6</v>
      </c>
      <c r="M111" s="170">
        <f>IFERROR(100/'Skjema total MA'!I111*K111,0)</f>
        <v>2.0235956194965086</v>
      </c>
    </row>
    <row r="112" spans="1:13" ht="15.75" x14ac:dyDescent="0.2">
      <c r="A112" s="298" t="s">
        <v>330</v>
      </c>
      <c r="B112" s="282"/>
      <c r="C112" s="282"/>
      <c r="D112" s="159"/>
      <c r="E112" s="237"/>
      <c r="F112" s="282"/>
      <c r="G112" s="282"/>
      <c r="H112" s="159"/>
      <c r="I112" s="237"/>
      <c r="J112" s="291"/>
      <c r="K112" s="291"/>
      <c r="L112" s="159"/>
      <c r="M112" s="159"/>
    </row>
    <row r="113" spans="1:13" x14ac:dyDescent="0.2">
      <c r="A113" s="298" t="s">
        <v>12</v>
      </c>
      <c r="B113" s="230"/>
      <c r="C113" s="290"/>
      <c r="D113" s="159"/>
      <c r="E113" s="237"/>
      <c r="F113" s="282"/>
      <c r="G113" s="282"/>
      <c r="H113" s="159"/>
      <c r="I113" s="237"/>
      <c r="J113" s="291"/>
      <c r="K113" s="291"/>
      <c r="L113" s="159"/>
      <c r="M113" s="159"/>
    </row>
    <row r="114" spans="1:13" x14ac:dyDescent="0.2">
      <c r="A114" s="298" t="s">
        <v>13</v>
      </c>
      <c r="B114" s="230"/>
      <c r="C114" s="290"/>
      <c r="D114" s="159"/>
      <c r="E114" s="237"/>
      <c r="F114" s="282"/>
      <c r="G114" s="282"/>
      <c r="H114" s="159"/>
      <c r="I114" s="237"/>
      <c r="J114" s="291"/>
      <c r="K114" s="291"/>
      <c r="L114" s="159"/>
      <c r="M114" s="159"/>
    </row>
    <row r="115" spans="1:13" ht="15.75" x14ac:dyDescent="0.2">
      <c r="A115" s="298" t="s">
        <v>331</v>
      </c>
      <c r="B115" s="282">
        <v>6140</v>
      </c>
      <c r="C115" s="282">
        <v>6871</v>
      </c>
      <c r="D115" s="159">
        <f t="shared" si="14"/>
        <v>11.9</v>
      </c>
      <c r="E115" s="170">
        <f>IFERROR(100/'Skjema total MA'!C115*C115,0)</f>
        <v>0</v>
      </c>
      <c r="F115" s="282">
        <v>44529</v>
      </c>
      <c r="G115" s="282">
        <v>13587</v>
      </c>
      <c r="H115" s="159">
        <f t="shared" ref="H115" si="43">IF(F115=0, "    ---- ", IF(ABS(ROUND(100/F115*G115-100,1))&lt;999,ROUND(100/F115*G115-100,1),IF(ROUND(100/F115*G115-100,1)&gt;999,999,-999)))</f>
        <v>-69.5</v>
      </c>
      <c r="I115" s="237">
        <f>IFERROR(100/'Skjema total MA'!F115*G115,0)</f>
        <v>0</v>
      </c>
      <c r="J115" s="288">
        <f t="shared" ref="J115" si="44">SUM(B115,F115)</f>
        <v>50669</v>
      </c>
      <c r="K115" s="37">
        <f t="shared" ref="K115" si="45">SUM(C115,G115)</f>
        <v>20458</v>
      </c>
      <c r="L115" s="159">
        <f t="shared" ref="L115" si="46">IF(J115=0, "    ---- ", IF(ABS(ROUND(100/J115*K115-100,1))&lt;999,ROUND(100/J115*K115-100,1),IF(ROUND(100/J115*K115-100,1)&gt;999,999,-999)))</f>
        <v>-59.6</v>
      </c>
      <c r="M115" s="159">
        <f>IFERROR(100/'Skjema total MA'!I115*K115,0)</f>
        <v>0</v>
      </c>
    </row>
    <row r="116" spans="1:13" x14ac:dyDescent="0.2">
      <c r="A116" s="298" t="s">
        <v>12</v>
      </c>
      <c r="B116" s="230"/>
      <c r="C116" s="290"/>
      <c r="D116" s="159"/>
      <c r="E116" s="237"/>
      <c r="F116" s="282"/>
      <c r="G116" s="282"/>
      <c r="H116" s="159"/>
      <c r="I116" s="237"/>
      <c r="J116" s="291"/>
      <c r="K116" s="291"/>
      <c r="L116" s="159"/>
      <c r="M116" s="159"/>
    </row>
    <row r="117" spans="1:13" x14ac:dyDescent="0.2">
      <c r="A117" s="298" t="s">
        <v>13</v>
      </c>
      <c r="B117" s="232"/>
      <c r="C117" s="297"/>
      <c r="D117" s="159"/>
      <c r="E117" s="170">
        <f>IFERROR(100/'Skjema total MA'!C117*C117,0)</f>
        <v>0</v>
      </c>
      <c r="F117" s="282">
        <v>44529</v>
      </c>
      <c r="G117" s="282">
        <v>13587</v>
      </c>
      <c r="H117" s="159">
        <f t="shared" ref="H117" si="47">IF(F117=0, "    ---- ", IF(ABS(ROUND(100/F117*G117-100,1))&lt;999,ROUND(100/F117*G117-100,1),IF(ROUND(100/F117*G117-100,1)&gt;999,999,-999)))</f>
        <v>-69.5</v>
      </c>
      <c r="I117" s="237">
        <f>IFERROR(100/'Skjema total MA'!F117*G117,0)</f>
        <v>0</v>
      </c>
      <c r="J117" s="288">
        <f t="shared" ref="J117" si="48">SUM(B117,F117)</f>
        <v>44529</v>
      </c>
      <c r="K117" s="37">
        <f t="shared" ref="K117" si="49">SUM(C117,G117)</f>
        <v>13587</v>
      </c>
      <c r="L117" s="159">
        <f t="shared" ref="L117" si="50">IF(J117=0, "    ---- ", IF(ABS(ROUND(100/J117*K117-100,1))&lt;999,ROUND(100/J117*K117-100,1),IF(ROUND(100/J117*K117-100,1)&gt;999,999,-999)))</f>
        <v>-69.5</v>
      </c>
      <c r="M117" s="159">
        <f>IFERROR(100/'Skjema total MA'!I117*K117,0)</f>
        <v>0</v>
      </c>
    </row>
    <row r="118" spans="1:13" ht="15.75" x14ac:dyDescent="0.2">
      <c r="A118" s="18" t="s">
        <v>342</v>
      </c>
      <c r="B118" s="229"/>
      <c r="C118" s="139"/>
      <c r="D118" s="159"/>
      <c r="E118" s="170"/>
      <c r="F118" s="229"/>
      <c r="G118" s="139"/>
      <c r="H118" s="159"/>
      <c r="I118" s="170"/>
      <c r="J118" s="288"/>
      <c r="K118" s="37"/>
      <c r="L118" s="256"/>
      <c r="M118" s="170"/>
    </row>
    <row r="119" spans="1:13" ht="15.75" x14ac:dyDescent="0.2">
      <c r="A119" s="11" t="s">
        <v>28</v>
      </c>
      <c r="B119" s="355">
        <v>123891</v>
      </c>
      <c r="C119" s="355">
        <v>130276</v>
      </c>
      <c r="D119" s="159">
        <f t="shared" si="14"/>
        <v>5.2</v>
      </c>
      <c r="E119" s="170">
        <f>IFERROR(100/'Skjema total MA'!C119*C119,0)</f>
        <v>3.4928208170306181E-2</v>
      </c>
      <c r="F119" s="354">
        <v>2274705</v>
      </c>
      <c r="G119" s="354">
        <v>2583122</v>
      </c>
      <c r="H119" s="159">
        <f t="shared" si="15"/>
        <v>13.6</v>
      </c>
      <c r="I119" s="170">
        <f>IFERROR(100/'Skjema total MA'!F119*G119,0)</f>
        <v>1.4533839157581108</v>
      </c>
      <c r="J119" s="311">
        <f t="shared" si="42"/>
        <v>2398596</v>
      </c>
      <c r="K119" s="231">
        <f t="shared" si="42"/>
        <v>2713398</v>
      </c>
      <c r="L119" s="256">
        <f t="shared" si="17"/>
        <v>13.1</v>
      </c>
      <c r="M119" s="170">
        <f>IFERROR(100/'Skjema total MA'!I119*K119,0)</f>
        <v>0.49270567666640641</v>
      </c>
    </row>
    <row r="120" spans="1:13" x14ac:dyDescent="0.2">
      <c r="A120" s="18" t="s">
        <v>9</v>
      </c>
      <c r="B120" s="229"/>
      <c r="C120" s="139"/>
      <c r="D120" s="159"/>
      <c r="E120" s="170"/>
      <c r="F120" s="229"/>
      <c r="G120" s="139"/>
      <c r="H120" s="159"/>
      <c r="I120" s="170"/>
      <c r="J120" s="288"/>
      <c r="K120" s="37"/>
      <c r="L120" s="256"/>
      <c r="M120" s="170"/>
    </row>
    <row r="121" spans="1:13" x14ac:dyDescent="0.2">
      <c r="A121" s="18" t="s">
        <v>10</v>
      </c>
      <c r="B121" s="229">
        <v>123891</v>
      </c>
      <c r="C121" s="139">
        <v>130276</v>
      </c>
      <c r="D121" s="159">
        <f t="shared" si="14"/>
        <v>5.2</v>
      </c>
      <c r="E121" s="170">
        <f>IFERROR(100/'Skjema total MA'!C121*C121,0)</f>
        <v>5.7310286002550601</v>
      </c>
      <c r="F121" s="229">
        <v>2274705</v>
      </c>
      <c r="G121" s="139">
        <v>2583122</v>
      </c>
      <c r="H121" s="159">
        <f t="shared" si="15"/>
        <v>13.6</v>
      </c>
      <c r="I121" s="170">
        <f>IFERROR(100/'Skjema total MA'!F121*G121,0)</f>
        <v>1.4551452573629249</v>
      </c>
      <c r="J121" s="288">
        <f t="shared" si="42"/>
        <v>2398596</v>
      </c>
      <c r="K121" s="37">
        <f t="shared" si="42"/>
        <v>2713398</v>
      </c>
      <c r="L121" s="256">
        <f t="shared" si="17"/>
        <v>13.1</v>
      </c>
      <c r="M121" s="170">
        <f>IFERROR(100/'Skjema total MA'!I121*K121,0)</f>
        <v>1.5092073818146994</v>
      </c>
    </row>
    <row r="122" spans="1:13" ht="15.75" x14ac:dyDescent="0.2">
      <c r="A122" s="298" t="s">
        <v>330</v>
      </c>
      <c r="B122" s="282"/>
      <c r="C122" s="282"/>
      <c r="D122" s="159"/>
      <c r="E122" s="237"/>
      <c r="F122" s="282"/>
      <c r="G122" s="282"/>
      <c r="H122" s="159"/>
      <c r="I122" s="237"/>
      <c r="J122" s="291"/>
      <c r="K122" s="291"/>
      <c r="L122" s="159"/>
      <c r="M122" s="159"/>
    </row>
    <row r="123" spans="1:13" x14ac:dyDescent="0.2">
      <c r="A123" s="298" t="s">
        <v>12</v>
      </c>
      <c r="B123" s="230"/>
      <c r="C123" s="290"/>
      <c r="D123" s="159"/>
      <c r="E123" s="237"/>
      <c r="F123" s="282"/>
      <c r="G123" s="282"/>
      <c r="H123" s="159"/>
      <c r="I123" s="237"/>
      <c r="J123" s="291"/>
      <c r="K123" s="291"/>
      <c r="L123" s="159"/>
      <c r="M123" s="159"/>
    </row>
    <row r="124" spans="1:13" x14ac:dyDescent="0.2">
      <c r="A124" s="298" t="s">
        <v>13</v>
      </c>
      <c r="B124" s="230"/>
      <c r="C124" s="290"/>
      <c r="D124" s="159"/>
      <c r="E124" s="237"/>
      <c r="F124" s="282"/>
      <c r="G124" s="282"/>
      <c r="H124" s="159"/>
      <c r="I124" s="237"/>
      <c r="J124" s="291"/>
      <c r="K124" s="291"/>
      <c r="L124" s="159"/>
      <c r="M124" s="159"/>
    </row>
    <row r="125" spans="1:13" ht="15.75" x14ac:dyDescent="0.2">
      <c r="A125" s="298" t="s">
        <v>331</v>
      </c>
      <c r="B125" s="282">
        <v>123891</v>
      </c>
      <c r="C125" s="282">
        <v>130276</v>
      </c>
      <c r="D125" s="159">
        <f t="shared" si="14"/>
        <v>5.2</v>
      </c>
      <c r="E125" s="170">
        <f>IFERROR(100/'Skjema total MA'!C125*C125,0)</f>
        <v>0</v>
      </c>
      <c r="F125" s="282">
        <v>2274705</v>
      </c>
      <c r="G125" s="282">
        <v>2583122</v>
      </c>
      <c r="H125" s="159">
        <f t="shared" ref="H125" si="51">IF(F125=0, "    ---- ", IF(ABS(ROUND(100/F125*G125-100,1))&lt;999,ROUND(100/F125*G125-100,1),IF(ROUND(100/F125*G125-100,1)&gt;999,999,-999)))</f>
        <v>13.6</v>
      </c>
      <c r="I125" s="237">
        <f>IFERROR(100/'Skjema total MA'!F125*G125,0)</f>
        <v>0</v>
      </c>
      <c r="J125" s="288">
        <f t="shared" ref="J125" si="52">SUM(B125,F125)</f>
        <v>2398596</v>
      </c>
      <c r="K125" s="37">
        <f t="shared" ref="K125" si="53">SUM(C125,G125)</f>
        <v>2713398</v>
      </c>
      <c r="L125" s="159">
        <f t="shared" ref="L125" si="54">IF(J125=0, "    ---- ", IF(ABS(ROUND(100/J125*K125-100,1))&lt;999,ROUND(100/J125*K125-100,1),IF(ROUND(100/J125*K125-100,1)&gt;999,999,-999)))</f>
        <v>13.1</v>
      </c>
      <c r="M125" s="159">
        <f>IFERROR(100/'Skjema total MA'!I125*K125,0)</f>
        <v>0</v>
      </c>
    </row>
    <row r="126" spans="1:13" x14ac:dyDescent="0.2">
      <c r="A126" s="298" t="s">
        <v>12</v>
      </c>
      <c r="B126" s="230"/>
      <c r="C126" s="290"/>
      <c r="D126" s="159"/>
      <c r="E126" s="237"/>
      <c r="F126" s="282"/>
      <c r="G126" s="282"/>
      <c r="H126" s="159"/>
      <c r="I126" s="237"/>
      <c r="J126" s="291"/>
      <c r="K126" s="291"/>
      <c r="L126" s="159"/>
      <c r="M126" s="159"/>
    </row>
    <row r="127" spans="1:13" x14ac:dyDescent="0.2">
      <c r="A127" s="298" t="s">
        <v>13</v>
      </c>
      <c r="B127" s="230"/>
      <c r="C127" s="290"/>
      <c r="D127" s="159"/>
      <c r="E127" s="170">
        <f>IFERROR(100/'Skjema total MA'!C127*C127,0)</f>
        <v>0</v>
      </c>
      <c r="F127" s="282">
        <v>2274705</v>
      </c>
      <c r="G127" s="282">
        <v>2583122</v>
      </c>
      <c r="H127" s="159">
        <f t="shared" ref="H127" si="55">IF(F127=0, "    ---- ", IF(ABS(ROUND(100/F127*G127-100,1))&lt;999,ROUND(100/F127*G127-100,1),IF(ROUND(100/F127*G127-100,1)&gt;999,999,-999)))</f>
        <v>13.6</v>
      </c>
      <c r="I127" s="237">
        <f>IFERROR(100/'Skjema total MA'!F127*G127,0)</f>
        <v>0</v>
      </c>
      <c r="J127" s="288">
        <f t="shared" ref="J127" si="56">SUM(B127,F127)</f>
        <v>2274705</v>
      </c>
      <c r="K127" s="37">
        <f t="shared" ref="K127" si="57">SUM(C127,G127)</f>
        <v>2583122</v>
      </c>
      <c r="L127" s="159">
        <f t="shared" ref="L127" si="58">IF(J127=0, "    ---- ", IF(ABS(ROUND(100/J127*K127-100,1))&lt;999,ROUND(100/J127*K127-100,1),IF(ROUND(100/J127*K127-100,1)&gt;999,999,-999)))</f>
        <v>13.6</v>
      </c>
      <c r="M127" s="159">
        <f>IFERROR(100/'Skjema total MA'!I127*K127,0)</f>
        <v>0</v>
      </c>
    </row>
    <row r="128" spans="1:13" x14ac:dyDescent="0.2">
      <c r="A128" s="18" t="s">
        <v>34</v>
      </c>
      <c r="B128" s="229"/>
      <c r="C128" s="139"/>
      <c r="D128" s="159"/>
      <c r="E128" s="170"/>
      <c r="F128" s="229"/>
      <c r="G128" s="139"/>
      <c r="H128" s="159"/>
      <c r="I128" s="170"/>
      <c r="J128" s="288"/>
      <c r="K128" s="37"/>
      <c r="L128" s="256"/>
      <c r="M128" s="170"/>
    </row>
    <row r="129" spans="1:13" ht="15.75" x14ac:dyDescent="0.2">
      <c r="A129" s="18" t="s">
        <v>332</v>
      </c>
      <c r="B129" s="229">
        <v>123891</v>
      </c>
      <c r="C129" s="229">
        <v>130276</v>
      </c>
      <c r="D129" s="159">
        <f t="shared" si="14"/>
        <v>5.2</v>
      </c>
      <c r="E129" s="170">
        <f>IFERROR(100/'Skjema total MA'!C129*C129,0)</f>
        <v>3.5396410709982208E-2</v>
      </c>
      <c r="F129" s="293">
        <v>2274705</v>
      </c>
      <c r="G129" s="293">
        <v>2583122</v>
      </c>
      <c r="H129" s="159">
        <f t="shared" si="15"/>
        <v>13.6</v>
      </c>
      <c r="I129" s="170">
        <f>IFERROR(100/'Skjema total MA'!F129*G129,0)</f>
        <v>1.4583100388006673</v>
      </c>
      <c r="J129" s="288">
        <f t="shared" si="42"/>
        <v>2398596</v>
      </c>
      <c r="K129" s="37">
        <f t="shared" si="42"/>
        <v>2713398</v>
      </c>
      <c r="L129" s="256">
        <f t="shared" si="17"/>
        <v>13.1</v>
      </c>
      <c r="M129" s="170">
        <f>IFERROR(100/'Skjema total MA'!I129*K129,0)</f>
        <v>0.49770698418756232</v>
      </c>
    </row>
    <row r="130" spans="1:13" x14ac:dyDescent="0.2">
      <c r="A130" s="18" t="s">
        <v>9</v>
      </c>
      <c r="B130" s="293"/>
      <c r="C130" s="294"/>
      <c r="D130" s="159"/>
      <c r="E130" s="170"/>
      <c r="F130" s="229"/>
      <c r="G130" s="139"/>
      <c r="H130" s="159"/>
      <c r="I130" s="170"/>
      <c r="J130" s="288"/>
      <c r="K130" s="37"/>
      <c r="L130" s="256"/>
      <c r="M130" s="170"/>
    </row>
    <row r="131" spans="1:13" x14ac:dyDescent="0.2">
      <c r="A131" s="18" t="s">
        <v>10</v>
      </c>
      <c r="B131" s="293">
        <v>123891</v>
      </c>
      <c r="C131" s="294">
        <v>130276</v>
      </c>
      <c r="D131" s="159">
        <f t="shared" si="14"/>
        <v>5.2</v>
      </c>
      <c r="E131" s="170">
        <f>IFERROR(100/'Skjema total MA'!C131*C131,0)</f>
        <v>5.7310290086833184</v>
      </c>
      <c r="F131" s="229">
        <v>2274705</v>
      </c>
      <c r="G131" s="229">
        <v>2583122</v>
      </c>
      <c r="H131" s="159">
        <f t="shared" si="15"/>
        <v>13.6</v>
      </c>
      <c r="I131" s="170">
        <f>IFERROR(100/'Skjema total MA'!F131*G131,0)</f>
        <v>1.4583100388006673</v>
      </c>
      <c r="J131" s="288">
        <f t="shared" si="42"/>
        <v>2398596</v>
      </c>
      <c r="K131" s="37">
        <f t="shared" si="42"/>
        <v>2713398</v>
      </c>
      <c r="L131" s="256">
        <f t="shared" si="17"/>
        <v>13.1</v>
      </c>
      <c r="M131" s="170">
        <f>IFERROR(100/'Skjema total MA'!I131*K131,0)</f>
        <v>1.5124481541761088</v>
      </c>
    </row>
    <row r="132" spans="1:13" ht="15.75" x14ac:dyDescent="0.2">
      <c r="A132" s="298" t="s">
        <v>330</v>
      </c>
      <c r="B132" s="282"/>
      <c r="C132" s="282"/>
      <c r="D132" s="159"/>
      <c r="E132" s="237"/>
      <c r="F132" s="282"/>
      <c r="G132" s="282"/>
      <c r="H132" s="159"/>
      <c r="I132" s="237"/>
      <c r="J132" s="291"/>
      <c r="K132" s="291"/>
      <c r="L132" s="159"/>
      <c r="M132" s="159"/>
    </row>
    <row r="133" spans="1:13" x14ac:dyDescent="0.2">
      <c r="A133" s="298" t="s">
        <v>12</v>
      </c>
      <c r="B133" s="230"/>
      <c r="C133" s="290"/>
      <c r="D133" s="159"/>
      <c r="E133" s="237"/>
      <c r="F133" s="282"/>
      <c r="G133" s="282"/>
      <c r="H133" s="159"/>
      <c r="I133" s="237"/>
      <c r="J133" s="291"/>
      <c r="K133" s="291"/>
      <c r="L133" s="159"/>
      <c r="M133" s="159"/>
    </row>
    <row r="134" spans="1:13" x14ac:dyDescent="0.2">
      <c r="A134" s="298" t="s">
        <v>13</v>
      </c>
      <c r="B134" s="230"/>
      <c r="C134" s="290"/>
      <c r="D134" s="159"/>
      <c r="E134" s="237"/>
      <c r="F134" s="282"/>
      <c r="G134" s="282"/>
      <c r="H134" s="159"/>
      <c r="I134" s="237"/>
      <c r="J134" s="291"/>
      <c r="K134" s="291"/>
      <c r="L134" s="159"/>
      <c r="M134" s="159"/>
    </row>
    <row r="135" spans="1:13" ht="15.75" x14ac:dyDescent="0.2">
      <c r="A135" s="298" t="s">
        <v>331</v>
      </c>
      <c r="B135" s="282">
        <v>123891</v>
      </c>
      <c r="C135" s="282">
        <v>130276</v>
      </c>
      <c r="D135" s="159">
        <f t="shared" si="14"/>
        <v>5.2</v>
      </c>
      <c r="E135" s="170">
        <f>IFERROR(100/'Skjema total MA'!C135*C135,0)</f>
        <v>0</v>
      </c>
      <c r="F135" s="282">
        <v>2274705</v>
      </c>
      <c r="G135" s="282">
        <v>2583122</v>
      </c>
      <c r="H135" s="159">
        <f t="shared" ref="H135" si="59">IF(F135=0, "    ---- ", IF(ABS(ROUND(100/F135*G135-100,1))&lt;999,ROUND(100/F135*G135-100,1),IF(ROUND(100/F135*G135-100,1)&gt;999,999,-999)))</f>
        <v>13.6</v>
      </c>
      <c r="I135" s="237">
        <f>IFERROR(100/'Skjema total MA'!F135*G135,0)</f>
        <v>0</v>
      </c>
      <c r="J135" s="288">
        <f t="shared" ref="J135" si="60">SUM(B135,F135)</f>
        <v>2398596</v>
      </c>
      <c r="K135" s="37">
        <f t="shared" ref="K135" si="61">SUM(C135,G135)</f>
        <v>2713398</v>
      </c>
      <c r="L135" s="159">
        <f t="shared" ref="L135" si="62">IF(J135=0, "    ---- ", IF(ABS(ROUND(100/J135*K135-100,1))&lt;999,ROUND(100/J135*K135-100,1),IF(ROUND(100/J135*K135-100,1)&gt;999,999,-999)))</f>
        <v>13.1</v>
      </c>
      <c r="M135" s="159">
        <f>IFERROR(100/'Skjema total MA'!I135*K135,0)</f>
        <v>0</v>
      </c>
    </row>
    <row r="136" spans="1:13" x14ac:dyDescent="0.2">
      <c r="A136" s="298" t="s">
        <v>12</v>
      </c>
      <c r="B136" s="230"/>
      <c r="C136" s="290"/>
      <c r="D136" s="159"/>
      <c r="E136" s="237"/>
      <c r="F136" s="282"/>
      <c r="G136" s="282"/>
      <c r="H136" s="159"/>
      <c r="I136" s="237"/>
      <c r="J136" s="291"/>
      <c r="K136" s="291"/>
      <c r="L136" s="159"/>
      <c r="M136" s="159"/>
    </row>
    <row r="137" spans="1:13" x14ac:dyDescent="0.2">
      <c r="A137" s="298" t="s">
        <v>13</v>
      </c>
      <c r="B137" s="230"/>
      <c r="C137" s="290"/>
      <c r="D137" s="159"/>
      <c r="E137" s="170">
        <f>IFERROR(100/'Skjema total MA'!C137*C137,0)</f>
        <v>0</v>
      </c>
      <c r="F137" s="282">
        <v>2274705</v>
      </c>
      <c r="G137" s="282">
        <v>2583122</v>
      </c>
      <c r="H137" s="159">
        <f t="shared" ref="H137" si="63">IF(F137=0, "    ---- ", IF(ABS(ROUND(100/F137*G137-100,1))&lt;999,ROUND(100/F137*G137-100,1),IF(ROUND(100/F137*G137-100,1)&gt;999,999,-999)))</f>
        <v>13.6</v>
      </c>
      <c r="I137" s="237">
        <f>IFERROR(100/'Skjema total MA'!F137*G137,0)</f>
        <v>0</v>
      </c>
      <c r="J137" s="288">
        <f t="shared" ref="J137" si="64">SUM(B137,F137)</f>
        <v>2274705</v>
      </c>
      <c r="K137" s="37">
        <f t="shared" ref="K137" si="65">SUM(C137,G137)</f>
        <v>2583122</v>
      </c>
      <c r="L137" s="159">
        <f t="shared" ref="L137" si="66">IF(J137=0, "    ---- ", IF(ABS(ROUND(100/J137*K137-100,1))&lt;999,ROUND(100/J137*K137-100,1),IF(ROUND(100/J137*K137-100,1)&gt;999,999,-999)))</f>
        <v>13.6</v>
      </c>
      <c r="M137" s="159">
        <f>IFERROR(100/'Skjema total MA'!I137*K137,0)</f>
        <v>0</v>
      </c>
    </row>
    <row r="138" spans="1:13" ht="15.75" x14ac:dyDescent="0.2">
      <c r="A138" s="18" t="s">
        <v>342</v>
      </c>
      <c r="B138" s="229"/>
      <c r="C138" s="139"/>
      <c r="D138" s="159"/>
      <c r="E138" s="170"/>
      <c r="F138" s="229"/>
      <c r="G138" s="139"/>
      <c r="H138" s="159"/>
      <c r="I138" s="170"/>
      <c r="J138" s="288"/>
      <c r="K138" s="37"/>
      <c r="L138" s="256"/>
      <c r="M138" s="170"/>
    </row>
    <row r="139" spans="1:13" ht="15.75" x14ac:dyDescent="0.2">
      <c r="A139" s="18" t="s">
        <v>343</v>
      </c>
      <c r="B139" s="229"/>
      <c r="C139" s="229"/>
      <c r="D139" s="159"/>
      <c r="E139" s="170"/>
      <c r="F139" s="229"/>
      <c r="G139" s="229"/>
      <c r="H139" s="159"/>
      <c r="I139" s="170"/>
      <c r="J139" s="288"/>
      <c r="K139" s="37"/>
      <c r="L139" s="256"/>
      <c r="M139" s="170"/>
    </row>
    <row r="140" spans="1:13" ht="15.75" x14ac:dyDescent="0.2">
      <c r="A140" s="18" t="s">
        <v>334</v>
      </c>
      <c r="B140" s="229"/>
      <c r="C140" s="229"/>
      <c r="D140" s="159"/>
      <c r="E140" s="170"/>
      <c r="F140" s="229"/>
      <c r="G140" s="229"/>
      <c r="H140" s="159"/>
      <c r="I140" s="170"/>
      <c r="J140" s="288"/>
      <c r="K140" s="37"/>
      <c r="L140" s="256"/>
      <c r="M140" s="170"/>
    </row>
    <row r="141" spans="1:13" ht="15.75" x14ac:dyDescent="0.2">
      <c r="A141" s="18" t="s">
        <v>335</v>
      </c>
      <c r="B141" s="229"/>
      <c r="C141" s="229"/>
      <c r="D141" s="159"/>
      <c r="E141" s="170"/>
      <c r="F141" s="229"/>
      <c r="G141" s="229"/>
      <c r="H141" s="159"/>
      <c r="I141" s="170"/>
      <c r="J141" s="288"/>
      <c r="K141" s="37"/>
      <c r="L141" s="256"/>
      <c r="M141" s="170"/>
    </row>
    <row r="142" spans="1:13" ht="15.75" x14ac:dyDescent="0.2">
      <c r="A142" s="11" t="s">
        <v>27</v>
      </c>
      <c r="B142" s="310">
        <v>937</v>
      </c>
      <c r="C142" s="152">
        <v>1012.162</v>
      </c>
      <c r="D142" s="159">
        <f t="shared" si="14"/>
        <v>8</v>
      </c>
      <c r="E142" s="170">
        <f>IFERROR(100/'Skjema total MA'!C142*C142,0)</f>
        <v>8.1699421371163192E-2</v>
      </c>
      <c r="F142" s="310">
        <v>82162</v>
      </c>
      <c r="G142" s="152">
        <v>63484</v>
      </c>
      <c r="H142" s="159">
        <f t="shared" si="15"/>
        <v>-22.7</v>
      </c>
      <c r="I142" s="170">
        <f>IFERROR(100/'Skjema total MA'!F142*G142,0)</f>
        <v>1.0465315171157576</v>
      </c>
      <c r="J142" s="311">
        <f t="shared" si="42"/>
        <v>83099</v>
      </c>
      <c r="K142" s="231">
        <f t="shared" si="42"/>
        <v>64496.161999999997</v>
      </c>
      <c r="L142" s="256">
        <f t="shared" si="17"/>
        <v>-22.4</v>
      </c>
      <c r="M142" s="170">
        <f>IFERROR(100/'Skjema total MA'!I142*K142,0)</f>
        <v>0.88290207310502677</v>
      </c>
    </row>
    <row r="143" spans="1:13" x14ac:dyDescent="0.2">
      <c r="A143" s="18" t="s">
        <v>9</v>
      </c>
      <c r="B143" s="229"/>
      <c r="C143" s="139"/>
      <c r="D143" s="159"/>
      <c r="E143" s="170"/>
      <c r="F143" s="229"/>
      <c r="G143" s="139"/>
      <c r="H143" s="159"/>
      <c r="I143" s="170"/>
      <c r="J143" s="288"/>
      <c r="K143" s="37"/>
      <c r="L143" s="256"/>
      <c r="M143" s="170"/>
    </row>
    <row r="144" spans="1:13" x14ac:dyDescent="0.2">
      <c r="A144" s="18" t="s">
        <v>10</v>
      </c>
      <c r="B144" s="229">
        <v>937</v>
      </c>
      <c r="C144" s="139">
        <v>1012.162</v>
      </c>
      <c r="D144" s="159">
        <f t="shared" ref="D144:D152" si="67">IF(B144=0, "    ---- ", IF(ABS(ROUND(100/B144*C144-100,1))&lt;999,ROUND(100/B144*C144-100,1),IF(ROUND(100/B144*C144-100,1)&gt;999,999,-999)))</f>
        <v>8</v>
      </c>
      <c r="E144" s="170">
        <f>IFERROR(100/'Skjema total MA'!C144*C144,0)</f>
        <v>24.073707335612504</v>
      </c>
      <c r="F144" s="229">
        <v>82162</v>
      </c>
      <c r="G144" s="139">
        <v>63484</v>
      </c>
      <c r="H144" s="159">
        <f t="shared" ref="H144:H152" si="68">IF(F144=0, "    ---- ", IF(ABS(ROUND(100/F144*G144-100,1))&lt;999,ROUND(100/F144*G144-100,1),IF(ROUND(100/F144*G144-100,1)&gt;999,999,-999)))</f>
        <v>-22.7</v>
      </c>
      <c r="I144" s="170">
        <f>IFERROR(100/'Skjema total MA'!F144*G144,0)</f>
        <v>1.0465315171157576</v>
      </c>
      <c r="J144" s="288">
        <f t="shared" ref="J144:K152" si="69">SUM(B144,F144)</f>
        <v>83099</v>
      </c>
      <c r="K144" s="37">
        <f t="shared" si="69"/>
        <v>64496.161999999997</v>
      </c>
      <c r="L144" s="256">
        <f t="shared" ref="L144:L152" si="70">IF(J144=0, "    ---- ", IF(ABS(ROUND(100/J144*K144-100,1))&lt;999,ROUND(100/J144*K144-100,1),IF(ROUND(100/J144*K144-100,1)&gt;999,999,-999)))</f>
        <v>-22.4</v>
      </c>
      <c r="M144" s="170">
        <f>IFERROR(100/'Skjema total MA'!I144*K144,0)</f>
        <v>1.0624805683500373</v>
      </c>
    </row>
    <row r="145" spans="1:14" x14ac:dyDescent="0.2">
      <c r="A145" s="18" t="s">
        <v>34</v>
      </c>
      <c r="B145" s="229"/>
      <c r="C145" s="139"/>
      <c r="D145" s="159"/>
      <c r="E145" s="170"/>
      <c r="F145" s="229"/>
      <c r="G145" s="139"/>
      <c r="H145" s="159"/>
      <c r="I145" s="170"/>
      <c r="J145" s="288"/>
      <c r="K145" s="37"/>
      <c r="L145" s="256"/>
      <c r="M145" s="170"/>
    </row>
    <row r="146" spans="1:14" x14ac:dyDescent="0.2">
      <c r="A146" s="298" t="s">
        <v>15</v>
      </c>
      <c r="B146" s="282"/>
      <c r="C146" s="282"/>
      <c r="D146" s="159"/>
      <c r="E146" s="237"/>
      <c r="F146" s="282"/>
      <c r="G146" s="282"/>
      <c r="H146" s="159"/>
      <c r="I146" s="237"/>
      <c r="J146" s="291"/>
      <c r="K146" s="291"/>
      <c r="L146" s="159"/>
      <c r="M146" s="159"/>
    </row>
    <row r="147" spans="1:14" ht="15.75" x14ac:dyDescent="0.2">
      <c r="A147" s="18" t="s">
        <v>344</v>
      </c>
      <c r="B147" s="229"/>
      <c r="C147" s="229"/>
      <c r="D147" s="159"/>
      <c r="E147" s="170"/>
      <c r="F147" s="229"/>
      <c r="G147" s="229"/>
      <c r="H147" s="159"/>
      <c r="I147" s="170"/>
      <c r="J147" s="288"/>
      <c r="K147" s="37"/>
      <c r="L147" s="256"/>
      <c r="M147" s="170"/>
    </row>
    <row r="148" spans="1:14" ht="15.75" x14ac:dyDescent="0.2">
      <c r="A148" s="18" t="s">
        <v>336</v>
      </c>
      <c r="B148" s="229"/>
      <c r="C148" s="229"/>
      <c r="D148" s="159"/>
      <c r="E148" s="170"/>
      <c r="F148" s="229"/>
      <c r="G148" s="229"/>
      <c r="H148" s="159"/>
      <c r="I148" s="170"/>
      <c r="J148" s="288"/>
      <c r="K148" s="37"/>
      <c r="L148" s="256"/>
      <c r="M148" s="170"/>
    </row>
    <row r="149" spans="1:14" ht="15.75" x14ac:dyDescent="0.2">
      <c r="A149" s="18" t="s">
        <v>335</v>
      </c>
      <c r="B149" s="229"/>
      <c r="C149" s="229"/>
      <c r="D149" s="159"/>
      <c r="E149" s="170"/>
      <c r="F149" s="229"/>
      <c r="G149" s="229"/>
      <c r="H149" s="159"/>
      <c r="I149" s="170"/>
      <c r="J149" s="288"/>
      <c r="K149" s="37"/>
      <c r="L149" s="256"/>
      <c r="M149" s="170"/>
    </row>
    <row r="150" spans="1:14" ht="15.75" x14ac:dyDescent="0.2">
      <c r="A150" s="11" t="s">
        <v>26</v>
      </c>
      <c r="B150" s="310">
        <v>6087</v>
      </c>
      <c r="C150" s="152">
        <v>8446.9660000000003</v>
      </c>
      <c r="D150" s="159">
        <f t="shared" si="67"/>
        <v>38.799999999999997</v>
      </c>
      <c r="E150" s="170">
        <f>IFERROR(100/'Skjema total MA'!C150*C150,0)</f>
        <v>0.96760516783741446</v>
      </c>
      <c r="F150" s="310">
        <v>0</v>
      </c>
      <c r="G150" s="152">
        <v>91698</v>
      </c>
      <c r="H150" s="159" t="str">
        <f t="shared" si="68"/>
        <v xml:space="preserve">    ---- </v>
      </c>
      <c r="I150" s="170">
        <f>IFERROR(100/'Skjema total MA'!F150*G150,0)</f>
        <v>1.4782752889585127</v>
      </c>
      <c r="J150" s="311">
        <f t="shared" si="69"/>
        <v>6087</v>
      </c>
      <c r="K150" s="231">
        <f t="shared" si="69"/>
        <v>100144.966</v>
      </c>
      <c r="L150" s="256">
        <f t="shared" si="70"/>
        <v>999</v>
      </c>
      <c r="M150" s="170">
        <f>IFERROR(100/'Skjema total MA'!I150*K150,0)</f>
        <v>1.4152733076217723</v>
      </c>
    </row>
    <row r="151" spans="1:14" x14ac:dyDescent="0.2">
      <c r="A151" s="18" t="s">
        <v>9</v>
      </c>
      <c r="B151" s="229"/>
      <c r="C151" s="139"/>
      <c r="D151" s="159"/>
      <c r="E151" s="170"/>
      <c r="F151" s="229"/>
      <c r="G151" s="139"/>
      <c r="H151" s="159"/>
      <c r="I151" s="170"/>
      <c r="J151" s="288"/>
      <c r="K151" s="37"/>
      <c r="L151" s="256"/>
      <c r="M151" s="170"/>
    </row>
    <row r="152" spans="1:14" x14ac:dyDescent="0.2">
      <c r="A152" s="18" t="s">
        <v>10</v>
      </c>
      <c r="B152" s="229">
        <v>6087</v>
      </c>
      <c r="C152" s="139">
        <v>8446.9660000000003</v>
      </c>
      <c r="D152" s="159">
        <f t="shared" si="67"/>
        <v>38.799999999999997</v>
      </c>
      <c r="E152" s="170">
        <f>IFERROR(100/'Skjema total MA'!C152*C152,0)</f>
        <v>18.253945056939834</v>
      </c>
      <c r="F152" s="229">
        <v>0</v>
      </c>
      <c r="G152" s="139">
        <v>91698</v>
      </c>
      <c r="H152" s="159" t="str">
        <f t="shared" si="68"/>
        <v xml:space="preserve">    ---- </v>
      </c>
      <c r="I152" s="170">
        <f>IFERROR(100/'Skjema total MA'!F152*G152,0)</f>
        <v>1.4782752889585127</v>
      </c>
      <c r="J152" s="288">
        <f t="shared" si="69"/>
        <v>6087</v>
      </c>
      <c r="K152" s="37">
        <f t="shared" si="69"/>
        <v>100144.966</v>
      </c>
      <c r="L152" s="256">
        <f t="shared" si="70"/>
        <v>999</v>
      </c>
      <c r="M152" s="170">
        <f>IFERROR(100/'Skjema total MA'!I152*K152,0)</f>
        <v>1.6024952854158931</v>
      </c>
    </row>
    <row r="153" spans="1:14" x14ac:dyDescent="0.2">
      <c r="A153" s="18" t="s">
        <v>34</v>
      </c>
      <c r="B153" s="229"/>
      <c r="C153" s="139"/>
      <c r="D153" s="159"/>
      <c r="E153" s="170"/>
      <c r="F153" s="229"/>
      <c r="G153" s="139"/>
      <c r="H153" s="159"/>
      <c r="I153" s="170"/>
      <c r="J153" s="288"/>
      <c r="K153" s="37"/>
      <c r="L153" s="256"/>
      <c r="M153" s="170"/>
    </row>
    <row r="154" spans="1:14" x14ac:dyDescent="0.2">
      <c r="A154" s="298" t="s">
        <v>14</v>
      </c>
      <c r="B154" s="282"/>
      <c r="C154" s="282"/>
      <c r="D154" s="159"/>
      <c r="E154" s="237"/>
      <c r="F154" s="282"/>
      <c r="G154" s="282"/>
      <c r="H154" s="159"/>
      <c r="I154" s="237"/>
      <c r="J154" s="291"/>
      <c r="K154" s="291"/>
      <c r="L154" s="159"/>
      <c r="M154" s="159"/>
    </row>
    <row r="155" spans="1:14" ht="15.75" x14ac:dyDescent="0.2">
      <c r="A155" s="18" t="s">
        <v>333</v>
      </c>
      <c r="B155" s="229"/>
      <c r="C155" s="229"/>
      <c r="D155" s="159"/>
      <c r="E155" s="170"/>
      <c r="F155" s="229"/>
      <c r="G155" s="229"/>
      <c r="H155" s="159"/>
      <c r="I155" s="170"/>
      <c r="J155" s="288"/>
      <c r="K155" s="37"/>
      <c r="L155" s="256"/>
      <c r="M155" s="170"/>
    </row>
    <row r="156" spans="1:14" ht="15.75" x14ac:dyDescent="0.2">
      <c r="A156" s="18" t="s">
        <v>334</v>
      </c>
      <c r="B156" s="229"/>
      <c r="C156" s="229"/>
      <c r="D156" s="159"/>
      <c r="E156" s="170"/>
      <c r="F156" s="229"/>
      <c r="G156" s="229"/>
      <c r="H156" s="159"/>
      <c r="I156" s="170"/>
      <c r="J156" s="288"/>
      <c r="K156" s="37"/>
      <c r="L156" s="256"/>
      <c r="M156" s="170"/>
    </row>
    <row r="157" spans="1:14" ht="15.75" x14ac:dyDescent="0.2">
      <c r="A157" s="9" t="s">
        <v>335</v>
      </c>
      <c r="B157" s="38"/>
      <c r="C157" s="38"/>
      <c r="D157" s="160"/>
      <c r="E157" s="201"/>
      <c r="F157" s="38"/>
      <c r="G157" s="38"/>
      <c r="H157" s="160"/>
      <c r="I157" s="160"/>
      <c r="J157" s="289"/>
      <c r="K157" s="38"/>
      <c r="L157" s="257"/>
      <c r="M157" s="160"/>
    </row>
    <row r="158" spans="1:14" x14ac:dyDescent="0.2">
      <c r="A158" s="148"/>
      <c r="L158" s="20"/>
      <c r="M158" s="20"/>
      <c r="N158" s="20"/>
    </row>
    <row r="159" spans="1:14" x14ac:dyDescent="0.2">
      <c r="L159" s="20"/>
      <c r="M159" s="20"/>
      <c r="N159" s="20"/>
    </row>
    <row r="160" spans="1:14" ht="15.75" x14ac:dyDescent="0.25">
      <c r="A160" s="158" t="s">
        <v>35</v>
      </c>
    </row>
    <row r="161" spans="1:14" ht="15.75" x14ac:dyDescent="0.25">
      <c r="B161" s="832"/>
      <c r="C161" s="832"/>
      <c r="D161" s="832"/>
      <c r="E161" s="301"/>
      <c r="F161" s="832"/>
      <c r="G161" s="832"/>
      <c r="H161" s="832"/>
      <c r="I161" s="301"/>
      <c r="J161" s="832"/>
      <c r="K161" s="832"/>
      <c r="L161" s="832"/>
      <c r="M161" s="301"/>
    </row>
    <row r="162" spans="1:14" s="3" customFormat="1" x14ac:dyDescent="0.2">
      <c r="A162" s="138"/>
      <c r="B162" s="833" t="s">
        <v>0</v>
      </c>
      <c r="C162" s="834"/>
      <c r="D162" s="834"/>
      <c r="E162" s="303"/>
      <c r="F162" s="833" t="s">
        <v>1</v>
      </c>
      <c r="G162" s="834"/>
      <c r="H162" s="834"/>
      <c r="I162" s="306"/>
      <c r="J162" s="833" t="s">
        <v>2</v>
      </c>
      <c r="K162" s="834"/>
      <c r="L162" s="834"/>
      <c r="M162" s="306"/>
      <c r="N162" s="142"/>
    </row>
    <row r="163" spans="1:14" s="3" customFormat="1" x14ac:dyDescent="0.2">
      <c r="A163" s="134"/>
      <c r="B163" s="145" t="s">
        <v>400</v>
      </c>
      <c r="C163" s="145" t="s">
        <v>401</v>
      </c>
      <c r="D163" s="242" t="s">
        <v>3</v>
      </c>
      <c r="E163" s="307" t="s">
        <v>37</v>
      </c>
      <c r="F163" s="145" t="s">
        <v>400</v>
      </c>
      <c r="G163" s="145" t="s">
        <v>401</v>
      </c>
      <c r="H163" s="242" t="s">
        <v>3</v>
      </c>
      <c r="I163" s="307" t="s">
        <v>37</v>
      </c>
      <c r="J163" s="145" t="s">
        <v>400</v>
      </c>
      <c r="K163" s="145" t="s">
        <v>401</v>
      </c>
      <c r="L163" s="242" t="s">
        <v>3</v>
      </c>
      <c r="M163" s="155" t="s">
        <v>37</v>
      </c>
      <c r="N163" s="142"/>
    </row>
    <row r="164" spans="1:14" s="3" customFormat="1" x14ac:dyDescent="0.2">
      <c r="A164" s="403"/>
      <c r="B164" s="149"/>
      <c r="C164" s="149"/>
      <c r="D164" s="243" t="s">
        <v>4</v>
      </c>
      <c r="E164" s="149" t="s">
        <v>38</v>
      </c>
      <c r="F164" s="154"/>
      <c r="G164" s="154"/>
      <c r="H164" s="242" t="s">
        <v>4</v>
      </c>
      <c r="I164" s="149" t="s">
        <v>38</v>
      </c>
      <c r="J164" s="154"/>
      <c r="K164" s="154"/>
      <c r="L164" s="242" t="s">
        <v>4</v>
      </c>
      <c r="M164" s="149" t="s">
        <v>38</v>
      </c>
      <c r="N164" s="142"/>
    </row>
    <row r="165" spans="1:14" s="3" customFormat="1" ht="15.75" x14ac:dyDescent="0.2">
      <c r="A165" s="12" t="s">
        <v>337</v>
      </c>
      <c r="B165" s="231"/>
      <c r="C165" s="311"/>
      <c r="D165" s="251"/>
      <c r="E165" s="170"/>
      <c r="F165" s="318"/>
      <c r="G165" s="319"/>
      <c r="H165" s="252"/>
      <c r="I165" s="159"/>
      <c r="J165" s="320"/>
      <c r="K165" s="320"/>
      <c r="L165" s="255"/>
      <c r="M165" s="170"/>
      <c r="N165" s="142"/>
    </row>
    <row r="166" spans="1:14" s="3" customFormat="1" ht="15.75" x14ac:dyDescent="0.2">
      <c r="A166" s="11" t="s">
        <v>338</v>
      </c>
      <c r="B166" s="231"/>
      <c r="C166" s="311"/>
      <c r="D166" s="159"/>
      <c r="E166" s="170"/>
      <c r="F166" s="231"/>
      <c r="G166" s="311"/>
      <c r="H166" s="236"/>
      <c r="I166" s="159"/>
      <c r="J166" s="310"/>
      <c r="K166" s="310"/>
      <c r="L166" s="256"/>
      <c r="M166" s="170"/>
      <c r="N166" s="142"/>
    </row>
    <row r="167" spans="1:14" s="3" customFormat="1" ht="15.75" x14ac:dyDescent="0.2">
      <c r="A167" s="11" t="s">
        <v>339</v>
      </c>
      <c r="B167" s="231"/>
      <c r="C167" s="311"/>
      <c r="D167" s="159"/>
      <c r="E167" s="170"/>
      <c r="F167" s="231"/>
      <c r="G167" s="311"/>
      <c r="H167" s="236"/>
      <c r="I167" s="159"/>
      <c r="J167" s="310"/>
      <c r="K167" s="310"/>
      <c r="L167" s="256"/>
      <c r="M167" s="170"/>
      <c r="N167" s="142"/>
    </row>
    <row r="168" spans="1:14" s="3" customFormat="1" ht="15.75" x14ac:dyDescent="0.2">
      <c r="A168" s="11" t="s">
        <v>340</v>
      </c>
      <c r="B168" s="231"/>
      <c r="C168" s="311"/>
      <c r="D168" s="159"/>
      <c r="E168" s="170"/>
      <c r="F168" s="231"/>
      <c r="G168" s="311"/>
      <c r="H168" s="236"/>
      <c r="I168" s="159"/>
      <c r="J168" s="310"/>
      <c r="K168" s="310"/>
      <c r="L168" s="256"/>
      <c r="M168" s="170"/>
      <c r="N168" s="142"/>
    </row>
    <row r="169" spans="1:14" s="3" customFormat="1" ht="15.75" x14ac:dyDescent="0.2">
      <c r="A169" s="34" t="s">
        <v>341</v>
      </c>
      <c r="B169" s="277"/>
      <c r="C169" s="317"/>
      <c r="D169" s="160"/>
      <c r="E169" s="201"/>
      <c r="F169" s="277"/>
      <c r="G169" s="317"/>
      <c r="H169" s="239"/>
      <c r="I169" s="160"/>
      <c r="J169" s="316"/>
      <c r="K169" s="316"/>
      <c r="L169" s="257"/>
      <c r="M169" s="160"/>
      <c r="N169" s="142"/>
    </row>
    <row r="170" spans="1:14" s="3" customFormat="1" x14ac:dyDescent="0.2">
      <c r="A170" s="161"/>
      <c r="B170" s="27"/>
      <c r="C170" s="27"/>
      <c r="D170" s="152"/>
      <c r="E170" s="152"/>
      <c r="F170" s="27"/>
      <c r="G170" s="27"/>
      <c r="H170" s="152"/>
      <c r="I170" s="152"/>
      <c r="J170" s="27"/>
      <c r="K170" s="27"/>
      <c r="L170" s="152"/>
      <c r="M170" s="152"/>
      <c r="N170" s="142"/>
    </row>
    <row r="171" spans="1:14" x14ac:dyDescent="0.2">
      <c r="A171" s="161"/>
      <c r="B171" s="27"/>
      <c r="C171" s="27"/>
      <c r="D171" s="152"/>
      <c r="E171" s="152"/>
      <c r="F171" s="27"/>
      <c r="G171" s="27"/>
      <c r="H171" s="152"/>
      <c r="I171" s="152"/>
      <c r="J171" s="27"/>
      <c r="K171" s="27"/>
      <c r="L171" s="152"/>
      <c r="M171" s="152"/>
      <c r="N171" s="142"/>
    </row>
    <row r="172" spans="1:14" x14ac:dyDescent="0.2">
      <c r="A172" s="161"/>
      <c r="B172" s="27"/>
      <c r="C172" s="27"/>
      <c r="D172" s="152"/>
      <c r="E172" s="152"/>
      <c r="F172" s="27"/>
      <c r="G172" s="27"/>
      <c r="H172" s="152"/>
      <c r="I172" s="152"/>
      <c r="J172" s="27"/>
      <c r="K172" s="27"/>
      <c r="L172" s="152"/>
      <c r="M172" s="152"/>
      <c r="N172" s="142"/>
    </row>
    <row r="173" spans="1:14" x14ac:dyDescent="0.2">
      <c r="A173" s="140"/>
      <c r="B173" s="140"/>
      <c r="C173" s="140"/>
      <c r="D173" s="140"/>
      <c r="E173" s="140"/>
      <c r="F173" s="140"/>
      <c r="G173" s="140"/>
      <c r="H173" s="140"/>
      <c r="I173" s="140"/>
      <c r="J173" s="140"/>
      <c r="K173" s="140"/>
      <c r="L173" s="140"/>
      <c r="M173" s="140"/>
      <c r="N173" s="140"/>
    </row>
    <row r="174" spans="1:14" ht="15.75" x14ac:dyDescent="0.25">
      <c r="B174" s="136"/>
      <c r="C174" s="136"/>
      <c r="D174" s="136"/>
      <c r="E174" s="136"/>
      <c r="F174" s="136"/>
      <c r="G174" s="136"/>
      <c r="H174" s="136"/>
      <c r="I174" s="136"/>
      <c r="J174" s="136"/>
      <c r="K174" s="136"/>
      <c r="L174" s="136"/>
      <c r="M174" s="136"/>
      <c r="N174" s="136"/>
    </row>
    <row r="175" spans="1:14" ht="15.75" x14ac:dyDescent="0.25">
      <c r="B175" s="150"/>
      <c r="C175" s="150"/>
      <c r="D175" s="150"/>
      <c r="E175" s="150"/>
      <c r="F175" s="150"/>
      <c r="G175" s="150"/>
      <c r="H175" s="150"/>
      <c r="I175" s="150"/>
      <c r="J175" s="150"/>
      <c r="K175" s="150"/>
      <c r="L175" s="150"/>
      <c r="M175" s="150"/>
      <c r="N175" s="150"/>
    </row>
    <row r="176" spans="1:14" ht="15.75" x14ac:dyDescent="0.25">
      <c r="B176" s="150"/>
      <c r="C176" s="150"/>
      <c r="D176" s="150"/>
      <c r="E176" s="150"/>
      <c r="F176" s="150"/>
      <c r="G176" s="150"/>
      <c r="H176" s="150"/>
      <c r="I176" s="150"/>
      <c r="J176" s="150"/>
      <c r="K176" s="150"/>
      <c r="L176" s="150"/>
      <c r="M176" s="150"/>
      <c r="N176" s="150"/>
    </row>
  </sheetData>
  <mergeCells count="28">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22:D22"/>
    <mergeCell ref="F22:H22"/>
    <mergeCell ref="J22:L22"/>
    <mergeCell ref="D47:F47"/>
    <mergeCell ref="G47:I47"/>
    <mergeCell ref="J47:L47"/>
  </mergeCells>
  <conditionalFormatting sqref="B57:C59">
    <cfRule type="expression" dxfId="2180" priority="132">
      <formula>kvartal &lt; 4</formula>
    </cfRule>
  </conditionalFormatting>
  <conditionalFormatting sqref="B63:C65">
    <cfRule type="expression" dxfId="2179" priority="131">
      <formula>kvartal &lt; 4</formula>
    </cfRule>
  </conditionalFormatting>
  <conditionalFormatting sqref="B37">
    <cfRule type="expression" dxfId="2178" priority="130">
      <formula>kvartal &lt; 4</formula>
    </cfRule>
  </conditionalFormatting>
  <conditionalFormatting sqref="B38">
    <cfRule type="expression" dxfId="2177" priority="129">
      <formula>kvartal &lt; 4</formula>
    </cfRule>
  </conditionalFormatting>
  <conditionalFormatting sqref="B39">
    <cfRule type="expression" dxfId="2176" priority="128">
      <formula>kvartal &lt; 4</formula>
    </cfRule>
  </conditionalFormatting>
  <conditionalFormatting sqref="A34">
    <cfRule type="expression" dxfId="2175" priority="1">
      <formula>kvartal &lt; 4</formula>
    </cfRule>
  </conditionalFormatting>
  <conditionalFormatting sqref="C37">
    <cfRule type="expression" dxfId="2174" priority="127">
      <formula>kvartal &lt; 4</formula>
    </cfRule>
  </conditionalFormatting>
  <conditionalFormatting sqref="C38">
    <cfRule type="expression" dxfId="2173" priority="126">
      <formula>kvartal &lt; 4</formula>
    </cfRule>
  </conditionalFormatting>
  <conditionalFormatting sqref="C39">
    <cfRule type="expression" dxfId="2172" priority="125">
      <formula>kvartal &lt; 4</formula>
    </cfRule>
  </conditionalFormatting>
  <conditionalFormatting sqref="B26:C28">
    <cfRule type="expression" dxfId="2171" priority="124">
      <formula>kvartal &lt; 4</formula>
    </cfRule>
  </conditionalFormatting>
  <conditionalFormatting sqref="B32:C33">
    <cfRule type="expression" dxfId="2170" priority="123">
      <formula>kvartal &lt; 4</formula>
    </cfRule>
  </conditionalFormatting>
  <conditionalFormatting sqref="B34">
    <cfRule type="expression" dxfId="2169" priority="122">
      <formula>kvartal &lt; 4</formula>
    </cfRule>
  </conditionalFormatting>
  <conditionalFormatting sqref="C34">
    <cfRule type="expression" dxfId="2168" priority="121">
      <formula>kvartal &lt; 4</formula>
    </cfRule>
  </conditionalFormatting>
  <conditionalFormatting sqref="F26:G28">
    <cfRule type="expression" dxfId="2167" priority="120">
      <formula>kvartal &lt; 4</formula>
    </cfRule>
  </conditionalFormatting>
  <conditionalFormatting sqref="F32">
    <cfRule type="expression" dxfId="2166" priority="119">
      <formula>kvartal &lt; 4</formula>
    </cfRule>
  </conditionalFormatting>
  <conditionalFormatting sqref="G32">
    <cfRule type="expression" dxfId="2165" priority="118">
      <formula>kvartal &lt; 4</formula>
    </cfRule>
  </conditionalFormatting>
  <conditionalFormatting sqref="F33">
    <cfRule type="expression" dxfId="2164" priority="117">
      <formula>kvartal &lt; 4</formula>
    </cfRule>
  </conditionalFormatting>
  <conditionalFormatting sqref="G33">
    <cfRule type="expression" dxfId="2163" priority="116">
      <formula>kvartal &lt; 4</formula>
    </cfRule>
  </conditionalFormatting>
  <conditionalFormatting sqref="F34">
    <cfRule type="expression" dxfId="2162" priority="115">
      <formula>kvartal &lt; 4</formula>
    </cfRule>
  </conditionalFormatting>
  <conditionalFormatting sqref="G34">
    <cfRule type="expression" dxfId="2161" priority="114">
      <formula>kvartal &lt; 4</formula>
    </cfRule>
  </conditionalFormatting>
  <conditionalFormatting sqref="F37">
    <cfRule type="expression" dxfId="2160" priority="113">
      <formula>kvartal &lt; 4</formula>
    </cfRule>
  </conditionalFormatting>
  <conditionalFormatting sqref="F38">
    <cfRule type="expression" dxfId="2159" priority="112">
      <formula>kvartal &lt; 4</formula>
    </cfRule>
  </conditionalFormatting>
  <conditionalFormatting sqref="F39">
    <cfRule type="expression" dxfId="2158" priority="111">
      <formula>kvartal &lt; 4</formula>
    </cfRule>
  </conditionalFormatting>
  <conditionalFormatting sqref="G37">
    <cfRule type="expression" dxfId="2157" priority="110">
      <formula>kvartal &lt; 4</formula>
    </cfRule>
  </conditionalFormatting>
  <conditionalFormatting sqref="G38">
    <cfRule type="expression" dxfId="2156" priority="109">
      <formula>kvartal &lt; 4</formula>
    </cfRule>
  </conditionalFormatting>
  <conditionalFormatting sqref="G39">
    <cfRule type="expression" dxfId="2155" priority="108">
      <formula>kvartal &lt; 4</formula>
    </cfRule>
  </conditionalFormatting>
  <conditionalFormatting sqref="B29">
    <cfRule type="expression" dxfId="2154" priority="107">
      <formula>kvartal &lt; 4</formula>
    </cfRule>
  </conditionalFormatting>
  <conditionalFormatting sqref="C29">
    <cfRule type="expression" dxfId="2153" priority="106">
      <formula>kvartal &lt; 4</formula>
    </cfRule>
  </conditionalFormatting>
  <conditionalFormatting sqref="F29">
    <cfRule type="expression" dxfId="2152" priority="105">
      <formula>kvartal &lt; 4</formula>
    </cfRule>
  </conditionalFormatting>
  <conditionalFormatting sqref="G29">
    <cfRule type="expression" dxfId="2151" priority="104">
      <formula>kvartal &lt; 4</formula>
    </cfRule>
  </conditionalFormatting>
  <conditionalFormatting sqref="J26:K27 J29:K29">
    <cfRule type="expression" dxfId="2150" priority="103">
      <formula>kvartal &lt; 4</formula>
    </cfRule>
  </conditionalFormatting>
  <conditionalFormatting sqref="J33:K34">
    <cfRule type="expression" dxfId="2149" priority="102">
      <formula>kvartal &lt; 4</formula>
    </cfRule>
  </conditionalFormatting>
  <conditionalFormatting sqref="J38:K38">
    <cfRule type="expression" dxfId="2148" priority="101">
      <formula>kvartal &lt; 4</formula>
    </cfRule>
  </conditionalFormatting>
  <conditionalFormatting sqref="B82">
    <cfRule type="expression" dxfId="2147" priority="100">
      <formula>kvartal &lt; 4</formula>
    </cfRule>
  </conditionalFormatting>
  <conditionalFormatting sqref="C82">
    <cfRule type="expression" dxfId="2146" priority="99">
      <formula>kvartal &lt; 4</formula>
    </cfRule>
  </conditionalFormatting>
  <conditionalFormatting sqref="B85">
    <cfRule type="expression" dxfId="2145" priority="98">
      <formula>kvartal &lt; 4</formula>
    </cfRule>
  </conditionalFormatting>
  <conditionalFormatting sqref="C85">
    <cfRule type="expression" dxfId="2144" priority="97">
      <formula>kvartal &lt; 4</formula>
    </cfRule>
  </conditionalFormatting>
  <conditionalFormatting sqref="B92">
    <cfRule type="expression" dxfId="2143" priority="96">
      <formula>kvartal &lt; 4</formula>
    </cfRule>
  </conditionalFormatting>
  <conditionalFormatting sqref="C92">
    <cfRule type="expression" dxfId="2142" priority="95">
      <formula>kvartal &lt; 4</formula>
    </cfRule>
  </conditionalFormatting>
  <conditionalFormatting sqref="B95">
    <cfRule type="expression" dxfId="2141" priority="94">
      <formula>kvartal &lt; 4</formula>
    </cfRule>
  </conditionalFormatting>
  <conditionalFormatting sqref="C95">
    <cfRule type="expression" dxfId="2140" priority="93">
      <formula>kvartal &lt; 4</formula>
    </cfRule>
  </conditionalFormatting>
  <conditionalFormatting sqref="B102">
    <cfRule type="expression" dxfId="2139" priority="92">
      <formula>kvartal &lt; 4</formula>
    </cfRule>
  </conditionalFormatting>
  <conditionalFormatting sqref="C102">
    <cfRule type="expression" dxfId="2138" priority="91">
      <formula>kvartal &lt; 4</formula>
    </cfRule>
  </conditionalFormatting>
  <conditionalFormatting sqref="B105">
    <cfRule type="expression" dxfId="2137" priority="90">
      <formula>kvartal &lt; 4</formula>
    </cfRule>
  </conditionalFormatting>
  <conditionalFormatting sqref="C105">
    <cfRule type="expression" dxfId="2136" priority="89">
      <formula>kvartal &lt; 4</formula>
    </cfRule>
  </conditionalFormatting>
  <conditionalFormatting sqref="B112">
    <cfRule type="expression" dxfId="2135" priority="88">
      <formula>kvartal &lt; 4</formula>
    </cfRule>
  </conditionalFormatting>
  <conditionalFormatting sqref="C112">
    <cfRule type="expression" dxfId="2134" priority="87">
      <formula>kvartal &lt; 4</formula>
    </cfRule>
  </conditionalFormatting>
  <conditionalFormatting sqref="B115">
    <cfRule type="expression" dxfId="2133" priority="86">
      <formula>kvartal &lt; 4</formula>
    </cfRule>
  </conditionalFormatting>
  <conditionalFormatting sqref="C115">
    <cfRule type="expression" dxfId="2132" priority="85">
      <formula>kvartal &lt; 4</formula>
    </cfRule>
  </conditionalFormatting>
  <conditionalFormatting sqref="B122">
    <cfRule type="expression" dxfId="2131" priority="84">
      <formula>kvartal &lt; 4</formula>
    </cfRule>
  </conditionalFormatting>
  <conditionalFormatting sqref="C122">
    <cfRule type="expression" dxfId="2130" priority="83">
      <formula>kvartal &lt; 4</formula>
    </cfRule>
  </conditionalFormatting>
  <conditionalFormatting sqref="B125">
    <cfRule type="expression" dxfId="2129" priority="82">
      <formula>kvartal &lt; 4</formula>
    </cfRule>
  </conditionalFormatting>
  <conditionalFormatting sqref="C125">
    <cfRule type="expression" dxfId="2128" priority="81">
      <formula>kvartal &lt; 4</formula>
    </cfRule>
  </conditionalFormatting>
  <conditionalFormatting sqref="B132">
    <cfRule type="expression" dxfId="2127" priority="80">
      <formula>kvartal &lt; 4</formula>
    </cfRule>
  </conditionalFormatting>
  <conditionalFormatting sqref="C132">
    <cfRule type="expression" dxfId="2126" priority="79">
      <formula>kvartal &lt; 4</formula>
    </cfRule>
  </conditionalFormatting>
  <conditionalFormatting sqref="B135">
    <cfRule type="expression" dxfId="2125" priority="78">
      <formula>kvartal &lt; 4</formula>
    </cfRule>
  </conditionalFormatting>
  <conditionalFormatting sqref="C135">
    <cfRule type="expression" dxfId="2124" priority="77">
      <formula>kvartal &lt; 4</formula>
    </cfRule>
  </conditionalFormatting>
  <conditionalFormatting sqref="B146">
    <cfRule type="expression" dxfId="2123" priority="76">
      <formula>kvartal &lt; 4</formula>
    </cfRule>
  </conditionalFormatting>
  <conditionalFormatting sqref="C146">
    <cfRule type="expression" dxfId="2122" priority="75">
      <formula>kvartal &lt; 4</formula>
    </cfRule>
  </conditionalFormatting>
  <conditionalFormatting sqref="B154">
    <cfRule type="expression" dxfId="2121" priority="74">
      <formula>kvartal &lt; 4</formula>
    </cfRule>
  </conditionalFormatting>
  <conditionalFormatting sqref="C154">
    <cfRule type="expression" dxfId="2120" priority="73">
      <formula>kvartal &lt; 4</formula>
    </cfRule>
  </conditionalFormatting>
  <conditionalFormatting sqref="F83">
    <cfRule type="expression" dxfId="2119" priority="72">
      <formula>kvartal &lt; 4</formula>
    </cfRule>
  </conditionalFormatting>
  <conditionalFormatting sqref="G83">
    <cfRule type="expression" dxfId="2118" priority="71">
      <formula>kvartal &lt; 4</formula>
    </cfRule>
  </conditionalFormatting>
  <conditionalFormatting sqref="F84:G84">
    <cfRule type="expression" dxfId="2117" priority="70">
      <formula>kvartal &lt; 4</formula>
    </cfRule>
  </conditionalFormatting>
  <conditionalFormatting sqref="F86:G87">
    <cfRule type="expression" dxfId="2116" priority="69">
      <formula>kvartal &lt; 4</formula>
    </cfRule>
  </conditionalFormatting>
  <conditionalFormatting sqref="F93:G94">
    <cfRule type="expression" dxfId="2115" priority="68">
      <formula>kvartal &lt; 4</formula>
    </cfRule>
  </conditionalFormatting>
  <conditionalFormatting sqref="F96:G97">
    <cfRule type="expression" dxfId="2114" priority="67">
      <formula>kvartal &lt; 4</formula>
    </cfRule>
  </conditionalFormatting>
  <conditionalFormatting sqref="F103:G104">
    <cfRule type="expression" dxfId="2113" priority="66">
      <formula>kvartal &lt; 4</formula>
    </cfRule>
  </conditionalFormatting>
  <conditionalFormatting sqref="F106:G107">
    <cfRule type="expression" dxfId="2112" priority="65">
      <formula>kvartal &lt; 4</formula>
    </cfRule>
  </conditionalFormatting>
  <conditionalFormatting sqref="F113:G114">
    <cfRule type="expression" dxfId="2111" priority="64">
      <formula>kvartal &lt; 4</formula>
    </cfRule>
  </conditionalFormatting>
  <conditionalFormatting sqref="F116:G117">
    <cfRule type="expression" dxfId="2110" priority="63">
      <formula>kvartal &lt; 4</formula>
    </cfRule>
  </conditionalFormatting>
  <conditionalFormatting sqref="F123:G124">
    <cfRule type="expression" dxfId="2109" priority="62">
      <formula>kvartal &lt; 4</formula>
    </cfRule>
  </conditionalFormatting>
  <conditionalFormatting sqref="F126:G127">
    <cfRule type="expression" dxfId="2108" priority="61">
      <formula>kvartal &lt; 4</formula>
    </cfRule>
  </conditionalFormatting>
  <conditionalFormatting sqref="F133:G134">
    <cfRule type="expression" dxfId="2107" priority="60">
      <formula>kvartal &lt; 4</formula>
    </cfRule>
  </conditionalFormatting>
  <conditionalFormatting sqref="F136:G137">
    <cfRule type="expression" dxfId="2106" priority="59">
      <formula>kvartal &lt; 4</formula>
    </cfRule>
  </conditionalFormatting>
  <conditionalFormatting sqref="F146">
    <cfRule type="expression" dxfId="2105" priority="58">
      <formula>kvartal &lt; 4</formula>
    </cfRule>
  </conditionalFormatting>
  <conditionalFormatting sqref="G146">
    <cfRule type="expression" dxfId="2104" priority="57">
      <formula>kvartal &lt; 4</formula>
    </cfRule>
  </conditionalFormatting>
  <conditionalFormatting sqref="F154:G154">
    <cfRule type="expression" dxfId="2103" priority="56">
      <formula>kvartal &lt; 4</formula>
    </cfRule>
  </conditionalFormatting>
  <conditionalFormatting sqref="F82:G82">
    <cfRule type="expression" dxfId="2102" priority="55">
      <formula>kvartal &lt; 4</formula>
    </cfRule>
  </conditionalFormatting>
  <conditionalFormatting sqref="F85:G85">
    <cfRule type="expression" dxfId="2101" priority="54">
      <formula>kvartal &lt; 4</formula>
    </cfRule>
  </conditionalFormatting>
  <conditionalFormatting sqref="F92:G92">
    <cfRule type="expression" dxfId="2100" priority="53">
      <formula>kvartal &lt; 4</formula>
    </cfRule>
  </conditionalFormatting>
  <conditionalFormatting sqref="F95:G95">
    <cfRule type="expression" dxfId="2099" priority="52">
      <formula>kvartal &lt; 4</formula>
    </cfRule>
  </conditionalFormatting>
  <conditionalFormatting sqref="F102:G102">
    <cfRule type="expression" dxfId="2098" priority="51">
      <formula>kvartal &lt; 4</formula>
    </cfRule>
  </conditionalFormatting>
  <conditionalFormatting sqref="F105:G105">
    <cfRule type="expression" dxfId="2097" priority="50">
      <formula>kvartal &lt; 4</formula>
    </cfRule>
  </conditionalFormatting>
  <conditionalFormatting sqref="F112:G112">
    <cfRule type="expression" dxfId="2096" priority="49">
      <formula>kvartal &lt; 4</formula>
    </cfRule>
  </conditionalFormatting>
  <conditionalFormatting sqref="F115">
    <cfRule type="expression" dxfId="2095" priority="48">
      <formula>kvartal &lt; 4</formula>
    </cfRule>
  </conditionalFormatting>
  <conditionalFormatting sqref="G115">
    <cfRule type="expression" dxfId="2094" priority="47">
      <formula>kvartal &lt; 4</formula>
    </cfRule>
  </conditionalFormatting>
  <conditionalFormatting sqref="F122:G122">
    <cfRule type="expression" dxfId="2093" priority="46">
      <formula>kvartal &lt; 4</formula>
    </cfRule>
  </conditionalFormatting>
  <conditionalFormatting sqref="F125">
    <cfRule type="expression" dxfId="2092" priority="45">
      <formula>kvartal &lt; 4</formula>
    </cfRule>
  </conditionalFormatting>
  <conditionalFormatting sqref="G125">
    <cfRule type="expression" dxfId="2091" priority="44">
      <formula>kvartal &lt; 4</formula>
    </cfRule>
  </conditionalFormatting>
  <conditionalFormatting sqref="F132">
    <cfRule type="expression" dxfId="2090" priority="43">
      <formula>kvartal &lt; 4</formula>
    </cfRule>
  </conditionalFormatting>
  <conditionalFormatting sqref="G132">
    <cfRule type="expression" dxfId="2089" priority="42">
      <formula>kvartal &lt; 4</formula>
    </cfRule>
  </conditionalFormatting>
  <conditionalFormatting sqref="G135">
    <cfRule type="expression" dxfId="2088" priority="41">
      <formula>kvartal &lt; 4</formula>
    </cfRule>
  </conditionalFormatting>
  <conditionalFormatting sqref="F135">
    <cfRule type="expression" dxfId="2087" priority="40">
      <formula>kvartal &lt; 4</formula>
    </cfRule>
  </conditionalFormatting>
  <conditionalFormatting sqref="J82:K84 J86:K86">
    <cfRule type="expression" dxfId="2086" priority="39">
      <formula>kvartal &lt; 4</formula>
    </cfRule>
  </conditionalFormatting>
  <conditionalFormatting sqref="J92:K94 J96:K96">
    <cfRule type="expression" dxfId="2085" priority="37">
      <formula>kvartal &lt; 4</formula>
    </cfRule>
  </conditionalFormatting>
  <conditionalFormatting sqref="J102:K104 J106:K106">
    <cfRule type="expression" dxfId="2084" priority="36">
      <formula>kvartal &lt; 4</formula>
    </cfRule>
  </conditionalFormatting>
  <conditionalFormatting sqref="J112:K114 J116:K116">
    <cfRule type="expression" dxfId="2083" priority="35">
      <formula>kvartal &lt; 4</formula>
    </cfRule>
  </conditionalFormatting>
  <conditionalFormatting sqref="J122:K124 J126:K126">
    <cfRule type="expression" dxfId="2082" priority="34">
      <formula>kvartal &lt; 4</formula>
    </cfRule>
  </conditionalFormatting>
  <conditionalFormatting sqref="J132:K134 J136:K136">
    <cfRule type="expression" dxfId="2081" priority="33">
      <formula>kvartal &lt; 4</formula>
    </cfRule>
  </conditionalFormatting>
  <conditionalFormatting sqref="J146:K146">
    <cfRule type="expression" dxfId="2080" priority="32">
      <formula>kvartal &lt; 4</formula>
    </cfRule>
  </conditionalFormatting>
  <conditionalFormatting sqref="J154:K154">
    <cfRule type="expression" dxfId="2079" priority="31">
      <formula>kvartal &lt; 4</formula>
    </cfRule>
  </conditionalFormatting>
  <conditionalFormatting sqref="A26:A28">
    <cfRule type="expression" dxfId="2078" priority="15">
      <formula>kvartal &lt; 4</formula>
    </cfRule>
  </conditionalFormatting>
  <conditionalFormatting sqref="A32:A33">
    <cfRule type="expression" dxfId="2077" priority="14">
      <formula>kvartal &lt; 4</formula>
    </cfRule>
  </conditionalFormatting>
  <conditionalFormatting sqref="A37:A39">
    <cfRule type="expression" dxfId="2076" priority="13">
      <formula>kvartal &lt; 4</formula>
    </cfRule>
  </conditionalFormatting>
  <conditionalFormatting sqref="A57:A59">
    <cfRule type="expression" dxfId="2075" priority="12">
      <formula>kvartal &lt; 4</formula>
    </cfRule>
  </conditionalFormatting>
  <conditionalFormatting sqref="A63:A65">
    <cfRule type="expression" dxfId="2074" priority="11">
      <formula>kvartal &lt; 4</formula>
    </cfRule>
  </conditionalFormatting>
  <conditionalFormatting sqref="A82:A87">
    <cfRule type="expression" dxfId="2073" priority="10">
      <formula>kvartal &lt; 4</formula>
    </cfRule>
  </conditionalFormatting>
  <conditionalFormatting sqref="A92:A97">
    <cfRule type="expression" dxfId="2072" priority="9">
      <formula>kvartal &lt; 4</formula>
    </cfRule>
  </conditionalFormatting>
  <conditionalFormatting sqref="A102:A107">
    <cfRule type="expression" dxfId="2071" priority="8">
      <formula>kvartal &lt; 4</formula>
    </cfRule>
  </conditionalFormatting>
  <conditionalFormatting sqref="A112:A117">
    <cfRule type="expression" dxfId="2070" priority="7">
      <formula>kvartal &lt; 4</formula>
    </cfRule>
  </conditionalFormatting>
  <conditionalFormatting sqref="A122:A127">
    <cfRule type="expression" dxfId="2069" priority="6">
      <formula>kvartal &lt; 4</formula>
    </cfRule>
  </conditionalFormatting>
  <conditionalFormatting sqref="A132:A137">
    <cfRule type="expression" dxfId="2068" priority="5">
      <formula>kvartal &lt; 4</formula>
    </cfRule>
  </conditionalFormatting>
  <conditionalFormatting sqref="A146">
    <cfRule type="expression" dxfId="2067" priority="4">
      <formula>kvartal &lt; 4</formula>
    </cfRule>
  </conditionalFormatting>
  <conditionalFormatting sqref="A154">
    <cfRule type="expression" dxfId="2066" priority="3">
      <formula>kvartal &lt; 4</formula>
    </cfRule>
  </conditionalFormatting>
  <conditionalFormatting sqref="A29">
    <cfRule type="expression" dxfId="2065" priority="2">
      <formula>kvartal &lt; 4</formula>
    </cfRule>
  </conditionalFormatting>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dimension ref="A1:N176"/>
  <sheetViews>
    <sheetView showGridLines="0" zoomScale="90" zoomScaleNormal="90" workbookViewId="0">
      <selection activeCell="A4" sqref="A4"/>
    </sheetView>
  </sheetViews>
  <sheetFormatPr baseColWidth="10" defaultColWidth="11.42578125" defaultRowHeight="12.75" x14ac:dyDescent="0.2"/>
  <cols>
    <col min="1" max="1" width="41.5703125" style="143" customWidth="1"/>
    <col min="2" max="2" width="10.85546875" style="143" customWidth="1"/>
    <col min="3" max="3" width="11" style="143" customWidth="1"/>
    <col min="4" max="5" width="8.7109375" style="143" customWidth="1"/>
    <col min="6" max="7" width="10.85546875" style="143" customWidth="1"/>
    <col min="8" max="9" width="8.7109375" style="143" customWidth="1"/>
    <col min="10" max="11" width="10.85546875" style="143" customWidth="1"/>
    <col min="12" max="13" width="8.7109375" style="143" customWidth="1"/>
    <col min="14" max="14" width="11.42578125" style="143"/>
    <col min="15" max="16384" width="11.42578125" style="1"/>
  </cols>
  <sheetData>
    <row r="1" spans="1:14" x14ac:dyDescent="0.2">
      <c r="A1" s="165" t="s">
        <v>159</v>
      </c>
      <c r="B1" s="401"/>
      <c r="C1" s="245" t="s">
        <v>108</v>
      </c>
      <c r="D1" s="20"/>
      <c r="E1" s="20"/>
      <c r="F1" s="20"/>
      <c r="G1" s="20"/>
      <c r="H1" s="20"/>
      <c r="I1" s="20"/>
      <c r="J1" s="20"/>
      <c r="K1" s="20"/>
      <c r="L1" s="20"/>
      <c r="M1" s="20"/>
    </row>
    <row r="2" spans="1:14" ht="15.75" x14ac:dyDescent="0.25">
      <c r="A2" s="158" t="s">
        <v>36</v>
      </c>
      <c r="B2" s="835"/>
      <c r="C2" s="835"/>
      <c r="D2" s="835"/>
      <c r="E2" s="301"/>
      <c r="F2" s="835"/>
      <c r="G2" s="835"/>
      <c r="H2" s="835"/>
      <c r="I2" s="301"/>
      <c r="J2" s="835"/>
      <c r="K2" s="835"/>
      <c r="L2" s="835"/>
      <c r="M2" s="301"/>
    </row>
    <row r="3" spans="1:14" ht="15.75" x14ac:dyDescent="0.25">
      <c r="A3" s="156"/>
      <c r="B3" s="301"/>
      <c r="C3" s="301"/>
      <c r="D3" s="301"/>
      <c r="E3" s="301"/>
      <c r="F3" s="301"/>
      <c r="G3" s="301"/>
      <c r="H3" s="301"/>
      <c r="I3" s="301"/>
      <c r="J3" s="301"/>
      <c r="K3" s="301"/>
      <c r="L3" s="301"/>
      <c r="M3" s="301"/>
    </row>
    <row r="4" spans="1:14" x14ac:dyDescent="0.2">
      <c r="A4" s="138"/>
      <c r="B4" s="808" t="s">
        <v>0</v>
      </c>
      <c r="C4" s="802"/>
      <c r="D4" s="802"/>
      <c r="E4" s="802"/>
      <c r="F4" s="808" t="s">
        <v>1</v>
      </c>
      <c r="G4" s="802"/>
      <c r="H4" s="802"/>
      <c r="I4" s="803"/>
      <c r="J4" s="801" t="s">
        <v>2</v>
      </c>
      <c r="K4" s="802"/>
      <c r="L4" s="802"/>
      <c r="M4" s="803"/>
    </row>
    <row r="5" spans="1:14" x14ac:dyDescent="0.2">
      <c r="A5" s="151"/>
      <c r="B5" s="145" t="s">
        <v>400</v>
      </c>
      <c r="C5" s="145" t="s">
        <v>401</v>
      </c>
      <c r="D5" s="242" t="s">
        <v>3</v>
      </c>
      <c r="E5" s="307" t="s">
        <v>37</v>
      </c>
      <c r="F5" s="145" t="s">
        <v>400</v>
      </c>
      <c r="G5" s="145" t="s">
        <v>401</v>
      </c>
      <c r="H5" s="242" t="s">
        <v>3</v>
      </c>
      <c r="I5" s="307" t="s">
        <v>37</v>
      </c>
      <c r="J5" s="145" t="s">
        <v>400</v>
      </c>
      <c r="K5" s="145" t="s">
        <v>401</v>
      </c>
      <c r="L5" s="242" t="s">
        <v>3</v>
      </c>
      <c r="M5" s="155" t="s">
        <v>37</v>
      </c>
    </row>
    <row r="6" spans="1:14" x14ac:dyDescent="0.2">
      <c r="A6" s="402"/>
      <c r="B6" s="149"/>
      <c r="C6" s="149"/>
      <c r="D6" s="243" t="s">
        <v>4</v>
      </c>
      <c r="E6" s="149" t="s">
        <v>38</v>
      </c>
      <c r="F6" s="154"/>
      <c r="G6" s="154"/>
      <c r="H6" s="242" t="s">
        <v>4</v>
      </c>
      <c r="I6" s="149" t="s">
        <v>38</v>
      </c>
      <c r="J6" s="154"/>
      <c r="K6" s="154"/>
      <c r="L6" s="242" t="s">
        <v>4</v>
      </c>
      <c r="M6" s="149" t="s">
        <v>38</v>
      </c>
    </row>
    <row r="7" spans="1:14" ht="15.75" x14ac:dyDescent="0.2">
      <c r="A7" s="12" t="s">
        <v>30</v>
      </c>
      <c r="B7" s="308"/>
      <c r="C7" s="309"/>
      <c r="D7" s="251"/>
      <c r="E7" s="170"/>
      <c r="F7" s="308"/>
      <c r="G7" s="309"/>
      <c r="H7" s="251"/>
      <c r="I7" s="170"/>
      <c r="J7" s="310"/>
      <c r="K7" s="311"/>
      <c r="L7" s="255"/>
      <c r="M7" s="170"/>
    </row>
    <row r="8" spans="1:14" ht="15.75" x14ac:dyDescent="0.2">
      <c r="A8" s="18" t="s">
        <v>32</v>
      </c>
      <c r="B8" s="282"/>
      <c r="C8" s="283"/>
      <c r="D8" s="159"/>
      <c r="E8" s="170"/>
      <c r="F8" s="286"/>
      <c r="G8" s="287"/>
      <c r="H8" s="159"/>
      <c r="I8" s="170"/>
      <c r="J8" s="229"/>
      <c r="K8" s="288"/>
      <c r="L8" s="256"/>
      <c r="M8" s="170"/>
    </row>
    <row r="9" spans="1:14" ht="15.75" x14ac:dyDescent="0.2">
      <c r="A9" s="18" t="s">
        <v>31</v>
      </c>
      <c r="B9" s="282"/>
      <c r="C9" s="283"/>
      <c r="D9" s="159"/>
      <c r="E9" s="170"/>
      <c r="F9" s="286"/>
      <c r="G9" s="287"/>
      <c r="H9" s="159"/>
      <c r="I9" s="170"/>
      <c r="J9" s="229"/>
      <c r="K9" s="288"/>
      <c r="L9" s="256"/>
      <c r="M9" s="170"/>
    </row>
    <row r="10" spans="1:14" ht="15.75" x14ac:dyDescent="0.2">
      <c r="A10" s="11" t="s">
        <v>29</v>
      </c>
      <c r="B10" s="312"/>
      <c r="C10" s="313"/>
      <c r="D10" s="159"/>
      <c r="E10" s="170"/>
      <c r="F10" s="312"/>
      <c r="G10" s="313"/>
      <c r="H10" s="159"/>
      <c r="I10" s="170"/>
      <c r="J10" s="310"/>
      <c r="K10" s="311"/>
      <c r="L10" s="256"/>
      <c r="M10" s="170"/>
    </row>
    <row r="11" spans="1:14" ht="15.75" x14ac:dyDescent="0.2">
      <c r="A11" s="18" t="s">
        <v>32</v>
      </c>
      <c r="B11" s="282"/>
      <c r="C11" s="283"/>
      <c r="D11" s="159"/>
      <c r="E11" s="170"/>
      <c r="F11" s="286"/>
      <c r="G11" s="287"/>
      <c r="H11" s="159"/>
      <c r="I11" s="170"/>
      <c r="J11" s="229"/>
      <c r="K11" s="288"/>
      <c r="L11" s="256"/>
      <c r="M11" s="170"/>
    </row>
    <row r="12" spans="1:14" ht="15.75" x14ac:dyDescent="0.2">
      <c r="A12" s="18" t="s">
        <v>31</v>
      </c>
      <c r="B12" s="282"/>
      <c r="C12" s="283"/>
      <c r="D12" s="159"/>
      <c r="E12" s="170"/>
      <c r="F12" s="286"/>
      <c r="G12" s="287"/>
      <c r="H12" s="159"/>
      <c r="I12" s="170"/>
      <c r="J12" s="229"/>
      <c r="K12" s="288"/>
      <c r="L12" s="256"/>
      <c r="M12" s="170"/>
    </row>
    <row r="13" spans="1:14" ht="15.75" x14ac:dyDescent="0.2">
      <c r="A13" s="11" t="s">
        <v>28</v>
      </c>
      <c r="B13" s="312"/>
      <c r="C13" s="313"/>
      <c r="D13" s="159"/>
      <c r="E13" s="170"/>
      <c r="F13" s="312"/>
      <c r="G13" s="313"/>
      <c r="H13" s="159"/>
      <c r="I13" s="170"/>
      <c r="J13" s="310"/>
      <c r="K13" s="311"/>
      <c r="L13" s="256"/>
      <c r="M13" s="170"/>
    </row>
    <row r="14" spans="1:14" s="36" customFormat="1" ht="15.75" x14ac:dyDescent="0.2">
      <c r="A14" s="11" t="s">
        <v>27</v>
      </c>
      <c r="B14" s="312"/>
      <c r="C14" s="313"/>
      <c r="D14" s="159"/>
      <c r="E14" s="170"/>
      <c r="F14" s="312"/>
      <c r="G14" s="313"/>
      <c r="H14" s="159"/>
      <c r="I14" s="170"/>
      <c r="J14" s="310"/>
      <c r="K14" s="311"/>
      <c r="L14" s="256"/>
      <c r="M14" s="170"/>
      <c r="N14" s="137"/>
    </row>
    <row r="15" spans="1:14" s="36" customFormat="1" ht="15.75" x14ac:dyDescent="0.2">
      <c r="A15" s="34" t="s">
        <v>26</v>
      </c>
      <c r="B15" s="314"/>
      <c r="C15" s="315"/>
      <c r="D15" s="160"/>
      <c r="E15" s="160"/>
      <c r="F15" s="314"/>
      <c r="G15" s="315"/>
      <c r="H15" s="160"/>
      <c r="I15" s="160"/>
      <c r="J15" s="316"/>
      <c r="K15" s="317"/>
      <c r="L15" s="257"/>
      <c r="M15" s="160"/>
      <c r="N15" s="137"/>
    </row>
    <row r="16" spans="1:14" s="36" customFormat="1" x14ac:dyDescent="0.2">
      <c r="A16" s="161"/>
      <c r="B16" s="139"/>
      <c r="C16" s="27"/>
      <c r="D16" s="152"/>
      <c r="E16" s="152"/>
      <c r="F16" s="139"/>
      <c r="G16" s="27"/>
      <c r="H16" s="152"/>
      <c r="I16" s="152"/>
      <c r="J16" s="41"/>
      <c r="K16" s="41"/>
      <c r="L16" s="152"/>
      <c r="M16" s="152"/>
      <c r="N16" s="137"/>
    </row>
    <row r="17" spans="1:14" x14ac:dyDescent="0.2">
      <c r="A17" s="146" t="s">
        <v>307</v>
      </c>
      <c r="B17" s="20"/>
    </row>
    <row r="18" spans="1:14" x14ac:dyDescent="0.2">
      <c r="F18" s="140"/>
      <c r="G18" s="140"/>
      <c r="H18" s="140"/>
      <c r="I18" s="140"/>
      <c r="J18" s="140"/>
      <c r="K18" s="140"/>
      <c r="L18" s="140"/>
      <c r="M18" s="140"/>
    </row>
    <row r="19" spans="1:14" s="3" customFormat="1" ht="15.75" x14ac:dyDescent="0.25">
      <c r="A19" s="157"/>
      <c r="B19" s="142"/>
      <c r="C19" s="147"/>
      <c r="D19" s="147"/>
      <c r="E19" s="147"/>
      <c r="F19" s="147"/>
      <c r="G19" s="147"/>
      <c r="H19" s="147"/>
      <c r="I19" s="147"/>
      <c r="J19" s="147"/>
      <c r="K19" s="147"/>
      <c r="L19" s="147"/>
      <c r="M19" s="147"/>
      <c r="N19" s="142"/>
    </row>
    <row r="20" spans="1:14" ht="15.75" x14ac:dyDescent="0.25">
      <c r="A20" s="141" t="s">
        <v>304</v>
      </c>
      <c r="B20" s="150"/>
      <c r="C20" s="150"/>
      <c r="D20" s="144"/>
      <c r="E20" s="144"/>
      <c r="F20" s="150"/>
      <c r="G20" s="150"/>
      <c r="H20" s="150"/>
      <c r="I20" s="150"/>
      <c r="J20" s="150"/>
      <c r="K20" s="150"/>
      <c r="L20" s="150"/>
      <c r="M20" s="150"/>
    </row>
    <row r="21" spans="1:14" ht="15.75" x14ac:dyDescent="0.25">
      <c r="B21" s="832"/>
      <c r="C21" s="832"/>
      <c r="D21" s="832"/>
      <c r="E21" s="301"/>
      <c r="F21" s="832"/>
      <c r="G21" s="832"/>
      <c r="H21" s="832"/>
      <c r="I21" s="301"/>
      <c r="J21" s="832"/>
      <c r="K21" s="832"/>
      <c r="L21" s="832"/>
      <c r="M21" s="301"/>
    </row>
    <row r="22" spans="1:14" x14ac:dyDescent="0.2">
      <c r="A22" s="138"/>
      <c r="B22" s="833" t="s">
        <v>0</v>
      </c>
      <c r="C22" s="834"/>
      <c r="D22" s="834"/>
      <c r="E22" s="303"/>
      <c r="F22" s="833" t="s">
        <v>1</v>
      </c>
      <c r="G22" s="834"/>
      <c r="H22" s="834"/>
      <c r="I22" s="306"/>
      <c r="J22" s="833" t="s">
        <v>2</v>
      </c>
      <c r="K22" s="834"/>
      <c r="L22" s="834"/>
      <c r="M22" s="306"/>
    </row>
    <row r="23" spans="1:14" x14ac:dyDescent="0.2">
      <c r="A23" s="134" t="s">
        <v>5</v>
      </c>
      <c r="B23" s="145" t="s">
        <v>400</v>
      </c>
      <c r="C23" s="145" t="s">
        <v>401</v>
      </c>
      <c r="D23" s="242" t="s">
        <v>3</v>
      </c>
      <c r="E23" s="307" t="s">
        <v>37</v>
      </c>
      <c r="F23" s="145" t="s">
        <v>400</v>
      </c>
      <c r="G23" s="145" t="s">
        <v>401</v>
      </c>
      <c r="H23" s="242" t="s">
        <v>3</v>
      </c>
      <c r="I23" s="307" t="s">
        <v>37</v>
      </c>
      <c r="J23" s="145" t="s">
        <v>400</v>
      </c>
      <c r="K23" s="145" t="s">
        <v>401</v>
      </c>
      <c r="L23" s="242" t="s">
        <v>3</v>
      </c>
      <c r="M23" s="155" t="s">
        <v>37</v>
      </c>
    </row>
    <row r="24" spans="1:14" x14ac:dyDescent="0.2">
      <c r="A24" s="403"/>
      <c r="B24" s="149"/>
      <c r="C24" s="149"/>
      <c r="D24" s="243" t="s">
        <v>4</v>
      </c>
      <c r="E24" s="149" t="s">
        <v>38</v>
      </c>
      <c r="F24" s="154"/>
      <c r="G24" s="154"/>
      <c r="H24" s="242" t="s">
        <v>4</v>
      </c>
      <c r="I24" s="149" t="s">
        <v>38</v>
      </c>
      <c r="J24" s="154"/>
      <c r="K24" s="154"/>
      <c r="L24" s="242" t="s">
        <v>4</v>
      </c>
      <c r="M24" s="149" t="s">
        <v>38</v>
      </c>
    </row>
    <row r="25" spans="1:14" ht="15.75" x14ac:dyDescent="0.2">
      <c r="A25" s="12" t="s">
        <v>30</v>
      </c>
      <c r="B25" s="318"/>
      <c r="C25" s="319"/>
      <c r="D25" s="251"/>
      <c r="E25" s="170"/>
      <c r="F25" s="320"/>
      <c r="G25" s="319"/>
      <c r="H25" s="251"/>
      <c r="I25" s="170"/>
      <c r="J25" s="318"/>
      <c r="K25" s="318"/>
      <c r="L25" s="255"/>
      <c r="M25" s="159"/>
    </row>
    <row r="26" spans="1:14" ht="15.75" x14ac:dyDescent="0.2">
      <c r="A26" s="298" t="s">
        <v>318</v>
      </c>
      <c r="B26" s="291"/>
      <c r="C26" s="291"/>
      <c r="D26" s="159"/>
      <c r="E26" s="237"/>
      <c r="F26" s="291"/>
      <c r="G26" s="291"/>
      <c r="H26" s="159"/>
      <c r="I26" s="237"/>
      <c r="J26" s="291"/>
      <c r="K26" s="291"/>
      <c r="L26" s="159"/>
      <c r="M26" s="159"/>
    </row>
    <row r="27" spans="1:14" ht="15.75" x14ac:dyDescent="0.2">
      <c r="A27" s="298" t="s">
        <v>319</v>
      </c>
      <c r="B27" s="291"/>
      <c r="C27" s="291"/>
      <c r="D27" s="159"/>
      <c r="E27" s="237"/>
      <c r="F27" s="291"/>
      <c r="G27" s="291"/>
      <c r="H27" s="159"/>
      <c r="I27" s="237"/>
      <c r="J27" s="291"/>
      <c r="K27" s="291"/>
      <c r="L27" s="159"/>
      <c r="M27" s="159"/>
    </row>
    <row r="28" spans="1:14" ht="15.75" x14ac:dyDescent="0.2">
      <c r="A28" s="298" t="s">
        <v>320</v>
      </c>
      <c r="B28" s="291"/>
      <c r="C28" s="291"/>
      <c r="D28" s="159"/>
      <c r="E28" s="237"/>
      <c r="F28" s="291"/>
      <c r="G28" s="291"/>
      <c r="H28" s="159"/>
      <c r="I28" s="237"/>
      <c r="J28" s="291"/>
      <c r="K28" s="291"/>
      <c r="L28" s="159"/>
      <c r="M28" s="159"/>
    </row>
    <row r="29" spans="1:14" x14ac:dyDescent="0.2">
      <c r="A29" s="298" t="s">
        <v>11</v>
      </c>
      <c r="B29" s="291"/>
      <c r="C29" s="291"/>
      <c r="D29" s="159"/>
      <c r="E29" s="237"/>
      <c r="F29" s="291"/>
      <c r="G29" s="291"/>
      <c r="H29" s="159"/>
      <c r="I29" s="237"/>
      <c r="J29" s="291"/>
      <c r="K29" s="291"/>
      <c r="L29" s="159"/>
      <c r="M29" s="159"/>
    </row>
    <row r="30" spans="1:14" ht="15.75" x14ac:dyDescent="0.2">
      <c r="A30" s="42" t="s">
        <v>308</v>
      </c>
      <c r="B30" s="37"/>
      <c r="C30" s="288"/>
      <c r="D30" s="159"/>
      <c r="E30" s="170"/>
      <c r="F30" s="229"/>
      <c r="G30" s="288"/>
      <c r="H30" s="159"/>
      <c r="I30" s="170"/>
      <c r="J30" s="37"/>
      <c r="K30" s="37"/>
      <c r="L30" s="256"/>
      <c r="M30" s="159"/>
    </row>
    <row r="31" spans="1:14" ht="15.75" x14ac:dyDescent="0.2">
      <c r="A31" s="11" t="s">
        <v>29</v>
      </c>
      <c r="B31" s="231"/>
      <c r="C31" s="231"/>
      <c r="D31" s="159"/>
      <c r="E31" s="170"/>
      <c r="F31" s="310"/>
      <c r="G31" s="310"/>
      <c r="H31" s="159"/>
      <c r="I31" s="170"/>
      <c r="J31" s="231"/>
      <c r="K31" s="231"/>
      <c r="L31" s="256"/>
      <c r="M31" s="159"/>
    </row>
    <row r="32" spans="1:14" ht="15.75" x14ac:dyDescent="0.2">
      <c r="A32" s="298" t="s">
        <v>318</v>
      </c>
      <c r="B32" s="291"/>
      <c r="C32" s="291"/>
      <c r="D32" s="159"/>
      <c r="E32" s="237"/>
      <c r="F32" s="291"/>
      <c r="G32" s="291"/>
      <c r="H32" s="159"/>
      <c r="I32" s="237"/>
      <c r="J32" s="291"/>
      <c r="K32" s="291"/>
      <c r="L32" s="159"/>
      <c r="M32" s="159"/>
    </row>
    <row r="33" spans="1:14" ht="15.75" x14ac:dyDescent="0.2">
      <c r="A33" s="298" t="s">
        <v>320</v>
      </c>
      <c r="B33" s="291"/>
      <c r="C33" s="291"/>
      <c r="D33" s="159"/>
      <c r="E33" s="237"/>
      <c r="F33" s="291"/>
      <c r="G33" s="291"/>
      <c r="H33" s="159"/>
      <c r="I33" s="237"/>
      <c r="J33" s="291"/>
      <c r="K33" s="291"/>
      <c r="L33" s="159"/>
      <c r="M33" s="159"/>
    </row>
    <row r="34" spans="1:14" s="21" customFormat="1" x14ac:dyDescent="0.2">
      <c r="A34" s="298" t="s">
        <v>16</v>
      </c>
      <c r="B34" s="291"/>
      <c r="C34" s="291"/>
      <c r="D34" s="159"/>
      <c r="E34" s="237"/>
      <c r="F34" s="291"/>
      <c r="G34" s="291"/>
      <c r="H34" s="159"/>
      <c r="I34" s="237"/>
      <c r="J34" s="291"/>
      <c r="K34" s="291"/>
      <c r="L34" s="159"/>
      <c r="M34" s="159"/>
      <c r="N34" s="166"/>
    </row>
    <row r="35" spans="1:14" ht="15.75" x14ac:dyDescent="0.2">
      <c r="A35" s="42" t="s">
        <v>308</v>
      </c>
      <c r="B35" s="37"/>
      <c r="C35" s="288"/>
      <c r="D35" s="159"/>
      <c r="E35" s="170"/>
      <c r="F35" s="229"/>
      <c r="G35" s="288"/>
      <c r="H35" s="159"/>
      <c r="I35" s="170"/>
      <c r="J35" s="37"/>
      <c r="K35" s="37"/>
      <c r="L35" s="256"/>
      <c r="M35" s="159"/>
    </row>
    <row r="36" spans="1:14" s="3" customFormat="1" ht="15.75" x14ac:dyDescent="0.2">
      <c r="A36" s="11" t="s">
        <v>28</v>
      </c>
      <c r="B36" s="231"/>
      <c r="C36" s="311"/>
      <c r="D36" s="159"/>
      <c r="E36" s="170"/>
      <c r="F36" s="310"/>
      <c r="G36" s="311"/>
      <c r="H36" s="159"/>
      <c r="I36" s="170"/>
      <c r="J36" s="231"/>
      <c r="K36" s="231"/>
      <c r="L36" s="256"/>
      <c r="M36" s="159"/>
      <c r="N36" s="142"/>
    </row>
    <row r="37" spans="1:14" s="3" customFormat="1" ht="15.75" x14ac:dyDescent="0.2">
      <c r="A37" s="298" t="s">
        <v>318</v>
      </c>
      <c r="B37" s="291"/>
      <c r="C37" s="291"/>
      <c r="D37" s="159"/>
      <c r="E37" s="237"/>
      <c r="F37" s="291"/>
      <c r="G37" s="291"/>
      <c r="H37" s="159"/>
      <c r="I37" s="237"/>
      <c r="J37" s="291"/>
      <c r="K37" s="291"/>
      <c r="L37" s="159"/>
      <c r="M37" s="159"/>
      <c r="N37" s="142"/>
    </row>
    <row r="38" spans="1:14" s="3" customFormat="1" ht="15.75" x14ac:dyDescent="0.2">
      <c r="A38" s="298" t="s">
        <v>319</v>
      </c>
      <c r="B38" s="291"/>
      <c r="C38" s="291"/>
      <c r="D38" s="159"/>
      <c r="E38" s="237"/>
      <c r="F38" s="291"/>
      <c r="G38" s="291"/>
      <c r="H38" s="159"/>
      <c r="I38" s="237"/>
      <c r="J38" s="291"/>
      <c r="K38" s="291"/>
      <c r="L38" s="159"/>
      <c r="M38" s="159"/>
      <c r="N38" s="142"/>
    </row>
    <row r="39" spans="1:14" ht="15.75" x14ac:dyDescent="0.2">
      <c r="A39" s="298" t="s">
        <v>320</v>
      </c>
      <c r="B39" s="291"/>
      <c r="C39" s="291"/>
      <c r="D39" s="159"/>
      <c r="E39" s="237"/>
      <c r="F39" s="291"/>
      <c r="G39" s="291"/>
      <c r="H39" s="159"/>
      <c r="I39" s="237"/>
      <c r="J39" s="291"/>
      <c r="K39" s="291"/>
      <c r="L39" s="159"/>
      <c r="M39" s="159"/>
    </row>
    <row r="40" spans="1:14" ht="15.75" x14ac:dyDescent="0.2">
      <c r="A40" s="11" t="s">
        <v>27</v>
      </c>
      <c r="B40" s="231"/>
      <c r="C40" s="311"/>
      <c r="D40" s="159"/>
      <c r="E40" s="170"/>
      <c r="F40" s="310"/>
      <c r="G40" s="311"/>
      <c r="H40" s="159"/>
      <c r="I40" s="170"/>
      <c r="J40" s="231"/>
      <c r="K40" s="231"/>
      <c r="L40" s="256"/>
      <c r="M40" s="159"/>
    </row>
    <row r="41" spans="1:14" ht="15.75" x14ac:dyDescent="0.2">
      <c r="A41" s="11" t="s">
        <v>26</v>
      </c>
      <c r="B41" s="231"/>
      <c r="C41" s="311"/>
      <c r="D41" s="159"/>
      <c r="E41" s="170"/>
      <c r="F41" s="310"/>
      <c r="G41" s="311"/>
      <c r="H41" s="159"/>
      <c r="I41" s="170"/>
      <c r="J41" s="231"/>
      <c r="K41" s="231"/>
      <c r="L41" s="256"/>
      <c r="M41" s="159"/>
    </row>
    <row r="42" spans="1:14" ht="15.75" x14ac:dyDescent="0.2">
      <c r="A42" s="10" t="s">
        <v>321</v>
      </c>
      <c r="B42" s="231"/>
      <c r="C42" s="311"/>
      <c r="D42" s="159"/>
      <c r="E42" s="170"/>
      <c r="F42" s="321"/>
      <c r="G42" s="322"/>
      <c r="H42" s="159"/>
      <c r="I42" s="237"/>
      <c r="J42" s="231"/>
      <c r="K42" s="231"/>
      <c r="L42" s="256"/>
      <c r="M42" s="159"/>
    </row>
    <row r="43" spans="1:14" ht="15.75" x14ac:dyDescent="0.2">
      <c r="A43" s="10" t="s">
        <v>322</v>
      </c>
      <c r="B43" s="231"/>
      <c r="C43" s="311"/>
      <c r="D43" s="159"/>
      <c r="E43" s="170"/>
      <c r="F43" s="321"/>
      <c r="G43" s="322"/>
      <c r="H43" s="159"/>
      <c r="I43" s="237"/>
      <c r="J43" s="231"/>
      <c r="K43" s="231"/>
      <c r="L43" s="256"/>
      <c r="M43" s="159"/>
    </row>
    <row r="44" spans="1:14" ht="15.75" x14ac:dyDescent="0.2">
      <c r="A44" s="10" t="s">
        <v>323</v>
      </c>
      <c r="B44" s="231"/>
      <c r="C44" s="311"/>
      <c r="D44" s="159"/>
      <c r="E44" s="170"/>
      <c r="F44" s="321"/>
      <c r="G44" s="323"/>
      <c r="H44" s="159"/>
      <c r="I44" s="237"/>
      <c r="J44" s="231"/>
      <c r="K44" s="231"/>
      <c r="L44" s="256"/>
      <c r="M44" s="159"/>
    </row>
    <row r="45" spans="1:14" ht="15.75" x14ac:dyDescent="0.2">
      <c r="A45" s="10" t="s">
        <v>324</v>
      </c>
      <c r="B45" s="231"/>
      <c r="C45" s="311"/>
      <c r="D45" s="159"/>
      <c r="E45" s="170"/>
      <c r="F45" s="321"/>
      <c r="G45" s="322"/>
      <c r="H45" s="159"/>
      <c r="I45" s="237"/>
      <c r="J45" s="231"/>
      <c r="K45" s="231"/>
      <c r="L45" s="256"/>
      <c r="M45" s="159"/>
    </row>
    <row r="46" spans="1:14" ht="15.75" x14ac:dyDescent="0.2">
      <c r="A46" s="16" t="s">
        <v>325</v>
      </c>
      <c r="B46" s="277"/>
      <c r="C46" s="317"/>
      <c r="D46" s="160"/>
      <c r="E46" s="201"/>
      <c r="F46" s="324"/>
      <c r="G46" s="325"/>
      <c r="H46" s="160"/>
      <c r="I46" s="160"/>
      <c r="J46" s="231"/>
      <c r="K46" s="231"/>
      <c r="L46" s="257"/>
      <c r="M46" s="160"/>
    </row>
    <row r="47" spans="1:14" ht="15.75" x14ac:dyDescent="0.25">
      <c r="A47" s="40"/>
      <c r="B47" s="254"/>
      <c r="C47" s="254"/>
      <c r="D47" s="836"/>
      <c r="E47" s="836"/>
      <c r="F47" s="836"/>
      <c r="G47" s="836"/>
      <c r="H47" s="836"/>
      <c r="I47" s="836"/>
      <c r="J47" s="836"/>
      <c r="K47" s="836"/>
      <c r="L47" s="836"/>
      <c r="M47" s="304"/>
    </row>
    <row r="48" spans="1:14" x14ac:dyDescent="0.2">
      <c r="A48" s="148"/>
    </row>
    <row r="49" spans="1:14" ht="15.75" x14ac:dyDescent="0.25">
      <c r="A49" s="141" t="s">
        <v>305</v>
      </c>
      <c r="B49" s="835"/>
      <c r="C49" s="835"/>
      <c r="D49" s="835"/>
      <c r="E49" s="301"/>
      <c r="F49" s="837"/>
      <c r="G49" s="837"/>
      <c r="H49" s="837"/>
      <c r="I49" s="304"/>
      <c r="J49" s="837"/>
      <c r="K49" s="837"/>
      <c r="L49" s="837"/>
      <c r="M49" s="304"/>
    </row>
    <row r="50" spans="1:14" ht="15.75" x14ac:dyDescent="0.25">
      <c r="A50" s="156"/>
      <c r="B50" s="305"/>
      <c r="C50" s="305"/>
      <c r="D50" s="305"/>
      <c r="E50" s="305"/>
      <c r="F50" s="304"/>
      <c r="G50" s="304"/>
      <c r="H50" s="304"/>
      <c r="I50" s="304"/>
      <c r="J50" s="304"/>
      <c r="K50" s="304"/>
      <c r="L50" s="304"/>
      <c r="M50" s="304"/>
    </row>
    <row r="51" spans="1:14" ht="15.75" x14ac:dyDescent="0.25">
      <c r="A51" s="244"/>
      <c r="B51" s="833" t="s">
        <v>0</v>
      </c>
      <c r="C51" s="834"/>
      <c r="D51" s="834"/>
      <c r="E51" s="240"/>
      <c r="F51" s="304"/>
      <c r="G51" s="304"/>
      <c r="H51" s="304"/>
      <c r="I51" s="304"/>
      <c r="J51" s="304"/>
      <c r="K51" s="304"/>
      <c r="L51" s="304"/>
      <c r="M51" s="304"/>
    </row>
    <row r="52" spans="1:14" s="3" customFormat="1" x14ac:dyDescent="0.2">
      <c r="A52" s="134"/>
      <c r="B52" s="167" t="s">
        <v>400</v>
      </c>
      <c r="C52" s="167" t="s">
        <v>401</v>
      </c>
      <c r="D52" s="155" t="s">
        <v>3</v>
      </c>
      <c r="E52" s="155" t="s">
        <v>37</v>
      </c>
      <c r="F52" s="169"/>
      <c r="G52" s="169"/>
      <c r="H52" s="168"/>
      <c r="I52" s="168"/>
      <c r="J52" s="169"/>
      <c r="K52" s="169"/>
      <c r="L52" s="168"/>
      <c r="M52" s="168"/>
      <c r="N52" s="142"/>
    </row>
    <row r="53" spans="1:14" s="3" customFormat="1" x14ac:dyDescent="0.2">
      <c r="A53" s="403"/>
      <c r="B53" s="241"/>
      <c r="C53" s="241"/>
      <c r="D53" s="242" t="s">
        <v>4</v>
      </c>
      <c r="E53" s="149" t="s">
        <v>38</v>
      </c>
      <c r="F53" s="168"/>
      <c r="G53" s="168"/>
      <c r="H53" s="168"/>
      <c r="I53" s="168"/>
      <c r="J53" s="168"/>
      <c r="K53" s="168"/>
      <c r="L53" s="168"/>
      <c r="M53" s="168"/>
      <c r="N53" s="142"/>
    </row>
    <row r="54" spans="1:14" s="3" customFormat="1" ht="15.75" x14ac:dyDescent="0.2">
      <c r="A54" s="12" t="s">
        <v>30</v>
      </c>
      <c r="B54" s="312">
        <v>3484</v>
      </c>
      <c r="C54" s="313">
        <v>4460</v>
      </c>
      <c r="D54" s="255">
        <f t="shared" ref="D54:D55" si="0">IF(B54=0, "    ---- ", IF(ABS(ROUND(100/B54*C54-100,1))&lt;999,ROUND(100/B54*C54-100,1),IF(ROUND(100/B54*C54-100,1)&gt;999,999,-999)))</f>
        <v>28</v>
      </c>
      <c r="E54" s="170">
        <f>IFERROR(100/'Skjema total MA'!C54*C54,0)</f>
        <v>0.11945495706947475</v>
      </c>
      <c r="F54" s="139"/>
      <c r="G54" s="27"/>
      <c r="H54" s="152"/>
      <c r="I54" s="152"/>
      <c r="J54" s="30"/>
      <c r="K54" s="30"/>
      <c r="L54" s="152"/>
      <c r="M54" s="152"/>
      <c r="N54" s="142"/>
    </row>
    <row r="55" spans="1:14" s="3" customFormat="1" ht="15.75" x14ac:dyDescent="0.2">
      <c r="A55" s="31" t="s">
        <v>326</v>
      </c>
      <c r="B55" s="282">
        <v>3484</v>
      </c>
      <c r="C55" s="283">
        <v>4460</v>
      </c>
      <c r="D55" s="256">
        <f t="shared" si="0"/>
        <v>28</v>
      </c>
      <c r="E55" s="170">
        <f>IFERROR(100/'Skjema total MA'!C55*C55,0)</f>
        <v>0.21910019130095357</v>
      </c>
      <c r="F55" s="139"/>
      <c r="G55" s="27"/>
      <c r="H55" s="139"/>
      <c r="I55" s="139"/>
      <c r="J55" s="27"/>
      <c r="K55" s="27"/>
      <c r="L55" s="152"/>
      <c r="M55" s="152"/>
      <c r="N55" s="142"/>
    </row>
    <row r="56" spans="1:14" s="3" customFormat="1" ht="15.75" x14ac:dyDescent="0.2">
      <c r="A56" s="31" t="s">
        <v>327</v>
      </c>
      <c r="B56" s="37"/>
      <c r="C56" s="288"/>
      <c r="D56" s="256"/>
      <c r="E56" s="170"/>
      <c r="F56" s="139"/>
      <c r="G56" s="27"/>
      <c r="H56" s="139"/>
      <c r="I56" s="139"/>
      <c r="J56" s="30"/>
      <c r="K56" s="30"/>
      <c r="L56" s="152"/>
      <c r="M56" s="152"/>
      <c r="N56" s="142"/>
    </row>
    <row r="57" spans="1:14" s="3" customFormat="1" x14ac:dyDescent="0.2">
      <c r="A57" s="298" t="s">
        <v>6</v>
      </c>
      <c r="B57" s="291"/>
      <c r="C57" s="292"/>
      <c r="D57" s="256"/>
      <c r="E57" s="159"/>
      <c r="F57" s="139"/>
      <c r="G57" s="27"/>
      <c r="H57" s="139"/>
      <c r="I57" s="139"/>
      <c r="J57" s="27"/>
      <c r="K57" s="27"/>
      <c r="L57" s="152"/>
      <c r="M57" s="152"/>
      <c r="N57" s="142"/>
    </row>
    <row r="58" spans="1:14" s="3" customFormat="1" x14ac:dyDescent="0.2">
      <c r="A58" s="298" t="s">
        <v>7</v>
      </c>
      <c r="B58" s="291"/>
      <c r="C58" s="292"/>
      <c r="D58" s="256"/>
      <c r="E58" s="159"/>
      <c r="F58" s="139"/>
      <c r="G58" s="27"/>
      <c r="H58" s="139"/>
      <c r="I58" s="139"/>
      <c r="J58" s="27"/>
      <c r="K58" s="27"/>
      <c r="L58" s="152"/>
      <c r="M58" s="152"/>
      <c r="N58" s="142"/>
    </row>
    <row r="59" spans="1:14" s="3" customFormat="1" x14ac:dyDescent="0.2">
      <c r="A59" s="298" t="s">
        <v>8</v>
      </c>
      <c r="B59" s="291"/>
      <c r="C59" s="292"/>
      <c r="D59" s="256"/>
      <c r="E59" s="159"/>
      <c r="F59" s="139"/>
      <c r="G59" s="27"/>
      <c r="H59" s="139"/>
      <c r="I59" s="139"/>
      <c r="J59" s="27"/>
      <c r="K59" s="27"/>
      <c r="L59" s="152"/>
      <c r="M59" s="152"/>
      <c r="N59" s="142"/>
    </row>
    <row r="60" spans="1:14" s="3" customFormat="1" ht="15.75" x14ac:dyDescent="0.2">
      <c r="A60" s="11" t="s">
        <v>29</v>
      </c>
      <c r="B60" s="312"/>
      <c r="C60" s="313"/>
      <c r="D60" s="256"/>
      <c r="E60" s="170"/>
      <c r="F60" s="139"/>
      <c r="G60" s="27"/>
      <c r="H60" s="139"/>
      <c r="I60" s="139"/>
      <c r="J60" s="27"/>
      <c r="K60" s="27"/>
      <c r="L60" s="152"/>
      <c r="M60" s="152"/>
      <c r="N60" s="142"/>
    </row>
    <row r="61" spans="1:14" s="3" customFormat="1" ht="15.75" x14ac:dyDescent="0.2">
      <c r="A61" s="31" t="s">
        <v>326</v>
      </c>
      <c r="B61" s="282"/>
      <c r="C61" s="283"/>
      <c r="D61" s="256"/>
      <c r="E61" s="170"/>
      <c r="F61" s="139"/>
      <c r="G61" s="27"/>
      <c r="H61" s="139"/>
      <c r="I61" s="139"/>
      <c r="J61" s="27"/>
      <c r="K61" s="27"/>
      <c r="L61" s="152"/>
      <c r="M61" s="152"/>
      <c r="N61" s="142"/>
    </row>
    <row r="62" spans="1:14" s="3" customFormat="1" ht="15.75" x14ac:dyDescent="0.2">
      <c r="A62" s="31" t="s">
        <v>327</v>
      </c>
      <c r="B62" s="37"/>
      <c r="C62" s="288"/>
      <c r="D62" s="256"/>
      <c r="E62" s="170"/>
      <c r="F62" s="139"/>
      <c r="G62" s="27"/>
      <c r="H62" s="139"/>
      <c r="I62" s="139"/>
      <c r="J62" s="27"/>
      <c r="K62" s="27"/>
      <c r="L62" s="152"/>
      <c r="M62" s="152"/>
      <c r="N62" s="142"/>
    </row>
    <row r="63" spans="1:14" s="3" customFormat="1" x14ac:dyDescent="0.2">
      <c r="A63" s="298" t="s">
        <v>6</v>
      </c>
      <c r="B63" s="282"/>
      <c r="C63" s="283"/>
      <c r="D63" s="256"/>
      <c r="E63" s="159"/>
      <c r="F63" s="139"/>
      <c r="G63" s="27"/>
      <c r="H63" s="139"/>
      <c r="I63" s="139"/>
      <c r="J63" s="27"/>
      <c r="K63" s="27"/>
      <c r="L63" s="152"/>
      <c r="M63" s="152"/>
      <c r="N63" s="142"/>
    </row>
    <row r="64" spans="1:14" s="3" customFormat="1" x14ac:dyDescent="0.2">
      <c r="A64" s="298" t="s">
        <v>7</v>
      </c>
      <c r="B64" s="282"/>
      <c r="C64" s="283"/>
      <c r="D64" s="256"/>
      <c r="E64" s="159"/>
      <c r="F64" s="139"/>
      <c r="G64" s="27"/>
      <c r="H64" s="139"/>
      <c r="I64" s="139"/>
      <c r="J64" s="27"/>
      <c r="K64" s="27"/>
      <c r="L64" s="152"/>
      <c r="M64" s="152"/>
      <c r="N64" s="142"/>
    </row>
    <row r="65" spans="1:14" s="3" customFormat="1" x14ac:dyDescent="0.2">
      <c r="A65" s="298" t="s">
        <v>8</v>
      </c>
      <c r="B65" s="282"/>
      <c r="C65" s="283"/>
      <c r="D65" s="256"/>
      <c r="E65" s="159"/>
      <c r="F65" s="139"/>
      <c r="G65" s="27"/>
      <c r="H65" s="139"/>
      <c r="I65" s="139"/>
      <c r="J65" s="27"/>
      <c r="K65" s="27"/>
      <c r="L65" s="152"/>
      <c r="M65" s="152"/>
      <c r="N65" s="142"/>
    </row>
    <row r="66" spans="1:14" s="3" customFormat="1" ht="15.75" x14ac:dyDescent="0.2">
      <c r="A66" s="32" t="s">
        <v>328</v>
      </c>
      <c r="B66" s="312"/>
      <c r="C66" s="313"/>
      <c r="D66" s="256"/>
      <c r="E66" s="170"/>
      <c r="F66" s="139"/>
      <c r="G66" s="27"/>
      <c r="H66" s="139"/>
      <c r="I66" s="139"/>
      <c r="J66" s="27"/>
      <c r="K66" s="27"/>
      <c r="L66" s="152"/>
      <c r="M66" s="152"/>
      <c r="N66" s="142"/>
    </row>
    <row r="67" spans="1:14" s="3" customFormat="1" ht="15.75" x14ac:dyDescent="0.2">
      <c r="A67" s="31" t="s">
        <v>326</v>
      </c>
      <c r="B67" s="282"/>
      <c r="C67" s="283"/>
      <c r="D67" s="256"/>
      <c r="E67" s="170"/>
      <c r="F67" s="139"/>
      <c r="G67" s="27"/>
      <c r="H67" s="139"/>
      <c r="I67" s="139"/>
      <c r="J67" s="27"/>
      <c r="K67" s="27"/>
      <c r="L67" s="152"/>
      <c r="M67" s="152"/>
      <c r="N67" s="142"/>
    </row>
    <row r="68" spans="1:14" s="3" customFormat="1" ht="15.75" x14ac:dyDescent="0.2">
      <c r="A68" s="31" t="s">
        <v>327</v>
      </c>
      <c r="B68" s="282"/>
      <c r="C68" s="283"/>
      <c r="D68" s="256"/>
      <c r="E68" s="170"/>
      <c r="F68" s="139"/>
      <c r="G68" s="27"/>
      <c r="H68" s="139"/>
      <c r="I68" s="139"/>
      <c r="J68" s="27"/>
      <c r="K68" s="27"/>
      <c r="L68" s="152"/>
      <c r="M68" s="152"/>
      <c r="N68" s="142"/>
    </row>
    <row r="69" spans="1:14" s="3" customFormat="1" ht="15.75" x14ac:dyDescent="0.2">
      <c r="A69" s="32" t="s">
        <v>329</v>
      </c>
      <c r="B69" s="312"/>
      <c r="C69" s="313"/>
      <c r="D69" s="256"/>
      <c r="E69" s="170"/>
      <c r="F69" s="139"/>
      <c r="G69" s="27"/>
      <c r="H69" s="139"/>
      <c r="I69" s="139"/>
      <c r="J69" s="27"/>
      <c r="K69" s="27"/>
      <c r="L69" s="152"/>
      <c r="M69" s="152"/>
      <c r="N69" s="142"/>
    </row>
    <row r="70" spans="1:14" s="3" customFormat="1" ht="15.75" x14ac:dyDescent="0.2">
      <c r="A70" s="31" t="s">
        <v>326</v>
      </c>
      <c r="B70" s="282"/>
      <c r="C70" s="283"/>
      <c r="D70" s="256"/>
      <c r="E70" s="170"/>
      <c r="F70" s="139"/>
      <c r="G70" s="27"/>
      <c r="H70" s="139"/>
      <c r="I70" s="139"/>
      <c r="J70" s="27"/>
      <c r="K70" s="27"/>
      <c r="L70" s="152"/>
      <c r="M70" s="152"/>
      <c r="N70" s="142"/>
    </row>
    <row r="71" spans="1:14" s="3" customFormat="1" ht="15.75" x14ac:dyDescent="0.2">
      <c r="A71" s="39" t="s">
        <v>327</v>
      </c>
      <c r="B71" s="284"/>
      <c r="C71" s="285"/>
      <c r="D71" s="257"/>
      <c r="E71" s="160"/>
      <c r="F71" s="139"/>
      <c r="G71" s="27"/>
      <c r="H71" s="139"/>
      <c r="I71" s="139"/>
      <c r="J71" s="27"/>
      <c r="K71" s="27"/>
      <c r="L71" s="152"/>
      <c r="M71" s="152"/>
      <c r="N71" s="142"/>
    </row>
    <row r="72" spans="1:14" s="3" customFormat="1" ht="15.75" x14ac:dyDescent="0.25">
      <c r="A72" s="157"/>
      <c r="B72" s="147"/>
      <c r="C72" s="147"/>
      <c r="D72" s="147"/>
      <c r="E72" s="147"/>
      <c r="F72" s="136"/>
      <c r="G72" s="136"/>
      <c r="H72" s="136"/>
      <c r="I72" s="136"/>
      <c r="J72" s="136"/>
      <c r="K72" s="136"/>
      <c r="L72" s="136"/>
      <c r="M72" s="136"/>
      <c r="N72" s="142"/>
    </row>
    <row r="73" spans="1:14" x14ac:dyDescent="0.2">
      <c r="A73" s="148"/>
    </row>
    <row r="74" spans="1:14" ht="15.75" x14ac:dyDescent="0.25">
      <c r="A74" s="141" t="s">
        <v>306</v>
      </c>
      <c r="C74" s="20"/>
      <c r="D74" s="20"/>
      <c r="E74" s="20"/>
      <c r="F74" s="20"/>
      <c r="G74" s="20"/>
      <c r="H74" s="20"/>
      <c r="I74" s="20"/>
      <c r="J74" s="20"/>
      <c r="K74" s="20"/>
      <c r="L74" s="20"/>
      <c r="M74" s="20"/>
    </row>
    <row r="75" spans="1:14" ht="15.75" x14ac:dyDescent="0.25">
      <c r="B75" s="832"/>
      <c r="C75" s="832"/>
      <c r="D75" s="832"/>
      <c r="E75" s="301"/>
      <c r="F75" s="832"/>
      <c r="G75" s="832"/>
      <c r="H75" s="832"/>
      <c r="I75" s="301"/>
      <c r="J75" s="832"/>
      <c r="K75" s="832"/>
      <c r="L75" s="832"/>
      <c r="M75" s="301"/>
    </row>
    <row r="76" spans="1:14" x14ac:dyDescent="0.2">
      <c r="A76" s="138"/>
      <c r="B76" s="833" t="s">
        <v>0</v>
      </c>
      <c r="C76" s="834"/>
      <c r="D76" s="838"/>
      <c r="E76" s="302"/>
      <c r="F76" s="834" t="s">
        <v>1</v>
      </c>
      <c r="G76" s="834"/>
      <c r="H76" s="834"/>
      <c r="I76" s="306"/>
      <c r="J76" s="833" t="s">
        <v>2</v>
      </c>
      <c r="K76" s="834"/>
      <c r="L76" s="834"/>
      <c r="M76" s="306"/>
    </row>
    <row r="77" spans="1:14" x14ac:dyDescent="0.2">
      <c r="A77" s="134"/>
      <c r="B77" s="145" t="s">
        <v>400</v>
      </c>
      <c r="C77" s="145" t="s">
        <v>401</v>
      </c>
      <c r="D77" s="242" t="s">
        <v>3</v>
      </c>
      <c r="E77" s="307" t="s">
        <v>37</v>
      </c>
      <c r="F77" s="145" t="s">
        <v>400</v>
      </c>
      <c r="G77" s="145" t="s">
        <v>401</v>
      </c>
      <c r="H77" s="242" t="s">
        <v>3</v>
      </c>
      <c r="I77" s="307" t="s">
        <v>37</v>
      </c>
      <c r="J77" s="145" t="s">
        <v>400</v>
      </c>
      <c r="K77" s="145" t="s">
        <v>401</v>
      </c>
      <c r="L77" s="242" t="s">
        <v>3</v>
      </c>
      <c r="M77" s="155" t="s">
        <v>37</v>
      </c>
    </row>
    <row r="78" spans="1:14" x14ac:dyDescent="0.2">
      <c r="A78" s="403"/>
      <c r="B78" s="149"/>
      <c r="C78" s="149"/>
      <c r="D78" s="243" t="s">
        <v>4</v>
      </c>
      <c r="E78" s="149" t="s">
        <v>38</v>
      </c>
      <c r="F78" s="154"/>
      <c r="G78" s="154"/>
      <c r="H78" s="242" t="s">
        <v>4</v>
      </c>
      <c r="I78" s="149" t="s">
        <v>38</v>
      </c>
      <c r="J78" s="154"/>
      <c r="K78" s="154"/>
      <c r="L78" s="242" t="s">
        <v>4</v>
      </c>
      <c r="M78" s="149" t="s">
        <v>38</v>
      </c>
    </row>
    <row r="79" spans="1:14" ht="15.75" x14ac:dyDescent="0.2">
      <c r="A79" s="12" t="s">
        <v>30</v>
      </c>
      <c r="B79" s="355"/>
      <c r="C79" s="355"/>
      <c r="D79" s="251"/>
      <c r="E79" s="251"/>
      <c r="F79" s="355"/>
      <c r="G79" s="355"/>
      <c r="H79" s="251"/>
      <c r="I79" s="170"/>
      <c r="J79" s="311"/>
      <c r="K79" s="318"/>
      <c r="L79" s="255"/>
      <c r="M79" s="170"/>
    </row>
    <row r="80" spans="1:14" x14ac:dyDescent="0.2">
      <c r="A80" s="18" t="s">
        <v>9</v>
      </c>
      <c r="B80" s="37"/>
      <c r="C80" s="139"/>
      <c r="D80" s="159"/>
      <c r="E80" s="159"/>
      <c r="F80" s="37"/>
      <c r="G80" s="139"/>
      <c r="H80" s="159"/>
      <c r="I80" s="170"/>
      <c r="J80" s="288"/>
      <c r="K80" s="37"/>
      <c r="L80" s="256"/>
      <c r="M80" s="170"/>
    </row>
    <row r="81" spans="1:14" x14ac:dyDescent="0.2">
      <c r="A81" s="18" t="s">
        <v>10</v>
      </c>
      <c r="B81" s="293"/>
      <c r="C81" s="294"/>
      <c r="D81" s="159"/>
      <c r="E81" s="159"/>
      <c r="F81" s="293"/>
      <c r="G81" s="294"/>
      <c r="H81" s="159"/>
      <c r="I81" s="170"/>
      <c r="J81" s="288"/>
      <c r="K81" s="37"/>
      <c r="L81" s="256"/>
      <c r="M81" s="170"/>
    </row>
    <row r="82" spans="1:14" ht="15.75" x14ac:dyDescent="0.2">
      <c r="A82" s="298" t="s">
        <v>330</v>
      </c>
      <c r="B82" s="282"/>
      <c r="C82" s="282"/>
      <c r="D82" s="159"/>
      <c r="E82" s="159"/>
      <c r="F82" s="805"/>
      <c r="G82" s="282"/>
      <c r="H82" s="159"/>
      <c r="I82" s="237"/>
      <c r="J82" s="291"/>
      <c r="K82" s="291"/>
      <c r="L82" s="159"/>
      <c r="M82" s="159"/>
    </row>
    <row r="83" spans="1:14" x14ac:dyDescent="0.2">
      <c r="A83" s="298" t="s">
        <v>12</v>
      </c>
      <c r="B83" s="295"/>
      <c r="C83" s="296"/>
      <c r="D83" s="159"/>
      <c r="E83" s="159"/>
      <c r="F83" s="806"/>
      <c r="G83" s="41"/>
      <c r="H83" s="159"/>
      <c r="I83" s="237"/>
      <c r="J83" s="291"/>
      <c r="K83" s="291"/>
      <c r="L83" s="159"/>
      <c r="M83" s="159"/>
    </row>
    <row r="84" spans="1:14" x14ac:dyDescent="0.2">
      <c r="A84" s="298" t="s">
        <v>13</v>
      </c>
      <c r="B84" s="230"/>
      <c r="C84" s="290"/>
      <c r="D84" s="159"/>
      <c r="E84" s="159"/>
      <c r="F84" s="229"/>
      <c r="G84" s="139"/>
      <c r="H84" s="159"/>
      <c r="I84" s="237"/>
      <c r="J84" s="291"/>
      <c r="K84" s="291"/>
      <c r="L84" s="159"/>
      <c r="M84" s="159"/>
    </row>
    <row r="85" spans="1:14" ht="15.75" x14ac:dyDescent="0.2">
      <c r="A85" s="298" t="s">
        <v>331</v>
      </c>
      <c r="B85" s="282"/>
      <c r="C85" s="282"/>
      <c r="D85" s="159"/>
      <c r="E85" s="159"/>
      <c r="F85" s="805"/>
      <c r="G85" s="282"/>
      <c r="H85" s="159"/>
      <c r="I85" s="237"/>
      <c r="J85" s="291"/>
      <c r="K85" s="291"/>
      <c r="L85" s="159"/>
      <c r="M85" s="159"/>
    </row>
    <row r="86" spans="1:14" x14ac:dyDescent="0.2">
      <c r="A86" s="298" t="s">
        <v>12</v>
      </c>
      <c r="B86" s="230"/>
      <c r="C86" s="290"/>
      <c r="D86" s="159"/>
      <c r="E86" s="159"/>
      <c r="F86" s="229"/>
      <c r="G86" s="139"/>
      <c r="H86" s="159"/>
      <c r="I86" s="237"/>
      <c r="J86" s="291"/>
      <c r="K86" s="291"/>
      <c r="L86" s="159"/>
      <c r="M86" s="159"/>
    </row>
    <row r="87" spans="1:14" s="3" customFormat="1" x14ac:dyDescent="0.2">
      <c r="A87" s="298" t="s">
        <v>13</v>
      </c>
      <c r="B87" s="230"/>
      <c r="C87" s="290"/>
      <c r="D87" s="159"/>
      <c r="E87" s="159"/>
      <c r="F87" s="229"/>
      <c r="G87" s="139"/>
      <c r="H87" s="159"/>
      <c r="I87" s="237"/>
      <c r="J87" s="291"/>
      <c r="K87" s="291"/>
      <c r="L87" s="159"/>
      <c r="M87" s="159"/>
      <c r="N87" s="142"/>
    </row>
    <row r="88" spans="1:14" s="3" customFormat="1" x14ac:dyDescent="0.2">
      <c r="A88" s="18" t="s">
        <v>33</v>
      </c>
      <c r="B88" s="229"/>
      <c r="C88" s="139"/>
      <c r="D88" s="159"/>
      <c r="E88" s="159"/>
      <c r="F88" s="229"/>
      <c r="G88" s="139"/>
      <c r="H88" s="159"/>
      <c r="I88" s="170"/>
      <c r="J88" s="288"/>
      <c r="K88" s="37"/>
      <c r="L88" s="256"/>
      <c r="M88" s="170"/>
      <c r="N88" s="142"/>
    </row>
    <row r="89" spans="1:14" ht="15.75" x14ac:dyDescent="0.2">
      <c r="A89" s="18" t="s">
        <v>332</v>
      </c>
      <c r="B89" s="229"/>
      <c r="C89" s="229"/>
      <c r="D89" s="159"/>
      <c r="E89" s="159"/>
      <c r="F89" s="229"/>
      <c r="G89" s="229"/>
      <c r="H89" s="159"/>
      <c r="I89" s="170"/>
      <c r="J89" s="288"/>
      <c r="K89" s="37"/>
      <c r="L89" s="256"/>
      <c r="M89" s="170"/>
    </row>
    <row r="90" spans="1:14" x14ac:dyDescent="0.2">
      <c r="A90" s="18" t="s">
        <v>9</v>
      </c>
      <c r="B90" s="229"/>
      <c r="C90" s="139"/>
      <c r="D90" s="159"/>
      <c r="E90" s="159"/>
      <c r="F90" s="229"/>
      <c r="G90" s="139"/>
      <c r="H90" s="159"/>
      <c r="I90" s="170"/>
      <c r="J90" s="288"/>
      <c r="K90" s="37"/>
      <c r="L90" s="256"/>
      <c r="M90" s="170"/>
    </row>
    <row r="91" spans="1:14" x14ac:dyDescent="0.2">
      <c r="A91" s="18" t="s">
        <v>10</v>
      </c>
      <c r="B91" s="293"/>
      <c r="C91" s="294"/>
      <c r="D91" s="159"/>
      <c r="E91" s="159"/>
      <c r="F91" s="293"/>
      <c r="G91" s="294"/>
      <c r="H91" s="159"/>
      <c r="I91" s="170"/>
      <c r="J91" s="288"/>
      <c r="K91" s="37"/>
      <c r="L91" s="256"/>
      <c r="M91" s="170"/>
    </row>
    <row r="92" spans="1:14" ht="15.75" x14ac:dyDescent="0.2">
      <c r="A92" s="298" t="s">
        <v>330</v>
      </c>
      <c r="B92" s="282"/>
      <c r="C92" s="282"/>
      <c r="D92" s="159"/>
      <c r="E92" s="159"/>
      <c r="F92" s="805"/>
      <c r="G92" s="282"/>
      <c r="H92" s="159"/>
      <c r="I92" s="237"/>
      <c r="J92" s="291"/>
      <c r="K92" s="291"/>
      <c r="L92" s="159"/>
      <c r="M92" s="159"/>
    </row>
    <row r="93" spans="1:14" x14ac:dyDescent="0.2">
      <c r="A93" s="298" t="s">
        <v>12</v>
      </c>
      <c r="B93" s="230"/>
      <c r="C93" s="290"/>
      <c r="D93" s="159"/>
      <c r="E93" s="159"/>
      <c r="F93" s="229"/>
      <c r="G93" s="139"/>
      <c r="H93" s="159"/>
      <c r="I93" s="237"/>
      <c r="J93" s="291"/>
      <c r="K93" s="291"/>
      <c r="L93" s="159"/>
      <c r="M93" s="159"/>
    </row>
    <row r="94" spans="1:14" x14ac:dyDescent="0.2">
      <c r="A94" s="298" t="s">
        <v>13</v>
      </c>
      <c r="B94" s="230"/>
      <c r="C94" s="290"/>
      <c r="D94" s="159"/>
      <c r="E94" s="159"/>
      <c r="F94" s="229"/>
      <c r="G94" s="139"/>
      <c r="H94" s="159"/>
      <c r="I94" s="237"/>
      <c r="J94" s="291"/>
      <c r="K94" s="291"/>
      <c r="L94" s="159"/>
      <c r="M94" s="159"/>
    </row>
    <row r="95" spans="1:14" ht="15.75" x14ac:dyDescent="0.2">
      <c r="A95" s="298" t="s">
        <v>331</v>
      </c>
      <c r="B95" s="282"/>
      <c r="C95" s="282"/>
      <c r="D95" s="159"/>
      <c r="E95" s="159"/>
      <c r="F95" s="805"/>
      <c r="G95" s="282"/>
      <c r="H95" s="159"/>
      <c r="I95" s="237"/>
      <c r="J95" s="291"/>
      <c r="K95" s="291"/>
      <c r="L95" s="159"/>
      <c r="M95" s="159"/>
    </row>
    <row r="96" spans="1:14" x14ac:dyDescent="0.2">
      <c r="A96" s="298" t="s">
        <v>12</v>
      </c>
      <c r="B96" s="230"/>
      <c r="C96" s="290"/>
      <c r="D96" s="159"/>
      <c r="E96" s="159"/>
      <c r="F96" s="229"/>
      <c r="G96" s="139"/>
      <c r="H96" s="159"/>
      <c r="I96" s="237"/>
      <c r="J96" s="291"/>
      <c r="K96" s="291"/>
      <c r="L96" s="159"/>
      <c r="M96" s="159"/>
    </row>
    <row r="97" spans="1:13" x14ac:dyDescent="0.2">
      <c r="A97" s="298" t="s">
        <v>13</v>
      </c>
      <c r="B97" s="230"/>
      <c r="C97" s="290"/>
      <c r="D97" s="159"/>
      <c r="E97" s="159"/>
      <c r="F97" s="229"/>
      <c r="G97" s="139"/>
      <c r="H97" s="159"/>
      <c r="I97" s="237"/>
      <c r="J97" s="291"/>
      <c r="K97" s="291"/>
      <c r="L97" s="159"/>
      <c r="M97" s="159"/>
    </row>
    <row r="98" spans="1:13" ht="15.75" x14ac:dyDescent="0.2">
      <c r="A98" s="18" t="s">
        <v>342</v>
      </c>
      <c r="B98" s="229"/>
      <c r="C98" s="139"/>
      <c r="D98" s="159"/>
      <c r="E98" s="159"/>
      <c r="F98" s="229"/>
      <c r="G98" s="139"/>
      <c r="H98" s="159"/>
      <c r="I98" s="170"/>
      <c r="J98" s="288"/>
      <c r="K98" s="37"/>
      <c r="L98" s="256"/>
      <c r="M98" s="170"/>
    </row>
    <row r="99" spans="1:13" ht="15.75" x14ac:dyDescent="0.2">
      <c r="A99" s="11" t="s">
        <v>29</v>
      </c>
      <c r="B99" s="310"/>
      <c r="C99" s="310"/>
      <c r="D99" s="159"/>
      <c r="E99" s="159"/>
      <c r="F99" s="310"/>
      <c r="G99" s="310"/>
      <c r="H99" s="159"/>
      <c r="I99" s="170"/>
      <c r="J99" s="311"/>
      <c r="K99" s="231"/>
      <c r="L99" s="256"/>
      <c r="M99" s="170"/>
    </row>
    <row r="100" spans="1:13" x14ac:dyDescent="0.2">
      <c r="A100" s="18" t="s">
        <v>9</v>
      </c>
      <c r="B100" s="229"/>
      <c r="C100" s="139"/>
      <c r="D100" s="159"/>
      <c r="E100" s="159"/>
      <c r="F100" s="229"/>
      <c r="G100" s="139"/>
      <c r="H100" s="159"/>
      <c r="I100" s="170"/>
      <c r="J100" s="288"/>
      <c r="K100" s="37"/>
      <c r="L100" s="256"/>
      <c r="M100" s="170"/>
    </row>
    <row r="101" spans="1:13" x14ac:dyDescent="0.2">
      <c r="A101" s="18" t="s">
        <v>10</v>
      </c>
      <c r="B101" s="229"/>
      <c r="C101" s="139"/>
      <c r="D101" s="159"/>
      <c r="E101" s="159"/>
      <c r="F101" s="229"/>
      <c r="G101" s="139"/>
      <c r="H101" s="159"/>
      <c r="I101" s="170"/>
      <c r="J101" s="288"/>
      <c r="K101" s="37"/>
      <c r="L101" s="256"/>
      <c r="M101" s="170"/>
    </row>
    <row r="102" spans="1:13" ht="15.75" x14ac:dyDescent="0.2">
      <c r="A102" s="298" t="s">
        <v>330</v>
      </c>
      <c r="B102" s="282"/>
      <c r="C102" s="282"/>
      <c r="D102" s="159"/>
      <c r="E102" s="159"/>
      <c r="F102" s="805"/>
      <c r="G102" s="282"/>
      <c r="H102" s="159"/>
      <c r="I102" s="237"/>
      <c r="J102" s="291"/>
      <c r="K102" s="291"/>
      <c r="L102" s="159"/>
      <c r="M102" s="159"/>
    </row>
    <row r="103" spans="1:13" x14ac:dyDescent="0.2">
      <c r="A103" s="298" t="s">
        <v>12</v>
      </c>
      <c r="B103" s="230"/>
      <c r="C103" s="290"/>
      <c r="D103" s="159"/>
      <c r="E103" s="159"/>
      <c r="F103" s="229"/>
      <c r="G103" s="139"/>
      <c r="H103" s="159"/>
      <c r="I103" s="237"/>
      <c r="J103" s="291"/>
      <c r="K103" s="291"/>
      <c r="L103" s="159"/>
      <c r="M103" s="159"/>
    </row>
    <row r="104" spans="1:13" x14ac:dyDescent="0.2">
      <c r="A104" s="298" t="s">
        <v>13</v>
      </c>
      <c r="B104" s="230"/>
      <c r="C104" s="290"/>
      <c r="D104" s="159"/>
      <c r="E104" s="159"/>
      <c r="F104" s="229"/>
      <c r="G104" s="139"/>
      <c r="H104" s="159"/>
      <c r="I104" s="237"/>
      <c r="J104" s="291"/>
      <c r="K104" s="291"/>
      <c r="L104" s="159"/>
      <c r="M104" s="159"/>
    </row>
    <row r="105" spans="1:13" ht="15.75" x14ac:dyDescent="0.2">
      <c r="A105" s="298" t="s">
        <v>331</v>
      </c>
      <c r="B105" s="282"/>
      <c r="C105" s="282"/>
      <c r="D105" s="159"/>
      <c r="E105" s="159"/>
      <c r="F105" s="805"/>
      <c r="G105" s="282"/>
      <c r="H105" s="159"/>
      <c r="I105" s="237"/>
      <c r="J105" s="291"/>
      <c r="K105" s="291"/>
      <c r="L105" s="159"/>
      <c r="M105" s="159"/>
    </row>
    <row r="106" spans="1:13" x14ac:dyDescent="0.2">
      <c r="A106" s="298" t="s">
        <v>12</v>
      </c>
      <c r="B106" s="230"/>
      <c r="C106" s="290"/>
      <c r="D106" s="159"/>
      <c r="E106" s="159"/>
      <c r="F106" s="229"/>
      <c r="G106" s="139"/>
      <c r="H106" s="159"/>
      <c r="I106" s="237"/>
      <c r="J106" s="291"/>
      <c r="K106" s="291"/>
      <c r="L106" s="159"/>
      <c r="M106" s="159"/>
    </row>
    <row r="107" spans="1:13" x14ac:dyDescent="0.2">
      <c r="A107" s="298" t="s">
        <v>13</v>
      </c>
      <c r="B107" s="230"/>
      <c r="C107" s="290"/>
      <c r="D107" s="159"/>
      <c r="E107" s="159"/>
      <c r="F107" s="229"/>
      <c r="G107" s="139"/>
      <c r="H107" s="159"/>
      <c r="I107" s="237"/>
      <c r="J107" s="291"/>
      <c r="K107" s="291"/>
      <c r="L107" s="159"/>
      <c r="M107" s="159"/>
    </row>
    <row r="108" spans="1:13" x14ac:dyDescent="0.2">
      <c r="A108" s="18" t="s">
        <v>33</v>
      </c>
      <c r="B108" s="229"/>
      <c r="C108" s="139"/>
      <c r="D108" s="159"/>
      <c r="E108" s="159"/>
      <c r="F108" s="229"/>
      <c r="G108" s="139"/>
      <c r="H108" s="159"/>
      <c r="I108" s="170"/>
      <c r="J108" s="288"/>
      <c r="K108" s="37"/>
      <c r="L108" s="256"/>
      <c r="M108" s="170"/>
    </row>
    <row r="109" spans="1:13" ht="15.75" x14ac:dyDescent="0.2">
      <c r="A109" s="18" t="s">
        <v>332</v>
      </c>
      <c r="B109" s="229"/>
      <c r="C109" s="139"/>
      <c r="D109" s="159"/>
      <c r="E109" s="159"/>
      <c r="F109" s="229"/>
      <c r="G109" s="139"/>
      <c r="H109" s="159"/>
      <c r="I109" s="170"/>
      <c r="J109" s="288"/>
      <c r="K109" s="37"/>
      <c r="L109" s="256"/>
      <c r="M109" s="170"/>
    </row>
    <row r="110" spans="1:13" x14ac:dyDescent="0.2">
      <c r="A110" s="18" t="s">
        <v>9</v>
      </c>
      <c r="B110" s="229"/>
      <c r="C110" s="139"/>
      <c r="D110" s="159"/>
      <c r="E110" s="159"/>
      <c r="F110" s="229"/>
      <c r="G110" s="139"/>
      <c r="H110" s="159"/>
      <c r="I110" s="170"/>
      <c r="J110" s="288"/>
      <c r="K110" s="37"/>
      <c r="L110" s="256"/>
      <c r="M110" s="170"/>
    </row>
    <row r="111" spans="1:13" x14ac:dyDescent="0.2">
      <c r="A111" s="18" t="s">
        <v>10</v>
      </c>
      <c r="B111" s="293"/>
      <c r="C111" s="294"/>
      <c r="D111" s="159"/>
      <c r="E111" s="159"/>
      <c r="F111" s="293"/>
      <c r="G111" s="294"/>
      <c r="H111" s="159"/>
      <c r="I111" s="170"/>
      <c r="J111" s="288"/>
      <c r="K111" s="37"/>
      <c r="L111" s="256"/>
      <c r="M111" s="170"/>
    </row>
    <row r="112" spans="1:13" ht="15.75" x14ac:dyDescent="0.2">
      <c r="A112" s="298" t="s">
        <v>330</v>
      </c>
      <c r="B112" s="282"/>
      <c r="C112" s="282"/>
      <c r="D112" s="159"/>
      <c r="E112" s="159"/>
      <c r="F112" s="805"/>
      <c r="G112" s="282"/>
      <c r="H112" s="159"/>
      <c r="I112" s="237"/>
      <c r="J112" s="291"/>
      <c r="K112" s="291"/>
      <c r="L112" s="159"/>
      <c r="M112" s="159"/>
    </row>
    <row r="113" spans="1:13" x14ac:dyDescent="0.2">
      <c r="A113" s="298" t="s">
        <v>12</v>
      </c>
      <c r="B113" s="230"/>
      <c r="C113" s="290"/>
      <c r="D113" s="159"/>
      <c r="E113" s="159"/>
      <c r="F113" s="229"/>
      <c r="G113" s="139"/>
      <c r="H113" s="159"/>
      <c r="I113" s="237"/>
      <c r="J113" s="291"/>
      <c r="K113" s="291"/>
      <c r="L113" s="159"/>
      <c r="M113" s="159"/>
    </row>
    <row r="114" spans="1:13" x14ac:dyDescent="0.2">
      <c r="A114" s="298" t="s">
        <v>13</v>
      </c>
      <c r="B114" s="230"/>
      <c r="C114" s="290"/>
      <c r="D114" s="159"/>
      <c r="E114" s="159"/>
      <c r="F114" s="229"/>
      <c r="G114" s="139"/>
      <c r="H114" s="159"/>
      <c r="I114" s="237"/>
      <c r="J114" s="291"/>
      <c r="K114" s="291"/>
      <c r="L114" s="159"/>
      <c r="M114" s="159"/>
    </row>
    <row r="115" spans="1:13" ht="15.75" x14ac:dyDescent="0.2">
      <c r="A115" s="298" t="s">
        <v>331</v>
      </c>
      <c r="B115" s="282"/>
      <c r="C115" s="282"/>
      <c r="D115" s="159"/>
      <c r="E115" s="159"/>
      <c r="F115" s="805"/>
      <c r="G115" s="282"/>
      <c r="H115" s="159"/>
      <c r="I115" s="237"/>
      <c r="J115" s="291"/>
      <c r="K115" s="291"/>
      <c r="L115" s="159"/>
      <c r="M115" s="159"/>
    </row>
    <row r="116" spans="1:13" x14ac:dyDescent="0.2">
      <c r="A116" s="298" t="s">
        <v>12</v>
      </c>
      <c r="B116" s="230"/>
      <c r="C116" s="290"/>
      <c r="D116" s="159"/>
      <c r="E116" s="159"/>
      <c r="F116" s="229"/>
      <c r="G116" s="139"/>
      <c r="H116" s="159"/>
      <c r="I116" s="237"/>
      <c r="J116" s="291"/>
      <c r="K116" s="291"/>
      <c r="L116" s="159"/>
      <c r="M116" s="159"/>
    </row>
    <row r="117" spans="1:13" x14ac:dyDescent="0.2">
      <c r="A117" s="298" t="s">
        <v>13</v>
      </c>
      <c r="B117" s="232"/>
      <c r="C117" s="297"/>
      <c r="D117" s="159"/>
      <c r="E117" s="159"/>
      <c r="F117" s="233"/>
      <c r="G117" s="807"/>
      <c r="H117" s="159"/>
      <c r="I117" s="237"/>
      <c r="J117" s="291"/>
      <c r="K117" s="291"/>
      <c r="L117" s="159"/>
      <c r="M117" s="159"/>
    </row>
    <row r="118" spans="1:13" ht="15.75" x14ac:dyDescent="0.2">
      <c r="A118" s="18" t="s">
        <v>342</v>
      </c>
      <c r="B118" s="229"/>
      <c r="C118" s="139"/>
      <c r="D118" s="159"/>
      <c r="E118" s="159"/>
      <c r="F118" s="229"/>
      <c r="G118" s="139"/>
      <c r="H118" s="159"/>
      <c r="I118" s="170"/>
      <c r="J118" s="288"/>
      <c r="K118" s="37"/>
      <c r="L118" s="256"/>
      <c r="M118" s="170"/>
    </row>
    <row r="119" spans="1:13" ht="15.75" x14ac:dyDescent="0.2">
      <c r="A119" s="11" t="s">
        <v>28</v>
      </c>
      <c r="B119" s="355"/>
      <c r="C119" s="355"/>
      <c r="D119" s="159"/>
      <c r="E119" s="159"/>
      <c r="F119" s="355"/>
      <c r="G119" s="355"/>
      <c r="H119" s="159"/>
      <c r="I119" s="170"/>
      <c r="J119" s="311"/>
      <c r="K119" s="231"/>
      <c r="L119" s="256"/>
      <c r="M119" s="170"/>
    </row>
    <row r="120" spans="1:13" x14ac:dyDescent="0.2">
      <c r="A120" s="18" t="s">
        <v>9</v>
      </c>
      <c r="B120" s="229"/>
      <c r="C120" s="139"/>
      <c r="D120" s="159"/>
      <c r="E120" s="159"/>
      <c r="F120" s="229"/>
      <c r="G120" s="139"/>
      <c r="H120" s="159"/>
      <c r="I120" s="170"/>
      <c r="J120" s="288"/>
      <c r="K120" s="37"/>
      <c r="L120" s="256"/>
      <c r="M120" s="170"/>
    </row>
    <row r="121" spans="1:13" x14ac:dyDescent="0.2">
      <c r="A121" s="18" t="s">
        <v>10</v>
      </c>
      <c r="B121" s="229"/>
      <c r="C121" s="139"/>
      <c r="D121" s="159"/>
      <c r="E121" s="159"/>
      <c r="F121" s="229"/>
      <c r="G121" s="139"/>
      <c r="H121" s="159"/>
      <c r="I121" s="170"/>
      <c r="J121" s="288"/>
      <c r="K121" s="37"/>
      <c r="L121" s="256"/>
      <c r="M121" s="170"/>
    </row>
    <row r="122" spans="1:13" ht="15.75" x14ac:dyDescent="0.2">
      <c r="A122" s="298" t="s">
        <v>330</v>
      </c>
      <c r="B122" s="282"/>
      <c r="C122" s="282"/>
      <c r="D122" s="159"/>
      <c r="E122" s="159"/>
      <c r="F122" s="805"/>
      <c r="G122" s="282"/>
      <c r="H122" s="159"/>
      <c r="I122" s="237"/>
      <c r="J122" s="291"/>
      <c r="K122" s="291"/>
      <c r="L122" s="159"/>
      <c r="M122" s="159"/>
    </row>
    <row r="123" spans="1:13" x14ac:dyDescent="0.2">
      <c r="A123" s="298" t="s">
        <v>12</v>
      </c>
      <c r="B123" s="230"/>
      <c r="C123" s="290"/>
      <c r="D123" s="159"/>
      <c r="E123" s="159"/>
      <c r="F123" s="229"/>
      <c r="G123" s="139"/>
      <c r="H123" s="159"/>
      <c r="I123" s="237"/>
      <c r="J123" s="291"/>
      <c r="K123" s="291"/>
      <c r="L123" s="159"/>
      <c r="M123" s="159"/>
    </row>
    <row r="124" spans="1:13" x14ac:dyDescent="0.2">
      <c r="A124" s="298" t="s">
        <v>13</v>
      </c>
      <c r="B124" s="230"/>
      <c r="C124" s="290"/>
      <c r="D124" s="159"/>
      <c r="E124" s="159"/>
      <c r="F124" s="229"/>
      <c r="G124" s="139"/>
      <c r="H124" s="159"/>
      <c r="I124" s="237"/>
      <c r="J124" s="291"/>
      <c r="K124" s="291"/>
      <c r="L124" s="159"/>
      <c r="M124" s="159"/>
    </row>
    <row r="125" spans="1:13" ht="15.75" x14ac:dyDescent="0.2">
      <c r="A125" s="298" t="s">
        <v>331</v>
      </c>
      <c r="B125" s="282"/>
      <c r="C125" s="282"/>
      <c r="D125" s="159"/>
      <c r="E125" s="159"/>
      <c r="F125" s="805"/>
      <c r="G125" s="282"/>
      <c r="H125" s="159"/>
      <c r="I125" s="237"/>
      <c r="J125" s="291"/>
      <c r="K125" s="291"/>
      <c r="L125" s="159"/>
      <c r="M125" s="159"/>
    </row>
    <row r="126" spans="1:13" x14ac:dyDescent="0.2">
      <c r="A126" s="298" t="s">
        <v>12</v>
      </c>
      <c r="B126" s="230"/>
      <c r="C126" s="290"/>
      <c r="D126" s="159"/>
      <c r="E126" s="159"/>
      <c r="F126" s="229"/>
      <c r="G126" s="139"/>
      <c r="H126" s="159"/>
      <c r="I126" s="237"/>
      <c r="J126" s="291"/>
      <c r="K126" s="291"/>
      <c r="L126" s="159"/>
      <c r="M126" s="159"/>
    </row>
    <row r="127" spans="1:13" x14ac:dyDescent="0.2">
      <c r="A127" s="298" t="s">
        <v>13</v>
      </c>
      <c r="B127" s="230"/>
      <c r="C127" s="290"/>
      <c r="D127" s="159"/>
      <c r="E127" s="159"/>
      <c r="F127" s="229"/>
      <c r="G127" s="139"/>
      <c r="H127" s="159"/>
      <c r="I127" s="237"/>
      <c r="J127" s="291"/>
      <c r="K127" s="291"/>
      <c r="L127" s="159"/>
      <c r="M127" s="159"/>
    </row>
    <row r="128" spans="1:13" x14ac:dyDescent="0.2">
      <c r="A128" s="18" t="s">
        <v>34</v>
      </c>
      <c r="B128" s="229"/>
      <c r="C128" s="139"/>
      <c r="D128" s="159"/>
      <c r="E128" s="159"/>
      <c r="F128" s="229"/>
      <c r="G128" s="139"/>
      <c r="H128" s="159"/>
      <c r="I128" s="170"/>
      <c r="J128" s="288"/>
      <c r="K128" s="37"/>
      <c r="L128" s="256"/>
      <c r="M128" s="170"/>
    </row>
    <row r="129" spans="1:13" ht="15.75" x14ac:dyDescent="0.2">
      <c r="A129" s="18" t="s">
        <v>332</v>
      </c>
      <c r="B129" s="229"/>
      <c r="C129" s="229"/>
      <c r="D129" s="159"/>
      <c r="E129" s="159"/>
      <c r="F129" s="229"/>
      <c r="G129" s="229"/>
      <c r="H129" s="159"/>
      <c r="I129" s="170"/>
      <c r="J129" s="288"/>
      <c r="K129" s="37"/>
      <c r="L129" s="256"/>
      <c r="M129" s="170"/>
    </row>
    <row r="130" spans="1:13" x14ac:dyDescent="0.2">
      <c r="A130" s="18" t="s">
        <v>9</v>
      </c>
      <c r="B130" s="293"/>
      <c r="C130" s="294"/>
      <c r="D130" s="159"/>
      <c r="E130" s="159"/>
      <c r="F130" s="293"/>
      <c r="G130" s="294"/>
      <c r="H130" s="159"/>
      <c r="I130" s="170"/>
      <c r="J130" s="288"/>
      <c r="K130" s="37"/>
      <c r="L130" s="256"/>
      <c r="M130" s="170"/>
    </row>
    <row r="131" spans="1:13" x14ac:dyDescent="0.2">
      <c r="A131" s="18" t="s">
        <v>10</v>
      </c>
      <c r="B131" s="293"/>
      <c r="C131" s="294"/>
      <c r="D131" s="159"/>
      <c r="E131" s="159"/>
      <c r="F131" s="293"/>
      <c r="G131" s="294"/>
      <c r="H131" s="159"/>
      <c r="I131" s="170"/>
      <c r="J131" s="288"/>
      <c r="K131" s="37"/>
      <c r="L131" s="256"/>
      <c r="M131" s="170"/>
    </row>
    <row r="132" spans="1:13" ht="15.75" x14ac:dyDescent="0.2">
      <c r="A132" s="298" t="s">
        <v>330</v>
      </c>
      <c r="B132" s="282"/>
      <c r="C132" s="282"/>
      <c r="D132" s="159"/>
      <c r="E132" s="159"/>
      <c r="F132" s="805"/>
      <c r="G132" s="282"/>
      <c r="H132" s="159"/>
      <c r="I132" s="237"/>
      <c r="J132" s="291"/>
      <c r="K132" s="291"/>
      <c r="L132" s="159"/>
      <c r="M132" s="159"/>
    </row>
    <row r="133" spans="1:13" x14ac:dyDescent="0.2">
      <c r="A133" s="298" t="s">
        <v>12</v>
      </c>
      <c r="B133" s="230"/>
      <c r="C133" s="290"/>
      <c r="D133" s="159"/>
      <c r="E133" s="159"/>
      <c r="F133" s="229"/>
      <c r="G133" s="139"/>
      <c r="H133" s="159"/>
      <c r="I133" s="237"/>
      <c r="J133" s="291"/>
      <c r="K133" s="291"/>
      <c r="L133" s="159"/>
      <c r="M133" s="159"/>
    </row>
    <row r="134" spans="1:13" x14ac:dyDescent="0.2">
      <c r="A134" s="298" t="s">
        <v>13</v>
      </c>
      <c r="B134" s="230"/>
      <c r="C134" s="290"/>
      <c r="D134" s="159"/>
      <c r="E134" s="159"/>
      <c r="F134" s="229"/>
      <c r="G134" s="139"/>
      <c r="H134" s="159"/>
      <c r="I134" s="237"/>
      <c r="J134" s="291"/>
      <c r="K134" s="291"/>
      <c r="L134" s="159"/>
      <c r="M134" s="159"/>
    </row>
    <row r="135" spans="1:13" ht="15.75" x14ac:dyDescent="0.2">
      <c r="A135" s="298" t="s">
        <v>331</v>
      </c>
      <c r="B135" s="282"/>
      <c r="C135" s="282"/>
      <c r="D135" s="159"/>
      <c r="E135" s="159"/>
      <c r="F135" s="805"/>
      <c r="G135" s="282"/>
      <c r="H135" s="159"/>
      <c r="I135" s="237"/>
      <c r="J135" s="291"/>
      <c r="K135" s="291"/>
      <c r="L135" s="159"/>
      <c r="M135" s="159"/>
    </row>
    <row r="136" spans="1:13" x14ac:dyDescent="0.2">
      <c r="A136" s="298" t="s">
        <v>12</v>
      </c>
      <c r="B136" s="230"/>
      <c r="C136" s="290"/>
      <c r="D136" s="159"/>
      <c r="E136" s="159"/>
      <c r="F136" s="229"/>
      <c r="G136" s="139"/>
      <c r="H136" s="159"/>
      <c r="I136" s="237"/>
      <c r="J136" s="291"/>
      <c r="K136" s="291"/>
      <c r="L136" s="159"/>
      <c r="M136" s="159"/>
    </row>
    <row r="137" spans="1:13" x14ac:dyDescent="0.2">
      <c r="A137" s="298" t="s">
        <v>13</v>
      </c>
      <c r="B137" s="230"/>
      <c r="C137" s="290"/>
      <c r="D137" s="159"/>
      <c r="E137" s="159"/>
      <c r="F137" s="229"/>
      <c r="G137" s="139"/>
      <c r="H137" s="159"/>
      <c r="I137" s="237"/>
      <c r="J137" s="291"/>
      <c r="K137" s="291"/>
      <c r="L137" s="159"/>
      <c r="M137" s="159"/>
    </row>
    <row r="138" spans="1:13" ht="15.75" x14ac:dyDescent="0.2">
      <c r="A138" s="18" t="s">
        <v>342</v>
      </c>
      <c r="B138" s="229"/>
      <c r="C138" s="139"/>
      <c r="D138" s="159"/>
      <c r="E138" s="159"/>
      <c r="F138" s="229"/>
      <c r="G138" s="139"/>
      <c r="H138" s="159"/>
      <c r="I138" s="170"/>
      <c r="J138" s="288"/>
      <c r="K138" s="37"/>
      <c r="L138" s="256"/>
      <c r="M138" s="170"/>
    </row>
    <row r="139" spans="1:13" ht="15.75" x14ac:dyDescent="0.2">
      <c r="A139" s="18" t="s">
        <v>343</v>
      </c>
      <c r="B139" s="229"/>
      <c r="C139" s="229"/>
      <c r="D139" s="159"/>
      <c r="E139" s="159"/>
      <c r="F139" s="229"/>
      <c r="G139" s="229"/>
      <c r="H139" s="159"/>
      <c r="I139" s="170"/>
      <c r="J139" s="288"/>
      <c r="K139" s="37"/>
      <c r="L139" s="256"/>
      <c r="M139" s="170"/>
    </row>
    <row r="140" spans="1:13" ht="15.75" x14ac:dyDescent="0.2">
      <c r="A140" s="18" t="s">
        <v>334</v>
      </c>
      <c r="B140" s="229"/>
      <c r="C140" s="229"/>
      <c r="D140" s="159"/>
      <c r="E140" s="159"/>
      <c r="F140" s="229"/>
      <c r="G140" s="229"/>
      <c r="H140" s="159"/>
      <c r="I140" s="170"/>
      <c r="J140" s="288"/>
      <c r="K140" s="37"/>
      <c r="L140" s="256"/>
      <c r="M140" s="170"/>
    </row>
    <row r="141" spans="1:13" ht="15.75" x14ac:dyDescent="0.2">
      <c r="A141" s="18" t="s">
        <v>335</v>
      </c>
      <c r="B141" s="229"/>
      <c r="C141" s="229"/>
      <c r="D141" s="159"/>
      <c r="E141" s="159"/>
      <c r="F141" s="229"/>
      <c r="G141" s="229"/>
      <c r="H141" s="159"/>
      <c r="I141" s="170"/>
      <c r="J141" s="288"/>
      <c r="K141" s="37"/>
      <c r="L141" s="256"/>
      <c r="M141" s="170"/>
    </row>
    <row r="142" spans="1:13" ht="15.75" x14ac:dyDescent="0.2">
      <c r="A142" s="11" t="s">
        <v>27</v>
      </c>
      <c r="B142" s="310"/>
      <c r="C142" s="152"/>
      <c r="D142" s="159"/>
      <c r="E142" s="159"/>
      <c r="F142" s="310"/>
      <c r="G142" s="152"/>
      <c r="H142" s="159"/>
      <c r="I142" s="170"/>
      <c r="J142" s="311"/>
      <c r="K142" s="231"/>
      <c r="L142" s="256"/>
      <c r="M142" s="170"/>
    </row>
    <row r="143" spans="1:13" x14ac:dyDescent="0.2">
      <c r="A143" s="18" t="s">
        <v>9</v>
      </c>
      <c r="B143" s="229"/>
      <c r="C143" s="139"/>
      <c r="D143" s="159"/>
      <c r="E143" s="159"/>
      <c r="F143" s="229"/>
      <c r="G143" s="139"/>
      <c r="H143" s="159"/>
      <c r="I143" s="170"/>
      <c r="J143" s="288"/>
      <c r="K143" s="37"/>
      <c r="L143" s="256"/>
      <c r="M143" s="170"/>
    </row>
    <row r="144" spans="1:13" x14ac:dyDescent="0.2">
      <c r="A144" s="18" t="s">
        <v>10</v>
      </c>
      <c r="B144" s="229"/>
      <c r="C144" s="139"/>
      <c r="D144" s="159"/>
      <c r="E144" s="159"/>
      <c r="F144" s="229"/>
      <c r="G144" s="139"/>
      <c r="H144" s="159"/>
      <c r="I144" s="170"/>
      <c r="J144" s="288"/>
      <c r="K144" s="37"/>
      <c r="L144" s="256"/>
      <c r="M144" s="170"/>
    </row>
    <row r="145" spans="1:14" x14ac:dyDescent="0.2">
      <c r="A145" s="18" t="s">
        <v>34</v>
      </c>
      <c r="B145" s="229"/>
      <c r="C145" s="139"/>
      <c r="D145" s="159"/>
      <c r="E145" s="159"/>
      <c r="F145" s="229"/>
      <c r="G145" s="139"/>
      <c r="H145" s="159"/>
      <c r="I145" s="170"/>
      <c r="J145" s="288"/>
      <c r="K145" s="37"/>
      <c r="L145" s="256"/>
      <c r="M145" s="170"/>
    </row>
    <row r="146" spans="1:14" x14ac:dyDescent="0.2">
      <c r="A146" s="298" t="s">
        <v>15</v>
      </c>
      <c r="B146" s="282"/>
      <c r="C146" s="282"/>
      <c r="D146" s="159"/>
      <c r="E146" s="159"/>
      <c r="F146" s="805"/>
      <c r="G146" s="282"/>
      <c r="H146" s="159"/>
      <c r="I146" s="237"/>
      <c r="J146" s="291"/>
      <c r="K146" s="291"/>
      <c r="L146" s="159"/>
      <c r="M146" s="159"/>
    </row>
    <row r="147" spans="1:14" ht="15.75" x14ac:dyDescent="0.2">
      <c r="A147" s="18" t="s">
        <v>344</v>
      </c>
      <c r="B147" s="229"/>
      <c r="C147" s="229"/>
      <c r="D147" s="159"/>
      <c r="E147" s="159"/>
      <c r="F147" s="229"/>
      <c r="G147" s="229"/>
      <c r="H147" s="159"/>
      <c r="I147" s="170"/>
      <c r="J147" s="288"/>
      <c r="K147" s="37"/>
      <c r="L147" s="256"/>
      <c r="M147" s="170"/>
    </row>
    <row r="148" spans="1:14" ht="15.75" x14ac:dyDescent="0.2">
      <c r="A148" s="18" t="s">
        <v>336</v>
      </c>
      <c r="B148" s="229"/>
      <c r="C148" s="229"/>
      <c r="D148" s="159"/>
      <c r="E148" s="159"/>
      <c r="F148" s="229"/>
      <c r="G148" s="229"/>
      <c r="H148" s="159"/>
      <c r="I148" s="170"/>
      <c r="J148" s="288"/>
      <c r="K148" s="37"/>
      <c r="L148" s="256"/>
      <c r="M148" s="170"/>
    </row>
    <row r="149" spans="1:14" ht="15.75" x14ac:dyDescent="0.2">
      <c r="A149" s="18" t="s">
        <v>335</v>
      </c>
      <c r="B149" s="229"/>
      <c r="C149" s="229"/>
      <c r="D149" s="159"/>
      <c r="E149" s="159"/>
      <c r="F149" s="229"/>
      <c r="G149" s="229"/>
      <c r="H149" s="159"/>
      <c r="I149" s="170"/>
      <c r="J149" s="288"/>
      <c r="K149" s="37"/>
      <c r="L149" s="256"/>
      <c r="M149" s="170"/>
    </row>
    <row r="150" spans="1:14" ht="15.75" x14ac:dyDescent="0.2">
      <c r="A150" s="11" t="s">
        <v>26</v>
      </c>
      <c r="B150" s="310"/>
      <c r="C150" s="152"/>
      <c r="D150" s="159"/>
      <c r="E150" s="159"/>
      <c r="F150" s="310"/>
      <c r="G150" s="152"/>
      <c r="H150" s="159"/>
      <c r="I150" s="170"/>
      <c r="J150" s="311"/>
      <c r="K150" s="231"/>
      <c r="L150" s="256"/>
      <c r="M150" s="170"/>
    </row>
    <row r="151" spans="1:14" x14ac:dyDescent="0.2">
      <c r="A151" s="18" t="s">
        <v>9</v>
      </c>
      <c r="B151" s="229"/>
      <c r="C151" s="139"/>
      <c r="D151" s="159"/>
      <c r="E151" s="159"/>
      <c r="F151" s="229"/>
      <c r="G151" s="139"/>
      <c r="H151" s="159"/>
      <c r="I151" s="170"/>
      <c r="J151" s="288"/>
      <c r="K151" s="37"/>
      <c r="L151" s="256"/>
      <c r="M151" s="170"/>
    </row>
    <row r="152" spans="1:14" x14ac:dyDescent="0.2">
      <c r="A152" s="18" t="s">
        <v>10</v>
      </c>
      <c r="B152" s="229"/>
      <c r="C152" s="139"/>
      <c r="D152" s="159"/>
      <c r="E152" s="159"/>
      <c r="F152" s="229"/>
      <c r="G152" s="139"/>
      <c r="H152" s="159"/>
      <c r="I152" s="170"/>
      <c r="J152" s="288"/>
      <c r="K152" s="37"/>
      <c r="L152" s="256"/>
      <c r="M152" s="170"/>
    </row>
    <row r="153" spans="1:14" x14ac:dyDescent="0.2">
      <c r="A153" s="18" t="s">
        <v>34</v>
      </c>
      <c r="B153" s="229"/>
      <c r="C153" s="139"/>
      <c r="D153" s="159"/>
      <c r="E153" s="159"/>
      <c r="F153" s="229"/>
      <c r="G153" s="139"/>
      <c r="H153" s="159"/>
      <c r="I153" s="170"/>
      <c r="J153" s="288"/>
      <c r="K153" s="37"/>
      <c r="L153" s="256"/>
      <c r="M153" s="170"/>
    </row>
    <row r="154" spans="1:14" x14ac:dyDescent="0.2">
      <c r="A154" s="298" t="s">
        <v>14</v>
      </c>
      <c r="B154" s="282"/>
      <c r="C154" s="282"/>
      <c r="D154" s="159"/>
      <c r="E154" s="159"/>
      <c r="F154" s="805"/>
      <c r="G154" s="282"/>
      <c r="H154" s="159"/>
      <c r="I154" s="237"/>
      <c r="J154" s="291"/>
      <c r="K154" s="291"/>
      <c r="L154" s="159"/>
      <c r="M154" s="159"/>
    </row>
    <row r="155" spans="1:14" ht="15.75" x14ac:dyDescent="0.2">
      <c r="A155" s="18" t="s">
        <v>333</v>
      </c>
      <c r="B155" s="229"/>
      <c r="C155" s="229"/>
      <c r="D155" s="159"/>
      <c r="E155" s="159"/>
      <c r="F155" s="229"/>
      <c r="G155" s="229"/>
      <c r="H155" s="159"/>
      <c r="I155" s="170"/>
      <c r="J155" s="288"/>
      <c r="K155" s="37"/>
      <c r="L155" s="256"/>
      <c r="M155" s="170"/>
    </row>
    <row r="156" spans="1:14" ht="15.75" x14ac:dyDescent="0.2">
      <c r="A156" s="18" t="s">
        <v>334</v>
      </c>
      <c r="B156" s="229"/>
      <c r="C156" s="229"/>
      <c r="D156" s="159"/>
      <c r="E156" s="159"/>
      <c r="F156" s="229"/>
      <c r="G156" s="229"/>
      <c r="H156" s="159"/>
      <c r="I156" s="170"/>
      <c r="J156" s="288"/>
      <c r="K156" s="37"/>
      <c r="L156" s="256"/>
      <c r="M156" s="170"/>
    </row>
    <row r="157" spans="1:14" ht="15.75" x14ac:dyDescent="0.2">
      <c r="A157" s="9" t="s">
        <v>335</v>
      </c>
      <c r="B157" s="38"/>
      <c r="C157" s="38"/>
      <c r="D157" s="160"/>
      <c r="E157" s="160"/>
      <c r="F157" s="400"/>
      <c r="G157" s="38"/>
      <c r="H157" s="160"/>
      <c r="I157" s="160"/>
      <c r="J157" s="289"/>
      <c r="K157" s="38"/>
      <c r="L157" s="257"/>
      <c r="M157" s="160"/>
    </row>
    <row r="158" spans="1:14" x14ac:dyDescent="0.2">
      <c r="A158" s="148"/>
      <c r="L158" s="20"/>
      <c r="M158" s="20"/>
      <c r="N158" s="20"/>
    </row>
    <row r="159" spans="1:14" x14ac:dyDescent="0.2">
      <c r="L159" s="20"/>
      <c r="M159" s="20"/>
      <c r="N159" s="20"/>
    </row>
    <row r="160" spans="1:14" ht="15.75" x14ac:dyDescent="0.25">
      <c r="A160" s="158" t="s">
        <v>35</v>
      </c>
    </row>
    <row r="161" spans="1:14" ht="15.75" x14ac:dyDescent="0.25">
      <c r="B161" s="832"/>
      <c r="C161" s="832"/>
      <c r="D161" s="832"/>
      <c r="E161" s="301"/>
      <c r="F161" s="832"/>
      <c r="G161" s="832"/>
      <c r="H161" s="832"/>
      <c r="I161" s="301"/>
      <c r="J161" s="832"/>
      <c r="K161" s="832"/>
      <c r="L161" s="832"/>
      <c r="M161" s="301"/>
    </row>
    <row r="162" spans="1:14" s="3" customFormat="1" x14ac:dyDescent="0.2">
      <c r="A162" s="138"/>
      <c r="B162" s="833" t="s">
        <v>0</v>
      </c>
      <c r="C162" s="834"/>
      <c r="D162" s="834"/>
      <c r="E162" s="303"/>
      <c r="F162" s="833" t="s">
        <v>1</v>
      </c>
      <c r="G162" s="834"/>
      <c r="H162" s="834"/>
      <c r="I162" s="306"/>
      <c r="J162" s="833" t="s">
        <v>2</v>
      </c>
      <c r="K162" s="834"/>
      <c r="L162" s="834"/>
      <c r="M162" s="306"/>
      <c r="N162" s="142"/>
    </row>
    <row r="163" spans="1:14" s="3" customFormat="1" x14ac:dyDescent="0.2">
      <c r="A163" s="134"/>
      <c r="B163" s="145" t="s">
        <v>400</v>
      </c>
      <c r="C163" s="145" t="s">
        <v>401</v>
      </c>
      <c r="D163" s="242" t="s">
        <v>3</v>
      </c>
      <c r="E163" s="307" t="s">
        <v>37</v>
      </c>
      <c r="F163" s="145" t="s">
        <v>400</v>
      </c>
      <c r="G163" s="145" t="s">
        <v>401</v>
      </c>
      <c r="H163" s="242" t="s">
        <v>3</v>
      </c>
      <c r="I163" s="307" t="s">
        <v>37</v>
      </c>
      <c r="J163" s="145" t="s">
        <v>400</v>
      </c>
      <c r="K163" s="145" t="s">
        <v>401</v>
      </c>
      <c r="L163" s="242" t="s">
        <v>3</v>
      </c>
      <c r="M163" s="155" t="s">
        <v>37</v>
      </c>
      <c r="N163" s="142"/>
    </row>
    <row r="164" spans="1:14" s="3" customFormat="1" x14ac:dyDescent="0.2">
      <c r="A164" s="403"/>
      <c r="B164" s="149"/>
      <c r="C164" s="149"/>
      <c r="D164" s="243" t="s">
        <v>4</v>
      </c>
      <c r="E164" s="149" t="s">
        <v>38</v>
      </c>
      <c r="F164" s="154"/>
      <c r="G164" s="154"/>
      <c r="H164" s="242" t="s">
        <v>4</v>
      </c>
      <c r="I164" s="149" t="s">
        <v>38</v>
      </c>
      <c r="J164" s="154"/>
      <c r="K164" s="154"/>
      <c r="L164" s="242" t="s">
        <v>4</v>
      </c>
      <c r="M164" s="149" t="s">
        <v>38</v>
      </c>
      <c r="N164" s="142"/>
    </row>
    <row r="165" spans="1:14" s="3" customFormat="1" ht="15.75" x14ac:dyDescent="0.2">
      <c r="A165" s="12" t="s">
        <v>337</v>
      </c>
      <c r="B165" s="231"/>
      <c r="C165" s="311"/>
      <c r="D165" s="251"/>
      <c r="E165" s="170"/>
      <c r="F165" s="318"/>
      <c r="G165" s="319"/>
      <c r="H165" s="252"/>
      <c r="I165" s="159"/>
      <c r="J165" s="320"/>
      <c r="K165" s="320"/>
      <c r="L165" s="255"/>
      <c r="M165" s="170"/>
      <c r="N165" s="142"/>
    </row>
    <row r="166" spans="1:14" s="3" customFormat="1" ht="15.75" x14ac:dyDescent="0.2">
      <c r="A166" s="11" t="s">
        <v>338</v>
      </c>
      <c r="B166" s="231"/>
      <c r="C166" s="311"/>
      <c r="D166" s="159"/>
      <c r="E166" s="170"/>
      <c r="F166" s="231"/>
      <c r="G166" s="311"/>
      <c r="H166" s="236"/>
      <c r="I166" s="159"/>
      <c r="J166" s="310"/>
      <c r="K166" s="310"/>
      <c r="L166" s="256"/>
      <c r="M166" s="170"/>
      <c r="N166" s="142"/>
    </row>
    <row r="167" spans="1:14" s="3" customFormat="1" ht="15.75" x14ac:dyDescent="0.2">
      <c r="A167" s="11" t="s">
        <v>339</v>
      </c>
      <c r="B167" s="231"/>
      <c r="C167" s="311"/>
      <c r="D167" s="159"/>
      <c r="E167" s="170"/>
      <c r="F167" s="231"/>
      <c r="G167" s="311"/>
      <c r="H167" s="236"/>
      <c r="I167" s="159"/>
      <c r="J167" s="310"/>
      <c r="K167" s="310"/>
      <c r="L167" s="256"/>
      <c r="M167" s="170"/>
      <c r="N167" s="142"/>
    </row>
    <row r="168" spans="1:14" s="3" customFormat="1" ht="15.75" x14ac:dyDescent="0.2">
      <c r="A168" s="11" t="s">
        <v>340</v>
      </c>
      <c r="B168" s="231"/>
      <c r="C168" s="311"/>
      <c r="D168" s="159"/>
      <c r="E168" s="170"/>
      <c r="F168" s="231"/>
      <c r="G168" s="311"/>
      <c r="H168" s="236"/>
      <c r="I168" s="159"/>
      <c r="J168" s="310"/>
      <c r="K168" s="310"/>
      <c r="L168" s="256"/>
      <c r="M168" s="170"/>
      <c r="N168" s="142"/>
    </row>
    <row r="169" spans="1:14" s="3" customFormat="1" ht="15.75" x14ac:dyDescent="0.2">
      <c r="A169" s="34" t="s">
        <v>341</v>
      </c>
      <c r="B169" s="277"/>
      <c r="C169" s="317"/>
      <c r="D169" s="160"/>
      <c r="E169" s="201"/>
      <c r="F169" s="277"/>
      <c r="G169" s="317"/>
      <c r="H169" s="239"/>
      <c r="I169" s="160"/>
      <c r="J169" s="316"/>
      <c r="K169" s="316"/>
      <c r="L169" s="257"/>
      <c r="M169" s="160"/>
      <c r="N169" s="142"/>
    </row>
    <row r="170" spans="1:14" s="3" customFormat="1" x14ac:dyDescent="0.2">
      <c r="A170" s="161"/>
      <c r="B170" s="27"/>
      <c r="C170" s="27"/>
      <c r="D170" s="152"/>
      <c r="E170" s="152"/>
      <c r="F170" s="27"/>
      <c r="G170" s="27"/>
      <c r="H170" s="152"/>
      <c r="I170" s="152"/>
      <c r="J170" s="27"/>
      <c r="K170" s="27"/>
      <c r="L170" s="152"/>
      <c r="M170" s="152"/>
      <c r="N170" s="142"/>
    </row>
    <row r="171" spans="1:14" x14ac:dyDescent="0.2">
      <c r="A171" s="161"/>
      <c r="B171" s="27"/>
      <c r="C171" s="27"/>
      <c r="D171" s="152"/>
      <c r="E171" s="152"/>
      <c r="F171" s="27"/>
      <c r="G171" s="27"/>
      <c r="H171" s="152"/>
      <c r="I171" s="152"/>
      <c r="J171" s="27"/>
      <c r="K171" s="27"/>
      <c r="L171" s="152"/>
      <c r="M171" s="152"/>
      <c r="N171" s="142"/>
    </row>
    <row r="172" spans="1:14" x14ac:dyDescent="0.2">
      <c r="A172" s="161"/>
      <c r="B172" s="27"/>
      <c r="C172" s="27"/>
      <c r="D172" s="152"/>
      <c r="E172" s="152"/>
      <c r="F172" s="27"/>
      <c r="G172" s="27"/>
      <c r="H172" s="152"/>
      <c r="I172" s="152"/>
      <c r="J172" s="27"/>
      <c r="K172" s="27"/>
      <c r="L172" s="152"/>
      <c r="M172" s="152"/>
      <c r="N172" s="142"/>
    </row>
    <row r="173" spans="1:14" x14ac:dyDescent="0.2">
      <c r="A173" s="140"/>
      <c r="B173" s="140"/>
      <c r="C173" s="140"/>
      <c r="D173" s="140"/>
      <c r="E173" s="140"/>
      <c r="F173" s="140"/>
      <c r="G173" s="140"/>
      <c r="H173" s="140"/>
      <c r="I173" s="140"/>
      <c r="J173" s="140"/>
      <c r="K173" s="140"/>
      <c r="L173" s="140"/>
      <c r="M173" s="140"/>
      <c r="N173" s="140"/>
    </row>
    <row r="174" spans="1:14" ht="15.75" x14ac:dyDescent="0.25">
      <c r="B174" s="136"/>
      <c r="C174" s="136"/>
      <c r="D174" s="136"/>
      <c r="E174" s="136"/>
      <c r="F174" s="136"/>
      <c r="G174" s="136"/>
      <c r="H174" s="136"/>
      <c r="I174" s="136"/>
      <c r="J174" s="136"/>
      <c r="K174" s="136"/>
      <c r="L174" s="136"/>
      <c r="M174" s="136"/>
      <c r="N174" s="136"/>
    </row>
    <row r="175" spans="1:14" ht="15.75" x14ac:dyDescent="0.25">
      <c r="B175" s="150"/>
      <c r="C175" s="150"/>
      <c r="D175" s="150"/>
      <c r="E175" s="150"/>
      <c r="F175" s="150"/>
      <c r="G175" s="150"/>
      <c r="H175" s="150"/>
      <c r="I175" s="150"/>
      <c r="J175" s="150"/>
      <c r="K175" s="150"/>
      <c r="L175" s="150"/>
      <c r="M175" s="150"/>
      <c r="N175" s="150"/>
    </row>
    <row r="176" spans="1:14" ht="15.75" x14ac:dyDescent="0.25">
      <c r="B176" s="150"/>
      <c r="C176" s="150"/>
      <c r="D176" s="150"/>
      <c r="E176" s="150"/>
      <c r="F176" s="150"/>
      <c r="G176" s="150"/>
      <c r="H176" s="150"/>
      <c r="I176" s="150"/>
      <c r="J176" s="150"/>
      <c r="K176" s="150"/>
      <c r="L176" s="150"/>
      <c r="M176" s="150"/>
      <c r="N176" s="150"/>
    </row>
  </sheetData>
  <mergeCells count="28">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22:D22"/>
    <mergeCell ref="F22:H22"/>
    <mergeCell ref="J22:L22"/>
    <mergeCell ref="D47:F47"/>
    <mergeCell ref="G47:I47"/>
    <mergeCell ref="J47:L47"/>
  </mergeCells>
  <conditionalFormatting sqref="B57:C59">
    <cfRule type="expression" dxfId="2064" priority="188">
      <formula>kvartal &lt; 4</formula>
    </cfRule>
  </conditionalFormatting>
  <conditionalFormatting sqref="B63:C65">
    <cfRule type="expression" dxfId="2063" priority="187">
      <formula>kvartal &lt; 4</formula>
    </cfRule>
  </conditionalFormatting>
  <conditionalFormatting sqref="B37">
    <cfRule type="expression" dxfId="2062" priority="186">
      <formula>kvartal &lt; 4</formula>
    </cfRule>
  </conditionalFormatting>
  <conditionalFormatting sqref="B38">
    <cfRule type="expression" dxfId="2061" priority="185">
      <formula>kvartal &lt; 4</formula>
    </cfRule>
  </conditionalFormatting>
  <conditionalFormatting sqref="B39">
    <cfRule type="expression" dxfId="2060" priority="184">
      <formula>kvartal &lt; 4</formula>
    </cfRule>
  </conditionalFormatting>
  <conditionalFormatting sqref="A34">
    <cfRule type="expression" dxfId="2059" priority="57">
      <formula>kvartal &lt; 4</formula>
    </cfRule>
  </conditionalFormatting>
  <conditionalFormatting sqref="C37">
    <cfRule type="expression" dxfId="2058" priority="183">
      <formula>kvartal &lt; 4</formula>
    </cfRule>
  </conditionalFormatting>
  <conditionalFormatting sqref="C38">
    <cfRule type="expression" dxfId="2057" priority="182">
      <formula>kvartal &lt; 4</formula>
    </cfRule>
  </conditionalFormatting>
  <conditionalFormatting sqref="C39">
    <cfRule type="expression" dxfId="2056" priority="181">
      <formula>kvartal &lt; 4</formula>
    </cfRule>
  </conditionalFormatting>
  <conditionalFormatting sqref="B26:C28">
    <cfRule type="expression" dxfId="2055" priority="180">
      <formula>kvartal &lt; 4</formula>
    </cfRule>
  </conditionalFormatting>
  <conditionalFormatting sqref="B32:C33">
    <cfRule type="expression" dxfId="2054" priority="179">
      <formula>kvartal &lt; 4</formula>
    </cfRule>
  </conditionalFormatting>
  <conditionalFormatting sqref="B34">
    <cfRule type="expression" dxfId="2053" priority="178">
      <formula>kvartal &lt; 4</formula>
    </cfRule>
  </conditionalFormatting>
  <conditionalFormatting sqref="C34">
    <cfRule type="expression" dxfId="2052" priority="177">
      <formula>kvartal &lt; 4</formula>
    </cfRule>
  </conditionalFormatting>
  <conditionalFormatting sqref="F26:G28">
    <cfRule type="expression" dxfId="2051" priority="176">
      <formula>kvartal &lt; 4</formula>
    </cfRule>
  </conditionalFormatting>
  <conditionalFormatting sqref="F32">
    <cfRule type="expression" dxfId="2050" priority="175">
      <formula>kvartal &lt; 4</formula>
    </cfRule>
  </conditionalFormatting>
  <conditionalFormatting sqref="G32">
    <cfRule type="expression" dxfId="2049" priority="174">
      <formula>kvartal &lt; 4</formula>
    </cfRule>
  </conditionalFormatting>
  <conditionalFormatting sqref="F33">
    <cfRule type="expression" dxfId="2048" priority="173">
      <formula>kvartal &lt; 4</formula>
    </cfRule>
  </conditionalFormatting>
  <conditionalFormatting sqref="G33">
    <cfRule type="expression" dxfId="2047" priority="172">
      <formula>kvartal &lt; 4</formula>
    </cfRule>
  </conditionalFormatting>
  <conditionalFormatting sqref="F34">
    <cfRule type="expression" dxfId="2046" priority="171">
      <formula>kvartal &lt; 4</formula>
    </cfRule>
  </conditionalFormatting>
  <conditionalFormatting sqref="G34">
    <cfRule type="expression" dxfId="2045" priority="170">
      <formula>kvartal &lt; 4</formula>
    </cfRule>
  </conditionalFormatting>
  <conditionalFormatting sqref="F37">
    <cfRule type="expression" dxfId="2044" priority="169">
      <formula>kvartal &lt; 4</formula>
    </cfRule>
  </conditionalFormatting>
  <conditionalFormatting sqref="F38">
    <cfRule type="expression" dxfId="2043" priority="168">
      <formula>kvartal &lt; 4</formula>
    </cfRule>
  </conditionalFormatting>
  <conditionalFormatting sqref="F39">
    <cfRule type="expression" dxfId="2042" priority="167">
      <formula>kvartal &lt; 4</formula>
    </cfRule>
  </conditionalFormatting>
  <conditionalFormatting sqref="G37">
    <cfRule type="expression" dxfId="2041" priority="166">
      <formula>kvartal &lt; 4</formula>
    </cfRule>
  </conditionalFormatting>
  <conditionalFormatting sqref="G38">
    <cfRule type="expression" dxfId="2040" priority="165">
      <formula>kvartal &lt; 4</formula>
    </cfRule>
  </conditionalFormatting>
  <conditionalFormatting sqref="G39">
    <cfRule type="expression" dxfId="2039" priority="164">
      <formula>kvartal &lt; 4</formula>
    </cfRule>
  </conditionalFormatting>
  <conditionalFormatting sqref="B29">
    <cfRule type="expression" dxfId="2038" priority="163">
      <formula>kvartal &lt; 4</formula>
    </cfRule>
  </conditionalFormatting>
  <conditionalFormatting sqref="C29">
    <cfRule type="expression" dxfId="2037" priority="162">
      <formula>kvartal &lt; 4</formula>
    </cfRule>
  </conditionalFormatting>
  <conditionalFormatting sqref="F29">
    <cfRule type="expression" dxfId="2036" priority="161">
      <formula>kvartal &lt; 4</formula>
    </cfRule>
  </conditionalFormatting>
  <conditionalFormatting sqref="G29">
    <cfRule type="expression" dxfId="2035" priority="160">
      <formula>kvartal &lt; 4</formula>
    </cfRule>
  </conditionalFormatting>
  <conditionalFormatting sqref="J26:K29">
    <cfRule type="expression" dxfId="2034" priority="159">
      <formula>kvartal &lt; 4</formula>
    </cfRule>
  </conditionalFormatting>
  <conditionalFormatting sqref="J32:K34">
    <cfRule type="expression" dxfId="2033" priority="158">
      <formula>kvartal &lt; 4</formula>
    </cfRule>
  </conditionalFormatting>
  <conditionalFormatting sqref="J37:K39">
    <cfRule type="expression" dxfId="2032" priority="157">
      <formula>kvartal &lt; 4</formula>
    </cfRule>
  </conditionalFormatting>
  <conditionalFormatting sqref="J82:K86">
    <cfRule type="expression" dxfId="2031" priority="95">
      <formula>kvartal &lt; 4</formula>
    </cfRule>
  </conditionalFormatting>
  <conditionalFormatting sqref="J87:K87">
    <cfRule type="expression" dxfId="2030" priority="94">
      <formula>kvartal &lt; 4</formula>
    </cfRule>
  </conditionalFormatting>
  <conditionalFormatting sqref="J92:K97">
    <cfRule type="expression" dxfId="2029" priority="93">
      <formula>kvartal &lt; 4</formula>
    </cfRule>
  </conditionalFormatting>
  <conditionalFormatting sqref="J102:K107">
    <cfRule type="expression" dxfId="2028" priority="92">
      <formula>kvartal &lt; 4</formula>
    </cfRule>
  </conditionalFormatting>
  <conditionalFormatting sqref="J112:K117">
    <cfRule type="expression" dxfId="2027" priority="91">
      <formula>kvartal &lt; 4</formula>
    </cfRule>
  </conditionalFormatting>
  <conditionalFormatting sqref="J122:K127">
    <cfRule type="expression" dxfId="2026" priority="90">
      <formula>kvartal &lt; 4</formula>
    </cfRule>
  </conditionalFormatting>
  <conditionalFormatting sqref="J132:K137">
    <cfRule type="expression" dxfId="2025" priority="89">
      <formula>kvartal &lt; 4</formula>
    </cfRule>
  </conditionalFormatting>
  <conditionalFormatting sqref="J146:K146">
    <cfRule type="expression" dxfId="2024" priority="88">
      <formula>kvartal &lt; 4</formula>
    </cfRule>
  </conditionalFormatting>
  <conditionalFormatting sqref="J154:K154">
    <cfRule type="expression" dxfId="2023" priority="87">
      <formula>kvartal &lt; 4</formula>
    </cfRule>
  </conditionalFormatting>
  <conditionalFormatting sqref="A26:A28">
    <cfRule type="expression" dxfId="2022" priority="71">
      <formula>kvartal &lt; 4</formula>
    </cfRule>
  </conditionalFormatting>
  <conditionalFormatting sqref="A32:A33">
    <cfRule type="expression" dxfId="2021" priority="70">
      <formula>kvartal &lt; 4</formula>
    </cfRule>
  </conditionalFormatting>
  <conditionalFormatting sqref="A37:A39">
    <cfRule type="expression" dxfId="2020" priority="69">
      <formula>kvartal &lt; 4</formula>
    </cfRule>
  </conditionalFormatting>
  <conditionalFormatting sqref="A57:A59">
    <cfRule type="expression" dxfId="2019" priority="68">
      <formula>kvartal &lt; 4</formula>
    </cfRule>
  </conditionalFormatting>
  <conditionalFormatting sqref="A63:A65">
    <cfRule type="expression" dxfId="2018" priority="67">
      <formula>kvartal &lt; 4</formula>
    </cfRule>
  </conditionalFormatting>
  <conditionalFormatting sqref="A82:A87">
    <cfRule type="expression" dxfId="2017" priority="66">
      <formula>kvartal &lt; 4</formula>
    </cfRule>
  </conditionalFormatting>
  <conditionalFormatting sqref="A92:A97">
    <cfRule type="expression" dxfId="2016" priority="65">
      <formula>kvartal &lt; 4</formula>
    </cfRule>
  </conditionalFormatting>
  <conditionalFormatting sqref="A102:A107">
    <cfRule type="expression" dxfId="2015" priority="64">
      <formula>kvartal &lt; 4</formula>
    </cfRule>
  </conditionalFormatting>
  <conditionalFormatting sqref="A112:A117">
    <cfRule type="expression" dxfId="2014" priority="63">
      <formula>kvartal &lt; 4</formula>
    </cfRule>
  </conditionalFormatting>
  <conditionalFormatting sqref="A122:A127">
    <cfRule type="expression" dxfId="2013" priority="62">
      <formula>kvartal &lt; 4</formula>
    </cfRule>
  </conditionalFormatting>
  <conditionalFormatting sqref="A132:A137">
    <cfRule type="expression" dxfId="2012" priority="61">
      <formula>kvartal &lt; 4</formula>
    </cfRule>
  </conditionalFormatting>
  <conditionalFormatting sqref="A146">
    <cfRule type="expression" dxfId="2011" priority="60">
      <formula>kvartal &lt; 4</formula>
    </cfRule>
  </conditionalFormatting>
  <conditionalFormatting sqref="A154">
    <cfRule type="expression" dxfId="2010" priority="59">
      <formula>kvartal &lt; 4</formula>
    </cfRule>
  </conditionalFormatting>
  <conditionalFormatting sqref="A29">
    <cfRule type="expression" dxfId="2009" priority="58">
      <formula>kvartal &lt; 4</formula>
    </cfRule>
  </conditionalFormatting>
  <conditionalFormatting sqref="B82">
    <cfRule type="expression" dxfId="2008" priority="56">
      <formula>kvartal &lt; 4</formula>
    </cfRule>
  </conditionalFormatting>
  <conditionalFormatting sqref="C82">
    <cfRule type="expression" dxfId="2007" priority="55">
      <formula>kvartal &lt; 4</formula>
    </cfRule>
  </conditionalFormatting>
  <conditionalFormatting sqref="B85">
    <cfRule type="expression" dxfId="2006" priority="54">
      <formula>kvartal &lt; 4</formula>
    </cfRule>
  </conditionalFormatting>
  <conditionalFormatting sqref="C85">
    <cfRule type="expression" dxfId="2005" priority="53">
      <formula>kvartal &lt; 4</formula>
    </cfRule>
  </conditionalFormatting>
  <conditionalFormatting sqref="B92">
    <cfRule type="expression" dxfId="2004" priority="52">
      <formula>kvartal &lt; 4</formula>
    </cfRule>
  </conditionalFormatting>
  <conditionalFormatting sqref="C92">
    <cfRule type="expression" dxfId="2003" priority="51">
      <formula>kvartal &lt; 4</formula>
    </cfRule>
  </conditionalFormatting>
  <conditionalFormatting sqref="B95">
    <cfRule type="expression" dxfId="2002" priority="50">
      <formula>kvartal &lt; 4</formula>
    </cfRule>
  </conditionalFormatting>
  <conditionalFormatting sqref="C95">
    <cfRule type="expression" dxfId="2001" priority="49">
      <formula>kvartal &lt; 4</formula>
    </cfRule>
  </conditionalFormatting>
  <conditionalFormatting sqref="B102">
    <cfRule type="expression" dxfId="2000" priority="48">
      <formula>kvartal &lt; 4</formula>
    </cfRule>
  </conditionalFormatting>
  <conditionalFormatting sqref="C102">
    <cfRule type="expression" dxfId="1999" priority="47">
      <formula>kvartal &lt; 4</formula>
    </cfRule>
  </conditionalFormatting>
  <conditionalFormatting sqref="B105">
    <cfRule type="expression" dxfId="1998" priority="46">
      <formula>kvartal &lt; 4</formula>
    </cfRule>
  </conditionalFormatting>
  <conditionalFormatting sqref="C105">
    <cfRule type="expression" dxfId="1997" priority="45">
      <formula>kvartal &lt; 4</formula>
    </cfRule>
  </conditionalFormatting>
  <conditionalFormatting sqref="B112">
    <cfRule type="expression" dxfId="1996" priority="44">
      <formula>kvartal &lt; 4</formula>
    </cfRule>
  </conditionalFormatting>
  <conditionalFormatting sqref="C112">
    <cfRule type="expression" dxfId="1995" priority="43">
      <formula>kvartal &lt; 4</formula>
    </cfRule>
  </conditionalFormatting>
  <conditionalFormatting sqref="B115">
    <cfRule type="expression" dxfId="1994" priority="42">
      <formula>kvartal &lt; 4</formula>
    </cfRule>
  </conditionalFormatting>
  <conditionalFormatting sqref="C115">
    <cfRule type="expression" dxfId="1993" priority="41">
      <formula>kvartal &lt; 4</formula>
    </cfRule>
  </conditionalFormatting>
  <conditionalFormatting sqref="B122">
    <cfRule type="expression" dxfId="1992" priority="40">
      <formula>kvartal &lt; 4</formula>
    </cfRule>
  </conditionalFormatting>
  <conditionalFormatting sqref="C122">
    <cfRule type="expression" dxfId="1991" priority="39">
      <formula>kvartal &lt; 4</formula>
    </cfRule>
  </conditionalFormatting>
  <conditionalFormatting sqref="B125">
    <cfRule type="expression" dxfId="1990" priority="38">
      <formula>kvartal &lt; 4</formula>
    </cfRule>
  </conditionalFormatting>
  <conditionalFormatting sqref="C125">
    <cfRule type="expression" dxfId="1989" priority="37">
      <formula>kvartal &lt; 4</formula>
    </cfRule>
  </conditionalFormatting>
  <conditionalFormatting sqref="B132">
    <cfRule type="expression" dxfId="1988" priority="36">
      <formula>kvartal &lt; 4</formula>
    </cfRule>
  </conditionalFormatting>
  <conditionalFormatting sqref="C132">
    <cfRule type="expression" dxfId="1987" priority="35">
      <formula>kvartal &lt; 4</formula>
    </cfRule>
  </conditionalFormatting>
  <conditionalFormatting sqref="B135">
    <cfRule type="expression" dxfId="1986" priority="34">
      <formula>kvartal &lt; 4</formula>
    </cfRule>
  </conditionalFormatting>
  <conditionalFormatting sqref="C135">
    <cfRule type="expression" dxfId="1985" priority="33">
      <formula>kvartal &lt; 4</formula>
    </cfRule>
  </conditionalFormatting>
  <conditionalFormatting sqref="B146">
    <cfRule type="expression" dxfId="1984" priority="32">
      <formula>kvartal &lt; 4</formula>
    </cfRule>
  </conditionalFormatting>
  <conditionalFormatting sqref="C146">
    <cfRule type="expression" dxfId="1983" priority="31">
      <formula>kvartal &lt; 4</formula>
    </cfRule>
  </conditionalFormatting>
  <conditionalFormatting sqref="B154">
    <cfRule type="expression" dxfId="1982" priority="30">
      <formula>kvartal &lt; 4</formula>
    </cfRule>
  </conditionalFormatting>
  <conditionalFormatting sqref="C154">
    <cfRule type="expression" dxfId="1981" priority="29">
      <formula>kvartal &lt; 4</formula>
    </cfRule>
  </conditionalFormatting>
  <conditionalFormatting sqref="F82">
    <cfRule type="expression" dxfId="1980" priority="28">
      <formula>kvartal &lt; 4</formula>
    </cfRule>
  </conditionalFormatting>
  <conditionalFormatting sqref="G82">
    <cfRule type="expression" dxfId="1979" priority="27">
      <formula>kvartal &lt; 4</formula>
    </cfRule>
  </conditionalFormatting>
  <conditionalFormatting sqref="F85">
    <cfRule type="expression" dxfId="1978" priority="26">
      <formula>kvartal &lt; 4</formula>
    </cfRule>
  </conditionalFormatting>
  <conditionalFormatting sqref="G85">
    <cfRule type="expression" dxfId="1977" priority="25">
      <formula>kvartal &lt; 4</formula>
    </cfRule>
  </conditionalFormatting>
  <conditionalFormatting sqref="F92">
    <cfRule type="expression" dxfId="1976" priority="24">
      <formula>kvartal &lt; 4</formula>
    </cfRule>
  </conditionalFormatting>
  <conditionalFormatting sqref="G92">
    <cfRule type="expression" dxfId="1975" priority="23">
      <formula>kvartal &lt; 4</formula>
    </cfRule>
  </conditionalFormatting>
  <conditionalFormatting sqref="F95">
    <cfRule type="expression" dxfId="1974" priority="22">
      <formula>kvartal &lt; 4</formula>
    </cfRule>
  </conditionalFormatting>
  <conditionalFormatting sqref="G95">
    <cfRule type="expression" dxfId="1973" priority="21">
      <formula>kvartal &lt; 4</formula>
    </cfRule>
  </conditionalFormatting>
  <conditionalFormatting sqref="F102">
    <cfRule type="expression" dxfId="1972" priority="20">
      <formula>kvartal &lt; 4</formula>
    </cfRule>
  </conditionalFormatting>
  <conditionalFormatting sqref="G102">
    <cfRule type="expression" dxfId="1971" priority="19">
      <formula>kvartal &lt; 4</formula>
    </cfRule>
  </conditionalFormatting>
  <conditionalFormatting sqref="F105">
    <cfRule type="expression" dxfId="1970" priority="18">
      <formula>kvartal &lt; 4</formula>
    </cfRule>
  </conditionalFormatting>
  <conditionalFormatting sqref="G105">
    <cfRule type="expression" dxfId="1969" priority="17">
      <formula>kvartal &lt; 4</formula>
    </cfRule>
  </conditionalFormatting>
  <conditionalFormatting sqref="F112">
    <cfRule type="expression" dxfId="1968" priority="16">
      <formula>kvartal &lt; 4</formula>
    </cfRule>
  </conditionalFormatting>
  <conditionalFormatting sqref="G112">
    <cfRule type="expression" dxfId="1967" priority="15">
      <formula>kvartal &lt; 4</formula>
    </cfRule>
  </conditionalFormatting>
  <conditionalFormatting sqref="F115">
    <cfRule type="expression" dxfId="1966" priority="14">
      <formula>kvartal &lt; 4</formula>
    </cfRule>
  </conditionalFormatting>
  <conditionalFormatting sqref="G115">
    <cfRule type="expression" dxfId="1965" priority="13">
      <formula>kvartal &lt; 4</formula>
    </cfRule>
  </conditionalFormatting>
  <conditionalFormatting sqref="F122">
    <cfRule type="expression" dxfId="1964" priority="12">
      <formula>kvartal &lt; 4</formula>
    </cfRule>
  </conditionalFormatting>
  <conditionalFormatting sqref="G122">
    <cfRule type="expression" dxfId="1963" priority="11">
      <formula>kvartal &lt; 4</formula>
    </cfRule>
  </conditionalFormatting>
  <conditionalFormatting sqref="F125">
    <cfRule type="expression" dxfId="1962" priority="10">
      <formula>kvartal &lt; 4</formula>
    </cfRule>
  </conditionalFormatting>
  <conditionalFormatting sqref="G125">
    <cfRule type="expression" dxfId="1961" priority="9">
      <formula>kvartal &lt; 4</formula>
    </cfRule>
  </conditionalFormatting>
  <conditionalFormatting sqref="F132">
    <cfRule type="expression" dxfId="1960" priority="8">
      <formula>kvartal &lt; 4</formula>
    </cfRule>
  </conditionalFormatting>
  <conditionalFormatting sqref="G132">
    <cfRule type="expression" dxfId="1959" priority="7">
      <formula>kvartal &lt; 4</formula>
    </cfRule>
  </conditionalFormatting>
  <conditionalFormatting sqref="F135">
    <cfRule type="expression" dxfId="1958" priority="6">
      <formula>kvartal &lt; 4</formula>
    </cfRule>
  </conditionalFormatting>
  <conditionalFormatting sqref="G135">
    <cfRule type="expression" dxfId="1957" priority="5">
      <formula>kvartal &lt; 4</formula>
    </cfRule>
  </conditionalFormatting>
  <conditionalFormatting sqref="F146">
    <cfRule type="expression" dxfId="1956" priority="4">
      <formula>kvartal &lt; 4</formula>
    </cfRule>
  </conditionalFormatting>
  <conditionalFormatting sqref="G146">
    <cfRule type="expression" dxfId="1955" priority="3">
      <formula>kvartal &lt; 4</formula>
    </cfRule>
  </conditionalFormatting>
  <conditionalFormatting sqref="F154">
    <cfRule type="expression" dxfId="1954" priority="2">
      <formula>kvartal &lt; 4</formula>
    </cfRule>
  </conditionalFormatting>
  <conditionalFormatting sqref="G154">
    <cfRule type="expression" dxfId="1953" priority="1">
      <formula>kvartal &lt; 4</formula>
    </cfRule>
  </conditionalFormatting>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dimension ref="A1:N176"/>
  <sheetViews>
    <sheetView showGridLines="0" zoomScale="90" zoomScaleNormal="90" workbookViewId="0">
      <selection activeCell="A4" sqref="A4"/>
    </sheetView>
  </sheetViews>
  <sheetFormatPr baseColWidth="10" defaultColWidth="11.42578125" defaultRowHeight="12.75" x14ac:dyDescent="0.2"/>
  <cols>
    <col min="1" max="1" width="41.5703125" style="143" customWidth="1"/>
    <col min="2" max="2" width="10.85546875" style="143" customWidth="1"/>
    <col min="3" max="3" width="11" style="143" customWidth="1"/>
    <col min="4" max="5" width="8.7109375" style="143" customWidth="1"/>
    <col min="6" max="7" width="10.85546875" style="143" customWidth="1"/>
    <col min="8" max="9" width="8.7109375" style="143" customWidth="1"/>
    <col min="10" max="11" width="10.85546875" style="143" customWidth="1"/>
    <col min="12" max="13" width="8.7109375" style="143" customWidth="1"/>
    <col min="14" max="14" width="11.42578125" style="143"/>
    <col min="15" max="16384" width="11.42578125" style="1"/>
  </cols>
  <sheetData>
    <row r="1" spans="1:14" x14ac:dyDescent="0.2">
      <c r="A1" s="165" t="s">
        <v>159</v>
      </c>
      <c r="B1" s="401"/>
      <c r="C1" s="245" t="s">
        <v>162</v>
      </c>
      <c r="D1" s="20"/>
      <c r="E1" s="20"/>
      <c r="F1" s="20"/>
      <c r="G1" s="20"/>
      <c r="H1" s="20"/>
      <c r="I1" s="20"/>
      <c r="J1" s="20"/>
      <c r="K1" s="20"/>
      <c r="L1" s="20"/>
      <c r="M1" s="20"/>
    </row>
    <row r="2" spans="1:14" ht="15.75" x14ac:dyDescent="0.25">
      <c r="A2" s="158" t="s">
        <v>36</v>
      </c>
      <c r="B2" s="835"/>
      <c r="C2" s="835"/>
      <c r="D2" s="835"/>
      <c r="E2" s="301"/>
      <c r="F2" s="835"/>
      <c r="G2" s="835"/>
      <c r="H2" s="835"/>
      <c r="I2" s="301"/>
      <c r="J2" s="835"/>
      <c r="K2" s="835"/>
      <c r="L2" s="835"/>
      <c r="M2" s="301"/>
    </row>
    <row r="3" spans="1:14" ht="15.75" x14ac:dyDescent="0.25">
      <c r="A3" s="156"/>
      <c r="B3" s="301"/>
      <c r="C3" s="301"/>
      <c r="D3" s="301"/>
      <c r="E3" s="301"/>
      <c r="F3" s="301"/>
      <c r="G3" s="301"/>
      <c r="H3" s="301"/>
      <c r="I3" s="301"/>
      <c r="J3" s="301"/>
      <c r="K3" s="301"/>
      <c r="L3" s="301"/>
      <c r="M3" s="301"/>
    </row>
    <row r="4" spans="1:14" x14ac:dyDescent="0.2">
      <c r="A4" s="138"/>
      <c r="B4" s="808" t="s">
        <v>0</v>
      </c>
      <c r="C4" s="802"/>
      <c r="D4" s="802"/>
      <c r="E4" s="802"/>
      <c r="F4" s="808" t="s">
        <v>1</v>
      </c>
      <c r="G4" s="802"/>
      <c r="H4" s="802"/>
      <c r="I4" s="803"/>
      <c r="J4" s="801" t="s">
        <v>2</v>
      </c>
      <c r="K4" s="802"/>
      <c r="L4" s="802"/>
      <c r="M4" s="803"/>
    </row>
    <row r="5" spans="1:14" x14ac:dyDescent="0.2">
      <c r="A5" s="151"/>
      <c r="B5" s="145" t="s">
        <v>400</v>
      </c>
      <c r="C5" s="145" t="s">
        <v>401</v>
      </c>
      <c r="D5" s="242" t="s">
        <v>3</v>
      </c>
      <c r="E5" s="307" t="s">
        <v>37</v>
      </c>
      <c r="F5" s="145" t="s">
        <v>400</v>
      </c>
      <c r="G5" s="145" t="s">
        <v>401</v>
      </c>
      <c r="H5" s="242" t="s">
        <v>3</v>
      </c>
      <c r="I5" s="307" t="s">
        <v>37</v>
      </c>
      <c r="J5" s="145" t="s">
        <v>400</v>
      </c>
      <c r="K5" s="145" t="s">
        <v>401</v>
      </c>
      <c r="L5" s="242" t="s">
        <v>3</v>
      </c>
      <c r="M5" s="155" t="s">
        <v>37</v>
      </c>
    </row>
    <row r="6" spans="1:14" x14ac:dyDescent="0.2">
      <c r="A6" s="402"/>
      <c r="B6" s="149"/>
      <c r="C6" s="149"/>
      <c r="D6" s="243" t="s">
        <v>4</v>
      </c>
      <c r="E6" s="149" t="s">
        <v>38</v>
      </c>
      <c r="F6" s="154"/>
      <c r="G6" s="154"/>
      <c r="H6" s="242" t="s">
        <v>4</v>
      </c>
      <c r="I6" s="149" t="s">
        <v>38</v>
      </c>
      <c r="J6" s="154"/>
      <c r="K6" s="154"/>
      <c r="L6" s="242" t="s">
        <v>4</v>
      </c>
      <c r="M6" s="149" t="s">
        <v>38</v>
      </c>
    </row>
    <row r="7" spans="1:14" ht="15.75" x14ac:dyDescent="0.2">
      <c r="A7" s="12" t="s">
        <v>30</v>
      </c>
      <c r="B7" s="308">
        <v>709068</v>
      </c>
      <c r="C7" s="309">
        <v>710781</v>
      </c>
      <c r="D7" s="251">
        <f>IF(B7=0, "    ---- ", IF(ABS(ROUND(100/B7*C7-100,1))&lt;999,ROUND(100/B7*C7-100,1),IF(ROUND(100/B7*C7-100,1)&gt;999,999,-999)))</f>
        <v>0.2</v>
      </c>
      <c r="E7" s="170">
        <f>IFERROR(100/'Skjema total MA'!C7*C7,0)</f>
        <v>14.168491945402215</v>
      </c>
      <c r="F7" s="308"/>
      <c r="G7" s="309"/>
      <c r="H7" s="251"/>
      <c r="I7" s="170"/>
      <c r="J7" s="310">
        <f t="shared" ref="J7:K13" si="0">SUM(B7,F7)</f>
        <v>709068</v>
      </c>
      <c r="K7" s="311">
        <f t="shared" si="0"/>
        <v>710781</v>
      </c>
      <c r="L7" s="255">
        <f>IF(J7=0, "    ---- ", IF(ABS(ROUND(100/J7*K7-100,1))&lt;999,ROUND(100/J7*K7-100,1),IF(ROUND(100/J7*K7-100,1)&gt;999,999,-999)))</f>
        <v>0.2</v>
      </c>
      <c r="M7" s="170">
        <f>IFERROR(100/'Skjema total MA'!I7*K7,0)</f>
        <v>5.0363886990607716</v>
      </c>
    </row>
    <row r="8" spans="1:14" ht="15.75" x14ac:dyDescent="0.2">
      <c r="A8" s="18" t="s">
        <v>32</v>
      </c>
      <c r="B8" s="282">
        <v>386446</v>
      </c>
      <c r="C8" s="283">
        <v>394330</v>
      </c>
      <c r="D8" s="159">
        <f t="shared" ref="D8:D13" si="1">IF(B8=0, "    ---- ", IF(ABS(ROUND(100/B8*C8-100,1))&lt;999,ROUND(100/B8*C8-100,1),IF(ROUND(100/B8*C8-100,1)&gt;999,999,-999)))</f>
        <v>2</v>
      </c>
      <c r="E8" s="170">
        <f>IFERROR(100/'Skjema total MA'!C8*C8,0)</f>
        <v>16.304233229051476</v>
      </c>
      <c r="F8" s="286"/>
      <c r="G8" s="287"/>
      <c r="H8" s="159"/>
      <c r="I8" s="170"/>
      <c r="J8" s="229">
        <f t="shared" si="0"/>
        <v>386446</v>
      </c>
      <c r="K8" s="288">
        <f t="shared" si="0"/>
        <v>394330</v>
      </c>
      <c r="L8" s="256">
        <f t="shared" ref="L8:L9" si="2">IF(J8=0, "    ---- ", IF(ABS(ROUND(100/J8*K8-100,1))&lt;999,ROUND(100/J8*K8-100,1),IF(ROUND(100/J8*K8-100,1)&gt;999,999,-999)))</f>
        <v>2</v>
      </c>
      <c r="M8" s="170">
        <f>IFERROR(100/'Skjema total MA'!I8*K8,0)</f>
        <v>16.304233229051476</v>
      </c>
    </row>
    <row r="9" spans="1:14" ht="15.75" x14ac:dyDescent="0.2">
      <c r="A9" s="18" t="s">
        <v>31</v>
      </c>
      <c r="B9" s="282">
        <v>322622</v>
      </c>
      <c r="C9" s="283">
        <v>316451</v>
      </c>
      <c r="D9" s="159">
        <f t="shared" si="1"/>
        <v>-1.9</v>
      </c>
      <c r="E9" s="170">
        <f>IFERROR(100/'Skjema total MA'!C9*C9,0)</f>
        <v>27.598487011488828</v>
      </c>
      <c r="F9" s="286"/>
      <c r="G9" s="287"/>
      <c r="H9" s="159"/>
      <c r="I9" s="170"/>
      <c r="J9" s="229">
        <f t="shared" si="0"/>
        <v>322622</v>
      </c>
      <c r="K9" s="288">
        <f t="shared" si="0"/>
        <v>316451</v>
      </c>
      <c r="L9" s="256">
        <f t="shared" si="2"/>
        <v>-1.9</v>
      </c>
      <c r="M9" s="170">
        <f>IFERROR(100/'Skjema total MA'!I9*K9,0)</f>
        <v>27.598487011488828</v>
      </c>
    </row>
    <row r="10" spans="1:14" ht="15.75" x14ac:dyDescent="0.2">
      <c r="A10" s="11" t="s">
        <v>29</v>
      </c>
      <c r="B10" s="312">
        <v>36890</v>
      </c>
      <c r="C10" s="313">
        <v>35513</v>
      </c>
      <c r="D10" s="159">
        <f t="shared" si="1"/>
        <v>-3.7</v>
      </c>
      <c r="E10" s="170">
        <f>IFERROR(100/'Skjema total MA'!C10*C10,0)</f>
        <v>9.9862140367924503</v>
      </c>
      <c r="F10" s="312"/>
      <c r="G10" s="313"/>
      <c r="H10" s="159"/>
      <c r="I10" s="170"/>
      <c r="J10" s="310">
        <f t="shared" si="0"/>
        <v>36890</v>
      </c>
      <c r="K10" s="311">
        <f t="shared" si="0"/>
        <v>35513</v>
      </c>
      <c r="L10" s="256">
        <f t="shared" ref="L10:L13" si="3">IF(J10=0, "    ---- ", IF(ABS(ROUND(100/J10*K10-100,1))&lt;999,ROUND(100/J10*K10-100,1),IF(ROUND(100/J10*K10-100,1)&gt;999,999,-999)))</f>
        <v>-3.7</v>
      </c>
      <c r="M10" s="170">
        <f>IFERROR(100/'Skjema total MA'!I10*K10,0)</f>
        <v>0.44265464399948423</v>
      </c>
    </row>
    <row r="11" spans="1:14" ht="15.75" x14ac:dyDescent="0.2">
      <c r="A11" s="18" t="s">
        <v>32</v>
      </c>
      <c r="B11" s="282">
        <v>23225</v>
      </c>
      <c r="C11" s="283">
        <v>23535</v>
      </c>
      <c r="D11" s="159">
        <f t="shared" si="1"/>
        <v>1.3</v>
      </c>
      <c r="E11" s="170">
        <f>IFERROR(100/'Skjema total MA'!C11*C11,0)</f>
        <v>12.333498822860708</v>
      </c>
      <c r="F11" s="286"/>
      <c r="G11" s="287"/>
      <c r="H11" s="159"/>
      <c r="I11" s="170"/>
      <c r="J11" s="229">
        <f t="shared" si="0"/>
        <v>23225</v>
      </c>
      <c r="K11" s="288">
        <f t="shared" si="0"/>
        <v>23535</v>
      </c>
      <c r="L11" s="256">
        <f t="shared" ref="L11:L12" si="4">IF(J11=0, "    ---- ", IF(ABS(ROUND(100/J11*K11-100,1))&lt;999,ROUND(100/J11*K11-100,1),IF(ROUND(100/J11*K11-100,1)&gt;999,999,-999)))</f>
        <v>1.3</v>
      </c>
      <c r="M11" s="170">
        <f>IFERROR(100/'Skjema total MA'!I11*K11,0)</f>
        <v>12.333498822860708</v>
      </c>
    </row>
    <row r="12" spans="1:14" ht="15.75" x14ac:dyDescent="0.2">
      <c r="A12" s="18" t="s">
        <v>31</v>
      </c>
      <c r="B12" s="282">
        <v>13665</v>
      </c>
      <c r="C12" s="283">
        <v>11978</v>
      </c>
      <c r="D12" s="159">
        <f t="shared" si="1"/>
        <v>-12.3</v>
      </c>
      <c r="E12" s="170">
        <f>IFERROR(100/'Skjema total MA'!C12*C12,0)</f>
        <v>18.911688110759833</v>
      </c>
      <c r="F12" s="286"/>
      <c r="G12" s="287"/>
      <c r="H12" s="159"/>
      <c r="I12" s="170"/>
      <c r="J12" s="229">
        <f t="shared" si="0"/>
        <v>13665</v>
      </c>
      <c r="K12" s="288">
        <f t="shared" si="0"/>
        <v>11978</v>
      </c>
      <c r="L12" s="256">
        <f t="shared" si="4"/>
        <v>-12.3</v>
      </c>
      <c r="M12" s="170">
        <f>IFERROR(100/'Skjema total MA'!I12*K12,0)</f>
        <v>18.911688110759833</v>
      </c>
    </row>
    <row r="13" spans="1:14" ht="15.75" x14ac:dyDescent="0.2">
      <c r="A13" s="11" t="s">
        <v>28</v>
      </c>
      <c r="B13" s="312">
        <v>1246980</v>
      </c>
      <c r="C13" s="313">
        <v>1194028</v>
      </c>
      <c r="D13" s="159">
        <f t="shared" si="1"/>
        <v>-4.2</v>
      </c>
      <c r="E13" s="170">
        <f>IFERROR(100/'Skjema total MA'!C13*C13,0)</f>
        <v>4.6165610267918638</v>
      </c>
      <c r="F13" s="312"/>
      <c r="G13" s="313"/>
      <c r="H13" s="159"/>
      <c r="I13" s="170"/>
      <c r="J13" s="310">
        <f t="shared" si="0"/>
        <v>1246980</v>
      </c>
      <c r="K13" s="311">
        <f t="shared" si="0"/>
        <v>1194028</v>
      </c>
      <c r="L13" s="256">
        <f t="shared" si="3"/>
        <v>-4.2</v>
      </c>
      <c r="M13" s="170">
        <f>IFERROR(100/'Skjema total MA'!I13*K13,0)</f>
        <v>2.0243740756542907</v>
      </c>
    </row>
    <row r="14" spans="1:14" s="36" customFormat="1" ht="15.75" x14ac:dyDescent="0.2">
      <c r="A14" s="11" t="s">
        <v>27</v>
      </c>
      <c r="B14" s="312"/>
      <c r="C14" s="313"/>
      <c r="D14" s="159"/>
      <c r="E14" s="170"/>
      <c r="F14" s="312"/>
      <c r="G14" s="313"/>
      <c r="H14" s="159"/>
      <c r="I14" s="170"/>
      <c r="J14" s="310"/>
      <c r="K14" s="311"/>
      <c r="L14" s="256"/>
      <c r="M14" s="170"/>
      <c r="N14" s="137"/>
    </row>
    <row r="15" spans="1:14" s="36" customFormat="1" ht="15.75" x14ac:dyDescent="0.2">
      <c r="A15" s="34" t="s">
        <v>26</v>
      </c>
      <c r="B15" s="314"/>
      <c r="C15" s="315"/>
      <c r="D15" s="160"/>
      <c r="E15" s="160"/>
      <c r="F15" s="314"/>
      <c r="G15" s="315"/>
      <c r="H15" s="160"/>
      <c r="I15" s="160"/>
      <c r="J15" s="316"/>
      <c r="K15" s="317"/>
      <c r="L15" s="257"/>
      <c r="M15" s="160"/>
      <c r="N15" s="137"/>
    </row>
    <row r="16" spans="1:14" s="36" customFormat="1" x14ac:dyDescent="0.2">
      <c r="A16" s="161"/>
      <c r="B16" s="139"/>
      <c r="C16" s="27"/>
      <c r="D16" s="152"/>
      <c r="E16" s="152"/>
      <c r="F16" s="139"/>
      <c r="G16" s="27"/>
      <c r="H16" s="152"/>
      <c r="I16" s="152"/>
      <c r="J16" s="41"/>
      <c r="K16" s="41"/>
      <c r="L16" s="152"/>
      <c r="M16" s="152"/>
      <c r="N16" s="137"/>
    </row>
    <row r="17" spans="1:14" x14ac:dyDescent="0.2">
      <c r="A17" s="146" t="s">
        <v>307</v>
      </c>
      <c r="B17" s="20"/>
    </row>
    <row r="18" spans="1:14" x14ac:dyDescent="0.2">
      <c r="F18" s="140"/>
      <c r="G18" s="140"/>
      <c r="H18" s="140"/>
      <c r="I18" s="140"/>
      <c r="J18" s="140"/>
      <c r="K18" s="140"/>
      <c r="L18" s="140"/>
      <c r="M18" s="140"/>
    </row>
    <row r="19" spans="1:14" s="3" customFormat="1" ht="15.75" x14ac:dyDescent="0.25">
      <c r="A19" s="157"/>
      <c r="B19" s="142"/>
      <c r="C19" s="147"/>
      <c r="D19" s="147"/>
      <c r="E19" s="147"/>
      <c r="F19" s="147"/>
      <c r="G19" s="147"/>
      <c r="H19" s="147"/>
      <c r="I19" s="147"/>
      <c r="J19" s="147"/>
      <c r="K19" s="147"/>
      <c r="L19" s="147"/>
      <c r="M19" s="147"/>
      <c r="N19" s="142"/>
    </row>
    <row r="20" spans="1:14" ht="15.75" x14ac:dyDescent="0.25">
      <c r="A20" s="141" t="s">
        <v>304</v>
      </c>
      <c r="B20" s="150"/>
      <c r="C20" s="150"/>
      <c r="D20" s="144"/>
      <c r="E20" s="144"/>
      <c r="F20" s="150"/>
      <c r="G20" s="150"/>
      <c r="H20" s="150"/>
      <c r="I20" s="150"/>
      <c r="J20" s="150"/>
      <c r="K20" s="150"/>
      <c r="L20" s="150"/>
      <c r="M20" s="150"/>
    </row>
    <row r="21" spans="1:14" ht="15.75" x14ac:dyDescent="0.25">
      <c r="B21" s="832"/>
      <c r="C21" s="832"/>
      <c r="D21" s="832"/>
      <c r="E21" s="301"/>
      <c r="F21" s="832"/>
      <c r="G21" s="832"/>
      <c r="H21" s="832"/>
      <c r="I21" s="301"/>
      <c r="J21" s="832"/>
      <c r="K21" s="832"/>
      <c r="L21" s="832"/>
      <c r="M21" s="301"/>
    </row>
    <row r="22" spans="1:14" x14ac:dyDescent="0.2">
      <c r="A22" s="138"/>
      <c r="B22" s="833" t="s">
        <v>0</v>
      </c>
      <c r="C22" s="834"/>
      <c r="D22" s="834"/>
      <c r="E22" s="303"/>
      <c r="F22" s="833" t="s">
        <v>1</v>
      </c>
      <c r="G22" s="834"/>
      <c r="H22" s="834"/>
      <c r="I22" s="306"/>
      <c r="J22" s="833" t="s">
        <v>2</v>
      </c>
      <c r="K22" s="834"/>
      <c r="L22" s="834"/>
      <c r="M22" s="306"/>
    </row>
    <row r="23" spans="1:14" x14ac:dyDescent="0.2">
      <c r="A23" s="134" t="s">
        <v>5</v>
      </c>
      <c r="B23" s="145" t="s">
        <v>400</v>
      </c>
      <c r="C23" s="145" t="s">
        <v>401</v>
      </c>
      <c r="D23" s="242" t="s">
        <v>3</v>
      </c>
      <c r="E23" s="307" t="s">
        <v>37</v>
      </c>
      <c r="F23" s="145" t="s">
        <v>400</v>
      </c>
      <c r="G23" s="145" t="s">
        <v>401</v>
      </c>
      <c r="H23" s="242" t="s">
        <v>3</v>
      </c>
      <c r="I23" s="307" t="s">
        <v>37</v>
      </c>
      <c r="J23" s="145" t="s">
        <v>400</v>
      </c>
      <c r="K23" s="145" t="s">
        <v>401</v>
      </c>
      <c r="L23" s="242" t="s">
        <v>3</v>
      </c>
      <c r="M23" s="155" t="s">
        <v>37</v>
      </c>
    </row>
    <row r="24" spans="1:14" x14ac:dyDescent="0.2">
      <c r="A24" s="403"/>
      <c r="B24" s="149"/>
      <c r="C24" s="149"/>
      <c r="D24" s="243" t="s">
        <v>4</v>
      </c>
      <c r="E24" s="149" t="s">
        <v>38</v>
      </c>
      <c r="F24" s="154"/>
      <c r="G24" s="154"/>
      <c r="H24" s="242" t="s">
        <v>4</v>
      </c>
      <c r="I24" s="149" t="s">
        <v>38</v>
      </c>
      <c r="J24" s="154"/>
      <c r="K24" s="154"/>
      <c r="L24" s="242" t="s">
        <v>4</v>
      </c>
      <c r="M24" s="149" t="s">
        <v>38</v>
      </c>
    </row>
    <row r="25" spans="1:14" ht="15.75" x14ac:dyDescent="0.2">
      <c r="A25" s="12" t="s">
        <v>30</v>
      </c>
      <c r="B25" s="318"/>
      <c r="C25" s="319"/>
      <c r="D25" s="251"/>
      <c r="E25" s="170"/>
      <c r="F25" s="320"/>
      <c r="G25" s="319"/>
      <c r="H25" s="251"/>
      <c r="I25" s="170"/>
      <c r="J25" s="318"/>
      <c r="K25" s="318"/>
      <c r="L25" s="255"/>
      <c r="M25" s="159"/>
    </row>
    <row r="26" spans="1:14" ht="15.75" x14ac:dyDescent="0.2">
      <c r="A26" s="298" t="s">
        <v>318</v>
      </c>
      <c r="B26" s="291"/>
      <c r="C26" s="291"/>
      <c r="D26" s="159"/>
      <c r="E26" s="237"/>
      <c r="F26" s="291"/>
      <c r="G26" s="291"/>
      <c r="H26" s="159"/>
      <c r="I26" s="237"/>
      <c r="J26" s="291"/>
      <c r="K26" s="291"/>
      <c r="L26" s="159"/>
      <c r="M26" s="159"/>
    </row>
    <row r="27" spans="1:14" ht="15.75" x14ac:dyDescent="0.2">
      <c r="A27" s="298" t="s">
        <v>319</v>
      </c>
      <c r="B27" s="291"/>
      <c r="C27" s="291"/>
      <c r="D27" s="159"/>
      <c r="E27" s="237"/>
      <c r="F27" s="291"/>
      <c r="G27" s="291"/>
      <c r="H27" s="159"/>
      <c r="I27" s="237"/>
      <c r="J27" s="291"/>
      <c r="K27" s="291"/>
      <c r="L27" s="159"/>
      <c r="M27" s="159"/>
    </row>
    <row r="28" spans="1:14" ht="15.75" x14ac:dyDescent="0.2">
      <c r="A28" s="298" t="s">
        <v>320</v>
      </c>
      <c r="B28" s="291"/>
      <c r="C28" s="291"/>
      <c r="D28" s="159"/>
      <c r="E28" s="237"/>
      <c r="F28" s="291"/>
      <c r="G28" s="291"/>
      <c r="H28" s="159"/>
      <c r="I28" s="237"/>
      <c r="J28" s="291"/>
      <c r="K28" s="291"/>
      <c r="L28" s="159"/>
      <c r="M28" s="159"/>
    </row>
    <row r="29" spans="1:14" x14ac:dyDescent="0.2">
      <c r="A29" s="298" t="s">
        <v>11</v>
      </c>
      <c r="B29" s="291"/>
      <c r="C29" s="291"/>
      <c r="D29" s="159"/>
      <c r="E29" s="237"/>
      <c r="F29" s="291"/>
      <c r="G29" s="291"/>
      <c r="H29" s="159"/>
      <c r="I29" s="237"/>
      <c r="J29" s="291"/>
      <c r="K29" s="291"/>
      <c r="L29" s="159"/>
      <c r="M29" s="159"/>
    </row>
    <row r="30" spans="1:14" ht="15.75" x14ac:dyDescent="0.2">
      <c r="A30" s="42" t="s">
        <v>308</v>
      </c>
      <c r="B30" s="37"/>
      <c r="C30" s="288"/>
      <c r="D30" s="159"/>
      <c r="E30" s="170"/>
      <c r="F30" s="229"/>
      <c r="G30" s="288"/>
      <c r="H30" s="159"/>
      <c r="I30" s="170"/>
      <c r="J30" s="37"/>
      <c r="K30" s="37"/>
      <c r="L30" s="256"/>
      <c r="M30" s="159"/>
    </row>
    <row r="31" spans="1:14" ht="15.75" x14ac:dyDescent="0.2">
      <c r="A31" s="11" t="s">
        <v>29</v>
      </c>
      <c r="B31" s="231"/>
      <c r="C31" s="231"/>
      <c r="D31" s="159"/>
      <c r="E31" s="170"/>
      <c r="F31" s="310"/>
      <c r="G31" s="310"/>
      <c r="H31" s="159"/>
      <c r="I31" s="170"/>
      <c r="J31" s="231"/>
      <c r="K31" s="231"/>
      <c r="L31" s="256"/>
      <c r="M31" s="159"/>
    </row>
    <row r="32" spans="1:14" ht="15.75" x14ac:dyDescent="0.2">
      <c r="A32" s="298" t="s">
        <v>318</v>
      </c>
      <c r="B32" s="291"/>
      <c r="C32" s="291"/>
      <c r="D32" s="159"/>
      <c r="E32" s="237"/>
      <c r="F32" s="291"/>
      <c r="G32" s="291"/>
      <c r="H32" s="159"/>
      <c r="I32" s="237"/>
      <c r="J32" s="291"/>
      <c r="K32" s="291"/>
      <c r="L32" s="159"/>
      <c r="M32" s="159"/>
    </row>
    <row r="33" spans="1:14" ht="15.75" x14ac:dyDescent="0.2">
      <c r="A33" s="298" t="s">
        <v>320</v>
      </c>
      <c r="B33" s="291"/>
      <c r="C33" s="291"/>
      <c r="D33" s="159"/>
      <c r="E33" s="237"/>
      <c r="F33" s="291"/>
      <c r="G33" s="291"/>
      <c r="H33" s="159"/>
      <c r="I33" s="237"/>
      <c r="J33" s="291"/>
      <c r="K33" s="291"/>
      <c r="L33" s="159"/>
      <c r="M33" s="159"/>
    </row>
    <row r="34" spans="1:14" s="21" customFormat="1" x14ac:dyDescent="0.2">
      <c r="A34" s="298" t="s">
        <v>16</v>
      </c>
      <c r="B34" s="291"/>
      <c r="C34" s="291"/>
      <c r="D34" s="159"/>
      <c r="E34" s="237"/>
      <c r="F34" s="291"/>
      <c r="G34" s="291"/>
      <c r="H34" s="159"/>
      <c r="I34" s="237"/>
      <c r="J34" s="291"/>
      <c r="K34" s="291"/>
      <c r="L34" s="159"/>
      <c r="M34" s="159"/>
      <c r="N34" s="166"/>
    </row>
    <row r="35" spans="1:14" ht="15.75" x14ac:dyDescent="0.2">
      <c r="A35" s="42" t="s">
        <v>308</v>
      </c>
      <c r="B35" s="37"/>
      <c r="C35" s="288"/>
      <c r="D35" s="159"/>
      <c r="E35" s="170"/>
      <c r="F35" s="229"/>
      <c r="G35" s="288"/>
      <c r="H35" s="159"/>
      <c r="I35" s="170"/>
      <c r="J35" s="37"/>
      <c r="K35" s="37"/>
      <c r="L35" s="256"/>
      <c r="M35" s="159"/>
    </row>
    <row r="36" spans="1:14" s="3" customFormat="1" ht="15.75" x14ac:dyDescent="0.2">
      <c r="A36" s="11" t="s">
        <v>28</v>
      </c>
      <c r="B36" s="231"/>
      <c r="C36" s="311"/>
      <c r="D36" s="159"/>
      <c r="E36" s="170"/>
      <c r="F36" s="310"/>
      <c r="G36" s="311"/>
      <c r="H36" s="159"/>
      <c r="I36" s="170"/>
      <c r="J36" s="231"/>
      <c r="K36" s="231"/>
      <c r="L36" s="256"/>
      <c r="M36" s="159"/>
      <c r="N36" s="142"/>
    </row>
    <row r="37" spans="1:14" s="3" customFormat="1" ht="15.75" x14ac:dyDescent="0.2">
      <c r="A37" s="298" t="s">
        <v>318</v>
      </c>
      <c r="B37" s="291"/>
      <c r="C37" s="291"/>
      <c r="D37" s="159"/>
      <c r="E37" s="237"/>
      <c r="F37" s="291"/>
      <c r="G37" s="291"/>
      <c r="H37" s="159"/>
      <c r="I37" s="237"/>
      <c r="J37" s="291"/>
      <c r="K37" s="291"/>
      <c r="L37" s="159"/>
      <c r="M37" s="159"/>
      <c r="N37" s="142"/>
    </row>
    <row r="38" spans="1:14" s="3" customFormat="1" ht="15.75" x14ac:dyDescent="0.2">
      <c r="A38" s="298" t="s">
        <v>319</v>
      </c>
      <c r="B38" s="291"/>
      <c r="C38" s="291"/>
      <c r="D38" s="159"/>
      <c r="E38" s="237"/>
      <c r="F38" s="291"/>
      <c r="G38" s="291"/>
      <c r="H38" s="159"/>
      <c r="I38" s="237"/>
      <c r="J38" s="291"/>
      <c r="K38" s="291"/>
      <c r="L38" s="159"/>
      <c r="M38" s="159"/>
      <c r="N38" s="142"/>
    </row>
    <row r="39" spans="1:14" ht="15.75" x14ac:dyDescent="0.2">
      <c r="A39" s="298" t="s">
        <v>320</v>
      </c>
      <c r="B39" s="291"/>
      <c r="C39" s="291"/>
      <c r="D39" s="159"/>
      <c r="E39" s="237"/>
      <c r="F39" s="291"/>
      <c r="G39" s="291"/>
      <c r="H39" s="159"/>
      <c r="I39" s="237"/>
      <c r="J39" s="291"/>
      <c r="K39" s="291"/>
      <c r="L39" s="159"/>
      <c r="M39" s="159"/>
    </row>
    <row r="40" spans="1:14" ht="15.75" x14ac:dyDescent="0.2">
      <c r="A40" s="11" t="s">
        <v>27</v>
      </c>
      <c r="B40" s="231"/>
      <c r="C40" s="311"/>
      <c r="D40" s="159"/>
      <c r="E40" s="170"/>
      <c r="F40" s="310"/>
      <c r="G40" s="311"/>
      <c r="H40" s="159"/>
      <c r="I40" s="170"/>
      <c r="J40" s="231"/>
      <c r="K40" s="231"/>
      <c r="L40" s="256"/>
      <c r="M40" s="159"/>
    </row>
    <row r="41" spans="1:14" ht="15.75" x14ac:dyDescent="0.2">
      <c r="A41" s="11" t="s">
        <v>26</v>
      </c>
      <c r="B41" s="231"/>
      <c r="C41" s="311"/>
      <c r="D41" s="159"/>
      <c r="E41" s="170"/>
      <c r="F41" s="310"/>
      <c r="G41" s="311"/>
      <c r="H41" s="159"/>
      <c r="I41" s="170"/>
      <c r="J41" s="231"/>
      <c r="K41" s="231"/>
      <c r="L41" s="256"/>
      <c r="M41" s="159"/>
    </row>
    <row r="42" spans="1:14" ht="15.75" x14ac:dyDescent="0.2">
      <c r="A42" s="10" t="s">
        <v>321</v>
      </c>
      <c r="B42" s="231"/>
      <c r="C42" s="311"/>
      <c r="D42" s="159"/>
      <c r="E42" s="170"/>
      <c r="F42" s="321"/>
      <c r="G42" s="322"/>
      <c r="H42" s="159"/>
      <c r="I42" s="237"/>
      <c r="J42" s="231"/>
      <c r="K42" s="231"/>
      <c r="L42" s="256"/>
      <c r="M42" s="159"/>
    </row>
    <row r="43" spans="1:14" ht="15.75" x14ac:dyDescent="0.2">
      <c r="A43" s="10" t="s">
        <v>322</v>
      </c>
      <c r="B43" s="231"/>
      <c r="C43" s="311"/>
      <c r="D43" s="159"/>
      <c r="E43" s="170"/>
      <c r="F43" s="321"/>
      <c r="G43" s="322"/>
      <c r="H43" s="159"/>
      <c r="I43" s="237"/>
      <c r="J43" s="231"/>
      <c r="K43" s="231"/>
      <c r="L43" s="256"/>
      <c r="M43" s="159"/>
    </row>
    <row r="44" spans="1:14" ht="15.75" x14ac:dyDescent="0.2">
      <c r="A44" s="10" t="s">
        <v>323</v>
      </c>
      <c r="B44" s="231"/>
      <c r="C44" s="311"/>
      <c r="D44" s="159"/>
      <c r="E44" s="170"/>
      <c r="F44" s="321"/>
      <c r="G44" s="323"/>
      <c r="H44" s="159"/>
      <c r="I44" s="237"/>
      <c r="J44" s="231"/>
      <c r="K44" s="231"/>
      <c r="L44" s="256"/>
      <c r="M44" s="159"/>
    </row>
    <row r="45" spans="1:14" ht="15.75" x14ac:dyDescent="0.2">
      <c r="A45" s="10" t="s">
        <v>324</v>
      </c>
      <c r="B45" s="231"/>
      <c r="C45" s="311"/>
      <c r="D45" s="159"/>
      <c r="E45" s="170"/>
      <c r="F45" s="321"/>
      <c r="G45" s="322"/>
      <c r="H45" s="159"/>
      <c r="I45" s="237"/>
      <c r="J45" s="231"/>
      <c r="K45" s="231"/>
      <c r="L45" s="256"/>
      <c r="M45" s="159"/>
    </row>
    <row r="46" spans="1:14" ht="15.75" x14ac:dyDescent="0.2">
      <c r="A46" s="16" t="s">
        <v>325</v>
      </c>
      <c r="B46" s="277"/>
      <c r="C46" s="317"/>
      <c r="D46" s="160"/>
      <c r="E46" s="201"/>
      <c r="F46" s="324"/>
      <c r="G46" s="325"/>
      <c r="H46" s="160"/>
      <c r="I46" s="160"/>
      <c r="J46" s="231"/>
      <c r="K46" s="231"/>
      <c r="L46" s="257"/>
      <c r="M46" s="160"/>
    </row>
    <row r="47" spans="1:14" ht="15.75" x14ac:dyDescent="0.25">
      <c r="A47" s="40"/>
      <c r="B47" s="254"/>
      <c r="C47" s="254"/>
      <c r="D47" s="836"/>
      <c r="E47" s="836"/>
      <c r="F47" s="836"/>
      <c r="G47" s="836"/>
      <c r="H47" s="836"/>
      <c r="I47" s="836"/>
      <c r="J47" s="836"/>
      <c r="K47" s="836"/>
      <c r="L47" s="836"/>
      <c r="M47" s="304"/>
    </row>
    <row r="48" spans="1:14" x14ac:dyDescent="0.2">
      <c r="A48" s="148"/>
    </row>
    <row r="49" spans="1:14" ht="15.75" x14ac:dyDescent="0.25">
      <c r="A49" s="141" t="s">
        <v>305</v>
      </c>
      <c r="B49" s="835"/>
      <c r="C49" s="835"/>
      <c r="D49" s="835"/>
      <c r="E49" s="301"/>
      <c r="F49" s="837"/>
      <c r="G49" s="837"/>
      <c r="H49" s="837"/>
      <c r="I49" s="304"/>
      <c r="J49" s="837"/>
      <c r="K49" s="837"/>
      <c r="L49" s="837"/>
      <c r="M49" s="304"/>
    </row>
    <row r="50" spans="1:14" ht="15.75" x14ac:dyDescent="0.25">
      <c r="A50" s="156"/>
      <c r="B50" s="305"/>
      <c r="C50" s="305"/>
      <c r="D50" s="305"/>
      <c r="E50" s="305"/>
      <c r="F50" s="304"/>
      <c r="G50" s="304"/>
      <c r="H50" s="304"/>
      <c r="I50" s="304"/>
      <c r="J50" s="304"/>
      <c r="K50" s="304"/>
      <c r="L50" s="304"/>
      <c r="M50" s="304"/>
    </row>
    <row r="51" spans="1:14" ht="15.75" x14ac:dyDescent="0.25">
      <c r="A51" s="244"/>
      <c r="B51" s="833" t="s">
        <v>0</v>
      </c>
      <c r="C51" s="834"/>
      <c r="D51" s="834"/>
      <c r="E51" s="240"/>
      <c r="F51" s="304"/>
      <c r="G51" s="304"/>
      <c r="H51" s="304"/>
      <c r="I51" s="304"/>
      <c r="J51" s="304"/>
      <c r="K51" s="304"/>
      <c r="L51" s="304"/>
      <c r="M51" s="304"/>
    </row>
    <row r="52" spans="1:14" s="3" customFormat="1" x14ac:dyDescent="0.2">
      <c r="A52" s="134"/>
      <c r="B52" s="167" t="s">
        <v>400</v>
      </c>
      <c r="C52" s="167" t="s">
        <v>401</v>
      </c>
      <c r="D52" s="155" t="s">
        <v>3</v>
      </c>
      <c r="E52" s="155" t="s">
        <v>37</v>
      </c>
      <c r="F52" s="169"/>
      <c r="G52" s="169"/>
      <c r="H52" s="168"/>
      <c r="I52" s="168"/>
      <c r="J52" s="169"/>
      <c r="K52" s="169"/>
      <c r="L52" s="168"/>
      <c r="M52" s="168"/>
      <c r="N52" s="142"/>
    </row>
    <row r="53" spans="1:14" s="3" customFormat="1" x14ac:dyDescent="0.2">
      <c r="A53" s="403"/>
      <c r="B53" s="241"/>
      <c r="C53" s="241"/>
      <c r="D53" s="242" t="s">
        <v>4</v>
      </c>
      <c r="E53" s="149" t="s">
        <v>38</v>
      </c>
      <c r="F53" s="168"/>
      <c r="G53" s="168"/>
      <c r="H53" s="168"/>
      <c r="I53" s="168"/>
      <c r="J53" s="168"/>
      <c r="K53" s="168"/>
      <c r="L53" s="168"/>
      <c r="M53" s="168"/>
      <c r="N53" s="142"/>
    </row>
    <row r="54" spans="1:14" s="3" customFormat="1" ht="15.75" x14ac:dyDescent="0.2">
      <c r="A54" s="12" t="s">
        <v>30</v>
      </c>
      <c r="B54" s="312">
        <v>825836</v>
      </c>
      <c r="C54" s="313">
        <v>826219</v>
      </c>
      <c r="D54" s="255">
        <f t="shared" ref="D54:D70" si="5">IF(B54=0, "    ---- ", IF(ABS(ROUND(100/B54*C54-100,1))&lt;999,ROUND(100/B54*C54-100,1),IF(ROUND(100/B54*C54-100,1)&gt;999,999,-999)))</f>
        <v>0</v>
      </c>
      <c r="E54" s="170">
        <f>IFERROR(100/'Skjema total MA'!C54*C54,0)</f>
        <v>22.129137931610842</v>
      </c>
      <c r="F54" s="139"/>
      <c r="G54" s="27"/>
      <c r="H54" s="152"/>
      <c r="I54" s="152"/>
      <c r="J54" s="30"/>
      <c r="K54" s="30"/>
      <c r="L54" s="152"/>
      <c r="M54" s="152"/>
      <c r="N54" s="142"/>
    </row>
    <row r="55" spans="1:14" s="3" customFormat="1" ht="15.75" x14ac:dyDescent="0.2">
      <c r="A55" s="31" t="s">
        <v>326</v>
      </c>
      <c r="B55" s="282">
        <v>523073</v>
      </c>
      <c r="C55" s="283">
        <v>529803</v>
      </c>
      <c r="D55" s="256">
        <f t="shared" si="5"/>
        <v>1.3</v>
      </c>
      <c r="E55" s="170">
        <f>IFERROR(100/'Skjema total MA'!C55*C55,0)</f>
        <v>26.026892074398901</v>
      </c>
      <c r="F55" s="139"/>
      <c r="G55" s="27"/>
      <c r="H55" s="139"/>
      <c r="I55" s="139"/>
      <c r="J55" s="27"/>
      <c r="K55" s="27"/>
      <c r="L55" s="152"/>
      <c r="M55" s="152"/>
      <c r="N55" s="142"/>
    </row>
    <row r="56" spans="1:14" s="3" customFormat="1" ht="15.75" x14ac:dyDescent="0.2">
      <c r="A56" s="31" t="s">
        <v>327</v>
      </c>
      <c r="B56" s="37">
        <v>302763</v>
      </c>
      <c r="C56" s="288">
        <v>296416</v>
      </c>
      <c r="D56" s="256">
        <f>IF(B56=0, "    ---- ", IF(ABS(ROUND(100/B56*C56-100,1))&lt;999,ROUND(100/B56*C56-100,1),IF(ROUND(100/B56*C56-100,1)&gt;999,999,-999)))</f>
        <v>-2.1</v>
      </c>
      <c r="E56" s="170">
        <f>IFERROR(100/'Skjema total MA'!C56*C56,0)</f>
        <v>17.456500475488269</v>
      </c>
      <c r="F56" s="139"/>
      <c r="G56" s="27"/>
      <c r="H56" s="139"/>
      <c r="I56" s="139"/>
      <c r="J56" s="30"/>
      <c r="K56" s="30"/>
      <c r="L56" s="152"/>
      <c r="M56" s="152"/>
      <c r="N56" s="142"/>
    </row>
    <row r="57" spans="1:14" s="3" customFormat="1" x14ac:dyDescent="0.2">
      <c r="A57" s="298" t="s">
        <v>6</v>
      </c>
      <c r="B57" s="291"/>
      <c r="C57" s="292"/>
      <c r="D57" s="256"/>
      <c r="E57" s="159"/>
      <c r="F57" s="139"/>
      <c r="G57" s="27"/>
      <c r="H57" s="139"/>
      <c r="I57" s="139"/>
      <c r="J57" s="27"/>
      <c r="K57" s="27"/>
      <c r="L57" s="152"/>
      <c r="M57" s="152"/>
      <c r="N57" s="142"/>
    </row>
    <row r="58" spans="1:14" s="3" customFormat="1" x14ac:dyDescent="0.2">
      <c r="A58" s="298" t="s">
        <v>7</v>
      </c>
      <c r="B58" s="291">
        <v>249161</v>
      </c>
      <c r="C58" s="292">
        <v>276446</v>
      </c>
      <c r="D58" s="256">
        <f>IF(B58=0, "    ---- ", IF(ABS(ROUND(100/B58*C58-100,1))&lt;999,ROUND(100/B58*C58-100,1),IF(ROUND(100/B58*C58-100,1)&gt;999,999,-999)))</f>
        <v>11</v>
      </c>
      <c r="E58" s="170">
        <f>IFERROR(100/'Skjema total MA'!C58*C58,0)</f>
        <v>19.088478215241366</v>
      </c>
      <c r="F58" s="139"/>
      <c r="G58" s="27"/>
      <c r="H58" s="139"/>
      <c r="I58" s="139"/>
      <c r="J58" s="27"/>
      <c r="K58" s="27"/>
      <c r="L58" s="152"/>
      <c r="M58" s="152"/>
      <c r="N58" s="142"/>
    </row>
    <row r="59" spans="1:14" s="3" customFormat="1" x14ac:dyDescent="0.2">
      <c r="A59" s="298" t="s">
        <v>8</v>
      </c>
      <c r="B59" s="291">
        <v>53602</v>
      </c>
      <c r="C59" s="292">
        <v>19970</v>
      </c>
      <c r="D59" s="256">
        <f t="shared" si="5"/>
        <v>-62.7</v>
      </c>
      <c r="E59" s="170">
        <f>IFERROR(100/'Skjema total MA'!C59*C59,0)</f>
        <v>8.1173912159827655</v>
      </c>
      <c r="F59" s="139"/>
      <c r="G59" s="27"/>
      <c r="H59" s="139"/>
      <c r="I59" s="139"/>
      <c r="J59" s="27"/>
      <c r="K59" s="27"/>
      <c r="L59" s="152"/>
      <c r="M59" s="152"/>
      <c r="N59" s="142"/>
    </row>
    <row r="60" spans="1:14" s="3" customFormat="1" ht="15.75" x14ac:dyDescent="0.2">
      <c r="A60" s="11" t="s">
        <v>29</v>
      </c>
      <c r="B60" s="312">
        <v>18424</v>
      </c>
      <c r="C60" s="313">
        <v>24159</v>
      </c>
      <c r="D60" s="256">
        <f>IF(B60=0, "    ---- ", IF(ABS(ROUND(100/B60*C60-100,1))&lt;999,ROUND(100/B60*C60-100,1),IF(ROUND(100/B60*C60-100,1)&gt;999,999,-999)))</f>
        <v>31.1</v>
      </c>
      <c r="E60" s="170">
        <f>IFERROR(100/'Skjema total MA'!C60*C60,0)</f>
        <v>27.352576924324943</v>
      </c>
      <c r="F60" s="139"/>
      <c r="G60" s="27"/>
      <c r="H60" s="139"/>
      <c r="I60" s="139"/>
      <c r="J60" s="27"/>
      <c r="K60" s="27"/>
      <c r="L60" s="152"/>
      <c r="M60" s="152"/>
      <c r="N60" s="142"/>
    </row>
    <row r="61" spans="1:14" s="3" customFormat="1" ht="15.75" x14ac:dyDescent="0.2">
      <c r="A61" s="31" t="s">
        <v>326</v>
      </c>
      <c r="B61" s="282">
        <v>1853</v>
      </c>
      <c r="C61" s="283">
        <v>1411</v>
      </c>
      <c r="D61" s="256">
        <f t="shared" si="5"/>
        <v>-23.9</v>
      </c>
      <c r="E61" s="170">
        <f>IFERROR(100/'Skjema total MA'!C61*C61,0)</f>
        <v>3.6367547497602155</v>
      </c>
      <c r="F61" s="139"/>
      <c r="G61" s="27"/>
      <c r="H61" s="139"/>
      <c r="I61" s="139"/>
      <c r="J61" s="27"/>
      <c r="K61" s="27"/>
      <c r="L61" s="152"/>
      <c r="M61" s="152"/>
      <c r="N61" s="142"/>
    </row>
    <row r="62" spans="1:14" s="3" customFormat="1" ht="15.75" x14ac:dyDescent="0.2">
      <c r="A62" s="31" t="s">
        <v>327</v>
      </c>
      <c r="B62" s="37">
        <v>16571</v>
      </c>
      <c r="C62" s="288">
        <v>22748</v>
      </c>
      <c r="D62" s="256">
        <f t="shared" si="5"/>
        <v>37.299999999999997</v>
      </c>
      <c r="E62" s="170">
        <f>IFERROR(100/'Skjema total MA'!C62*C62,0)</f>
        <v>45.93136039954711</v>
      </c>
      <c r="F62" s="139"/>
      <c r="G62" s="27"/>
      <c r="H62" s="139"/>
      <c r="I62" s="139"/>
      <c r="J62" s="27"/>
      <c r="K62" s="27"/>
      <c r="L62" s="152"/>
      <c r="M62" s="152"/>
      <c r="N62" s="142"/>
    </row>
    <row r="63" spans="1:14" s="3" customFormat="1" x14ac:dyDescent="0.2">
      <c r="A63" s="298" t="s">
        <v>6</v>
      </c>
      <c r="B63" s="282">
        <v>0</v>
      </c>
      <c r="C63" s="283">
        <v>0</v>
      </c>
      <c r="D63" s="256"/>
      <c r="E63" s="170">
        <f>IFERROR(100/'Skjema total MA'!C63*C63,0)</f>
        <v>0</v>
      </c>
      <c r="F63" s="139"/>
      <c r="G63" s="27"/>
      <c r="H63" s="139"/>
      <c r="I63" s="139"/>
      <c r="J63" s="27"/>
      <c r="K63" s="27"/>
      <c r="L63" s="152"/>
      <c r="M63" s="152"/>
      <c r="N63" s="142"/>
    </row>
    <row r="64" spans="1:14" s="3" customFormat="1" x14ac:dyDescent="0.2">
      <c r="A64" s="298" t="s">
        <v>7</v>
      </c>
      <c r="B64" s="282">
        <v>16571</v>
      </c>
      <c r="C64" s="283">
        <v>22748</v>
      </c>
      <c r="D64" s="256"/>
      <c r="E64" s="170">
        <f>IFERROR(100/'Skjema total MA'!C64*C64,0)</f>
        <v>47.398579947046024</v>
      </c>
      <c r="F64" s="139"/>
      <c r="G64" s="27"/>
      <c r="H64" s="139"/>
      <c r="I64" s="139"/>
      <c r="J64" s="27"/>
      <c r="K64" s="27"/>
      <c r="L64" s="152"/>
      <c r="M64" s="152"/>
      <c r="N64" s="142"/>
    </row>
    <row r="65" spans="1:14" s="3" customFormat="1" x14ac:dyDescent="0.2">
      <c r="A65" s="298" t="s">
        <v>8</v>
      </c>
      <c r="B65" s="282">
        <v>0</v>
      </c>
      <c r="C65" s="283">
        <v>0</v>
      </c>
      <c r="D65" s="256"/>
      <c r="E65" s="170">
        <f>IFERROR(100/'Skjema total MA'!C65*C65,0)</f>
        <v>0</v>
      </c>
      <c r="F65" s="139"/>
      <c r="G65" s="27"/>
      <c r="H65" s="139"/>
      <c r="I65" s="139"/>
      <c r="J65" s="27"/>
      <c r="K65" s="27"/>
      <c r="L65" s="152"/>
      <c r="M65" s="152"/>
      <c r="N65" s="142"/>
    </row>
    <row r="66" spans="1:14" s="3" customFormat="1" ht="15.75" x14ac:dyDescent="0.2">
      <c r="A66" s="32" t="s">
        <v>328</v>
      </c>
      <c r="B66" s="312">
        <v>30284</v>
      </c>
      <c r="C66" s="313">
        <v>62577</v>
      </c>
      <c r="D66" s="256">
        <f t="shared" si="5"/>
        <v>106.6</v>
      </c>
      <c r="E66" s="170">
        <f>IFERROR(100/'Skjema total MA'!C66*C66,0)</f>
        <v>37.198701706638531</v>
      </c>
      <c r="F66" s="139"/>
      <c r="G66" s="27"/>
      <c r="H66" s="139"/>
      <c r="I66" s="139"/>
      <c r="J66" s="27"/>
      <c r="K66" s="27"/>
      <c r="L66" s="152"/>
      <c r="M66" s="152"/>
      <c r="N66" s="142"/>
    </row>
    <row r="67" spans="1:14" s="3" customFormat="1" ht="15.75" x14ac:dyDescent="0.2">
      <c r="A67" s="31" t="s">
        <v>326</v>
      </c>
      <c r="B67" s="282">
        <v>30284</v>
      </c>
      <c r="C67" s="283">
        <v>62577</v>
      </c>
      <c r="D67" s="256">
        <f t="shared" si="5"/>
        <v>106.6</v>
      </c>
      <c r="E67" s="170">
        <f>IFERROR(100/'Skjema total MA'!C67*C67,0)</f>
        <v>45.120450447413646</v>
      </c>
      <c r="F67" s="139"/>
      <c r="G67" s="27"/>
      <c r="H67" s="139"/>
      <c r="I67" s="139"/>
      <c r="J67" s="27"/>
      <c r="K67" s="27"/>
      <c r="L67" s="152"/>
      <c r="M67" s="152"/>
      <c r="N67" s="142"/>
    </row>
    <row r="68" spans="1:14" s="3" customFormat="1" ht="15.75" x14ac:dyDescent="0.2">
      <c r="A68" s="31" t="s">
        <v>327</v>
      </c>
      <c r="B68" s="282"/>
      <c r="C68" s="283"/>
      <c r="D68" s="256"/>
      <c r="E68" s="170"/>
      <c r="F68" s="139"/>
      <c r="G68" s="27"/>
      <c r="H68" s="139"/>
      <c r="I68" s="139"/>
      <c r="J68" s="27"/>
      <c r="K68" s="27"/>
      <c r="L68" s="152"/>
      <c r="M68" s="152"/>
      <c r="N68" s="142"/>
    </row>
    <row r="69" spans="1:14" s="3" customFormat="1" ht="15.75" x14ac:dyDescent="0.2">
      <c r="A69" s="32" t="s">
        <v>329</v>
      </c>
      <c r="B69" s="312">
        <v>36904</v>
      </c>
      <c r="C69" s="313">
        <v>59558</v>
      </c>
      <c r="D69" s="256">
        <f t="shared" si="5"/>
        <v>61.4</v>
      </c>
      <c r="E69" s="170">
        <f>IFERROR(100/'Skjema total MA'!C69*C69,0)</f>
        <v>31.308983781133691</v>
      </c>
      <c r="F69" s="139"/>
      <c r="G69" s="27"/>
      <c r="H69" s="139"/>
      <c r="I69" s="139"/>
      <c r="J69" s="27"/>
      <c r="K69" s="27"/>
      <c r="L69" s="152"/>
      <c r="M69" s="152"/>
      <c r="N69" s="142"/>
    </row>
    <row r="70" spans="1:14" s="3" customFormat="1" ht="15.75" x14ac:dyDescent="0.2">
      <c r="A70" s="31" t="s">
        <v>326</v>
      </c>
      <c r="B70" s="282">
        <v>36904</v>
      </c>
      <c r="C70" s="283">
        <v>59558</v>
      </c>
      <c r="D70" s="256">
        <f t="shared" si="5"/>
        <v>61.4</v>
      </c>
      <c r="E70" s="170">
        <f>IFERROR(100/'Skjema total MA'!C70*C70,0)</f>
        <v>31.807117384845494</v>
      </c>
      <c r="F70" s="139"/>
      <c r="G70" s="27"/>
      <c r="H70" s="139"/>
      <c r="I70" s="139"/>
      <c r="J70" s="27"/>
      <c r="K70" s="27"/>
      <c r="L70" s="152"/>
      <c r="M70" s="152"/>
      <c r="N70" s="142"/>
    </row>
    <row r="71" spans="1:14" s="3" customFormat="1" ht="15.75" x14ac:dyDescent="0.2">
      <c r="A71" s="39" t="s">
        <v>327</v>
      </c>
      <c r="B71" s="284"/>
      <c r="C71" s="285"/>
      <c r="D71" s="257"/>
      <c r="E71" s="160"/>
      <c r="F71" s="139"/>
      <c r="G71" s="27"/>
      <c r="H71" s="139"/>
      <c r="I71" s="139"/>
      <c r="J71" s="27"/>
      <c r="K71" s="27"/>
      <c r="L71" s="152"/>
      <c r="M71" s="152"/>
      <c r="N71" s="142"/>
    </row>
    <row r="72" spans="1:14" s="3" customFormat="1" ht="15.75" x14ac:dyDescent="0.25">
      <c r="A72" s="157"/>
      <c r="B72" s="147"/>
      <c r="C72" s="147"/>
      <c r="D72" s="147"/>
      <c r="E72" s="147"/>
      <c r="F72" s="136"/>
      <c r="G72" s="136"/>
      <c r="H72" s="136"/>
      <c r="I72" s="136"/>
      <c r="J72" s="136"/>
      <c r="K72" s="136"/>
      <c r="L72" s="136"/>
      <c r="M72" s="136"/>
      <c r="N72" s="142"/>
    </row>
    <row r="73" spans="1:14" x14ac:dyDescent="0.2">
      <c r="A73" s="148"/>
    </row>
    <row r="74" spans="1:14" ht="15.75" x14ac:dyDescent="0.25">
      <c r="A74" s="141" t="s">
        <v>306</v>
      </c>
      <c r="C74" s="20"/>
      <c r="D74" s="20"/>
      <c r="E74" s="20"/>
      <c r="F74" s="20"/>
      <c r="G74" s="20"/>
      <c r="H74" s="20"/>
      <c r="I74" s="20"/>
      <c r="J74" s="20"/>
      <c r="K74" s="20"/>
      <c r="L74" s="20"/>
      <c r="M74" s="20"/>
    </row>
    <row r="75" spans="1:14" ht="15.75" x14ac:dyDescent="0.25">
      <c r="B75" s="832"/>
      <c r="C75" s="832"/>
      <c r="D75" s="832"/>
      <c r="E75" s="301"/>
      <c r="F75" s="832"/>
      <c r="G75" s="832"/>
      <c r="H75" s="832"/>
      <c r="I75" s="301"/>
      <c r="J75" s="832"/>
      <c r="K75" s="832"/>
      <c r="L75" s="832"/>
      <c r="M75" s="301"/>
    </row>
    <row r="76" spans="1:14" x14ac:dyDescent="0.2">
      <c r="A76" s="138"/>
      <c r="B76" s="833" t="s">
        <v>0</v>
      </c>
      <c r="C76" s="834"/>
      <c r="D76" s="838"/>
      <c r="E76" s="302"/>
      <c r="F76" s="834" t="s">
        <v>1</v>
      </c>
      <c r="G76" s="834"/>
      <c r="H76" s="834"/>
      <c r="I76" s="306"/>
      <c r="J76" s="833" t="s">
        <v>2</v>
      </c>
      <c r="K76" s="834"/>
      <c r="L76" s="834"/>
      <c r="M76" s="306"/>
    </row>
    <row r="77" spans="1:14" x14ac:dyDescent="0.2">
      <c r="A77" s="134"/>
      <c r="B77" s="145" t="s">
        <v>400</v>
      </c>
      <c r="C77" s="145" t="s">
        <v>401</v>
      </c>
      <c r="D77" s="242" t="s">
        <v>3</v>
      </c>
      <c r="E77" s="307" t="s">
        <v>37</v>
      </c>
      <c r="F77" s="145" t="s">
        <v>400</v>
      </c>
      <c r="G77" s="145" t="s">
        <v>401</v>
      </c>
      <c r="H77" s="242" t="s">
        <v>3</v>
      </c>
      <c r="I77" s="307" t="s">
        <v>37</v>
      </c>
      <c r="J77" s="145" t="s">
        <v>400</v>
      </c>
      <c r="K77" s="145" t="s">
        <v>401</v>
      </c>
      <c r="L77" s="242" t="s">
        <v>3</v>
      </c>
      <c r="M77" s="155" t="s">
        <v>37</v>
      </c>
    </row>
    <row r="78" spans="1:14" x14ac:dyDescent="0.2">
      <c r="A78" s="403"/>
      <c r="B78" s="149"/>
      <c r="C78" s="149"/>
      <c r="D78" s="243" t="s">
        <v>4</v>
      </c>
      <c r="E78" s="149" t="s">
        <v>38</v>
      </c>
      <c r="F78" s="154"/>
      <c r="G78" s="154"/>
      <c r="H78" s="242" t="s">
        <v>4</v>
      </c>
      <c r="I78" s="149" t="s">
        <v>38</v>
      </c>
      <c r="J78" s="154"/>
      <c r="K78" s="154"/>
      <c r="L78" s="242" t="s">
        <v>4</v>
      </c>
      <c r="M78" s="149" t="s">
        <v>38</v>
      </c>
    </row>
    <row r="79" spans="1:14" ht="15.75" x14ac:dyDescent="0.2">
      <c r="A79" s="12" t="s">
        <v>30</v>
      </c>
      <c r="B79" s="355"/>
      <c r="C79" s="355"/>
      <c r="D79" s="251"/>
      <c r="E79" s="251"/>
      <c r="F79" s="355"/>
      <c r="G79" s="355"/>
      <c r="H79" s="251"/>
      <c r="I79" s="170"/>
      <c r="J79" s="311"/>
      <c r="K79" s="318"/>
      <c r="L79" s="255"/>
      <c r="M79" s="170"/>
    </row>
    <row r="80" spans="1:14" x14ac:dyDescent="0.2">
      <c r="A80" s="18" t="s">
        <v>9</v>
      </c>
      <c r="B80" s="37"/>
      <c r="C80" s="139"/>
      <c r="D80" s="159"/>
      <c r="E80" s="159"/>
      <c r="F80" s="37"/>
      <c r="G80" s="139"/>
      <c r="H80" s="159"/>
      <c r="I80" s="170"/>
      <c r="J80" s="288"/>
      <c r="K80" s="37"/>
      <c r="L80" s="256"/>
      <c r="M80" s="170"/>
    </row>
    <row r="81" spans="1:14" x14ac:dyDescent="0.2">
      <c r="A81" s="18" t="s">
        <v>10</v>
      </c>
      <c r="B81" s="293"/>
      <c r="C81" s="294"/>
      <c r="D81" s="159"/>
      <c r="E81" s="159"/>
      <c r="F81" s="293"/>
      <c r="G81" s="294"/>
      <c r="H81" s="159"/>
      <c r="I81" s="170"/>
      <c r="J81" s="288"/>
      <c r="K81" s="37"/>
      <c r="L81" s="256"/>
      <c r="M81" s="170"/>
    </row>
    <row r="82" spans="1:14" ht="15.75" x14ac:dyDescent="0.2">
      <c r="A82" s="298" t="s">
        <v>330</v>
      </c>
      <c r="B82" s="282"/>
      <c r="C82" s="282"/>
      <c r="D82" s="159"/>
      <c r="E82" s="159"/>
      <c r="F82" s="805"/>
      <c r="G82" s="282"/>
      <c r="H82" s="159"/>
      <c r="I82" s="237"/>
      <c r="J82" s="291"/>
      <c r="K82" s="291"/>
      <c r="L82" s="159"/>
      <c r="M82" s="159"/>
    </row>
    <row r="83" spans="1:14" x14ac:dyDescent="0.2">
      <c r="A83" s="298" t="s">
        <v>12</v>
      </c>
      <c r="B83" s="295"/>
      <c r="C83" s="296"/>
      <c r="D83" s="159"/>
      <c r="E83" s="159"/>
      <c r="F83" s="806"/>
      <c r="G83" s="41"/>
      <c r="H83" s="159"/>
      <c r="I83" s="237"/>
      <c r="J83" s="291"/>
      <c r="K83" s="291"/>
      <c r="L83" s="159"/>
      <c r="M83" s="159"/>
    </row>
    <row r="84" spans="1:14" x14ac:dyDescent="0.2">
      <c r="A84" s="298" t="s">
        <v>13</v>
      </c>
      <c r="B84" s="230"/>
      <c r="C84" s="290"/>
      <c r="D84" s="159"/>
      <c r="E84" s="159"/>
      <c r="F84" s="229"/>
      <c r="G84" s="139"/>
      <c r="H84" s="159"/>
      <c r="I84" s="237"/>
      <c r="J84" s="291"/>
      <c r="K84" s="291"/>
      <c r="L84" s="159"/>
      <c r="M84" s="159"/>
    </row>
    <row r="85" spans="1:14" ht="15.75" x14ac:dyDescent="0.2">
      <c r="A85" s="298" t="s">
        <v>331</v>
      </c>
      <c r="B85" s="282"/>
      <c r="C85" s="282"/>
      <c r="D85" s="159"/>
      <c r="E85" s="159"/>
      <c r="F85" s="805"/>
      <c r="G85" s="282"/>
      <c r="H85" s="159"/>
      <c r="I85" s="237"/>
      <c r="J85" s="291"/>
      <c r="K85" s="291"/>
      <c r="L85" s="159"/>
      <c r="M85" s="159"/>
    </row>
    <row r="86" spans="1:14" x14ac:dyDescent="0.2">
      <c r="A86" s="298" t="s">
        <v>12</v>
      </c>
      <c r="B86" s="230"/>
      <c r="C86" s="290"/>
      <c r="D86" s="159"/>
      <c r="E86" s="159"/>
      <c r="F86" s="229"/>
      <c r="G86" s="139"/>
      <c r="H86" s="159"/>
      <c r="I86" s="237"/>
      <c r="J86" s="291"/>
      <c r="K86" s="291"/>
      <c r="L86" s="159"/>
      <c r="M86" s="159"/>
    </row>
    <row r="87" spans="1:14" s="3" customFormat="1" x14ac:dyDescent="0.2">
      <c r="A87" s="298" t="s">
        <v>13</v>
      </c>
      <c r="B87" s="230"/>
      <c r="C87" s="290"/>
      <c r="D87" s="159"/>
      <c r="E87" s="159"/>
      <c r="F87" s="229"/>
      <c r="G87" s="139"/>
      <c r="H87" s="159"/>
      <c r="I87" s="237"/>
      <c r="J87" s="291"/>
      <c r="K87" s="291"/>
      <c r="L87" s="159"/>
      <c r="M87" s="159"/>
      <c r="N87" s="142"/>
    </row>
    <row r="88" spans="1:14" s="3" customFormat="1" x14ac:dyDescent="0.2">
      <c r="A88" s="18" t="s">
        <v>33</v>
      </c>
      <c r="B88" s="229"/>
      <c r="C88" s="139"/>
      <c r="D88" s="159"/>
      <c r="E88" s="159"/>
      <c r="F88" s="229"/>
      <c r="G88" s="139"/>
      <c r="H88" s="159"/>
      <c r="I88" s="170"/>
      <c r="J88" s="288"/>
      <c r="K88" s="37"/>
      <c r="L88" s="256"/>
      <c r="M88" s="170"/>
      <c r="N88" s="142"/>
    </row>
    <row r="89" spans="1:14" ht="15.75" x14ac:dyDescent="0.2">
      <c r="A89" s="18" t="s">
        <v>332</v>
      </c>
      <c r="B89" s="229"/>
      <c r="C89" s="229"/>
      <c r="D89" s="159"/>
      <c r="E89" s="159"/>
      <c r="F89" s="229"/>
      <c r="G89" s="229"/>
      <c r="H89" s="159"/>
      <c r="I89" s="170"/>
      <c r="J89" s="288"/>
      <c r="K89" s="37"/>
      <c r="L89" s="256"/>
      <c r="M89" s="170"/>
    </row>
    <row r="90" spans="1:14" x14ac:dyDescent="0.2">
      <c r="A90" s="18" t="s">
        <v>9</v>
      </c>
      <c r="B90" s="229"/>
      <c r="C90" s="139"/>
      <c r="D90" s="159"/>
      <c r="E90" s="159"/>
      <c r="F90" s="229"/>
      <c r="G90" s="139"/>
      <c r="H90" s="159"/>
      <c r="I90" s="170"/>
      <c r="J90" s="288"/>
      <c r="K90" s="37"/>
      <c r="L90" s="256"/>
      <c r="M90" s="170"/>
    </row>
    <row r="91" spans="1:14" x14ac:dyDescent="0.2">
      <c r="A91" s="18" t="s">
        <v>10</v>
      </c>
      <c r="B91" s="293"/>
      <c r="C91" s="294"/>
      <c r="D91" s="159"/>
      <c r="E91" s="159"/>
      <c r="F91" s="293"/>
      <c r="G91" s="294"/>
      <c r="H91" s="159"/>
      <c r="I91" s="170"/>
      <c r="J91" s="288"/>
      <c r="K91" s="37"/>
      <c r="L91" s="256"/>
      <c r="M91" s="170"/>
    </row>
    <row r="92" spans="1:14" ht="15.75" x14ac:dyDescent="0.2">
      <c r="A92" s="298" t="s">
        <v>330</v>
      </c>
      <c r="B92" s="282"/>
      <c r="C92" s="282"/>
      <c r="D92" s="159"/>
      <c r="E92" s="159"/>
      <c r="F92" s="805"/>
      <c r="G92" s="282"/>
      <c r="H92" s="159"/>
      <c r="I92" s="237"/>
      <c r="J92" s="291"/>
      <c r="K92" s="291"/>
      <c r="L92" s="159"/>
      <c r="M92" s="159"/>
    </row>
    <row r="93" spans="1:14" x14ac:dyDescent="0.2">
      <c r="A93" s="298" t="s">
        <v>12</v>
      </c>
      <c r="B93" s="230"/>
      <c r="C93" s="290"/>
      <c r="D93" s="159"/>
      <c r="E93" s="159"/>
      <c r="F93" s="229"/>
      <c r="G93" s="139"/>
      <c r="H93" s="159"/>
      <c r="I93" s="237"/>
      <c r="J93" s="291"/>
      <c r="K93" s="291"/>
      <c r="L93" s="159"/>
      <c r="M93" s="159"/>
    </row>
    <row r="94" spans="1:14" x14ac:dyDescent="0.2">
      <c r="A94" s="298" t="s">
        <v>13</v>
      </c>
      <c r="B94" s="230"/>
      <c r="C94" s="290"/>
      <c r="D94" s="159"/>
      <c r="E94" s="159"/>
      <c r="F94" s="229"/>
      <c r="G94" s="139"/>
      <c r="H94" s="159"/>
      <c r="I94" s="237"/>
      <c r="J94" s="291"/>
      <c r="K94" s="291"/>
      <c r="L94" s="159"/>
      <c r="M94" s="159"/>
    </row>
    <row r="95" spans="1:14" ht="15.75" x14ac:dyDescent="0.2">
      <c r="A95" s="298" t="s">
        <v>331</v>
      </c>
      <c r="B95" s="282"/>
      <c r="C95" s="282"/>
      <c r="D95" s="159"/>
      <c r="E95" s="159"/>
      <c r="F95" s="805"/>
      <c r="G95" s="282"/>
      <c r="H95" s="159"/>
      <c r="I95" s="237"/>
      <c r="J95" s="291"/>
      <c r="K95" s="291"/>
      <c r="L95" s="159"/>
      <c r="M95" s="159"/>
    </row>
    <row r="96" spans="1:14" x14ac:dyDescent="0.2">
      <c r="A96" s="298" t="s">
        <v>12</v>
      </c>
      <c r="B96" s="230"/>
      <c r="C96" s="290"/>
      <c r="D96" s="159"/>
      <c r="E96" s="159"/>
      <c r="F96" s="229"/>
      <c r="G96" s="139"/>
      <c r="H96" s="159"/>
      <c r="I96" s="237"/>
      <c r="J96" s="291"/>
      <c r="K96" s="291"/>
      <c r="L96" s="159"/>
      <c r="M96" s="159"/>
    </row>
    <row r="97" spans="1:13" x14ac:dyDescent="0.2">
      <c r="A97" s="298" t="s">
        <v>13</v>
      </c>
      <c r="B97" s="230"/>
      <c r="C97" s="290"/>
      <c r="D97" s="159"/>
      <c r="E97" s="159"/>
      <c r="F97" s="229"/>
      <c r="G97" s="139"/>
      <c r="H97" s="159"/>
      <c r="I97" s="237"/>
      <c r="J97" s="291"/>
      <c r="K97" s="291"/>
      <c r="L97" s="159"/>
      <c r="M97" s="159"/>
    </row>
    <row r="98" spans="1:13" ht="15.75" x14ac:dyDescent="0.2">
      <c r="A98" s="18" t="s">
        <v>342</v>
      </c>
      <c r="B98" s="229"/>
      <c r="C98" s="139"/>
      <c r="D98" s="159"/>
      <c r="E98" s="159"/>
      <c r="F98" s="229"/>
      <c r="G98" s="139"/>
      <c r="H98" s="159"/>
      <c r="I98" s="170"/>
      <c r="J98" s="288"/>
      <c r="K98" s="37"/>
      <c r="L98" s="256"/>
      <c r="M98" s="170"/>
    </row>
    <row r="99" spans="1:13" ht="15.75" x14ac:dyDescent="0.2">
      <c r="A99" s="11" t="s">
        <v>29</v>
      </c>
      <c r="B99" s="310"/>
      <c r="C99" s="310"/>
      <c r="D99" s="159"/>
      <c r="E99" s="159"/>
      <c r="F99" s="310"/>
      <c r="G99" s="310"/>
      <c r="H99" s="159"/>
      <c r="I99" s="170"/>
      <c r="J99" s="311"/>
      <c r="K99" s="231"/>
      <c r="L99" s="256"/>
      <c r="M99" s="170"/>
    </row>
    <row r="100" spans="1:13" x14ac:dyDescent="0.2">
      <c r="A100" s="18" t="s">
        <v>9</v>
      </c>
      <c r="B100" s="229"/>
      <c r="C100" s="139"/>
      <c r="D100" s="159"/>
      <c r="E100" s="159"/>
      <c r="F100" s="229"/>
      <c r="G100" s="139"/>
      <c r="H100" s="159"/>
      <c r="I100" s="170"/>
      <c r="J100" s="288"/>
      <c r="K100" s="37"/>
      <c r="L100" s="256"/>
      <c r="M100" s="170"/>
    </row>
    <row r="101" spans="1:13" x14ac:dyDescent="0.2">
      <c r="A101" s="18" t="s">
        <v>10</v>
      </c>
      <c r="B101" s="229"/>
      <c r="C101" s="139"/>
      <c r="D101" s="159"/>
      <c r="E101" s="159"/>
      <c r="F101" s="229"/>
      <c r="G101" s="139"/>
      <c r="H101" s="159"/>
      <c r="I101" s="170"/>
      <c r="J101" s="288"/>
      <c r="K101" s="37"/>
      <c r="L101" s="256"/>
      <c r="M101" s="170"/>
    </row>
    <row r="102" spans="1:13" ht="15.75" x14ac:dyDescent="0.2">
      <c r="A102" s="298" t="s">
        <v>330</v>
      </c>
      <c r="B102" s="282"/>
      <c r="C102" s="282"/>
      <c r="D102" s="159"/>
      <c r="E102" s="159"/>
      <c r="F102" s="805"/>
      <c r="G102" s="282"/>
      <c r="H102" s="159"/>
      <c r="I102" s="237"/>
      <c r="J102" s="291"/>
      <c r="K102" s="291"/>
      <c r="L102" s="159"/>
      <c r="M102" s="159"/>
    </row>
    <row r="103" spans="1:13" x14ac:dyDescent="0.2">
      <c r="A103" s="298" t="s">
        <v>12</v>
      </c>
      <c r="B103" s="230"/>
      <c r="C103" s="290"/>
      <c r="D103" s="159"/>
      <c r="E103" s="159"/>
      <c r="F103" s="229"/>
      <c r="G103" s="139"/>
      <c r="H103" s="159"/>
      <c r="I103" s="237"/>
      <c r="J103" s="291"/>
      <c r="K103" s="291"/>
      <c r="L103" s="159"/>
      <c r="M103" s="159"/>
    </row>
    <row r="104" spans="1:13" x14ac:dyDescent="0.2">
      <c r="A104" s="298" t="s">
        <v>13</v>
      </c>
      <c r="B104" s="230"/>
      <c r="C104" s="290"/>
      <c r="D104" s="159"/>
      <c r="E104" s="159"/>
      <c r="F104" s="229"/>
      <c r="G104" s="139"/>
      <c r="H104" s="159"/>
      <c r="I104" s="237"/>
      <c r="J104" s="291"/>
      <c r="K104" s="291"/>
      <c r="L104" s="159"/>
      <c r="M104" s="159"/>
    </row>
    <row r="105" spans="1:13" ht="15.75" x14ac:dyDescent="0.2">
      <c r="A105" s="298" t="s">
        <v>331</v>
      </c>
      <c r="B105" s="282"/>
      <c r="C105" s="282"/>
      <c r="D105" s="159"/>
      <c r="E105" s="159"/>
      <c r="F105" s="805"/>
      <c r="G105" s="282"/>
      <c r="H105" s="159"/>
      <c r="I105" s="237"/>
      <c r="J105" s="291"/>
      <c r="K105" s="291"/>
      <c r="L105" s="159"/>
      <c r="M105" s="159"/>
    </row>
    <row r="106" spans="1:13" x14ac:dyDescent="0.2">
      <c r="A106" s="298" t="s">
        <v>12</v>
      </c>
      <c r="B106" s="230"/>
      <c r="C106" s="290"/>
      <c r="D106" s="159"/>
      <c r="E106" s="159"/>
      <c r="F106" s="229"/>
      <c r="G106" s="139"/>
      <c r="H106" s="159"/>
      <c r="I106" s="237"/>
      <c r="J106" s="291"/>
      <c r="K106" s="291"/>
      <c r="L106" s="159"/>
      <c r="M106" s="159"/>
    </row>
    <row r="107" spans="1:13" x14ac:dyDescent="0.2">
      <c r="A107" s="298" t="s">
        <v>13</v>
      </c>
      <c r="B107" s="230"/>
      <c r="C107" s="290"/>
      <c r="D107" s="159"/>
      <c r="E107" s="159"/>
      <c r="F107" s="229"/>
      <c r="G107" s="139"/>
      <c r="H107" s="159"/>
      <c r="I107" s="237"/>
      <c r="J107" s="291"/>
      <c r="K107" s="291"/>
      <c r="L107" s="159"/>
      <c r="M107" s="159"/>
    </row>
    <row r="108" spans="1:13" x14ac:dyDescent="0.2">
      <c r="A108" s="18" t="s">
        <v>33</v>
      </c>
      <c r="B108" s="229"/>
      <c r="C108" s="139"/>
      <c r="D108" s="159"/>
      <c r="E108" s="159"/>
      <c r="F108" s="229"/>
      <c r="G108" s="139"/>
      <c r="H108" s="159"/>
      <c r="I108" s="170"/>
      <c r="J108" s="288"/>
      <c r="K108" s="37"/>
      <c r="L108" s="256"/>
      <c r="M108" s="170"/>
    </row>
    <row r="109" spans="1:13" ht="15.75" x14ac:dyDescent="0.2">
      <c r="A109" s="18" t="s">
        <v>332</v>
      </c>
      <c r="B109" s="229"/>
      <c r="C109" s="139"/>
      <c r="D109" s="159"/>
      <c r="E109" s="159"/>
      <c r="F109" s="229"/>
      <c r="G109" s="139"/>
      <c r="H109" s="159"/>
      <c r="I109" s="170"/>
      <c r="J109" s="288"/>
      <c r="K109" s="37"/>
      <c r="L109" s="256"/>
      <c r="M109" s="170"/>
    </row>
    <row r="110" spans="1:13" x14ac:dyDescent="0.2">
      <c r="A110" s="18" t="s">
        <v>9</v>
      </c>
      <c r="B110" s="229"/>
      <c r="C110" s="139"/>
      <c r="D110" s="159"/>
      <c r="E110" s="159"/>
      <c r="F110" s="229"/>
      <c r="G110" s="139"/>
      <c r="H110" s="159"/>
      <c r="I110" s="170"/>
      <c r="J110" s="288"/>
      <c r="K110" s="37"/>
      <c r="L110" s="256"/>
      <c r="M110" s="170"/>
    </row>
    <row r="111" spans="1:13" x14ac:dyDescent="0.2">
      <c r="A111" s="18" t="s">
        <v>10</v>
      </c>
      <c r="B111" s="293"/>
      <c r="C111" s="294"/>
      <c r="D111" s="159"/>
      <c r="E111" s="159"/>
      <c r="F111" s="293"/>
      <c r="G111" s="294"/>
      <c r="H111" s="159"/>
      <c r="I111" s="170"/>
      <c r="J111" s="288"/>
      <c r="K111" s="37"/>
      <c r="L111" s="256"/>
      <c r="M111" s="170"/>
    </row>
    <row r="112" spans="1:13" ht="15.75" x14ac:dyDescent="0.2">
      <c r="A112" s="298" t="s">
        <v>330</v>
      </c>
      <c r="B112" s="282"/>
      <c r="C112" s="282"/>
      <c r="D112" s="159"/>
      <c r="E112" s="159"/>
      <c r="F112" s="805"/>
      <c r="G112" s="282"/>
      <c r="H112" s="159"/>
      <c r="I112" s="237"/>
      <c r="J112" s="291"/>
      <c r="K112" s="291"/>
      <c r="L112" s="159"/>
      <c r="M112" s="159"/>
    </row>
    <row r="113" spans="1:13" x14ac:dyDescent="0.2">
      <c r="A113" s="298" t="s">
        <v>12</v>
      </c>
      <c r="B113" s="230"/>
      <c r="C113" s="290"/>
      <c r="D113" s="159"/>
      <c r="E113" s="159"/>
      <c r="F113" s="229"/>
      <c r="G113" s="139"/>
      <c r="H113" s="159"/>
      <c r="I113" s="237"/>
      <c r="J113" s="291"/>
      <c r="K113" s="291"/>
      <c r="L113" s="159"/>
      <c r="M113" s="159"/>
    </row>
    <row r="114" spans="1:13" x14ac:dyDescent="0.2">
      <c r="A114" s="298" t="s">
        <v>13</v>
      </c>
      <c r="B114" s="230"/>
      <c r="C114" s="290"/>
      <c r="D114" s="159"/>
      <c r="E114" s="159"/>
      <c r="F114" s="229"/>
      <c r="G114" s="139"/>
      <c r="H114" s="159"/>
      <c r="I114" s="237"/>
      <c r="J114" s="291"/>
      <c r="K114" s="291"/>
      <c r="L114" s="159"/>
      <c r="M114" s="159"/>
    </row>
    <row r="115" spans="1:13" ht="15.75" x14ac:dyDescent="0.2">
      <c r="A115" s="298" t="s">
        <v>331</v>
      </c>
      <c r="B115" s="282"/>
      <c r="C115" s="282"/>
      <c r="D115" s="159"/>
      <c r="E115" s="159"/>
      <c r="F115" s="805"/>
      <c r="G115" s="282"/>
      <c r="H115" s="159"/>
      <c r="I115" s="237"/>
      <c r="J115" s="291"/>
      <c r="K115" s="291"/>
      <c r="L115" s="159"/>
      <c r="M115" s="159"/>
    </row>
    <row r="116" spans="1:13" x14ac:dyDescent="0.2">
      <c r="A116" s="298" t="s">
        <v>12</v>
      </c>
      <c r="B116" s="230"/>
      <c r="C116" s="290"/>
      <c r="D116" s="159"/>
      <c r="E116" s="159"/>
      <c r="F116" s="229"/>
      <c r="G116" s="139"/>
      <c r="H116" s="159"/>
      <c r="I116" s="237"/>
      <c r="J116" s="291"/>
      <c r="K116" s="291"/>
      <c r="L116" s="159"/>
      <c r="M116" s="159"/>
    </row>
    <row r="117" spans="1:13" x14ac:dyDescent="0.2">
      <c r="A117" s="298" t="s">
        <v>13</v>
      </c>
      <c r="B117" s="232"/>
      <c r="C117" s="297"/>
      <c r="D117" s="159"/>
      <c r="E117" s="159"/>
      <c r="F117" s="233"/>
      <c r="G117" s="807"/>
      <c r="H117" s="159"/>
      <c r="I117" s="237"/>
      <c r="J117" s="291"/>
      <c r="K117" s="291"/>
      <c r="L117" s="159"/>
      <c r="M117" s="159"/>
    </row>
    <row r="118" spans="1:13" ht="15.75" x14ac:dyDescent="0.2">
      <c r="A118" s="18" t="s">
        <v>342</v>
      </c>
      <c r="B118" s="229"/>
      <c r="C118" s="139"/>
      <c r="D118" s="159"/>
      <c r="E118" s="159"/>
      <c r="F118" s="229"/>
      <c r="G118" s="139"/>
      <c r="H118" s="159"/>
      <c r="I118" s="170"/>
      <c r="J118" s="288"/>
      <c r="K118" s="37"/>
      <c r="L118" s="256"/>
      <c r="M118" s="170"/>
    </row>
    <row r="119" spans="1:13" ht="15.75" x14ac:dyDescent="0.2">
      <c r="A119" s="11" t="s">
        <v>28</v>
      </c>
      <c r="B119" s="355"/>
      <c r="C119" s="355"/>
      <c r="D119" s="159"/>
      <c r="E119" s="159"/>
      <c r="F119" s="355"/>
      <c r="G119" s="355"/>
      <c r="H119" s="159"/>
      <c r="I119" s="170"/>
      <c r="J119" s="311"/>
      <c r="K119" s="231"/>
      <c r="L119" s="256"/>
      <c r="M119" s="170"/>
    </row>
    <row r="120" spans="1:13" x14ac:dyDescent="0.2">
      <c r="A120" s="18" t="s">
        <v>9</v>
      </c>
      <c r="B120" s="229"/>
      <c r="C120" s="139"/>
      <c r="D120" s="159"/>
      <c r="E120" s="159"/>
      <c r="F120" s="229"/>
      <c r="G120" s="139"/>
      <c r="H120" s="159"/>
      <c r="I120" s="170"/>
      <c r="J120" s="288"/>
      <c r="K120" s="37"/>
      <c r="L120" s="256"/>
      <c r="M120" s="170"/>
    </row>
    <row r="121" spans="1:13" x14ac:dyDescent="0.2">
      <c r="A121" s="18" t="s">
        <v>10</v>
      </c>
      <c r="B121" s="229"/>
      <c r="C121" s="139"/>
      <c r="D121" s="159"/>
      <c r="E121" s="159"/>
      <c r="F121" s="229"/>
      <c r="G121" s="139"/>
      <c r="H121" s="159"/>
      <c r="I121" s="170"/>
      <c r="J121" s="288"/>
      <c r="K121" s="37"/>
      <c r="L121" s="256"/>
      <c r="M121" s="170"/>
    </row>
    <row r="122" spans="1:13" ht="15.75" x14ac:dyDescent="0.2">
      <c r="A122" s="298" t="s">
        <v>330</v>
      </c>
      <c r="B122" s="282"/>
      <c r="C122" s="282"/>
      <c r="D122" s="159"/>
      <c r="E122" s="159"/>
      <c r="F122" s="805"/>
      <c r="G122" s="282"/>
      <c r="H122" s="159"/>
      <c r="I122" s="237"/>
      <c r="J122" s="291"/>
      <c r="K122" s="291"/>
      <c r="L122" s="159"/>
      <c r="M122" s="159"/>
    </row>
    <row r="123" spans="1:13" x14ac:dyDescent="0.2">
      <c r="A123" s="298" t="s">
        <v>12</v>
      </c>
      <c r="B123" s="230"/>
      <c r="C123" s="290"/>
      <c r="D123" s="159"/>
      <c r="E123" s="159"/>
      <c r="F123" s="229"/>
      <c r="G123" s="139"/>
      <c r="H123" s="159"/>
      <c r="I123" s="237"/>
      <c r="J123" s="291"/>
      <c r="K123" s="291"/>
      <c r="L123" s="159"/>
      <c r="M123" s="159"/>
    </row>
    <row r="124" spans="1:13" x14ac:dyDescent="0.2">
      <c r="A124" s="298" t="s">
        <v>13</v>
      </c>
      <c r="B124" s="230"/>
      <c r="C124" s="290"/>
      <c r="D124" s="159"/>
      <c r="E124" s="159"/>
      <c r="F124" s="229"/>
      <c r="G124" s="139"/>
      <c r="H124" s="159"/>
      <c r="I124" s="237"/>
      <c r="J124" s="291"/>
      <c r="K124" s="291"/>
      <c r="L124" s="159"/>
      <c r="M124" s="159"/>
    </row>
    <row r="125" spans="1:13" ht="15.75" x14ac:dyDescent="0.2">
      <c r="A125" s="298" t="s">
        <v>331</v>
      </c>
      <c r="B125" s="282"/>
      <c r="C125" s="282"/>
      <c r="D125" s="159"/>
      <c r="E125" s="159"/>
      <c r="F125" s="805"/>
      <c r="G125" s="282"/>
      <c r="H125" s="159"/>
      <c r="I125" s="237"/>
      <c r="J125" s="291"/>
      <c r="K125" s="291"/>
      <c r="L125" s="159"/>
      <c r="M125" s="159"/>
    </row>
    <row r="126" spans="1:13" x14ac:dyDescent="0.2">
      <c r="A126" s="298" t="s">
        <v>12</v>
      </c>
      <c r="B126" s="230"/>
      <c r="C126" s="290"/>
      <c r="D126" s="159"/>
      <c r="E126" s="159"/>
      <c r="F126" s="229"/>
      <c r="G126" s="139"/>
      <c r="H126" s="159"/>
      <c r="I126" s="237"/>
      <c r="J126" s="291"/>
      <c r="K126" s="291"/>
      <c r="L126" s="159"/>
      <c r="M126" s="159"/>
    </row>
    <row r="127" spans="1:13" x14ac:dyDescent="0.2">
      <c r="A127" s="298" t="s">
        <v>13</v>
      </c>
      <c r="B127" s="230"/>
      <c r="C127" s="290"/>
      <c r="D127" s="159"/>
      <c r="E127" s="159"/>
      <c r="F127" s="229"/>
      <c r="G127" s="139"/>
      <c r="H127" s="159"/>
      <c r="I127" s="237"/>
      <c r="J127" s="291"/>
      <c r="K127" s="291"/>
      <c r="L127" s="159"/>
      <c r="M127" s="159"/>
    </row>
    <row r="128" spans="1:13" x14ac:dyDescent="0.2">
      <c r="A128" s="18" t="s">
        <v>34</v>
      </c>
      <c r="B128" s="229"/>
      <c r="C128" s="139"/>
      <c r="D128" s="159"/>
      <c r="E128" s="159"/>
      <c r="F128" s="229"/>
      <c r="G128" s="139"/>
      <c r="H128" s="159"/>
      <c r="I128" s="170"/>
      <c r="J128" s="288"/>
      <c r="K128" s="37"/>
      <c r="L128" s="256"/>
      <c r="M128" s="170"/>
    </row>
    <row r="129" spans="1:13" ht="15.75" x14ac:dyDescent="0.2">
      <c r="A129" s="18" t="s">
        <v>332</v>
      </c>
      <c r="B129" s="229"/>
      <c r="C129" s="229"/>
      <c r="D129" s="159"/>
      <c r="E129" s="159"/>
      <c r="F129" s="229"/>
      <c r="G129" s="229"/>
      <c r="H129" s="159"/>
      <c r="I129" s="170"/>
      <c r="J129" s="288"/>
      <c r="K129" s="37"/>
      <c r="L129" s="256"/>
      <c r="M129" s="170"/>
    </row>
    <row r="130" spans="1:13" x14ac:dyDescent="0.2">
      <c r="A130" s="18" t="s">
        <v>9</v>
      </c>
      <c r="B130" s="293"/>
      <c r="C130" s="294"/>
      <c r="D130" s="159"/>
      <c r="E130" s="159"/>
      <c r="F130" s="293"/>
      <c r="G130" s="294"/>
      <c r="H130" s="159"/>
      <c r="I130" s="170"/>
      <c r="J130" s="288"/>
      <c r="K130" s="37"/>
      <c r="L130" s="256"/>
      <c r="M130" s="170"/>
    </row>
    <row r="131" spans="1:13" x14ac:dyDescent="0.2">
      <c r="A131" s="18" t="s">
        <v>10</v>
      </c>
      <c r="B131" s="293"/>
      <c r="C131" s="294"/>
      <c r="D131" s="159"/>
      <c r="E131" s="159"/>
      <c r="F131" s="293"/>
      <c r="G131" s="294"/>
      <c r="H131" s="159"/>
      <c r="I131" s="170"/>
      <c r="J131" s="288"/>
      <c r="K131" s="37"/>
      <c r="L131" s="256"/>
      <c r="M131" s="170"/>
    </row>
    <row r="132" spans="1:13" ht="15.75" x14ac:dyDescent="0.2">
      <c r="A132" s="298" t="s">
        <v>330</v>
      </c>
      <c r="B132" s="282"/>
      <c r="C132" s="282"/>
      <c r="D132" s="159"/>
      <c r="E132" s="159"/>
      <c r="F132" s="805"/>
      <c r="G132" s="282"/>
      <c r="H132" s="159"/>
      <c r="I132" s="237"/>
      <c r="J132" s="291"/>
      <c r="K132" s="291"/>
      <c r="L132" s="159"/>
      <c r="M132" s="159"/>
    </row>
    <row r="133" spans="1:13" x14ac:dyDescent="0.2">
      <c r="A133" s="298" t="s">
        <v>12</v>
      </c>
      <c r="B133" s="230"/>
      <c r="C133" s="290"/>
      <c r="D133" s="159"/>
      <c r="E133" s="159"/>
      <c r="F133" s="229"/>
      <c r="G133" s="139"/>
      <c r="H133" s="159"/>
      <c r="I133" s="237"/>
      <c r="J133" s="291"/>
      <c r="K133" s="291"/>
      <c r="L133" s="159"/>
      <c r="M133" s="159"/>
    </row>
    <row r="134" spans="1:13" x14ac:dyDescent="0.2">
      <c r="A134" s="298" t="s">
        <v>13</v>
      </c>
      <c r="B134" s="230"/>
      <c r="C134" s="290"/>
      <c r="D134" s="159"/>
      <c r="E134" s="159"/>
      <c r="F134" s="229"/>
      <c r="G134" s="139"/>
      <c r="H134" s="159"/>
      <c r="I134" s="237"/>
      <c r="J134" s="291"/>
      <c r="K134" s="291"/>
      <c r="L134" s="159"/>
      <c r="M134" s="159"/>
    </row>
    <row r="135" spans="1:13" ht="15.75" x14ac:dyDescent="0.2">
      <c r="A135" s="298" t="s">
        <v>331</v>
      </c>
      <c r="B135" s="282"/>
      <c r="C135" s="282"/>
      <c r="D135" s="159"/>
      <c r="E135" s="159"/>
      <c r="F135" s="805"/>
      <c r="G135" s="282"/>
      <c r="H135" s="159"/>
      <c r="I135" s="237"/>
      <c r="J135" s="291"/>
      <c r="K135" s="291"/>
      <c r="L135" s="159"/>
      <c r="M135" s="159"/>
    </row>
    <row r="136" spans="1:13" x14ac:dyDescent="0.2">
      <c r="A136" s="298" t="s">
        <v>12</v>
      </c>
      <c r="B136" s="230"/>
      <c r="C136" s="290"/>
      <c r="D136" s="159"/>
      <c r="E136" s="159"/>
      <c r="F136" s="229"/>
      <c r="G136" s="139"/>
      <c r="H136" s="159"/>
      <c r="I136" s="237"/>
      <c r="J136" s="291"/>
      <c r="K136" s="291"/>
      <c r="L136" s="159"/>
      <c r="M136" s="159"/>
    </row>
    <row r="137" spans="1:13" x14ac:dyDescent="0.2">
      <c r="A137" s="298" t="s">
        <v>13</v>
      </c>
      <c r="B137" s="230"/>
      <c r="C137" s="290"/>
      <c r="D137" s="159"/>
      <c r="E137" s="159"/>
      <c r="F137" s="229"/>
      <c r="G137" s="139"/>
      <c r="H137" s="159"/>
      <c r="I137" s="237"/>
      <c r="J137" s="291"/>
      <c r="K137" s="291"/>
      <c r="L137" s="159"/>
      <c r="M137" s="159"/>
    </row>
    <row r="138" spans="1:13" ht="15.75" x14ac:dyDescent="0.2">
      <c r="A138" s="18" t="s">
        <v>342</v>
      </c>
      <c r="B138" s="229"/>
      <c r="C138" s="139"/>
      <c r="D138" s="159"/>
      <c r="E138" s="159"/>
      <c r="F138" s="229"/>
      <c r="G138" s="139"/>
      <c r="H138" s="159"/>
      <c r="I138" s="170"/>
      <c r="J138" s="288"/>
      <c r="K138" s="37"/>
      <c r="L138" s="256"/>
      <c r="M138" s="170"/>
    </row>
    <row r="139" spans="1:13" ht="15.75" x14ac:dyDescent="0.2">
      <c r="A139" s="18" t="s">
        <v>343</v>
      </c>
      <c r="B139" s="229"/>
      <c r="C139" s="229"/>
      <c r="D139" s="159"/>
      <c r="E139" s="159"/>
      <c r="F139" s="229"/>
      <c r="G139" s="229"/>
      <c r="H139" s="159"/>
      <c r="I139" s="170"/>
      <c r="J139" s="288"/>
      <c r="K139" s="37"/>
      <c r="L139" s="256"/>
      <c r="M139" s="170"/>
    </row>
    <row r="140" spans="1:13" ht="15.75" x14ac:dyDescent="0.2">
      <c r="A140" s="18" t="s">
        <v>334</v>
      </c>
      <c r="B140" s="229"/>
      <c r="C140" s="229"/>
      <c r="D140" s="159"/>
      <c r="E140" s="159"/>
      <c r="F140" s="229"/>
      <c r="G140" s="229"/>
      <c r="H140" s="159"/>
      <c r="I140" s="170"/>
      <c r="J140" s="288"/>
      <c r="K140" s="37"/>
      <c r="L140" s="256"/>
      <c r="M140" s="170"/>
    </row>
    <row r="141" spans="1:13" ht="15.75" x14ac:dyDescent="0.2">
      <c r="A141" s="18" t="s">
        <v>335</v>
      </c>
      <c r="B141" s="229"/>
      <c r="C141" s="229"/>
      <c r="D141" s="159"/>
      <c r="E141" s="159"/>
      <c r="F141" s="229"/>
      <c r="G141" s="229"/>
      <c r="H141" s="159"/>
      <c r="I141" s="170"/>
      <c r="J141" s="288"/>
      <c r="K141" s="37"/>
      <c r="L141" s="256"/>
      <c r="M141" s="170"/>
    </row>
    <row r="142" spans="1:13" ht="15.75" x14ac:dyDescent="0.2">
      <c r="A142" s="11" t="s">
        <v>27</v>
      </c>
      <c r="B142" s="310"/>
      <c r="C142" s="152"/>
      <c r="D142" s="159"/>
      <c r="E142" s="159"/>
      <c r="F142" s="310"/>
      <c r="G142" s="152"/>
      <c r="H142" s="159"/>
      <c r="I142" s="170"/>
      <c r="J142" s="311"/>
      <c r="K142" s="231"/>
      <c r="L142" s="256"/>
      <c r="M142" s="170"/>
    </row>
    <row r="143" spans="1:13" x14ac:dyDescent="0.2">
      <c r="A143" s="18" t="s">
        <v>9</v>
      </c>
      <c r="B143" s="229"/>
      <c r="C143" s="139"/>
      <c r="D143" s="159"/>
      <c r="E143" s="159"/>
      <c r="F143" s="229"/>
      <c r="G143" s="139"/>
      <c r="H143" s="159"/>
      <c r="I143" s="170"/>
      <c r="J143" s="288"/>
      <c r="K143" s="37"/>
      <c r="L143" s="256"/>
      <c r="M143" s="170"/>
    </row>
    <row r="144" spans="1:13" x14ac:dyDescent="0.2">
      <c r="A144" s="18" t="s">
        <v>10</v>
      </c>
      <c r="B144" s="229"/>
      <c r="C144" s="139"/>
      <c r="D144" s="159"/>
      <c r="E144" s="159"/>
      <c r="F144" s="229"/>
      <c r="G144" s="139"/>
      <c r="H144" s="159"/>
      <c r="I144" s="170"/>
      <c r="J144" s="288"/>
      <c r="K144" s="37"/>
      <c r="L144" s="256"/>
      <c r="M144" s="170"/>
    </row>
    <row r="145" spans="1:14" x14ac:dyDescent="0.2">
      <c r="A145" s="18" t="s">
        <v>34</v>
      </c>
      <c r="B145" s="229"/>
      <c r="C145" s="139"/>
      <c r="D145" s="159"/>
      <c r="E145" s="159"/>
      <c r="F145" s="229"/>
      <c r="G145" s="139"/>
      <c r="H145" s="159"/>
      <c r="I145" s="170"/>
      <c r="J145" s="288"/>
      <c r="K145" s="37"/>
      <c r="L145" s="256"/>
      <c r="M145" s="170"/>
    </row>
    <row r="146" spans="1:14" x14ac:dyDescent="0.2">
      <c r="A146" s="298" t="s">
        <v>15</v>
      </c>
      <c r="B146" s="282"/>
      <c r="C146" s="282"/>
      <c r="D146" s="159"/>
      <c r="E146" s="159"/>
      <c r="F146" s="805"/>
      <c r="G146" s="282"/>
      <c r="H146" s="159"/>
      <c r="I146" s="237"/>
      <c r="J146" s="291"/>
      <c r="K146" s="291"/>
      <c r="L146" s="159"/>
      <c r="M146" s="159"/>
    </row>
    <row r="147" spans="1:14" ht="15.75" x14ac:dyDescent="0.2">
      <c r="A147" s="18" t="s">
        <v>344</v>
      </c>
      <c r="B147" s="229"/>
      <c r="C147" s="229"/>
      <c r="D147" s="159"/>
      <c r="E147" s="159"/>
      <c r="F147" s="229"/>
      <c r="G147" s="229"/>
      <c r="H147" s="159"/>
      <c r="I147" s="170"/>
      <c r="J147" s="288"/>
      <c r="K147" s="37"/>
      <c r="L147" s="256"/>
      <c r="M147" s="170"/>
    </row>
    <row r="148" spans="1:14" ht="15.75" x14ac:dyDescent="0.2">
      <c r="A148" s="18" t="s">
        <v>336</v>
      </c>
      <c r="B148" s="229"/>
      <c r="C148" s="229"/>
      <c r="D148" s="159"/>
      <c r="E148" s="159"/>
      <c r="F148" s="229"/>
      <c r="G148" s="229"/>
      <c r="H148" s="159"/>
      <c r="I148" s="170"/>
      <c r="J148" s="288"/>
      <c r="K148" s="37"/>
      <c r="L148" s="256"/>
      <c r="M148" s="170"/>
    </row>
    <row r="149" spans="1:14" ht="15.75" x14ac:dyDescent="0.2">
      <c r="A149" s="18" t="s">
        <v>335</v>
      </c>
      <c r="B149" s="229"/>
      <c r="C149" s="229"/>
      <c r="D149" s="159"/>
      <c r="E149" s="159"/>
      <c r="F149" s="229"/>
      <c r="G149" s="229"/>
      <c r="H149" s="159"/>
      <c r="I149" s="170"/>
      <c r="J149" s="288"/>
      <c r="K149" s="37"/>
      <c r="L149" s="256"/>
      <c r="M149" s="170"/>
    </row>
    <row r="150" spans="1:14" ht="15.75" x14ac:dyDescent="0.2">
      <c r="A150" s="11" t="s">
        <v>26</v>
      </c>
      <c r="B150" s="310"/>
      <c r="C150" s="152"/>
      <c r="D150" s="159"/>
      <c r="E150" s="159"/>
      <c r="F150" s="310"/>
      <c r="G150" s="152"/>
      <c r="H150" s="159"/>
      <c r="I150" s="170"/>
      <c r="J150" s="311"/>
      <c r="K150" s="231"/>
      <c r="L150" s="256"/>
      <c r="M150" s="170"/>
    </row>
    <row r="151" spans="1:14" x14ac:dyDescent="0.2">
      <c r="A151" s="18" t="s">
        <v>9</v>
      </c>
      <c r="B151" s="229"/>
      <c r="C151" s="139"/>
      <c r="D151" s="159"/>
      <c r="E151" s="159"/>
      <c r="F151" s="229"/>
      <c r="G151" s="139"/>
      <c r="H151" s="159"/>
      <c r="I151" s="170"/>
      <c r="J151" s="288"/>
      <c r="K151" s="37"/>
      <c r="L151" s="256"/>
      <c r="M151" s="170"/>
    </row>
    <row r="152" spans="1:14" x14ac:dyDescent="0.2">
      <c r="A152" s="18" t="s">
        <v>10</v>
      </c>
      <c r="B152" s="229"/>
      <c r="C152" s="139"/>
      <c r="D152" s="159"/>
      <c r="E152" s="159"/>
      <c r="F152" s="229"/>
      <c r="G152" s="139"/>
      <c r="H152" s="159"/>
      <c r="I152" s="170"/>
      <c r="J152" s="288"/>
      <c r="K152" s="37"/>
      <c r="L152" s="256"/>
      <c r="M152" s="170"/>
    </row>
    <row r="153" spans="1:14" x14ac:dyDescent="0.2">
      <c r="A153" s="18" t="s">
        <v>34</v>
      </c>
      <c r="B153" s="229"/>
      <c r="C153" s="139"/>
      <c r="D153" s="159"/>
      <c r="E153" s="159"/>
      <c r="F153" s="229"/>
      <c r="G153" s="139"/>
      <c r="H153" s="159"/>
      <c r="I153" s="170"/>
      <c r="J153" s="288"/>
      <c r="K153" s="37"/>
      <c r="L153" s="256"/>
      <c r="M153" s="170"/>
    </row>
    <row r="154" spans="1:14" x14ac:dyDescent="0.2">
      <c r="A154" s="298" t="s">
        <v>14</v>
      </c>
      <c r="B154" s="282"/>
      <c r="C154" s="282"/>
      <c r="D154" s="159"/>
      <c r="E154" s="159"/>
      <c r="F154" s="805"/>
      <c r="G154" s="282"/>
      <c r="H154" s="159"/>
      <c r="I154" s="237"/>
      <c r="J154" s="291"/>
      <c r="K154" s="291"/>
      <c r="L154" s="159"/>
      <c r="M154" s="159"/>
    </row>
    <row r="155" spans="1:14" ht="15.75" x14ac:dyDescent="0.2">
      <c r="A155" s="18" t="s">
        <v>333</v>
      </c>
      <c r="B155" s="229"/>
      <c r="C155" s="229"/>
      <c r="D155" s="159"/>
      <c r="E155" s="159"/>
      <c r="F155" s="229"/>
      <c r="G155" s="229"/>
      <c r="H155" s="159"/>
      <c r="I155" s="170"/>
      <c r="J155" s="288"/>
      <c r="K155" s="37"/>
      <c r="L155" s="256"/>
      <c r="M155" s="170"/>
    </row>
    <row r="156" spans="1:14" ht="15.75" x14ac:dyDescent="0.2">
      <c r="A156" s="18" t="s">
        <v>334</v>
      </c>
      <c r="B156" s="229"/>
      <c r="C156" s="229"/>
      <c r="D156" s="159"/>
      <c r="E156" s="159"/>
      <c r="F156" s="229"/>
      <c r="G156" s="229"/>
      <c r="H156" s="159"/>
      <c r="I156" s="170"/>
      <c r="J156" s="288"/>
      <c r="K156" s="37"/>
      <c r="L156" s="256"/>
      <c r="M156" s="170"/>
    </row>
    <row r="157" spans="1:14" ht="15.75" x14ac:dyDescent="0.2">
      <c r="A157" s="9" t="s">
        <v>335</v>
      </c>
      <c r="B157" s="38"/>
      <c r="C157" s="38"/>
      <c r="D157" s="160"/>
      <c r="E157" s="160"/>
      <c r="F157" s="400"/>
      <c r="G157" s="38"/>
      <c r="H157" s="160"/>
      <c r="I157" s="160"/>
      <c r="J157" s="289"/>
      <c r="K157" s="38"/>
      <c r="L157" s="257"/>
      <c r="M157" s="160"/>
    </row>
    <row r="158" spans="1:14" x14ac:dyDescent="0.2">
      <c r="A158" s="148"/>
      <c r="L158" s="20"/>
      <c r="M158" s="20"/>
      <c r="N158" s="20"/>
    </row>
    <row r="159" spans="1:14" x14ac:dyDescent="0.2">
      <c r="L159" s="20"/>
      <c r="M159" s="20"/>
      <c r="N159" s="20"/>
    </row>
    <row r="160" spans="1:14" ht="15.75" x14ac:dyDescent="0.25">
      <c r="A160" s="158" t="s">
        <v>35</v>
      </c>
    </row>
    <row r="161" spans="1:14" ht="15.75" x14ac:dyDescent="0.25">
      <c r="B161" s="832"/>
      <c r="C161" s="832"/>
      <c r="D161" s="832"/>
      <c r="E161" s="301"/>
      <c r="F161" s="832"/>
      <c r="G161" s="832"/>
      <c r="H161" s="832"/>
      <c r="I161" s="301"/>
      <c r="J161" s="832"/>
      <c r="K161" s="832"/>
      <c r="L161" s="832"/>
      <c r="M161" s="301"/>
    </row>
    <row r="162" spans="1:14" s="3" customFormat="1" x14ac:dyDescent="0.2">
      <c r="A162" s="138"/>
      <c r="B162" s="833" t="s">
        <v>0</v>
      </c>
      <c r="C162" s="834"/>
      <c r="D162" s="834"/>
      <c r="E162" s="303"/>
      <c r="F162" s="833" t="s">
        <v>1</v>
      </c>
      <c r="G162" s="834"/>
      <c r="H162" s="834"/>
      <c r="I162" s="306"/>
      <c r="J162" s="833" t="s">
        <v>2</v>
      </c>
      <c r="K162" s="834"/>
      <c r="L162" s="834"/>
      <c r="M162" s="306"/>
      <c r="N162" s="142"/>
    </row>
    <row r="163" spans="1:14" s="3" customFormat="1" x14ac:dyDescent="0.2">
      <c r="A163" s="134"/>
      <c r="B163" s="145" t="s">
        <v>400</v>
      </c>
      <c r="C163" s="145" t="s">
        <v>401</v>
      </c>
      <c r="D163" s="242" t="s">
        <v>3</v>
      </c>
      <c r="E163" s="307" t="s">
        <v>37</v>
      </c>
      <c r="F163" s="145" t="s">
        <v>400</v>
      </c>
      <c r="G163" s="145" t="s">
        <v>401</v>
      </c>
      <c r="H163" s="242" t="s">
        <v>3</v>
      </c>
      <c r="I163" s="307" t="s">
        <v>37</v>
      </c>
      <c r="J163" s="145" t="s">
        <v>400</v>
      </c>
      <c r="K163" s="145" t="s">
        <v>401</v>
      </c>
      <c r="L163" s="242" t="s">
        <v>3</v>
      </c>
      <c r="M163" s="155" t="s">
        <v>37</v>
      </c>
      <c r="N163" s="142"/>
    </row>
    <row r="164" spans="1:14" s="3" customFormat="1" x14ac:dyDescent="0.2">
      <c r="A164" s="403"/>
      <c r="B164" s="149"/>
      <c r="C164" s="149"/>
      <c r="D164" s="243" t="s">
        <v>4</v>
      </c>
      <c r="E164" s="149" t="s">
        <v>38</v>
      </c>
      <c r="F164" s="154"/>
      <c r="G164" s="154"/>
      <c r="H164" s="242" t="s">
        <v>4</v>
      </c>
      <c r="I164" s="149" t="s">
        <v>38</v>
      </c>
      <c r="J164" s="154"/>
      <c r="K164" s="154"/>
      <c r="L164" s="242" t="s">
        <v>4</v>
      </c>
      <c r="M164" s="149" t="s">
        <v>38</v>
      </c>
      <c r="N164" s="142"/>
    </row>
    <row r="165" spans="1:14" s="3" customFormat="1" ht="15.75" x14ac:dyDescent="0.2">
      <c r="A165" s="12" t="s">
        <v>337</v>
      </c>
      <c r="B165" s="231"/>
      <c r="C165" s="311"/>
      <c r="D165" s="251"/>
      <c r="E165" s="170"/>
      <c r="F165" s="318"/>
      <c r="G165" s="319"/>
      <c r="H165" s="252"/>
      <c r="I165" s="159"/>
      <c r="J165" s="320"/>
      <c r="K165" s="320"/>
      <c r="L165" s="255"/>
      <c r="M165" s="170"/>
      <c r="N165" s="142"/>
    </row>
    <row r="166" spans="1:14" s="3" customFormat="1" ht="15.75" x14ac:dyDescent="0.2">
      <c r="A166" s="11" t="s">
        <v>338</v>
      </c>
      <c r="B166" s="231"/>
      <c r="C166" s="311"/>
      <c r="D166" s="159"/>
      <c r="E166" s="170"/>
      <c r="F166" s="231"/>
      <c r="G166" s="311"/>
      <c r="H166" s="236"/>
      <c r="I166" s="159"/>
      <c r="J166" s="310"/>
      <c r="K166" s="310"/>
      <c r="L166" s="256"/>
      <c r="M166" s="170"/>
      <c r="N166" s="142"/>
    </row>
    <row r="167" spans="1:14" s="3" customFormat="1" ht="15.75" x14ac:dyDescent="0.2">
      <c r="A167" s="11" t="s">
        <v>339</v>
      </c>
      <c r="B167" s="231"/>
      <c r="C167" s="311"/>
      <c r="D167" s="159"/>
      <c r="E167" s="170"/>
      <c r="F167" s="231"/>
      <c r="G167" s="311"/>
      <c r="H167" s="236"/>
      <c r="I167" s="159"/>
      <c r="J167" s="310"/>
      <c r="K167" s="310"/>
      <c r="L167" s="256"/>
      <c r="M167" s="170"/>
      <c r="N167" s="142"/>
    </row>
    <row r="168" spans="1:14" s="3" customFormat="1" ht="15.75" x14ac:dyDescent="0.2">
      <c r="A168" s="11" t="s">
        <v>340</v>
      </c>
      <c r="B168" s="231"/>
      <c r="C168" s="311"/>
      <c r="D168" s="159"/>
      <c r="E168" s="170"/>
      <c r="F168" s="231"/>
      <c r="G168" s="311"/>
      <c r="H168" s="236"/>
      <c r="I168" s="159"/>
      <c r="J168" s="310"/>
      <c r="K168" s="310"/>
      <c r="L168" s="256"/>
      <c r="M168" s="170"/>
      <c r="N168" s="142"/>
    </row>
    <row r="169" spans="1:14" s="3" customFormat="1" ht="15.75" x14ac:dyDescent="0.2">
      <c r="A169" s="34" t="s">
        <v>341</v>
      </c>
      <c r="B169" s="277"/>
      <c r="C169" s="317"/>
      <c r="D169" s="160"/>
      <c r="E169" s="201"/>
      <c r="F169" s="277"/>
      <c r="G169" s="317"/>
      <c r="H169" s="239"/>
      <c r="I169" s="160"/>
      <c r="J169" s="316"/>
      <c r="K169" s="316"/>
      <c r="L169" s="257"/>
      <c r="M169" s="160"/>
      <c r="N169" s="142"/>
    </row>
    <row r="170" spans="1:14" s="3" customFormat="1" x14ac:dyDescent="0.2">
      <c r="A170" s="161"/>
      <c r="B170" s="27"/>
      <c r="C170" s="27"/>
      <c r="D170" s="152"/>
      <c r="E170" s="152"/>
      <c r="F170" s="27"/>
      <c r="G170" s="27"/>
      <c r="H170" s="152"/>
      <c r="I170" s="152"/>
      <c r="J170" s="27"/>
      <c r="K170" s="27"/>
      <c r="L170" s="152"/>
      <c r="M170" s="152"/>
      <c r="N170" s="142"/>
    </row>
    <row r="171" spans="1:14" x14ac:dyDescent="0.2">
      <c r="A171" s="161"/>
      <c r="B171" s="27"/>
      <c r="C171" s="27"/>
      <c r="D171" s="152"/>
      <c r="E171" s="152"/>
      <c r="F171" s="27"/>
      <c r="G171" s="27"/>
      <c r="H171" s="152"/>
      <c r="I171" s="152"/>
      <c r="J171" s="27"/>
      <c r="K171" s="27"/>
      <c r="L171" s="152"/>
      <c r="M171" s="152"/>
      <c r="N171" s="142"/>
    </row>
    <row r="172" spans="1:14" x14ac:dyDescent="0.2">
      <c r="A172" s="161"/>
      <c r="B172" s="27"/>
      <c r="C172" s="27"/>
      <c r="D172" s="152"/>
      <c r="E172" s="152"/>
      <c r="F172" s="27"/>
      <c r="G172" s="27"/>
      <c r="H172" s="152"/>
      <c r="I172" s="152"/>
      <c r="J172" s="27"/>
      <c r="K172" s="27"/>
      <c r="L172" s="152"/>
      <c r="M172" s="152"/>
      <c r="N172" s="142"/>
    </row>
    <row r="173" spans="1:14" x14ac:dyDescent="0.2">
      <c r="A173" s="140"/>
      <c r="B173" s="140"/>
      <c r="C173" s="140"/>
      <c r="D173" s="140"/>
      <c r="E173" s="140"/>
      <c r="F173" s="140"/>
      <c r="G173" s="140"/>
      <c r="H173" s="140"/>
      <c r="I173" s="140"/>
      <c r="J173" s="140"/>
      <c r="K173" s="140"/>
      <c r="L173" s="140"/>
      <c r="M173" s="140"/>
      <c r="N173" s="140"/>
    </row>
    <row r="174" spans="1:14" ht="15.75" x14ac:dyDescent="0.25">
      <c r="B174" s="136"/>
      <c r="C174" s="136"/>
      <c r="D174" s="136"/>
      <c r="E174" s="136"/>
      <c r="F174" s="136"/>
      <c r="G174" s="136"/>
      <c r="H174" s="136"/>
      <c r="I174" s="136"/>
      <c r="J174" s="136"/>
      <c r="K174" s="136"/>
      <c r="L174" s="136"/>
      <c r="M174" s="136"/>
      <c r="N174" s="136"/>
    </row>
    <row r="175" spans="1:14" ht="15.75" x14ac:dyDescent="0.25">
      <c r="B175" s="150"/>
      <c r="C175" s="150"/>
      <c r="D175" s="150"/>
      <c r="E175" s="150"/>
      <c r="F175" s="150"/>
      <c r="G175" s="150"/>
      <c r="H175" s="150"/>
      <c r="I175" s="150"/>
      <c r="J175" s="150"/>
      <c r="K175" s="150"/>
      <c r="L175" s="150"/>
      <c r="M175" s="150"/>
      <c r="N175" s="150"/>
    </row>
    <row r="176" spans="1:14" ht="15.75" x14ac:dyDescent="0.25">
      <c r="B176" s="150"/>
      <c r="C176" s="150"/>
      <c r="D176" s="150"/>
      <c r="E176" s="150"/>
      <c r="F176" s="150"/>
      <c r="G176" s="150"/>
      <c r="H176" s="150"/>
      <c r="I176" s="150"/>
      <c r="J176" s="150"/>
      <c r="K176" s="150"/>
      <c r="L176" s="150"/>
      <c r="M176" s="150"/>
      <c r="N176" s="150"/>
    </row>
  </sheetData>
  <mergeCells count="28">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22:D22"/>
    <mergeCell ref="F22:H22"/>
    <mergeCell ref="J22:L22"/>
    <mergeCell ref="D47:F47"/>
    <mergeCell ref="G47:I47"/>
    <mergeCell ref="J47:L47"/>
  </mergeCells>
  <conditionalFormatting sqref="B57:C59">
    <cfRule type="expression" dxfId="1952" priority="188">
      <formula>kvartal &lt; 4</formula>
    </cfRule>
  </conditionalFormatting>
  <conditionalFormatting sqref="B63:C65">
    <cfRule type="expression" dxfId="1951" priority="187">
      <formula>kvartal &lt; 4</formula>
    </cfRule>
  </conditionalFormatting>
  <conditionalFormatting sqref="B37">
    <cfRule type="expression" dxfId="1950" priority="186">
      <formula>kvartal &lt; 4</formula>
    </cfRule>
  </conditionalFormatting>
  <conditionalFormatting sqref="B38">
    <cfRule type="expression" dxfId="1949" priority="185">
      <formula>kvartal &lt; 4</formula>
    </cfRule>
  </conditionalFormatting>
  <conditionalFormatting sqref="B39">
    <cfRule type="expression" dxfId="1948" priority="184">
      <formula>kvartal &lt; 4</formula>
    </cfRule>
  </conditionalFormatting>
  <conditionalFormatting sqref="A34">
    <cfRule type="expression" dxfId="1947" priority="57">
      <formula>kvartal &lt; 4</formula>
    </cfRule>
  </conditionalFormatting>
  <conditionalFormatting sqref="C37">
    <cfRule type="expression" dxfId="1946" priority="183">
      <formula>kvartal &lt; 4</formula>
    </cfRule>
  </conditionalFormatting>
  <conditionalFormatting sqref="C38">
    <cfRule type="expression" dxfId="1945" priority="182">
      <formula>kvartal &lt; 4</formula>
    </cfRule>
  </conditionalFormatting>
  <conditionalFormatting sqref="C39">
    <cfRule type="expression" dxfId="1944" priority="181">
      <formula>kvartal &lt; 4</formula>
    </cfRule>
  </conditionalFormatting>
  <conditionalFormatting sqref="B26:C28">
    <cfRule type="expression" dxfId="1943" priority="180">
      <formula>kvartal &lt; 4</formula>
    </cfRule>
  </conditionalFormatting>
  <conditionalFormatting sqref="B32:C33">
    <cfRule type="expression" dxfId="1942" priority="179">
      <formula>kvartal &lt; 4</formula>
    </cfRule>
  </conditionalFormatting>
  <conditionalFormatting sqref="B34">
    <cfRule type="expression" dxfId="1941" priority="178">
      <formula>kvartal &lt; 4</formula>
    </cfRule>
  </conditionalFormatting>
  <conditionalFormatting sqref="C34">
    <cfRule type="expression" dxfId="1940" priority="177">
      <formula>kvartal &lt; 4</formula>
    </cfRule>
  </conditionalFormatting>
  <conditionalFormatting sqref="F26:G28">
    <cfRule type="expression" dxfId="1939" priority="176">
      <formula>kvartal &lt; 4</formula>
    </cfRule>
  </conditionalFormatting>
  <conditionalFormatting sqref="F32">
    <cfRule type="expression" dxfId="1938" priority="175">
      <formula>kvartal &lt; 4</formula>
    </cfRule>
  </conditionalFormatting>
  <conditionalFormatting sqref="G32">
    <cfRule type="expression" dxfId="1937" priority="174">
      <formula>kvartal &lt; 4</formula>
    </cfRule>
  </conditionalFormatting>
  <conditionalFormatting sqref="F33">
    <cfRule type="expression" dxfId="1936" priority="173">
      <formula>kvartal &lt; 4</formula>
    </cfRule>
  </conditionalFormatting>
  <conditionalFormatting sqref="G33">
    <cfRule type="expression" dxfId="1935" priority="172">
      <formula>kvartal &lt; 4</formula>
    </cfRule>
  </conditionalFormatting>
  <conditionalFormatting sqref="F34">
    <cfRule type="expression" dxfId="1934" priority="171">
      <formula>kvartal &lt; 4</formula>
    </cfRule>
  </conditionalFormatting>
  <conditionalFormatting sqref="G34">
    <cfRule type="expression" dxfId="1933" priority="170">
      <formula>kvartal &lt; 4</formula>
    </cfRule>
  </conditionalFormatting>
  <conditionalFormatting sqref="F37">
    <cfRule type="expression" dxfId="1932" priority="169">
      <formula>kvartal &lt; 4</formula>
    </cfRule>
  </conditionalFormatting>
  <conditionalFormatting sqref="F38">
    <cfRule type="expression" dxfId="1931" priority="168">
      <formula>kvartal &lt; 4</formula>
    </cfRule>
  </conditionalFormatting>
  <conditionalFormatting sqref="F39">
    <cfRule type="expression" dxfId="1930" priority="167">
      <formula>kvartal &lt; 4</formula>
    </cfRule>
  </conditionalFormatting>
  <conditionalFormatting sqref="G37">
    <cfRule type="expression" dxfId="1929" priority="166">
      <formula>kvartal &lt; 4</formula>
    </cfRule>
  </conditionalFormatting>
  <conditionalFormatting sqref="G38">
    <cfRule type="expression" dxfId="1928" priority="165">
      <formula>kvartal &lt; 4</formula>
    </cfRule>
  </conditionalFormatting>
  <conditionalFormatting sqref="G39">
    <cfRule type="expression" dxfId="1927" priority="164">
      <formula>kvartal &lt; 4</formula>
    </cfRule>
  </conditionalFormatting>
  <conditionalFormatting sqref="B29">
    <cfRule type="expression" dxfId="1926" priority="163">
      <formula>kvartal &lt; 4</formula>
    </cfRule>
  </conditionalFormatting>
  <conditionalFormatting sqref="C29">
    <cfRule type="expression" dxfId="1925" priority="162">
      <formula>kvartal &lt; 4</formula>
    </cfRule>
  </conditionalFormatting>
  <conditionalFormatting sqref="F29">
    <cfRule type="expression" dxfId="1924" priority="161">
      <formula>kvartal &lt; 4</formula>
    </cfRule>
  </conditionalFormatting>
  <conditionalFormatting sqref="G29">
    <cfRule type="expression" dxfId="1923" priority="160">
      <formula>kvartal &lt; 4</formula>
    </cfRule>
  </conditionalFormatting>
  <conditionalFormatting sqref="J26:K29">
    <cfRule type="expression" dxfId="1922" priority="159">
      <formula>kvartal &lt; 4</formula>
    </cfRule>
  </conditionalFormatting>
  <conditionalFormatting sqref="J32:K34">
    <cfRule type="expression" dxfId="1921" priority="158">
      <formula>kvartal &lt; 4</formula>
    </cfRule>
  </conditionalFormatting>
  <conditionalFormatting sqref="J37:K39">
    <cfRule type="expression" dxfId="1920" priority="157">
      <formula>kvartal &lt; 4</formula>
    </cfRule>
  </conditionalFormatting>
  <conditionalFormatting sqref="J82:K86">
    <cfRule type="expression" dxfId="1919" priority="95">
      <formula>kvartal &lt; 4</formula>
    </cfRule>
  </conditionalFormatting>
  <conditionalFormatting sqref="J87:K87">
    <cfRule type="expression" dxfId="1918" priority="94">
      <formula>kvartal &lt; 4</formula>
    </cfRule>
  </conditionalFormatting>
  <conditionalFormatting sqref="J92:K97">
    <cfRule type="expression" dxfId="1917" priority="93">
      <formula>kvartal &lt; 4</formula>
    </cfRule>
  </conditionalFormatting>
  <conditionalFormatting sqref="J102:K107">
    <cfRule type="expression" dxfId="1916" priority="92">
      <formula>kvartal &lt; 4</formula>
    </cfRule>
  </conditionalFormatting>
  <conditionalFormatting sqref="J112:K117">
    <cfRule type="expression" dxfId="1915" priority="91">
      <formula>kvartal &lt; 4</formula>
    </cfRule>
  </conditionalFormatting>
  <conditionalFormatting sqref="J122:K127">
    <cfRule type="expression" dxfId="1914" priority="90">
      <formula>kvartal &lt; 4</formula>
    </cfRule>
  </conditionalFormatting>
  <conditionalFormatting sqref="J132:K137">
    <cfRule type="expression" dxfId="1913" priority="89">
      <formula>kvartal &lt; 4</formula>
    </cfRule>
  </conditionalFormatting>
  <conditionalFormatting sqref="J146:K146">
    <cfRule type="expression" dxfId="1912" priority="88">
      <formula>kvartal &lt; 4</formula>
    </cfRule>
  </conditionalFormatting>
  <conditionalFormatting sqref="J154:K154">
    <cfRule type="expression" dxfId="1911" priority="87">
      <formula>kvartal &lt; 4</formula>
    </cfRule>
  </conditionalFormatting>
  <conditionalFormatting sqref="A26:A28">
    <cfRule type="expression" dxfId="1910" priority="71">
      <formula>kvartal &lt; 4</formula>
    </cfRule>
  </conditionalFormatting>
  <conditionalFormatting sqref="A32:A33">
    <cfRule type="expression" dxfId="1909" priority="70">
      <formula>kvartal &lt; 4</formula>
    </cfRule>
  </conditionalFormatting>
  <conditionalFormatting sqref="A37:A39">
    <cfRule type="expression" dxfId="1908" priority="69">
      <formula>kvartal &lt; 4</formula>
    </cfRule>
  </conditionalFormatting>
  <conditionalFormatting sqref="A57:A59">
    <cfRule type="expression" dxfId="1907" priority="68">
      <formula>kvartal &lt; 4</formula>
    </cfRule>
  </conditionalFormatting>
  <conditionalFormatting sqref="A63:A65">
    <cfRule type="expression" dxfId="1906" priority="67">
      <formula>kvartal &lt; 4</formula>
    </cfRule>
  </conditionalFormatting>
  <conditionalFormatting sqref="A82:A87">
    <cfRule type="expression" dxfId="1905" priority="66">
      <formula>kvartal &lt; 4</formula>
    </cfRule>
  </conditionalFormatting>
  <conditionalFormatting sqref="A92:A97">
    <cfRule type="expression" dxfId="1904" priority="65">
      <formula>kvartal &lt; 4</formula>
    </cfRule>
  </conditionalFormatting>
  <conditionalFormatting sqref="A102:A107">
    <cfRule type="expression" dxfId="1903" priority="64">
      <formula>kvartal &lt; 4</formula>
    </cfRule>
  </conditionalFormatting>
  <conditionalFormatting sqref="A112:A117">
    <cfRule type="expression" dxfId="1902" priority="63">
      <formula>kvartal &lt; 4</formula>
    </cfRule>
  </conditionalFormatting>
  <conditionalFormatting sqref="A122:A127">
    <cfRule type="expression" dxfId="1901" priority="62">
      <formula>kvartal &lt; 4</formula>
    </cfRule>
  </conditionalFormatting>
  <conditionalFormatting sqref="A132:A137">
    <cfRule type="expression" dxfId="1900" priority="61">
      <formula>kvartal &lt; 4</formula>
    </cfRule>
  </conditionalFormatting>
  <conditionalFormatting sqref="A146">
    <cfRule type="expression" dxfId="1899" priority="60">
      <formula>kvartal &lt; 4</formula>
    </cfRule>
  </conditionalFormatting>
  <conditionalFormatting sqref="A154">
    <cfRule type="expression" dxfId="1898" priority="59">
      <formula>kvartal &lt; 4</formula>
    </cfRule>
  </conditionalFormatting>
  <conditionalFormatting sqref="A29">
    <cfRule type="expression" dxfId="1897" priority="58">
      <formula>kvartal &lt; 4</formula>
    </cfRule>
  </conditionalFormatting>
  <conditionalFormatting sqref="B82">
    <cfRule type="expression" dxfId="1896" priority="56">
      <formula>kvartal &lt; 4</formula>
    </cfRule>
  </conditionalFormatting>
  <conditionalFormatting sqref="C82">
    <cfRule type="expression" dxfId="1895" priority="55">
      <formula>kvartal &lt; 4</formula>
    </cfRule>
  </conditionalFormatting>
  <conditionalFormatting sqref="B85">
    <cfRule type="expression" dxfId="1894" priority="54">
      <formula>kvartal &lt; 4</formula>
    </cfRule>
  </conditionalFormatting>
  <conditionalFormatting sqref="C85">
    <cfRule type="expression" dxfId="1893" priority="53">
      <formula>kvartal &lt; 4</formula>
    </cfRule>
  </conditionalFormatting>
  <conditionalFormatting sqref="B92">
    <cfRule type="expression" dxfId="1892" priority="52">
      <formula>kvartal &lt; 4</formula>
    </cfRule>
  </conditionalFormatting>
  <conditionalFormatting sqref="C92">
    <cfRule type="expression" dxfId="1891" priority="51">
      <formula>kvartal &lt; 4</formula>
    </cfRule>
  </conditionalFormatting>
  <conditionalFormatting sqref="B95">
    <cfRule type="expression" dxfId="1890" priority="50">
      <formula>kvartal &lt; 4</formula>
    </cfRule>
  </conditionalFormatting>
  <conditionalFormatting sqref="C95">
    <cfRule type="expression" dxfId="1889" priority="49">
      <formula>kvartal &lt; 4</formula>
    </cfRule>
  </conditionalFormatting>
  <conditionalFormatting sqref="B102">
    <cfRule type="expression" dxfId="1888" priority="48">
      <formula>kvartal &lt; 4</formula>
    </cfRule>
  </conditionalFormatting>
  <conditionalFormatting sqref="C102">
    <cfRule type="expression" dxfId="1887" priority="47">
      <formula>kvartal &lt; 4</formula>
    </cfRule>
  </conditionalFormatting>
  <conditionalFormatting sqref="B105">
    <cfRule type="expression" dxfId="1886" priority="46">
      <formula>kvartal &lt; 4</formula>
    </cfRule>
  </conditionalFormatting>
  <conditionalFormatting sqref="C105">
    <cfRule type="expression" dxfId="1885" priority="45">
      <formula>kvartal &lt; 4</formula>
    </cfRule>
  </conditionalFormatting>
  <conditionalFormatting sqref="B112">
    <cfRule type="expression" dxfId="1884" priority="44">
      <formula>kvartal &lt; 4</formula>
    </cfRule>
  </conditionalFormatting>
  <conditionalFormatting sqref="C112">
    <cfRule type="expression" dxfId="1883" priority="43">
      <formula>kvartal &lt; 4</formula>
    </cfRule>
  </conditionalFormatting>
  <conditionalFormatting sqref="B115">
    <cfRule type="expression" dxfId="1882" priority="42">
      <formula>kvartal &lt; 4</formula>
    </cfRule>
  </conditionalFormatting>
  <conditionalFormatting sqref="C115">
    <cfRule type="expression" dxfId="1881" priority="41">
      <formula>kvartal &lt; 4</formula>
    </cfRule>
  </conditionalFormatting>
  <conditionalFormatting sqref="B122">
    <cfRule type="expression" dxfId="1880" priority="40">
      <formula>kvartal &lt; 4</formula>
    </cfRule>
  </conditionalFormatting>
  <conditionalFormatting sqref="C122">
    <cfRule type="expression" dxfId="1879" priority="39">
      <formula>kvartal &lt; 4</formula>
    </cfRule>
  </conditionalFormatting>
  <conditionalFormatting sqref="B125">
    <cfRule type="expression" dxfId="1878" priority="38">
      <formula>kvartal &lt; 4</formula>
    </cfRule>
  </conditionalFormatting>
  <conditionalFormatting sqref="C125">
    <cfRule type="expression" dxfId="1877" priority="37">
      <formula>kvartal &lt; 4</formula>
    </cfRule>
  </conditionalFormatting>
  <conditionalFormatting sqref="B132">
    <cfRule type="expression" dxfId="1876" priority="36">
      <formula>kvartal &lt; 4</formula>
    </cfRule>
  </conditionalFormatting>
  <conditionalFormatting sqref="C132">
    <cfRule type="expression" dxfId="1875" priority="35">
      <formula>kvartal &lt; 4</formula>
    </cfRule>
  </conditionalFormatting>
  <conditionalFormatting sqref="B135">
    <cfRule type="expression" dxfId="1874" priority="34">
      <formula>kvartal &lt; 4</formula>
    </cfRule>
  </conditionalFormatting>
  <conditionalFormatting sqref="C135">
    <cfRule type="expression" dxfId="1873" priority="33">
      <formula>kvartal &lt; 4</formula>
    </cfRule>
  </conditionalFormatting>
  <conditionalFormatting sqref="B146">
    <cfRule type="expression" dxfId="1872" priority="32">
      <formula>kvartal &lt; 4</formula>
    </cfRule>
  </conditionalFormatting>
  <conditionalFormatting sqref="C146">
    <cfRule type="expression" dxfId="1871" priority="31">
      <formula>kvartal &lt; 4</formula>
    </cfRule>
  </conditionalFormatting>
  <conditionalFormatting sqref="B154">
    <cfRule type="expression" dxfId="1870" priority="30">
      <formula>kvartal &lt; 4</formula>
    </cfRule>
  </conditionalFormatting>
  <conditionalFormatting sqref="C154">
    <cfRule type="expression" dxfId="1869" priority="29">
      <formula>kvartal &lt; 4</formula>
    </cfRule>
  </conditionalFormatting>
  <conditionalFormatting sqref="F82">
    <cfRule type="expression" dxfId="1868" priority="28">
      <formula>kvartal &lt; 4</formula>
    </cfRule>
  </conditionalFormatting>
  <conditionalFormatting sqref="G82">
    <cfRule type="expression" dxfId="1867" priority="27">
      <formula>kvartal &lt; 4</formula>
    </cfRule>
  </conditionalFormatting>
  <conditionalFormatting sqref="F85">
    <cfRule type="expression" dxfId="1866" priority="26">
      <formula>kvartal &lt; 4</formula>
    </cfRule>
  </conditionalFormatting>
  <conditionalFormatting sqref="G85">
    <cfRule type="expression" dxfId="1865" priority="25">
      <formula>kvartal &lt; 4</formula>
    </cfRule>
  </conditionalFormatting>
  <conditionalFormatting sqref="F92">
    <cfRule type="expression" dxfId="1864" priority="24">
      <formula>kvartal &lt; 4</formula>
    </cfRule>
  </conditionalFormatting>
  <conditionalFormatting sqref="G92">
    <cfRule type="expression" dxfId="1863" priority="23">
      <formula>kvartal &lt; 4</formula>
    </cfRule>
  </conditionalFormatting>
  <conditionalFormatting sqref="F95">
    <cfRule type="expression" dxfId="1862" priority="22">
      <formula>kvartal &lt; 4</formula>
    </cfRule>
  </conditionalFormatting>
  <conditionalFormatting sqref="G95">
    <cfRule type="expression" dxfId="1861" priority="21">
      <formula>kvartal &lt; 4</formula>
    </cfRule>
  </conditionalFormatting>
  <conditionalFormatting sqref="F102">
    <cfRule type="expression" dxfId="1860" priority="20">
      <formula>kvartal &lt; 4</formula>
    </cfRule>
  </conditionalFormatting>
  <conditionalFormatting sqref="G102">
    <cfRule type="expression" dxfId="1859" priority="19">
      <formula>kvartal &lt; 4</formula>
    </cfRule>
  </conditionalFormatting>
  <conditionalFormatting sqref="F105">
    <cfRule type="expression" dxfId="1858" priority="18">
      <formula>kvartal &lt; 4</formula>
    </cfRule>
  </conditionalFormatting>
  <conditionalFormatting sqref="G105">
    <cfRule type="expression" dxfId="1857" priority="17">
      <formula>kvartal &lt; 4</formula>
    </cfRule>
  </conditionalFormatting>
  <conditionalFormatting sqref="F112">
    <cfRule type="expression" dxfId="1856" priority="16">
      <formula>kvartal &lt; 4</formula>
    </cfRule>
  </conditionalFormatting>
  <conditionalFormatting sqref="G112">
    <cfRule type="expression" dxfId="1855" priority="15">
      <formula>kvartal &lt; 4</formula>
    </cfRule>
  </conditionalFormatting>
  <conditionalFormatting sqref="F115">
    <cfRule type="expression" dxfId="1854" priority="14">
      <formula>kvartal &lt; 4</formula>
    </cfRule>
  </conditionalFormatting>
  <conditionalFormatting sqref="G115">
    <cfRule type="expression" dxfId="1853" priority="13">
      <formula>kvartal &lt; 4</formula>
    </cfRule>
  </conditionalFormatting>
  <conditionalFormatting sqref="F122">
    <cfRule type="expression" dxfId="1852" priority="12">
      <formula>kvartal &lt; 4</formula>
    </cfRule>
  </conditionalFormatting>
  <conditionalFormatting sqref="G122">
    <cfRule type="expression" dxfId="1851" priority="11">
      <formula>kvartal &lt; 4</formula>
    </cfRule>
  </conditionalFormatting>
  <conditionalFormatting sqref="F125">
    <cfRule type="expression" dxfId="1850" priority="10">
      <formula>kvartal &lt; 4</formula>
    </cfRule>
  </conditionalFormatting>
  <conditionalFormatting sqref="G125">
    <cfRule type="expression" dxfId="1849" priority="9">
      <formula>kvartal &lt; 4</formula>
    </cfRule>
  </conditionalFormatting>
  <conditionalFormatting sqref="F132">
    <cfRule type="expression" dxfId="1848" priority="8">
      <formula>kvartal &lt; 4</formula>
    </cfRule>
  </conditionalFormatting>
  <conditionalFormatting sqref="G132">
    <cfRule type="expression" dxfId="1847" priority="7">
      <formula>kvartal &lt; 4</formula>
    </cfRule>
  </conditionalFormatting>
  <conditionalFormatting sqref="F135">
    <cfRule type="expression" dxfId="1846" priority="6">
      <formula>kvartal &lt; 4</formula>
    </cfRule>
  </conditionalFormatting>
  <conditionalFormatting sqref="G135">
    <cfRule type="expression" dxfId="1845" priority="5">
      <formula>kvartal &lt; 4</formula>
    </cfRule>
  </conditionalFormatting>
  <conditionalFormatting sqref="F146">
    <cfRule type="expression" dxfId="1844" priority="4">
      <formula>kvartal &lt; 4</formula>
    </cfRule>
  </conditionalFormatting>
  <conditionalFormatting sqref="G146">
    <cfRule type="expression" dxfId="1843" priority="3">
      <formula>kvartal &lt; 4</formula>
    </cfRule>
  </conditionalFormatting>
  <conditionalFormatting sqref="F154">
    <cfRule type="expression" dxfId="1842" priority="2">
      <formula>kvartal &lt; 4</formula>
    </cfRule>
  </conditionalFormatting>
  <conditionalFormatting sqref="G154">
    <cfRule type="expression" dxfId="1841" priority="1">
      <formula>kvartal &lt; 4</formula>
    </cfRule>
  </conditionalFormatting>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dimension ref="A1:N176"/>
  <sheetViews>
    <sheetView showGridLines="0" topLeftCell="A43" zoomScale="90" zoomScaleNormal="90" workbookViewId="0">
      <selection activeCell="A4" sqref="A4"/>
    </sheetView>
  </sheetViews>
  <sheetFormatPr baseColWidth="10" defaultColWidth="11.42578125" defaultRowHeight="12.75" x14ac:dyDescent="0.2"/>
  <cols>
    <col min="1" max="1" width="41.5703125" style="143" customWidth="1"/>
    <col min="2" max="2" width="10.85546875" style="143" customWidth="1"/>
    <col min="3" max="3" width="11" style="143" customWidth="1"/>
    <col min="4" max="5" width="8.7109375" style="143" customWidth="1"/>
    <col min="6" max="7" width="10.85546875" style="143" customWidth="1"/>
    <col min="8" max="9" width="8.7109375" style="143" customWidth="1"/>
    <col min="10" max="11" width="10.85546875" style="143" customWidth="1"/>
    <col min="12" max="13" width="8.7109375" style="143" customWidth="1"/>
    <col min="14" max="14" width="11.42578125" style="143"/>
    <col min="15" max="16384" width="11.42578125" style="1"/>
  </cols>
  <sheetData>
    <row r="1" spans="1:14" x14ac:dyDescent="0.2">
      <c r="A1" s="165" t="s">
        <v>159</v>
      </c>
      <c r="B1" s="401"/>
      <c r="C1" s="245" t="s">
        <v>110</v>
      </c>
      <c r="D1" s="20"/>
      <c r="E1" s="20"/>
      <c r="F1" s="20"/>
      <c r="G1" s="20"/>
      <c r="H1" s="20"/>
      <c r="I1" s="20"/>
      <c r="J1" s="20"/>
      <c r="K1" s="20"/>
      <c r="L1" s="20"/>
      <c r="M1" s="20"/>
    </row>
    <row r="2" spans="1:14" ht="15.75" x14ac:dyDescent="0.25">
      <c r="A2" s="158" t="s">
        <v>36</v>
      </c>
      <c r="B2" s="835"/>
      <c r="C2" s="835"/>
      <c r="D2" s="835"/>
      <c r="E2" s="301"/>
      <c r="F2" s="835"/>
      <c r="G2" s="835"/>
      <c r="H2" s="835"/>
      <c r="I2" s="301"/>
      <c r="J2" s="835"/>
      <c r="K2" s="835"/>
      <c r="L2" s="835"/>
      <c r="M2" s="301"/>
    </row>
    <row r="3" spans="1:14" ht="15.75" x14ac:dyDescent="0.25">
      <c r="A3" s="156"/>
      <c r="B3" s="301"/>
      <c r="C3" s="301"/>
      <c r="D3" s="301"/>
      <c r="E3" s="301"/>
      <c r="F3" s="301"/>
      <c r="G3" s="301"/>
      <c r="H3" s="301"/>
      <c r="I3" s="301"/>
      <c r="J3" s="301"/>
      <c r="K3" s="301"/>
      <c r="L3" s="301"/>
      <c r="M3" s="301"/>
    </row>
    <row r="4" spans="1:14" x14ac:dyDescent="0.2">
      <c r="A4" s="138"/>
      <c r="B4" s="808" t="s">
        <v>0</v>
      </c>
      <c r="C4" s="802"/>
      <c r="D4" s="802"/>
      <c r="E4" s="802"/>
      <c r="F4" s="808" t="s">
        <v>1</v>
      </c>
      <c r="G4" s="802"/>
      <c r="H4" s="802"/>
      <c r="I4" s="803"/>
      <c r="J4" s="801" t="s">
        <v>2</v>
      </c>
      <c r="K4" s="802"/>
      <c r="L4" s="802"/>
      <c r="M4" s="803"/>
    </row>
    <row r="5" spans="1:14" x14ac:dyDescent="0.2">
      <c r="A5" s="151"/>
      <c r="B5" s="145" t="s">
        <v>400</v>
      </c>
      <c r="C5" s="145" t="s">
        <v>401</v>
      </c>
      <c r="D5" s="242" t="s">
        <v>3</v>
      </c>
      <c r="E5" s="307" t="s">
        <v>37</v>
      </c>
      <c r="F5" s="145" t="s">
        <v>400</v>
      </c>
      <c r="G5" s="145" t="s">
        <v>401</v>
      </c>
      <c r="H5" s="242" t="s">
        <v>3</v>
      </c>
      <c r="I5" s="307" t="s">
        <v>37</v>
      </c>
      <c r="J5" s="145" t="s">
        <v>400</v>
      </c>
      <c r="K5" s="145" t="s">
        <v>401</v>
      </c>
      <c r="L5" s="242" t="s">
        <v>3</v>
      </c>
      <c r="M5" s="155" t="s">
        <v>37</v>
      </c>
    </row>
    <row r="6" spans="1:14" x14ac:dyDescent="0.2">
      <c r="A6" s="402"/>
      <c r="B6" s="149"/>
      <c r="C6" s="149"/>
      <c r="D6" s="243" t="s">
        <v>4</v>
      </c>
      <c r="E6" s="149" t="s">
        <v>38</v>
      </c>
      <c r="F6" s="154"/>
      <c r="G6" s="154"/>
      <c r="H6" s="242" t="s">
        <v>4</v>
      </c>
      <c r="I6" s="149" t="s">
        <v>38</v>
      </c>
      <c r="J6" s="154"/>
      <c r="K6" s="154"/>
      <c r="L6" s="242" t="s">
        <v>4</v>
      </c>
      <c r="M6" s="149" t="s">
        <v>38</v>
      </c>
    </row>
    <row r="7" spans="1:14" ht="15.75" x14ac:dyDescent="0.2">
      <c r="A7" s="12" t="s">
        <v>30</v>
      </c>
      <c r="B7" s="308"/>
      <c r="C7" s="309"/>
      <c r="D7" s="251"/>
      <c r="E7" s="170"/>
      <c r="F7" s="308">
        <v>106324</v>
      </c>
      <c r="G7" s="309">
        <v>112801</v>
      </c>
      <c r="H7" s="251">
        <f>IF(F7=0, "    ---- ", IF(ABS(ROUND(100/F7*G7-100,1))&lt;999,ROUND(100/F7*G7-100,1),IF(ROUND(100/F7*G7-100,1)&gt;999,999,-999)))</f>
        <v>6.1</v>
      </c>
      <c r="I7" s="170">
        <f>IFERROR(100/'Skjema total MA'!F7*G7,0)</f>
        <v>1.2400785490936921</v>
      </c>
      <c r="J7" s="310">
        <f t="shared" ref="J7:K15" si="0">SUM(B7,F7)</f>
        <v>106324</v>
      </c>
      <c r="K7" s="311">
        <f t="shared" si="0"/>
        <v>112801</v>
      </c>
      <c r="L7" s="255">
        <f>IF(J7=0, "    ---- ", IF(ABS(ROUND(100/J7*K7-100,1))&lt;999,ROUND(100/J7*K7-100,1),IF(ROUND(100/J7*K7-100,1)&gt;999,999,-999)))</f>
        <v>6.1</v>
      </c>
      <c r="M7" s="170">
        <f>IFERROR(100/'Skjema total MA'!I7*K7,0)</f>
        <v>0.79927527838075874</v>
      </c>
    </row>
    <row r="8" spans="1:14" ht="15.75" x14ac:dyDescent="0.2">
      <c r="A8" s="18" t="s">
        <v>32</v>
      </c>
      <c r="B8" s="282"/>
      <c r="C8" s="283"/>
      <c r="D8" s="159"/>
      <c r="E8" s="170"/>
      <c r="F8" s="286"/>
      <c r="G8" s="287"/>
      <c r="H8" s="159"/>
      <c r="I8" s="170"/>
      <c r="J8" s="229"/>
      <c r="K8" s="288"/>
      <c r="L8" s="256"/>
      <c r="M8" s="170"/>
    </row>
    <row r="9" spans="1:14" ht="15.75" x14ac:dyDescent="0.2">
      <c r="A9" s="18" t="s">
        <v>31</v>
      </c>
      <c r="B9" s="282"/>
      <c r="C9" s="283"/>
      <c r="D9" s="159"/>
      <c r="E9" s="170"/>
      <c r="F9" s="286"/>
      <c r="G9" s="287"/>
      <c r="H9" s="159"/>
      <c r="I9" s="170"/>
      <c r="J9" s="229"/>
      <c r="K9" s="288"/>
      <c r="L9" s="256"/>
      <c r="M9" s="170"/>
    </row>
    <row r="10" spans="1:14" ht="15.75" x14ac:dyDescent="0.2">
      <c r="A10" s="11" t="s">
        <v>29</v>
      </c>
      <c r="B10" s="312"/>
      <c r="C10" s="313"/>
      <c r="D10" s="159"/>
      <c r="E10" s="170"/>
      <c r="F10" s="312">
        <v>81222</v>
      </c>
      <c r="G10" s="313">
        <v>83801</v>
      </c>
      <c r="H10" s="159">
        <f t="shared" ref="H10:H15" si="1">IF(F10=0, "    ---- ", IF(ABS(ROUND(100/F10*G10-100,1))&lt;999,ROUND(100/F10*G10-100,1),IF(ROUND(100/F10*G10-100,1)&gt;999,999,-999)))</f>
        <v>3.2</v>
      </c>
      <c r="I10" s="170">
        <f>IFERROR(100/'Skjema total MA'!F10*G10,0)</f>
        <v>1.0929929335962396</v>
      </c>
      <c r="J10" s="310">
        <f t="shared" si="0"/>
        <v>81222</v>
      </c>
      <c r="K10" s="311">
        <f t="shared" si="0"/>
        <v>83801</v>
      </c>
      <c r="L10" s="256">
        <f t="shared" ref="L10:L15" si="2">IF(J10=0, "    ---- ", IF(ABS(ROUND(100/J10*K10-100,1))&lt;999,ROUND(100/J10*K10-100,1),IF(ROUND(100/J10*K10-100,1)&gt;999,999,-999)))</f>
        <v>3.2</v>
      </c>
      <c r="M10" s="170">
        <f>IFERROR(100/'Skjema total MA'!I10*K10,0)</f>
        <v>1.0445443027004415</v>
      </c>
    </row>
    <row r="11" spans="1:14" ht="15.75" x14ac:dyDescent="0.2">
      <c r="A11" s="18" t="s">
        <v>32</v>
      </c>
      <c r="B11" s="282"/>
      <c r="C11" s="283"/>
      <c r="D11" s="159"/>
      <c r="E11" s="170"/>
      <c r="F11" s="286"/>
      <c r="G11" s="287"/>
      <c r="H11" s="159"/>
      <c r="I11" s="170"/>
      <c r="J11" s="229"/>
      <c r="K11" s="288"/>
      <c r="L11" s="256"/>
      <c r="M11" s="170"/>
    </row>
    <row r="12" spans="1:14" ht="15.75" x14ac:dyDescent="0.2">
      <c r="A12" s="18" t="s">
        <v>31</v>
      </c>
      <c r="B12" s="282"/>
      <c r="C12" s="283"/>
      <c r="D12" s="159"/>
      <c r="E12" s="170"/>
      <c r="F12" s="286"/>
      <c r="G12" s="287"/>
      <c r="H12" s="159"/>
      <c r="I12" s="170"/>
      <c r="J12" s="229"/>
      <c r="K12" s="288"/>
      <c r="L12" s="256"/>
      <c r="M12" s="170"/>
    </row>
    <row r="13" spans="1:14" ht="15.75" x14ac:dyDescent="0.2">
      <c r="A13" s="11" t="s">
        <v>28</v>
      </c>
      <c r="B13" s="312"/>
      <c r="C13" s="313"/>
      <c r="D13" s="159"/>
      <c r="E13" s="170"/>
      <c r="F13" s="312">
        <v>252927</v>
      </c>
      <c r="G13" s="313">
        <v>352394</v>
      </c>
      <c r="H13" s="159">
        <f t="shared" si="1"/>
        <v>39.299999999999997</v>
      </c>
      <c r="I13" s="170">
        <f>IFERROR(100/'Skjema total MA'!F13*G13,0)</f>
        <v>1.0640377155135738</v>
      </c>
      <c r="J13" s="310">
        <f t="shared" si="0"/>
        <v>252927</v>
      </c>
      <c r="K13" s="311">
        <f t="shared" si="0"/>
        <v>352394</v>
      </c>
      <c r="L13" s="256">
        <f t="shared" si="2"/>
        <v>39.299999999999997</v>
      </c>
      <c r="M13" s="170">
        <f>IFERROR(100/'Skjema total MA'!I13*K13,0)</f>
        <v>0.59745439639281328</v>
      </c>
    </row>
    <row r="14" spans="1:14" s="36" customFormat="1" ht="15.75" x14ac:dyDescent="0.2">
      <c r="A14" s="11" t="s">
        <v>27</v>
      </c>
      <c r="B14" s="312"/>
      <c r="C14" s="313"/>
      <c r="D14" s="159"/>
      <c r="E14" s="170"/>
      <c r="F14" s="312">
        <v>709.71400000000006</v>
      </c>
      <c r="G14" s="313">
        <v>9235</v>
      </c>
      <c r="H14" s="159">
        <f t="shared" si="1"/>
        <v>999</v>
      </c>
      <c r="I14" s="170">
        <f>IFERROR(100/'Skjema total MA'!F14*G14,0)</f>
        <v>2.028680199929044</v>
      </c>
      <c r="J14" s="310">
        <f t="shared" si="0"/>
        <v>709.71400000000006</v>
      </c>
      <c r="K14" s="311">
        <f t="shared" si="0"/>
        <v>9235</v>
      </c>
      <c r="L14" s="256">
        <f t="shared" si="2"/>
        <v>999</v>
      </c>
      <c r="M14" s="170">
        <f>IFERROR(100/'Skjema total MA'!I14*K14,0)</f>
        <v>1.720835018809634</v>
      </c>
      <c r="N14" s="137"/>
    </row>
    <row r="15" spans="1:14" s="36" customFormat="1" ht="15.75" x14ac:dyDescent="0.2">
      <c r="A15" s="34" t="s">
        <v>26</v>
      </c>
      <c r="B15" s="314"/>
      <c r="C15" s="315"/>
      <c r="D15" s="160"/>
      <c r="E15" s="160"/>
      <c r="F15" s="314">
        <v>4880.0020000000004</v>
      </c>
      <c r="G15" s="315">
        <v>1644</v>
      </c>
      <c r="H15" s="160">
        <f t="shared" si="1"/>
        <v>-66.3</v>
      </c>
      <c r="I15" s="160">
        <f>IFERROR(100/'Skjema total MA'!F15*G15,0)</f>
        <v>0.96194341746000556</v>
      </c>
      <c r="J15" s="316">
        <f t="shared" si="0"/>
        <v>4880.0020000000004</v>
      </c>
      <c r="K15" s="317">
        <f t="shared" si="0"/>
        <v>1644</v>
      </c>
      <c r="L15" s="257">
        <f t="shared" si="2"/>
        <v>-66.3</v>
      </c>
      <c r="M15" s="160">
        <f>IFERROR(100/'Skjema total MA'!I15*K15,0)</f>
        <v>0.77341134670234279</v>
      </c>
      <c r="N15" s="137"/>
    </row>
    <row r="16" spans="1:14" s="36" customFormat="1" x14ac:dyDescent="0.2">
      <c r="A16" s="161"/>
      <c r="B16" s="139"/>
      <c r="C16" s="27"/>
      <c r="D16" s="152"/>
      <c r="E16" s="152"/>
      <c r="F16" s="139"/>
      <c r="G16" s="27"/>
      <c r="H16" s="152"/>
      <c r="I16" s="152"/>
      <c r="J16" s="41"/>
      <c r="K16" s="41"/>
      <c r="L16" s="152"/>
      <c r="M16" s="152"/>
      <c r="N16" s="137"/>
    </row>
    <row r="17" spans="1:14" x14ac:dyDescent="0.2">
      <c r="A17" s="146" t="s">
        <v>307</v>
      </c>
      <c r="B17" s="20"/>
    </row>
    <row r="18" spans="1:14" x14ac:dyDescent="0.2">
      <c r="F18" s="140"/>
      <c r="G18" s="140"/>
      <c r="H18" s="140"/>
      <c r="I18" s="140"/>
      <c r="J18" s="140"/>
      <c r="K18" s="140"/>
      <c r="L18" s="140"/>
      <c r="M18" s="140"/>
    </row>
    <row r="19" spans="1:14" s="3" customFormat="1" ht="15.75" x14ac:dyDescent="0.25">
      <c r="A19" s="157"/>
      <c r="B19" s="142"/>
      <c r="C19" s="147"/>
      <c r="D19" s="147"/>
      <c r="E19" s="147"/>
      <c r="F19" s="147"/>
      <c r="G19" s="147"/>
      <c r="H19" s="147"/>
      <c r="I19" s="147"/>
      <c r="J19" s="147"/>
      <c r="K19" s="147"/>
      <c r="L19" s="147"/>
      <c r="M19" s="147"/>
      <c r="N19" s="142"/>
    </row>
    <row r="20" spans="1:14" ht="15.75" x14ac:dyDescent="0.25">
      <c r="A20" s="141" t="s">
        <v>304</v>
      </c>
      <c r="B20" s="150"/>
      <c r="C20" s="150"/>
      <c r="D20" s="144"/>
      <c r="E20" s="144"/>
      <c r="F20" s="150"/>
      <c r="G20" s="150"/>
      <c r="H20" s="150"/>
      <c r="I20" s="150"/>
      <c r="J20" s="150"/>
      <c r="K20" s="150"/>
      <c r="L20" s="150"/>
      <c r="M20" s="150"/>
    </row>
    <row r="21" spans="1:14" ht="15.75" x14ac:dyDescent="0.25">
      <c r="B21" s="832"/>
      <c r="C21" s="832"/>
      <c r="D21" s="832"/>
      <c r="E21" s="301"/>
      <c r="F21" s="832"/>
      <c r="G21" s="832"/>
      <c r="H21" s="832"/>
      <c r="I21" s="301"/>
      <c r="J21" s="832"/>
      <c r="K21" s="832"/>
      <c r="L21" s="832"/>
      <c r="M21" s="301"/>
    </row>
    <row r="22" spans="1:14" x14ac:dyDescent="0.2">
      <c r="A22" s="138"/>
      <c r="B22" s="833" t="s">
        <v>0</v>
      </c>
      <c r="C22" s="834"/>
      <c r="D22" s="834"/>
      <c r="E22" s="303"/>
      <c r="F22" s="833" t="s">
        <v>1</v>
      </c>
      <c r="G22" s="834"/>
      <c r="H22" s="834"/>
      <c r="I22" s="306"/>
      <c r="J22" s="833" t="s">
        <v>2</v>
      </c>
      <c r="K22" s="834"/>
      <c r="L22" s="834"/>
      <c r="M22" s="306"/>
    </row>
    <row r="23" spans="1:14" x14ac:dyDescent="0.2">
      <c r="A23" s="134" t="s">
        <v>5</v>
      </c>
      <c r="B23" s="145" t="s">
        <v>400</v>
      </c>
      <c r="C23" s="145" t="s">
        <v>401</v>
      </c>
      <c r="D23" s="242" t="s">
        <v>3</v>
      </c>
      <c r="E23" s="307" t="s">
        <v>37</v>
      </c>
      <c r="F23" s="145" t="s">
        <v>400</v>
      </c>
      <c r="G23" s="145" t="s">
        <v>401</v>
      </c>
      <c r="H23" s="242" t="s">
        <v>3</v>
      </c>
      <c r="I23" s="307" t="s">
        <v>37</v>
      </c>
      <c r="J23" s="145" t="s">
        <v>400</v>
      </c>
      <c r="K23" s="145" t="s">
        <v>401</v>
      </c>
      <c r="L23" s="242" t="s">
        <v>3</v>
      </c>
      <c r="M23" s="155" t="s">
        <v>37</v>
      </c>
    </row>
    <row r="24" spans="1:14" x14ac:dyDescent="0.2">
      <c r="A24" s="403"/>
      <c r="B24" s="149"/>
      <c r="C24" s="149"/>
      <c r="D24" s="243" t="s">
        <v>4</v>
      </c>
      <c r="E24" s="149" t="s">
        <v>38</v>
      </c>
      <c r="F24" s="154"/>
      <c r="G24" s="154"/>
      <c r="H24" s="242" t="s">
        <v>4</v>
      </c>
      <c r="I24" s="149" t="s">
        <v>38</v>
      </c>
      <c r="J24" s="154"/>
      <c r="K24" s="154"/>
      <c r="L24" s="242" t="s">
        <v>4</v>
      </c>
      <c r="M24" s="149" t="s">
        <v>38</v>
      </c>
    </row>
    <row r="25" spans="1:14" ht="15.75" x14ac:dyDescent="0.2">
      <c r="A25" s="12" t="s">
        <v>30</v>
      </c>
      <c r="B25" s="318">
        <v>234359</v>
      </c>
      <c r="C25" s="319">
        <v>278770</v>
      </c>
      <c r="D25" s="251">
        <f t="shared" ref="D25:D37" si="3">IF(B25=0, "    ---- ", IF(ABS(ROUND(100/B25*C25-100,1))&lt;999,ROUND(100/B25*C25-100,1),IF(ROUND(100/B25*C25-100,1)&gt;999,999,-999)))</f>
        <v>18.899999999999999</v>
      </c>
      <c r="E25" s="170">
        <f>IFERROR(100/'Skjema total MA'!C25*C25,0)</f>
        <v>19.420621491395242</v>
      </c>
      <c r="F25" s="320">
        <v>10474</v>
      </c>
      <c r="G25" s="319">
        <v>9664</v>
      </c>
      <c r="H25" s="251">
        <f t="shared" ref="H25:H41" si="4">IF(F25=0, "    ---- ", IF(ABS(ROUND(100/F25*G25-100,1))&lt;999,ROUND(100/F25*G25-100,1),IF(ROUND(100/F25*G25-100,1)&gt;999,999,-999)))</f>
        <v>-7.7</v>
      </c>
      <c r="I25" s="170">
        <f>IFERROR(100/'Skjema total MA'!F25*G25,0)</f>
        <v>2.4244347214959641</v>
      </c>
      <c r="J25" s="318">
        <v>244833</v>
      </c>
      <c r="K25" s="318">
        <v>288434</v>
      </c>
      <c r="L25" s="255">
        <f t="shared" ref="L25:L41" si="5">IF(J25=0, "    ---- ", IF(ABS(ROUND(100/J25*K25-100,1))&lt;999,ROUND(100/J25*K25-100,1),IF(ROUND(100/J25*K25-100,1)&gt;999,999,-999)))</f>
        <v>17.8</v>
      </c>
      <c r="M25" s="159">
        <f>IFERROR(100/'Skjema total MA'!I25*K25,0)</f>
        <v>15.726690290829143</v>
      </c>
    </row>
    <row r="26" spans="1:14" ht="15.75" x14ac:dyDescent="0.2">
      <c r="A26" s="298" t="s">
        <v>318</v>
      </c>
      <c r="B26" s="291">
        <v>234359</v>
      </c>
      <c r="C26" s="291">
        <v>278770</v>
      </c>
      <c r="D26" s="159">
        <f t="shared" si="3"/>
        <v>18.899999999999999</v>
      </c>
      <c r="E26" s="170">
        <f>IFERROR(100/'Skjema total MA'!C26*C26,0)</f>
        <v>21.45496153762533</v>
      </c>
      <c r="F26" s="291">
        <v>23</v>
      </c>
      <c r="G26" s="291">
        <v>47</v>
      </c>
      <c r="H26" s="159">
        <f t="shared" si="4"/>
        <v>104.3</v>
      </c>
      <c r="I26" s="237">
        <f>IFERROR(100/'Skjema total MA'!F26*G26,0)</f>
        <v>2.9725406205806017E-2</v>
      </c>
      <c r="J26" s="291">
        <v>234382</v>
      </c>
      <c r="K26" s="291">
        <v>278817</v>
      </c>
      <c r="L26" s="256">
        <f t="shared" si="5"/>
        <v>19</v>
      </c>
      <c r="M26" s="159">
        <f>IFERROR(100/'Skjema total MA'!I26*K26,0)</f>
        <v>19.130593615902786</v>
      </c>
    </row>
    <row r="27" spans="1:14" ht="15.75" x14ac:dyDescent="0.2">
      <c r="A27" s="298" t="s">
        <v>319</v>
      </c>
      <c r="B27" s="291"/>
      <c r="C27" s="291"/>
      <c r="D27" s="159"/>
      <c r="E27" s="237"/>
      <c r="F27" s="291"/>
      <c r="G27" s="291"/>
      <c r="H27" s="159"/>
      <c r="I27" s="237"/>
      <c r="J27" s="291"/>
      <c r="K27" s="291"/>
      <c r="L27" s="159"/>
      <c r="M27" s="159"/>
    </row>
    <row r="28" spans="1:14" ht="15.75" x14ac:dyDescent="0.2">
      <c r="A28" s="298" t="s">
        <v>320</v>
      </c>
      <c r="B28" s="291"/>
      <c r="C28" s="291"/>
      <c r="D28" s="159"/>
      <c r="E28" s="237"/>
      <c r="F28" s="291">
        <v>10451</v>
      </c>
      <c r="G28" s="291">
        <v>9617</v>
      </c>
      <c r="H28" s="159">
        <f t="shared" ref="H28" si="6">IF(F28=0, "    ---- ", IF(ABS(ROUND(100/F28*G28-100,1))&lt;999,ROUND(100/F28*G28-100,1),IF(ROUND(100/F28*G28-100,1)&gt;999,999,-999)))</f>
        <v>-8</v>
      </c>
      <c r="I28" s="237">
        <f>IFERROR(100/'Skjema total MA'!F28*G28,0)</f>
        <v>4.1071493007713569</v>
      </c>
      <c r="J28" s="291">
        <v>10451</v>
      </c>
      <c r="K28" s="291">
        <v>9617</v>
      </c>
      <c r="L28" s="256">
        <f t="shared" si="5"/>
        <v>-8</v>
      </c>
      <c r="M28" s="159">
        <f>IFERROR(100/'Skjema total MA'!I28*K28,0)</f>
        <v>2.7405112346659357</v>
      </c>
    </row>
    <row r="29" spans="1:14" x14ac:dyDescent="0.2">
      <c r="A29" s="298" t="s">
        <v>11</v>
      </c>
      <c r="B29" s="291"/>
      <c r="C29" s="291"/>
      <c r="D29" s="159"/>
      <c r="E29" s="237"/>
      <c r="F29" s="291"/>
      <c r="G29" s="291"/>
      <c r="H29" s="159"/>
      <c r="I29" s="237"/>
      <c r="J29" s="291"/>
      <c r="K29" s="291"/>
      <c r="L29" s="159"/>
      <c r="M29" s="159"/>
    </row>
    <row r="30" spans="1:14" ht="15.75" x14ac:dyDescent="0.2">
      <c r="A30" s="42" t="s">
        <v>308</v>
      </c>
      <c r="B30" s="37">
        <v>234359</v>
      </c>
      <c r="C30" s="288">
        <v>278770</v>
      </c>
      <c r="D30" s="159">
        <f t="shared" si="3"/>
        <v>18.899999999999999</v>
      </c>
      <c r="E30" s="170">
        <f>IFERROR(100/'Skjema total MA'!C30*C30,0)</f>
        <v>18.654136452730899</v>
      </c>
      <c r="F30" s="229"/>
      <c r="G30" s="288"/>
      <c r="H30" s="159"/>
      <c r="I30" s="170"/>
      <c r="J30" s="37">
        <v>234359</v>
      </c>
      <c r="K30" s="37">
        <v>278770</v>
      </c>
      <c r="L30" s="256">
        <f t="shared" si="5"/>
        <v>18.899999999999999</v>
      </c>
      <c r="M30" s="159">
        <f>IFERROR(100/'Skjema total MA'!I30*K30,0)</f>
        <v>18.654136452730899</v>
      </c>
    </row>
    <row r="31" spans="1:14" ht="15.75" x14ac:dyDescent="0.2">
      <c r="A31" s="11" t="s">
        <v>29</v>
      </c>
      <c r="B31" s="231">
        <v>57248</v>
      </c>
      <c r="C31" s="231">
        <v>59776</v>
      </c>
      <c r="D31" s="159">
        <f t="shared" si="3"/>
        <v>4.4000000000000004</v>
      </c>
      <c r="E31" s="170">
        <f>IFERROR(100/'Skjema total MA'!C31*C31,0)</f>
        <v>22.692102155048776</v>
      </c>
      <c r="F31" s="310">
        <v>75</v>
      </c>
      <c r="G31" s="310">
        <v>157</v>
      </c>
      <c r="H31" s="159">
        <f t="shared" si="4"/>
        <v>109.3</v>
      </c>
      <c r="I31" s="170">
        <f>IFERROR(100/'Skjema total MA'!F31*G31,0)</f>
        <v>1.2100398939902393</v>
      </c>
      <c r="J31" s="231">
        <v>57323</v>
      </c>
      <c r="K31" s="231">
        <v>59933</v>
      </c>
      <c r="L31" s="256">
        <f t="shared" si="5"/>
        <v>4.5999999999999996</v>
      </c>
      <c r="M31" s="159">
        <f>IFERROR(100/'Skjema total MA'!I31*K31,0)</f>
        <v>21.68367882807668</v>
      </c>
    </row>
    <row r="32" spans="1:14" ht="15.75" x14ac:dyDescent="0.2">
      <c r="A32" s="298" t="s">
        <v>318</v>
      </c>
      <c r="B32" s="291">
        <v>57248</v>
      </c>
      <c r="C32" s="291">
        <v>59776</v>
      </c>
      <c r="D32" s="159">
        <f t="shared" si="3"/>
        <v>4.4000000000000004</v>
      </c>
      <c r="E32" s="170">
        <f>IFERROR(100/'Skjema total MA'!C32*C32,0)</f>
        <v>22.692102155048769</v>
      </c>
      <c r="F32" s="291"/>
      <c r="G32" s="291"/>
      <c r="H32" s="159"/>
      <c r="I32" s="237"/>
      <c r="J32" s="291">
        <v>57248</v>
      </c>
      <c r="K32" s="291">
        <v>59776</v>
      </c>
      <c r="L32" s="159">
        <f t="shared" si="5"/>
        <v>4.4000000000000004</v>
      </c>
      <c r="M32" s="159">
        <f>IFERROR(100/'Skjema total MA'!I32*K32,0)</f>
        <v>22.626393187304345</v>
      </c>
    </row>
    <row r="33" spans="1:14" ht="15.75" x14ac:dyDescent="0.2">
      <c r="A33" s="298" t="s">
        <v>320</v>
      </c>
      <c r="B33" s="291"/>
      <c r="C33" s="291"/>
      <c r="D33" s="159"/>
      <c r="E33" s="237"/>
      <c r="F33" s="291">
        <v>75</v>
      </c>
      <c r="G33" s="291">
        <v>157</v>
      </c>
      <c r="H33" s="159">
        <f t="shared" ref="H33" si="7">IF(F33=0, "    ---- ", IF(ABS(ROUND(100/F33*G33-100,1))&lt;999,ROUND(100/F33*G33-100,1),IF(ROUND(100/F33*G33-100,1)&gt;999,999,-999)))</f>
        <v>109.3</v>
      </c>
      <c r="I33" s="237">
        <f>IFERROR(100/'Skjema total MA'!F33*G33,0)</f>
        <v>1.2858545775968002</v>
      </c>
      <c r="J33" s="291">
        <v>75</v>
      </c>
      <c r="K33" s="291">
        <v>157</v>
      </c>
      <c r="L33" s="159">
        <f t="shared" ref="L33" si="8">IF(J33=0, "    ---- ", IF(ABS(ROUND(100/J33*K33-100,1))&lt;999,ROUND(100/J33*K33-100,1),IF(ROUND(100/J33*K33-100,1)&gt;999,999,-999)))</f>
        <v>109.3</v>
      </c>
      <c r="M33" s="159">
        <f>IFERROR(100/'Skjema total MA'!I33*K33,0)</f>
        <v>1.2858545775968002</v>
      </c>
    </row>
    <row r="34" spans="1:14" s="21" customFormat="1" x14ac:dyDescent="0.2">
      <c r="A34" s="298" t="s">
        <v>16</v>
      </c>
      <c r="B34" s="291"/>
      <c r="C34" s="291"/>
      <c r="D34" s="159"/>
      <c r="E34" s="237"/>
      <c r="F34" s="291"/>
      <c r="G34" s="291"/>
      <c r="H34" s="159"/>
      <c r="I34" s="237"/>
      <c r="J34" s="291"/>
      <c r="K34" s="291"/>
      <c r="L34" s="159"/>
      <c r="M34" s="159"/>
      <c r="N34" s="166"/>
    </row>
    <row r="35" spans="1:14" ht="15.75" x14ac:dyDescent="0.2">
      <c r="A35" s="42" t="s">
        <v>308</v>
      </c>
      <c r="B35" s="37">
        <v>57248</v>
      </c>
      <c r="C35" s="288">
        <v>59776</v>
      </c>
      <c r="D35" s="159">
        <f t="shared" si="3"/>
        <v>4.4000000000000004</v>
      </c>
      <c r="E35" s="170">
        <f>IFERROR(100/'Skjema total MA'!C35*C35,0)</f>
        <v>31.867774499308833</v>
      </c>
      <c r="F35" s="229"/>
      <c r="G35" s="288"/>
      <c r="H35" s="159"/>
      <c r="I35" s="170"/>
      <c r="J35" s="37">
        <v>57248</v>
      </c>
      <c r="K35" s="37">
        <v>59776</v>
      </c>
      <c r="L35" s="256">
        <f t="shared" si="5"/>
        <v>4.4000000000000004</v>
      </c>
      <c r="M35" s="159">
        <f>IFERROR(100/'Skjema total MA'!I35*K35,0)</f>
        <v>31.867774499308833</v>
      </c>
    </row>
    <row r="36" spans="1:14" s="3" customFormat="1" ht="15.75" x14ac:dyDescent="0.2">
      <c r="A36" s="11" t="s">
        <v>28</v>
      </c>
      <c r="B36" s="231">
        <v>758793</v>
      </c>
      <c r="C36" s="311">
        <v>989584</v>
      </c>
      <c r="D36" s="159">
        <f t="shared" si="3"/>
        <v>30.4</v>
      </c>
      <c r="E36" s="170">
        <f>IFERROR(100/'Skjema total MA'!C36*C36,0)</f>
        <v>1.9569014608119768</v>
      </c>
      <c r="F36" s="310">
        <v>1649797</v>
      </c>
      <c r="G36" s="311">
        <v>1593158</v>
      </c>
      <c r="H36" s="159">
        <f t="shared" si="4"/>
        <v>-3.4</v>
      </c>
      <c r="I36" s="170">
        <f>IFERROR(100/'Skjema total MA'!F36*G36,0)</f>
        <v>8.3351617583800213</v>
      </c>
      <c r="J36" s="231">
        <v>2408590</v>
      </c>
      <c r="K36" s="231">
        <v>2582742</v>
      </c>
      <c r="L36" s="256">
        <f t="shared" si="5"/>
        <v>7.2</v>
      </c>
      <c r="M36" s="159">
        <f>IFERROR(100/'Skjema total MA'!I36*K36,0)</f>
        <v>3.7064361130760615</v>
      </c>
      <c r="N36" s="142"/>
    </row>
    <row r="37" spans="1:14" s="3" customFormat="1" ht="15.75" x14ac:dyDescent="0.2">
      <c r="A37" s="298" t="s">
        <v>318</v>
      </c>
      <c r="B37" s="291">
        <v>758793</v>
      </c>
      <c r="C37" s="291">
        <v>989584</v>
      </c>
      <c r="D37" s="159">
        <f t="shared" si="3"/>
        <v>30.4</v>
      </c>
      <c r="E37" s="170">
        <f>IFERROR(100/'Skjema total MA'!C37*C37,0)</f>
        <v>7.6895495484401657</v>
      </c>
      <c r="F37" s="291">
        <v>37792</v>
      </c>
      <c r="G37" s="291">
        <v>34958</v>
      </c>
      <c r="H37" s="159">
        <f t="shared" si="4"/>
        <v>-7.5</v>
      </c>
      <c r="I37" s="237">
        <f>IFERROR(100/'Skjema total MA'!F37*G37,0)</f>
        <v>0.81471076620067528</v>
      </c>
      <c r="J37" s="291">
        <v>796585</v>
      </c>
      <c r="K37" s="291">
        <v>1024542</v>
      </c>
      <c r="L37" s="159">
        <f t="shared" si="5"/>
        <v>28.6</v>
      </c>
      <c r="M37" s="159">
        <f>IFERROR(100/'Skjema total MA'!I37*K37,0)</f>
        <v>5.9705055862607583</v>
      </c>
      <c r="N37" s="142"/>
    </row>
    <row r="38" spans="1:14" s="3" customFormat="1" ht="15.75" x14ac:dyDescent="0.2">
      <c r="A38" s="298" t="s">
        <v>319</v>
      </c>
      <c r="B38" s="291"/>
      <c r="C38" s="291"/>
      <c r="D38" s="159"/>
      <c r="E38" s="237"/>
      <c r="F38" s="291">
        <v>1513617</v>
      </c>
      <c r="G38" s="291">
        <v>1447194</v>
      </c>
      <c r="H38" s="159">
        <f t="shared" si="4"/>
        <v>-4.4000000000000004</v>
      </c>
      <c r="I38" s="237">
        <f>IFERROR(100/'Skjema total MA'!F38*G38,0)</f>
        <v>12.709146540788534</v>
      </c>
      <c r="J38" s="291">
        <v>1513617</v>
      </c>
      <c r="K38" s="291">
        <v>1447194</v>
      </c>
      <c r="L38" s="159">
        <f t="shared" ref="L38" si="9">IF(J38=0, "    ---- ", IF(ABS(ROUND(100/J38*K38-100,1))&lt;999,ROUND(100/J38*K38-100,1),IF(ROUND(100/J38*K38-100,1)&gt;999,999,-999)))</f>
        <v>-4.4000000000000004</v>
      </c>
      <c r="M38" s="159">
        <f>IFERROR(100/'Skjema total MA'!I38*K38,0)</f>
        <v>3.0317245409293858</v>
      </c>
      <c r="N38" s="142"/>
    </row>
    <row r="39" spans="1:14" ht="15.75" x14ac:dyDescent="0.2">
      <c r="A39" s="298" t="s">
        <v>320</v>
      </c>
      <c r="B39" s="291"/>
      <c r="C39" s="291"/>
      <c r="D39" s="159"/>
      <c r="E39" s="237"/>
      <c r="F39" s="291">
        <v>98388</v>
      </c>
      <c r="G39" s="291">
        <v>111006</v>
      </c>
      <c r="H39" s="159">
        <f t="shared" si="4"/>
        <v>12.8</v>
      </c>
      <c r="I39" s="237">
        <f>IFERROR(100/'Skjema total MA'!F39*G39,0)</f>
        <v>3.230837958099483</v>
      </c>
      <c r="J39" s="291">
        <v>98388</v>
      </c>
      <c r="K39" s="291">
        <v>111006</v>
      </c>
      <c r="L39" s="159">
        <f t="shared" ref="L39" si="10">IF(J39=0, "    ---- ", IF(ABS(ROUND(100/J39*K39-100,1))&lt;999,ROUND(100/J39*K39-100,1),IF(ROUND(100/J39*K39-100,1)&gt;999,999,-999)))</f>
        <v>12.8</v>
      </c>
      <c r="M39" s="159">
        <f>IFERROR(100/'Skjema total MA'!I39*K39,0)</f>
        <v>2.3186332852862641</v>
      </c>
    </row>
    <row r="40" spans="1:14" ht="15.75" x14ac:dyDescent="0.2">
      <c r="A40" s="11" t="s">
        <v>27</v>
      </c>
      <c r="B40" s="231"/>
      <c r="C40" s="311"/>
      <c r="D40" s="159"/>
      <c r="E40" s="170"/>
      <c r="F40" s="310">
        <v>19006.678</v>
      </c>
      <c r="G40" s="311">
        <v>35897</v>
      </c>
      <c r="H40" s="159">
        <f t="shared" si="4"/>
        <v>88.9</v>
      </c>
      <c r="I40" s="170">
        <f>IFERROR(100/'Skjema total MA'!F40*G40,0)</f>
        <v>45.613703128283348</v>
      </c>
      <c r="J40" s="231">
        <v>19006.678</v>
      </c>
      <c r="K40" s="231">
        <v>35897</v>
      </c>
      <c r="L40" s="256">
        <f t="shared" si="5"/>
        <v>88.9</v>
      </c>
      <c r="M40" s="159">
        <f>IFERROR(100/'Skjema total MA'!I40*K40,0)</f>
        <v>29.182331308528205</v>
      </c>
    </row>
    <row r="41" spans="1:14" ht="15.75" x14ac:dyDescent="0.2">
      <c r="A41" s="11" t="s">
        <v>26</v>
      </c>
      <c r="B41" s="231"/>
      <c r="C41" s="311"/>
      <c r="D41" s="159"/>
      <c r="E41" s="170"/>
      <c r="F41" s="310">
        <v>5902.1450000000004</v>
      </c>
      <c r="G41" s="311">
        <v>4993</v>
      </c>
      <c r="H41" s="159">
        <f t="shared" si="4"/>
        <v>-15.4</v>
      </c>
      <c r="I41" s="170">
        <f>IFERROR(100/'Skjema total MA'!F41*G41,0)</f>
        <v>4.7793899068772161</v>
      </c>
      <c r="J41" s="231">
        <v>5902.1450000000004</v>
      </c>
      <c r="K41" s="231">
        <v>4993</v>
      </c>
      <c r="L41" s="256">
        <f t="shared" si="5"/>
        <v>-15.4</v>
      </c>
      <c r="M41" s="159">
        <f>IFERROR(100/'Skjema total MA'!I41*K41,0)</f>
        <v>11.308763498671127</v>
      </c>
    </row>
    <row r="42" spans="1:14" ht="15.75" x14ac:dyDescent="0.2">
      <c r="A42" s="10" t="s">
        <v>321</v>
      </c>
      <c r="B42" s="231"/>
      <c r="C42" s="311"/>
      <c r="D42" s="159"/>
      <c r="E42" s="170"/>
      <c r="F42" s="321"/>
      <c r="G42" s="322"/>
      <c r="H42" s="159"/>
      <c r="I42" s="237"/>
      <c r="J42" s="231"/>
      <c r="K42" s="231"/>
      <c r="L42" s="256"/>
      <c r="M42" s="159"/>
    </row>
    <row r="43" spans="1:14" ht="15.75" x14ac:dyDescent="0.2">
      <c r="A43" s="10" t="s">
        <v>322</v>
      </c>
      <c r="B43" s="231"/>
      <c r="C43" s="311"/>
      <c r="D43" s="159"/>
      <c r="E43" s="170"/>
      <c r="F43" s="321"/>
      <c r="G43" s="322"/>
      <c r="H43" s="159"/>
      <c r="I43" s="237"/>
      <c r="J43" s="231"/>
      <c r="K43" s="231"/>
      <c r="L43" s="256"/>
      <c r="M43" s="159"/>
    </row>
    <row r="44" spans="1:14" ht="15.75" x14ac:dyDescent="0.2">
      <c r="A44" s="10" t="s">
        <v>323</v>
      </c>
      <c r="B44" s="231"/>
      <c r="C44" s="311"/>
      <c r="D44" s="159"/>
      <c r="E44" s="170"/>
      <c r="F44" s="321"/>
      <c r="G44" s="323"/>
      <c r="H44" s="159"/>
      <c r="I44" s="237"/>
      <c r="J44" s="231"/>
      <c r="K44" s="231"/>
      <c r="L44" s="256"/>
      <c r="M44" s="159"/>
    </row>
    <row r="45" spans="1:14" ht="15.75" x14ac:dyDescent="0.2">
      <c r="A45" s="10" t="s">
        <v>324</v>
      </c>
      <c r="B45" s="231"/>
      <c r="C45" s="311"/>
      <c r="D45" s="159"/>
      <c r="E45" s="170"/>
      <c r="F45" s="321"/>
      <c r="G45" s="322"/>
      <c r="H45" s="159"/>
      <c r="I45" s="237"/>
      <c r="J45" s="231"/>
      <c r="K45" s="231"/>
      <c r="L45" s="256"/>
      <c r="M45" s="159"/>
    </row>
    <row r="46" spans="1:14" ht="15.75" x14ac:dyDescent="0.2">
      <c r="A46" s="16" t="s">
        <v>325</v>
      </c>
      <c r="B46" s="277"/>
      <c r="C46" s="317"/>
      <c r="D46" s="160"/>
      <c r="E46" s="201"/>
      <c r="F46" s="324"/>
      <c r="G46" s="325"/>
      <c r="H46" s="160"/>
      <c r="I46" s="160"/>
      <c r="J46" s="231"/>
      <c r="K46" s="231"/>
      <c r="L46" s="257"/>
      <c r="M46" s="160"/>
    </row>
    <row r="47" spans="1:14" ht="15.75" x14ac:dyDescent="0.25">
      <c r="A47" s="40"/>
      <c r="B47" s="254"/>
      <c r="C47" s="254"/>
      <c r="D47" s="836"/>
      <c r="E47" s="836"/>
      <c r="F47" s="836"/>
      <c r="G47" s="836"/>
      <c r="H47" s="836"/>
      <c r="I47" s="836"/>
      <c r="J47" s="836"/>
      <c r="K47" s="836"/>
      <c r="L47" s="836"/>
      <c r="M47" s="304"/>
    </row>
    <row r="48" spans="1:14" x14ac:dyDescent="0.2">
      <c r="A48" s="148"/>
    </row>
    <row r="49" spans="1:14" ht="15.75" x14ac:dyDescent="0.25">
      <c r="A49" s="141" t="s">
        <v>305</v>
      </c>
      <c r="B49" s="835"/>
      <c r="C49" s="835"/>
      <c r="D49" s="835"/>
      <c r="E49" s="301"/>
      <c r="F49" s="837"/>
      <c r="G49" s="837"/>
      <c r="H49" s="837"/>
      <c r="I49" s="304"/>
      <c r="J49" s="837"/>
      <c r="K49" s="837"/>
      <c r="L49" s="837"/>
      <c r="M49" s="304"/>
    </row>
    <row r="50" spans="1:14" ht="15.75" x14ac:dyDescent="0.25">
      <c r="A50" s="156"/>
      <c r="B50" s="305"/>
      <c r="C50" s="305"/>
      <c r="D50" s="305"/>
      <c r="E50" s="305"/>
      <c r="F50" s="304"/>
      <c r="G50" s="304"/>
      <c r="H50" s="304"/>
      <c r="I50" s="304"/>
      <c r="J50" s="304"/>
      <c r="K50" s="304"/>
      <c r="L50" s="304"/>
      <c r="M50" s="304"/>
    </row>
    <row r="51" spans="1:14" ht="15.75" x14ac:dyDescent="0.25">
      <c r="A51" s="244"/>
      <c r="B51" s="833" t="s">
        <v>0</v>
      </c>
      <c r="C51" s="834"/>
      <c r="D51" s="834"/>
      <c r="E51" s="240"/>
      <c r="F51" s="304"/>
      <c r="G51" s="304"/>
      <c r="H51" s="304"/>
      <c r="I51" s="304"/>
      <c r="J51" s="304"/>
      <c r="K51" s="304"/>
      <c r="L51" s="304"/>
      <c r="M51" s="304"/>
    </row>
    <row r="52" spans="1:14" s="3" customFormat="1" x14ac:dyDescent="0.2">
      <c r="A52" s="134"/>
      <c r="B52" s="145" t="s">
        <v>400</v>
      </c>
      <c r="C52" s="145" t="s">
        <v>401</v>
      </c>
      <c r="D52" s="155" t="s">
        <v>3</v>
      </c>
      <c r="E52" s="155" t="s">
        <v>37</v>
      </c>
      <c r="F52" s="169"/>
      <c r="G52" s="169"/>
      <c r="H52" s="168"/>
      <c r="I52" s="168"/>
      <c r="J52" s="169"/>
      <c r="K52" s="169"/>
      <c r="L52" s="168"/>
      <c r="M52" s="168"/>
      <c r="N52" s="142"/>
    </row>
    <row r="53" spans="1:14" s="3" customFormat="1" x14ac:dyDescent="0.2">
      <c r="A53" s="403"/>
      <c r="B53" s="241"/>
      <c r="C53" s="241"/>
      <c r="D53" s="242" t="s">
        <v>4</v>
      </c>
      <c r="E53" s="149" t="s">
        <v>38</v>
      </c>
      <c r="F53" s="168"/>
      <c r="G53" s="168"/>
      <c r="H53" s="168"/>
      <c r="I53" s="168"/>
      <c r="J53" s="168"/>
      <c r="K53" s="168"/>
      <c r="L53" s="168"/>
      <c r="M53" s="168"/>
      <c r="N53" s="142"/>
    </row>
    <row r="54" spans="1:14" s="3" customFormat="1" ht="15.75" x14ac:dyDescent="0.2">
      <c r="A54" s="12" t="s">
        <v>30</v>
      </c>
      <c r="B54" s="312"/>
      <c r="C54" s="313"/>
      <c r="D54" s="255"/>
      <c r="E54" s="170"/>
      <c r="F54" s="139"/>
      <c r="G54" s="27"/>
      <c r="H54" s="152"/>
      <c r="I54" s="152"/>
      <c r="J54" s="30"/>
      <c r="K54" s="30"/>
      <c r="L54" s="152"/>
      <c r="M54" s="152"/>
      <c r="N54" s="142"/>
    </row>
    <row r="55" spans="1:14" s="3" customFormat="1" ht="15.75" x14ac:dyDescent="0.2">
      <c r="A55" s="31" t="s">
        <v>326</v>
      </c>
      <c r="B55" s="282"/>
      <c r="C55" s="283"/>
      <c r="D55" s="256"/>
      <c r="E55" s="170"/>
      <c r="F55" s="139"/>
      <c r="G55" s="27"/>
      <c r="H55" s="139"/>
      <c r="I55" s="139"/>
      <c r="J55" s="27"/>
      <c r="K55" s="27"/>
      <c r="L55" s="152"/>
      <c r="M55" s="152"/>
      <c r="N55" s="142"/>
    </row>
    <row r="56" spans="1:14" s="3" customFormat="1" ht="15.75" x14ac:dyDescent="0.2">
      <c r="A56" s="31" t="s">
        <v>327</v>
      </c>
      <c r="B56" s="37"/>
      <c r="C56" s="288"/>
      <c r="D56" s="256"/>
      <c r="E56" s="170"/>
      <c r="F56" s="139"/>
      <c r="G56" s="27"/>
      <c r="H56" s="139"/>
      <c r="I56" s="139"/>
      <c r="J56" s="30"/>
      <c r="K56" s="30"/>
      <c r="L56" s="152"/>
      <c r="M56" s="152"/>
      <c r="N56" s="142"/>
    </row>
    <row r="57" spans="1:14" s="3" customFormat="1" x14ac:dyDescent="0.2">
      <c r="A57" s="298" t="s">
        <v>6</v>
      </c>
      <c r="B57" s="291"/>
      <c r="C57" s="292"/>
      <c r="D57" s="256"/>
      <c r="E57" s="159"/>
      <c r="F57" s="139"/>
      <c r="G57" s="27"/>
      <c r="H57" s="139"/>
      <c r="I57" s="139"/>
      <c r="J57" s="27"/>
      <c r="K57" s="27"/>
      <c r="L57" s="152"/>
      <c r="M57" s="152"/>
      <c r="N57" s="142"/>
    </row>
    <row r="58" spans="1:14" s="3" customFormat="1" x14ac:dyDescent="0.2">
      <c r="A58" s="298" t="s">
        <v>7</v>
      </c>
      <c r="B58" s="291"/>
      <c r="C58" s="292"/>
      <c r="D58" s="256"/>
      <c r="E58" s="159"/>
      <c r="F58" s="139"/>
      <c r="G58" s="27"/>
      <c r="H58" s="139"/>
      <c r="I58" s="139"/>
      <c r="J58" s="27"/>
      <c r="K58" s="27"/>
      <c r="L58" s="152"/>
      <c r="M58" s="152"/>
      <c r="N58" s="142"/>
    </row>
    <row r="59" spans="1:14" s="3" customFormat="1" x14ac:dyDescent="0.2">
      <c r="A59" s="298" t="s">
        <v>8</v>
      </c>
      <c r="B59" s="291"/>
      <c r="C59" s="292"/>
      <c r="D59" s="256"/>
      <c r="E59" s="159"/>
      <c r="F59" s="139"/>
      <c r="G59" s="27"/>
      <c r="H59" s="139"/>
      <c r="I59" s="139"/>
      <c r="J59" s="27"/>
      <c r="K59" s="27"/>
      <c r="L59" s="152"/>
      <c r="M59" s="152"/>
      <c r="N59" s="142"/>
    </row>
    <row r="60" spans="1:14" s="3" customFormat="1" ht="15.75" x14ac:dyDescent="0.2">
      <c r="A60" s="11" t="s">
        <v>29</v>
      </c>
      <c r="B60" s="312"/>
      <c r="C60" s="313"/>
      <c r="D60" s="256"/>
      <c r="E60" s="170"/>
      <c r="F60" s="139"/>
      <c r="G60" s="27"/>
      <c r="H60" s="139"/>
      <c r="I60" s="139"/>
      <c r="J60" s="27"/>
      <c r="K60" s="27"/>
      <c r="L60" s="152"/>
      <c r="M60" s="152"/>
      <c r="N60" s="142"/>
    </row>
    <row r="61" spans="1:14" s="3" customFormat="1" ht="15.75" x14ac:dyDescent="0.2">
      <c r="A61" s="31" t="s">
        <v>326</v>
      </c>
      <c r="B61" s="282"/>
      <c r="C61" s="283"/>
      <c r="D61" s="256"/>
      <c r="E61" s="170"/>
      <c r="F61" s="139"/>
      <c r="G61" s="27"/>
      <c r="H61" s="139"/>
      <c r="I61" s="139"/>
      <c r="J61" s="27"/>
      <c r="K61" s="27"/>
      <c r="L61" s="152"/>
      <c r="M61" s="152"/>
      <c r="N61" s="142"/>
    </row>
    <row r="62" spans="1:14" s="3" customFormat="1" ht="15.75" x14ac:dyDescent="0.2">
      <c r="A62" s="31" t="s">
        <v>327</v>
      </c>
      <c r="B62" s="37"/>
      <c r="C62" s="288"/>
      <c r="D62" s="256"/>
      <c r="E62" s="170"/>
      <c r="F62" s="139"/>
      <c r="G62" s="27"/>
      <c r="H62" s="139"/>
      <c r="I62" s="139"/>
      <c r="J62" s="27"/>
      <c r="K62" s="27"/>
      <c r="L62" s="152"/>
      <c r="M62" s="152"/>
      <c r="N62" s="142"/>
    </row>
    <row r="63" spans="1:14" s="3" customFormat="1" x14ac:dyDescent="0.2">
      <c r="A63" s="298" t="s">
        <v>6</v>
      </c>
      <c r="B63" s="282"/>
      <c r="C63" s="283"/>
      <c r="D63" s="256"/>
      <c r="E63" s="159"/>
      <c r="F63" s="139"/>
      <c r="G63" s="27"/>
      <c r="H63" s="139"/>
      <c r="I63" s="139"/>
      <c r="J63" s="27"/>
      <c r="K63" s="27"/>
      <c r="L63" s="152"/>
      <c r="M63" s="152"/>
      <c r="N63" s="142"/>
    </row>
    <row r="64" spans="1:14" s="3" customFormat="1" x14ac:dyDescent="0.2">
      <c r="A64" s="298" t="s">
        <v>7</v>
      </c>
      <c r="B64" s="282"/>
      <c r="C64" s="283"/>
      <c r="D64" s="256"/>
      <c r="E64" s="159"/>
      <c r="F64" s="139"/>
      <c r="G64" s="27"/>
      <c r="H64" s="139"/>
      <c r="I64" s="139"/>
      <c r="J64" s="27"/>
      <c r="K64" s="27"/>
      <c r="L64" s="152"/>
      <c r="M64" s="152"/>
      <c r="N64" s="142"/>
    </row>
    <row r="65" spans="1:14" s="3" customFormat="1" x14ac:dyDescent="0.2">
      <c r="A65" s="298" t="s">
        <v>8</v>
      </c>
      <c r="B65" s="282"/>
      <c r="C65" s="283"/>
      <c r="D65" s="256"/>
      <c r="E65" s="159"/>
      <c r="F65" s="139"/>
      <c r="G65" s="27"/>
      <c r="H65" s="139"/>
      <c r="I65" s="139"/>
      <c r="J65" s="27"/>
      <c r="K65" s="27"/>
      <c r="L65" s="152"/>
      <c r="M65" s="152"/>
      <c r="N65" s="142"/>
    </row>
    <row r="66" spans="1:14" s="3" customFormat="1" ht="15.75" x14ac:dyDescent="0.2">
      <c r="A66" s="32" t="s">
        <v>328</v>
      </c>
      <c r="B66" s="312"/>
      <c r="C66" s="313"/>
      <c r="D66" s="256"/>
      <c r="E66" s="170"/>
      <c r="F66" s="139"/>
      <c r="G66" s="27"/>
      <c r="H66" s="139"/>
      <c r="I66" s="139"/>
      <c r="J66" s="27"/>
      <c r="K66" s="27"/>
      <c r="L66" s="152"/>
      <c r="M66" s="152"/>
      <c r="N66" s="142"/>
    </row>
    <row r="67" spans="1:14" s="3" customFormat="1" ht="15.75" x14ac:dyDescent="0.2">
      <c r="A67" s="31" t="s">
        <v>326</v>
      </c>
      <c r="B67" s="282"/>
      <c r="C67" s="283"/>
      <c r="D67" s="256"/>
      <c r="E67" s="170"/>
      <c r="F67" s="139"/>
      <c r="G67" s="27"/>
      <c r="H67" s="139"/>
      <c r="I67" s="139"/>
      <c r="J67" s="27"/>
      <c r="K67" s="27"/>
      <c r="L67" s="152"/>
      <c r="M67" s="152"/>
      <c r="N67" s="142"/>
    </row>
    <row r="68" spans="1:14" s="3" customFormat="1" ht="15.75" x14ac:dyDescent="0.2">
      <c r="A68" s="31" t="s">
        <v>327</v>
      </c>
      <c r="B68" s="282"/>
      <c r="C68" s="283"/>
      <c r="D68" s="256"/>
      <c r="E68" s="170"/>
      <c r="F68" s="139"/>
      <c r="G68" s="27"/>
      <c r="H68" s="139"/>
      <c r="I68" s="139"/>
      <c r="J68" s="27"/>
      <c r="K68" s="27"/>
      <c r="L68" s="152"/>
      <c r="M68" s="152"/>
      <c r="N68" s="142"/>
    </row>
    <row r="69" spans="1:14" s="3" customFormat="1" ht="15.75" x14ac:dyDescent="0.2">
      <c r="A69" s="32" t="s">
        <v>329</v>
      </c>
      <c r="B69" s="312"/>
      <c r="C69" s="313"/>
      <c r="D69" s="256"/>
      <c r="E69" s="170"/>
      <c r="F69" s="139"/>
      <c r="G69" s="27"/>
      <c r="H69" s="139"/>
      <c r="I69" s="139"/>
      <c r="J69" s="27"/>
      <c r="K69" s="27"/>
      <c r="L69" s="152"/>
      <c r="M69" s="152"/>
      <c r="N69" s="142"/>
    </row>
    <row r="70" spans="1:14" s="3" customFormat="1" ht="15.75" x14ac:dyDescent="0.2">
      <c r="A70" s="31" t="s">
        <v>326</v>
      </c>
      <c r="B70" s="282"/>
      <c r="C70" s="283"/>
      <c r="D70" s="256"/>
      <c r="E70" s="170"/>
      <c r="F70" s="139"/>
      <c r="G70" s="27"/>
      <c r="H70" s="139"/>
      <c r="I70" s="139"/>
      <c r="J70" s="27"/>
      <c r="K70" s="27"/>
      <c r="L70" s="152"/>
      <c r="M70" s="152"/>
      <c r="N70" s="142"/>
    </row>
    <row r="71" spans="1:14" s="3" customFormat="1" ht="15.75" x14ac:dyDescent="0.2">
      <c r="A71" s="39" t="s">
        <v>327</v>
      </c>
      <c r="B71" s="284"/>
      <c r="C71" s="285"/>
      <c r="D71" s="257"/>
      <c r="E71" s="160"/>
      <c r="F71" s="139"/>
      <c r="G71" s="27"/>
      <c r="H71" s="139"/>
      <c r="I71" s="139"/>
      <c r="J71" s="27"/>
      <c r="K71" s="27"/>
      <c r="L71" s="152"/>
      <c r="M71" s="152"/>
      <c r="N71" s="142"/>
    </row>
    <row r="72" spans="1:14" s="3" customFormat="1" ht="15.75" x14ac:dyDescent="0.25">
      <c r="A72" s="157"/>
      <c r="B72" s="147"/>
      <c r="C72" s="147"/>
      <c r="D72" s="147"/>
      <c r="E72" s="147"/>
      <c r="F72" s="136"/>
      <c r="G72" s="136"/>
      <c r="H72" s="136"/>
      <c r="I72" s="136"/>
      <c r="J72" s="136"/>
      <c r="K72" s="136"/>
      <c r="L72" s="136"/>
      <c r="M72" s="136"/>
      <c r="N72" s="142"/>
    </row>
    <row r="73" spans="1:14" x14ac:dyDescent="0.2">
      <c r="A73" s="148"/>
    </row>
    <row r="74" spans="1:14" ht="15.75" x14ac:dyDescent="0.25">
      <c r="A74" s="141" t="s">
        <v>306</v>
      </c>
      <c r="C74" s="20"/>
      <c r="D74" s="20"/>
      <c r="E74" s="20"/>
      <c r="F74" s="20"/>
      <c r="G74" s="20"/>
      <c r="H74" s="20"/>
      <c r="I74" s="20"/>
      <c r="J74" s="20"/>
      <c r="K74" s="20"/>
      <c r="L74" s="20"/>
      <c r="M74" s="20"/>
    </row>
    <row r="75" spans="1:14" ht="15.75" x14ac:dyDescent="0.25">
      <c r="B75" s="832"/>
      <c r="C75" s="832"/>
      <c r="D75" s="832"/>
      <c r="E75" s="301"/>
      <c r="F75" s="832"/>
      <c r="G75" s="832"/>
      <c r="H75" s="832"/>
      <c r="I75" s="301"/>
      <c r="J75" s="832"/>
      <c r="K75" s="832"/>
      <c r="L75" s="832"/>
      <c r="M75" s="301"/>
    </row>
    <row r="76" spans="1:14" x14ac:dyDescent="0.2">
      <c r="A76" s="138"/>
      <c r="B76" s="833" t="s">
        <v>0</v>
      </c>
      <c r="C76" s="834"/>
      <c r="D76" s="838"/>
      <c r="E76" s="302"/>
      <c r="F76" s="834" t="s">
        <v>1</v>
      </c>
      <c r="G76" s="834"/>
      <c r="H76" s="834"/>
      <c r="I76" s="306"/>
      <c r="J76" s="833" t="s">
        <v>2</v>
      </c>
      <c r="K76" s="834"/>
      <c r="L76" s="834"/>
      <c r="M76" s="306"/>
    </row>
    <row r="77" spans="1:14" x14ac:dyDescent="0.2">
      <c r="A77" s="134"/>
      <c r="B77" s="145" t="s">
        <v>400</v>
      </c>
      <c r="C77" s="145" t="s">
        <v>401</v>
      </c>
      <c r="D77" s="242" t="s">
        <v>3</v>
      </c>
      <c r="E77" s="307" t="s">
        <v>37</v>
      </c>
      <c r="F77" s="145" t="s">
        <v>400</v>
      </c>
      <c r="G77" s="145" t="s">
        <v>401</v>
      </c>
      <c r="H77" s="242" t="s">
        <v>3</v>
      </c>
      <c r="I77" s="307" t="s">
        <v>37</v>
      </c>
      <c r="J77" s="145" t="s">
        <v>400</v>
      </c>
      <c r="K77" s="145" t="s">
        <v>401</v>
      </c>
      <c r="L77" s="242" t="s">
        <v>3</v>
      </c>
      <c r="M77" s="155" t="s">
        <v>37</v>
      </c>
    </row>
    <row r="78" spans="1:14" x14ac:dyDescent="0.2">
      <c r="A78" s="403"/>
      <c r="B78" s="149"/>
      <c r="C78" s="149"/>
      <c r="D78" s="243" t="s">
        <v>4</v>
      </c>
      <c r="E78" s="149" t="s">
        <v>38</v>
      </c>
      <c r="F78" s="154"/>
      <c r="G78" s="154"/>
      <c r="H78" s="242" t="s">
        <v>4</v>
      </c>
      <c r="I78" s="149" t="s">
        <v>38</v>
      </c>
      <c r="J78" s="154"/>
      <c r="K78" s="154"/>
      <c r="L78" s="242" t="s">
        <v>4</v>
      </c>
      <c r="M78" s="149" t="s">
        <v>38</v>
      </c>
    </row>
    <row r="79" spans="1:14" ht="15.75" x14ac:dyDescent="0.2">
      <c r="A79" s="12" t="s">
        <v>30</v>
      </c>
      <c r="B79" s="231">
        <v>159170</v>
      </c>
      <c r="C79" s="355">
        <v>180563</v>
      </c>
      <c r="D79" s="251">
        <f t="shared" ref="D79:D142" si="11">IF(B79=0, "    ---- ", IF(ABS(ROUND(100/B79*C79-100,1))&lt;999,ROUND(100/B79*C79-100,1),IF(ROUND(100/B79*C79-100,1)&gt;999,999,-999)))</f>
        <v>13.4</v>
      </c>
      <c r="E79" s="170">
        <f>IFERROR(100/'Skjema total MA'!C79*C79,0)</f>
        <v>1.5467368032935715</v>
      </c>
      <c r="F79" s="354">
        <v>1635329</v>
      </c>
      <c r="G79" s="354">
        <v>1890282</v>
      </c>
      <c r="H79" s="251">
        <f t="shared" ref="H79:H142" si="12">IF(F79=0, "    ---- ", IF(ABS(ROUND(100/F79*G79-100,1))&lt;999,ROUND(100/F79*G79-100,1),IF(ROUND(100/F79*G79-100,1)&gt;999,999,-999)))</f>
        <v>15.6</v>
      </c>
      <c r="I79" s="170">
        <f>IFERROR(100/'Skjema total MA'!F79*G79,0)</f>
        <v>8.1811073398906302</v>
      </c>
      <c r="J79" s="311">
        <f t="shared" ref="J79:K81" si="13">B79+F79</f>
        <v>1794499</v>
      </c>
      <c r="K79" s="311">
        <f t="shared" si="13"/>
        <v>2070845</v>
      </c>
      <c r="L79" s="255">
        <f t="shared" ref="L79:L142" si="14">IF(J79=0, "    ---- ", IF(ABS(ROUND(100/J79*K79-100,1))&lt;999,ROUND(100/J79*K79-100,1),IF(ROUND(100/J79*K79-100,1)&gt;999,999,-999)))</f>
        <v>15.4</v>
      </c>
      <c r="M79" s="170">
        <f>IFERROR(100/'Skjema total MA'!I79*K79,0)</f>
        <v>5.954253201152901</v>
      </c>
    </row>
    <row r="80" spans="1:14" x14ac:dyDescent="0.2">
      <c r="A80" s="18" t="s">
        <v>9</v>
      </c>
      <c r="B80" s="37">
        <v>159170</v>
      </c>
      <c r="C80" s="139">
        <v>180563</v>
      </c>
      <c r="D80" s="159">
        <f t="shared" si="11"/>
        <v>13.4</v>
      </c>
      <c r="E80" s="170">
        <f>IFERROR(100/'Skjema total MA'!C80*C80,0)</f>
        <v>1.5809220725698521</v>
      </c>
      <c r="F80" s="229"/>
      <c r="G80" s="139"/>
      <c r="H80" s="159"/>
      <c r="I80" s="170"/>
      <c r="J80" s="288">
        <f t="shared" si="13"/>
        <v>159170</v>
      </c>
      <c r="K80" s="37">
        <f t="shared" si="13"/>
        <v>180563</v>
      </c>
      <c r="L80" s="256">
        <f t="shared" si="14"/>
        <v>13.4</v>
      </c>
      <c r="M80" s="170">
        <f>IFERROR(100/'Skjema total MA'!I80*K80,0)</f>
        <v>1.5809220725698521</v>
      </c>
    </row>
    <row r="81" spans="1:14" x14ac:dyDescent="0.2">
      <c r="A81" s="18" t="s">
        <v>10</v>
      </c>
      <c r="B81" s="293"/>
      <c r="C81" s="294"/>
      <c r="D81" s="159"/>
      <c r="E81" s="170"/>
      <c r="F81" s="293">
        <v>1635329</v>
      </c>
      <c r="G81" s="294">
        <v>1890282</v>
      </c>
      <c r="H81" s="159">
        <f t="shared" si="12"/>
        <v>15.6</v>
      </c>
      <c r="I81" s="170">
        <f>IFERROR(100/'Skjema total MA'!F81*G81,0)</f>
        <v>8.2556469717899752</v>
      </c>
      <c r="J81" s="288">
        <f t="shared" si="13"/>
        <v>1635329</v>
      </c>
      <c r="K81" s="37">
        <f t="shared" si="13"/>
        <v>1890282</v>
      </c>
      <c r="L81" s="256">
        <f t="shared" si="14"/>
        <v>15.6</v>
      </c>
      <c r="M81" s="170">
        <f>IFERROR(100/'Skjema total MA'!I81*K81,0)</f>
        <v>8.1940242354925061</v>
      </c>
    </row>
    <row r="82" spans="1:14" ht="15.75" x14ac:dyDescent="0.2">
      <c r="A82" s="298" t="s">
        <v>330</v>
      </c>
      <c r="B82" s="282"/>
      <c r="C82" s="282"/>
      <c r="D82" s="159"/>
      <c r="E82" s="237"/>
      <c r="F82" s="282"/>
      <c r="G82" s="282"/>
      <c r="H82" s="159"/>
      <c r="I82" s="237"/>
      <c r="J82" s="291"/>
      <c r="K82" s="291"/>
      <c r="L82" s="159"/>
      <c r="M82" s="159"/>
    </row>
    <row r="83" spans="1:14" x14ac:dyDescent="0.2">
      <c r="A83" s="298" t="s">
        <v>12</v>
      </c>
      <c r="B83" s="295"/>
      <c r="C83" s="296"/>
      <c r="D83" s="159"/>
      <c r="E83" s="237"/>
      <c r="F83" s="282"/>
      <c r="G83" s="282"/>
      <c r="H83" s="159"/>
      <c r="I83" s="237"/>
      <c r="J83" s="291"/>
      <c r="K83" s="291"/>
      <c r="L83" s="159"/>
      <c r="M83" s="159"/>
    </row>
    <row r="84" spans="1:14" x14ac:dyDescent="0.2">
      <c r="A84" s="298" t="s">
        <v>13</v>
      </c>
      <c r="B84" s="230"/>
      <c r="C84" s="290"/>
      <c r="D84" s="159"/>
      <c r="E84" s="237"/>
      <c r="F84" s="282"/>
      <c r="G84" s="282"/>
      <c r="H84" s="159"/>
      <c r="I84" s="237"/>
      <c r="J84" s="291"/>
      <c r="K84" s="291"/>
      <c r="L84" s="159"/>
      <c r="M84" s="159"/>
    </row>
    <row r="85" spans="1:14" ht="15.75" x14ac:dyDescent="0.2">
      <c r="A85" s="298" t="s">
        <v>331</v>
      </c>
      <c r="B85" s="282"/>
      <c r="C85" s="282"/>
      <c r="D85" s="159"/>
      <c r="E85" s="237"/>
      <c r="F85" s="186">
        <v>1635329</v>
      </c>
      <c r="G85" s="282">
        <v>1890282</v>
      </c>
      <c r="H85" s="159">
        <f t="shared" si="12"/>
        <v>15.6</v>
      </c>
      <c r="I85" s="237">
        <f>IFERROR(100/'Skjema total MA'!F85*G85,0)</f>
        <v>0</v>
      </c>
      <c r="J85" s="288">
        <f>B85+F85</f>
        <v>1635329</v>
      </c>
      <c r="K85" s="37">
        <f>C85+G85</f>
        <v>1890282</v>
      </c>
      <c r="L85" s="159">
        <f t="shared" ref="L85" si="15">IF(J85=0, "    ---- ", IF(ABS(ROUND(100/J85*K85-100,1))&lt;999,ROUND(100/J85*K85-100,1),IF(ROUND(100/J85*K85-100,1)&gt;999,999,-999)))</f>
        <v>15.6</v>
      </c>
      <c r="M85" s="159">
        <f>IFERROR(100/'Skjema total MA'!I85*K85,0)</f>
        <v>0</v>
      </c>
    </row>
    <row r="86" spans="1:14" x14ac:dyDescent="0.2">
      <c r="A86" s="298" t="s">
        <v>12</v>
      </c>
      <c r="B86" s="230"/>
      <c r="C86" s="290"/>
      <c r="D86" s="159"/>
      <c r="E86" s="237"/>
      <c r="F86" s="282"/>
      <c r="G86" s="282"/>
      <c r="H86" s="159"/>
      <c r="I86" s="237"/>
      <c r="J86" s="291"/>
      <c r="K86" s="291"/>
      <c r="L86" s="159"/>
      <c r="M86" s="159"/>
    </row>
    <row r="87" spans="1:14" s="3" customFormat="1" x14ac:dyDescent="0.2">
      <c r="A87" s="298" t="s">
        <v>13</v>
      </c>
      <c r="B87" s="230"/>
      <c r="C87" s="290"/>
      <c r="D87" s="159"/>
      <c r="E87" s="237"/>
      <c r="F87" s="186">
        <v>1635329</v>
      </c>
      <c r="G87" s="282">
        <v>1890282</v>
      </c>
      <c r="H87" s="159">
        <f t="shared" si="12"/>
        <v>15.6</v>
      </c>
      <c r="I87" s="237">
        <f>IFERROR(100/'Skjema total MA'!F87*G87,0)</f>
        <v>0</v>
      </c>
      <c r="J87" s="288">
        <f>B87+F87</f>
        <v>1635329</v>
      </c>
      <c r="K87" s="37">
        <f>C87+G87</f>
        <v>1890282</v>
      </c>
      <c r="L87" s="159">
        <f t="shared" ref="L87" si="16">IF(J87=0, "    ---- ", IF(ABS(ROUND(100/J87*K87-100,1))&lt;999,ROUND(100/J87*K87-100,1),IF(ROUND(100/J87*K87-100,1)&gt;999,999,-999)))</f>
        <v>15.6</v>
      </c>
      <c r="M87" s="159">
        <f>IFERROR(100/'Skjema total MA'!I87*K87,0)</f>
        <v>0</v>
      </c>
      <c r="N87" s="142"/>
    </row>
    <row r="88" spans="1:14" s="3" customFormat="1" x14ac:dyDescent="0.2">
      <c r="A88" s="18" t="s">
        <v>33</v>
      </c>
      <c r="B88" s="229"/>
      <c r="C88" s="139"/>
      <c r="D88" s="159"/>
      <c r="E88" s="237"/>
      <c r="F88" s="37"/>
      <c r="G88" s="139"/>
      <c r="H88" s="159"/>
      <c r="I88" s="170"/>
      <c r="J88" s="288"/>
      <c r="K88" s="37"/>
      <c r="L88" s="256"/>
      <c r="M88" s="170"/>
      <c r="N88" s="142"/>
    </row>
    <row r="89" spans="1:14" ht="15.75" x14ac:dyDescent="0.2">
      <c r="A89" s="18" t="s">
        <v>332</v>
      </c>
      <c r="B89" s="37">
        <v>159170</v>
      </c>
      <c r="C89" s="229">
        <v>180563</v>
      </c>
      <c r="D89" s="159">
        <f t="shared" si="11"/>
        <v>13.4</v>
      </c>
      <c r="E89" s="170">
        <f>IFERROR(100/'Skjema total MA'!C89*C89,0)</f>
        <v>1.6036150664823257</v>
      </c>
      <c r="F89" s="293">
        <v>1635329</v>
      </c>
      <c r="G89" s="139">
        <v>1890282</v>
      </c>
      <c r="H89" s="159">
        <f t="shared" si="12"/>
        <v>15.6</v>
      </c>
      <c r="I89" s="170">
        <f>IFERROR(100/'Skjema total MA'!F89*G89,0)</f>
        <v>8.2604749491956415</v>
      </c>
      <c r="J89" s="288">
        <f t="shared" ref="J89:K91" si="17">B89+F89</f>
        <v>1794499</v>
      </c>
      <c r="K89" s="37">
        <f t="shared" si="17"/>
        <v>2070845</v>
      </c>
      <c r="L89" s="256">
        <f t="shared" si="14"/>
        <v>15.4</v>
      </c>
      <c r="M89" s="170">
        <f>IFERROR(100/'Skjema total MA'!I89*K89,0)</f>
        <v>6.0651752793244054</v>
      </c>
    </row>
    <row r="90" spans="1:14" x14ac:dyDescent="0.2">
      <c r="A90" s="18" t="s">
        <v>9</v>
      </c>
      <c r="B90" s="37">
        <v>159170</v>
      </c>
      <c r="C90" s="139">
        <v>180563</v>
      </c>
      <c r="D90" s="159">
        <f t="shared" si="11"/>
        <v>13.4</v>
      </c>
      <c r="E90" s="170">
        <f>IFERROR(100/'Skjema total MA'!C90*C90,0)</f>
        <v>1.6280076212167358</v>
      </c>
      <c r="F90" s="229"/>
      <c r="G90" s="139"/>
      <c r="H90" s="159"/>
      <c r="I90" s="170"/>
      <c r="J90" s="288">
        <f t="shared" si="17"/>
        <v>159170</v>
      </c>
      <c r="K90" s="37">
        <f t="shared" si="17"/>
        <v>180563</v>
      </c>
      <c r="L90" s="256">
        <f t="shared" si="14"/>
        <v>13.4</v>
      </c>
      <c r="M90" s="170">
        <f>IFERROR(100/'Skjema total MA'!I90*K90,0)</f>
        <v>1.6280074744309281</v>
      </c>
    </row>
    <row r="91" spans="1:14" x14ac:dyDescent="0.2">
      <c r="A91" s="18" t="s">
        <v>10</v>
      </c>
      <c r="B91" s="293"/>
      <c r="C91" s="294"/>
      <c r="D91" s="159"/>
      <c r="E91" s="170"/>
      <c r="F91" s="293">
        <v>1635329</v>
      </c>
      <c r="G91" s="294">
        <v>1890282</v>
      </c>
      <c r="H91" s="159">
        <f t="shared" si="12"/>
        <v>15.6</v>
      </c>
      <c r="I91" s="170">
        <f>IFERROR(100/'Skjema total MA'!F91*G91,0)</f>
        <v>8.2604749491956415</v>
      </c>
      <c r="J91" s="288">
        <f t="shared" si="17"/>
        <v>1635329</v>
      </c>
      <c r="K91" s="37">
        <f t="shared" si="17"/>
        <v>1890282</v>
      </c>
      <c r="L91" s="256">
        <f t="shared" si="14"/>
        <v>15.6</v>
      </c>
      <c r="M91" s="170">
        <f>IFERROR(100/'Skjema total MA'!I91*K91,0)</f>
        <v>8.2000212492837452</v>
      </c>
    </row>
    <row r="92" spans="1:14" ht="15.75" x14ac:dyDescent="0.2">
      <c r="A92" s="298" t="s">
        <v>330</v>
      </c>
      <c r="B92" s="282"/>
      <c r="C92" s="282"/>
      <c r="D92" s="159"/>
      <c r="E92" s="237"/>
      <c r="F92" s="282"/>
      <c r="G92" s="282"/>
      <c r="H92" s="159"/>
      <c r="I92" s="237"/>
      <c r="J92" s="291"/>
      <c r="K92" s="291"/>
      <c r="L92" s="159"/>
      <c r="M92" s="159"/>
    </row>
    <row r="93" spans="1:14" x14ac:dyDescent="0.2">
      <c r="A93" s="298" t="s">
        <v>12</v>
      </c>
      <c r="B93" s="230"/>
      <c r="C93" s="290"/>
      <c r="D93" s="159"/>
      <c r="E93" s="237"/>
      <c r="F93" s="282"/>
      <c r="G93" s="282"/>
      <c r="H93" s="159"/>
      <c r="I93" s="237"/>
      <c r="J93" s="291"/>
      <c r="K93" s="291"/>
      <c r="L93" s="159"/>
      <c r="M93" s="159"/>
    </row>
    <row r="94" spans="1:14" x14ac:dyDescent="0.2">
      <c r="A94" s="298" t="s">
        <v>13</v>
      </c>
      <c r="B94" s="230"/>
      <c r="C94" s="290"/>
      <c r="D94" s="159"/>
      <c r="E94" s="237"/>
      <c r="F94" s="282"/>
      <c r="G94" s="282"/>
      <c r="H94" s="159"/>
      <c r="I94" s="237"/>
      <c r="J94" s="291"/>
      <c r="K94" s="291"/>
      <c r="L94" s="159"/>
      <c r="M94" s="159"/>
    </row>
    <row r="95" spans="1:14" ht="15.75" x14ac:dyDescent="0.2">
      <c r="A95" s="298" t="s">
        <v>331</v>
      </c>
      <c r="B95" s="282"/>
      <c r="C95" s="282"/>
      <c r="D95" s="159"/>
      <c r="E95" s="237"/>
      <c r="F95" s="282">
        <v>1635329</v>
      </c>
      <c r="G95" s="282">
        <v>1890282</v>
      </c>
      <c r="H95" s="159">
        <f t="shared" si="12"/>
        <v>15.6</v>
      </c>
      <c r="I95" s="237">
        <f>IFERROR(100/'Skjema total MA'!F95*G95,0)</f>
        <v>0</v>
      </c>
      <c r="J95" s="288">
        <f>B95+F95</f>
        <v>1635329</v>
      </c>
      <c r="K95" s="37">
        <f>C95+G95</f>
        <v>1890282</v>
      </c>
      <c r="L95" s="159">
        <f t="shared" ref="L95" si="18">IF(J95=0, "    ---- ", IF(ABS(ROUND(100/J95*K95-100,1))&lt;999,ROUND(100/J95*K95-100,1),IF(ROUND(100/J95*K95-100,1)&gt;999,999,-999)))</f>
        <v>15.6</v>
      </c>
      <c r="M95" s="159">
        <f>IFERROR(100/'Skjema total MA'!I95*K95,0)</f>
        <v>0</v>
      </c>
    </row>
    <row r="96" spans="1:14" x14ac:dyDescent="0.2">
      <c r="A96" s="298" t="s">
        <v>12</v>
      </c>
      <c r="B96" s="230"/>
      <c r="C96" s="290"/>
      <c r="D96" s="159"/>
      <c r="E96" s="237"/>
      <c r="F96" s="282"/>
      <c r="G96" s="282"/>
      <c r="H96" s="159"/>
      <c r="I96" s="237"/>
      <c r="J96" s="291"/>
      <c r="K96" s="291"/>
      <c r="L96" s="159"/>
      <c r="M96" s="159"/>
    </row>
    <row r="97" spans="1:13" x14ac:dyDescent="0.2">
      <c r="A97" s="298" t="s">
        <v>13</v>
      </c>
      <c r="B97" s="230"/>
      <c r="C97" s="290"/>
      <c r="D97" s="159"/>
      <c r="E97" s="237"/>
      <c r="F97" s="282">
        <v>1635329</v>
      </c>
      <c r="G97" s="282">
        <v>1890282</v>
      </c>
      <c r="H97" s="159">
        <f t="shared" si="12"/>
        <v>15.6</v>
      </c>
      <c r="I97" s="237">
        <f>IFERROR(100/'Skjema total MA'!F97*G97,0)</f>
        <v>0</v>
      </c>
      <c r="J97" s="288">
        <f>B97+F97</f>
        <v>1635329</v>
      </c>
      <c r="K97" s="37">
        <f>C97+G97</f>
        <v>1890282</v>
      </c>
      <c r="L97" s="159">
        <f t="shared" ref="L97" si="19">IF(J97=0, "    ---- ", IF(ABS(ROUND(100/J97*K97-100,1))&lt;999,ROUND(100/J97*K97-100,1),IF(ROUND(100/J97*K97-100,1)&gt;999,999,-999)))</f>
        <v>15.6</v>
      </c>
      <c r="M97" s="159">
        <f>IFERROR(100/'Skjema total MA'!I97*K97,0)</f>
        <v>0</v>
      </c>
    </row>
    <row r="98" spans="1:13" ht="15.75" x14ac:dyDescent="0.2">
      <c r="A98" s="18" t="s">
        <v>342</v>
      </c>
      <c r="B98" s="229"/>
      <c r="C98" s="139"/>
      <c r="D98" s="159"/>
      <c r="E98" s="170"/>
      <c r="F98" s="229"/>
      <c r="G98" s="139"/>
      <c r="H98" s="159"/>
      <c r="I98" s="170"/>
      <c r="J98" s="288"/>
      <c r="K98" s="37"/>
      <c r="L98" s="256"/>
      <c r="M98" s="170"/>
    </row>
    <row r="99" spans="1:13" ht="15.75" x14ac:dyDescent="0.2">
      <c r="A99" s="11" t="s">
        <v>29</v>
      </c>
      <c r="B99" s="310">
        <v>15223</v>
      </c>
      <c r="C99" s="310">
        <v>16848</v>
      </c>
      <c r="D99" s="159">
        <f t="shared" si="11"/>
        <v>10.7</v>
      </c>
      <c r="E99" s="170">
        <f>IFERROR(100/'Skjema total MA'!C99*C99,0)</f>
        <v>5.2185136758696169</v>
      </c>
      <c r="F99" s="310">
        <v>69711</v>
      </c>
      <c r="G99" s="310">
        <v>68002</v>
      </c>
      <c r="H99" s="159">
        <f t="shared" si="12"/>
        <v>-2.5</v>
      </c>
      <c r="I99" s="170">
        <f>IFERROR(100/'Skjema total MA'!F99*G99,0)</f>
        <v>5.5730301701080052</v>
      </c>
      <c r="J99" s="311">
        <v>84934</v>
      </c>
      <c r="K99" s="231">
        <v>84850</v>
      </c>
      <c r="L99" s="256">
        <f t="shared" si="14"/>
        <v>-0.1</v>
      </c>
      <c r="M99" s="170">
        <f>IFERROR(100/'Skjema total MA'!I99*K99,0)</f>
        <v>5.4988550262678064</v>
      </c>
    </row>
    <row r="100" spans="1:13" x14ac:dyDescent="0.2">
      <c r="A100" s="18" t="s">
        <v>9</v>
      </c>
      <c r="B100" s="229">
        <v>15223</v>
      </c>
      <c r="C100" s="139">
        <v>16848</v>
      </c>
      <c r="D100" s="159">
        <f t="shared" si="11"/>
        <v>10.7</v>
      </c>
      <c r="E100" s="170">
        <f>IFERROR(100/'Skjema total MA'!C100*C100,0)</f>
        <v>6.5232820769386741</v>
      </c>
      <c r="F100" s="229"/>
      <c r="G100" s="139"/>
      <c r="H100" s="159"/>
      <c r="I100" s="170"/>
      <c r="J100" s="288">
        <v>15223</v>
      </c>
      <c r="K100" s="37">
        <v>16848</v>
      </c>
      <c r="L100" s="256">
        <f t="shared" si="14"/>
        <v>10.7</v>
      </c>
      <c r="M100" s="170">
        <f>IFERROR(100/'Skjema total MA'!I100*K100,0)</f>
        <v>6.5232820769386741</v>
      </c>
    </row>
    <row r="101" spans="1:13" x14ac:dyDescent="0.2">
      <c r="A101" s="18" t="s">
        <v>10</v>
      </c>
      <c r="B101" s="229"/>
      <c r="C101" s="139"/>
      <c r="D101" s="159"/>
      <c r="E101" s="170"/>
      <c r="F101" s="293">
        <v>69711</v>
      </c>
      <c r="G101" s="293">
        <v>68002</v>
      </c>
      <c r="H101" s="159">
        <f t="shared" si="12"/>
        <v>-2.5</v>
      </c>
      <c r="I101" s="170">
        <f>IFERROR(100/'Skjema total MA'!F101*G101,0)</f>
        <v>6.7729339559479182</v>
      </c>
      <c r="J101" s="288">
        <v>69711</v>
      </c>
      <c r="K101" s="37">
        <v>68002</v>
      </c>
      <c r="L101" s="256">
        <f t="shared" si="14"/>
        <v>-2.5</v>
      </c>
      <c r="M101" s="170">
        <f>IFERROR(100/'Skjema total MA'!I101*K101,0)</f>
        <v>6.7263930646691543</v>
      </c>
    </row>
    <row r="102" spans="1:13" ht="15.75" x14ac:dyDescent="0.2">
      <c r="A102" s="298" t="s">
        <v>330</v>
      </c>
      <c r="B102" s="282"/>
      <c r="C102" s="282"/>
      <c r="D102" s="159"/>
      <c r="E102" s="237"/>
      <c r="F102" s="282"/>
      <c r="G102" s="282"/>
      <c r="H102" s="159"/>
      <c r="I102" s="237"/>
      <c r="J102" s="291"/>
      <c r="K102" s="291"/>
      <c r="L102" s="159"/>
      <c r="M102" s="159"/>
    </row>
    <row r="103" spans="1:13" x14ac:dyDescent="0.2">
      <c r="A103" s="298" t="s">
        <v>12</v>
      </c>
      <c r="B103" s="230"/>
      <c r="C103" s="290"/>
      <c r="D103" s="159"/>
      <c r="E103" s="237"/>
      <c r="F103" s="282"/>
      <c r="G103" s="282"/>
      <c r="H103" s="159"/>
      <c r="I103" s="237"/>
      <c r="J103" s="291"/>
      <c r="K103" s="291"/>
      <c r="L103" s="159"/>
      <c r="M103" s="159"/>
    </row>
    <row r="104" spans="1:13" x14ac:dyDescent="0.2">
      <c r="A104" s="298" t="s">
        <v>13</v>
      </c>
      <c r="B104" s="230"/>
      <c r="C104" s="290"/>
      <c r="D104" s="159"/>
      <c r="E104" s="237"/>
      <c r="F104" s="282"/>
      <c r="G104" s="282"/>
      <c r="H104" s="159"/>
      <c r="I104" s="237"/>
      <c r="J104" s="291"/>
      <c r="K104" s="291"/>
      <c r="L104" s="159"/>
      <c r="M104" s="159"/>
    </row>
    <row r="105" spans="1:13" ht="15.75" x14ac:dyDescent="0.2">
      <c r="A105" s="298" t="s">
        <v>331</v>
      </c>
      <c r="B105" s="282"/>
      <c r="C105" s="282"/>
      <c r="D105" s="159"/>
      <c r="E105" s="237"/>
      <c r="F105" s="282">
        <v>69711</v>
      </c>
      <c r="G105" s="282">
        <v>68002</v>
      </c>
      <c r="H105" s="159">
        <f t="shared" si="12"/>
        <v>-2.5</v>
      </c>
      <c r="I105" s="237">
        <f>IFERROR(100/'Skjema total MA'!F105*G105,0)</f>
        <v>0</v>
      </c>
      <c r="J105" s="291">
        <v>69711</v>
      </c>
      <c r="K105" s="291">
        <v>68002</v>
      </c>
      <c r="L105" s="159">
        <f t="shared" ref="L105" si="20">IF(J105=0, "    ---- ", IF(ABS(ROUND(100/J105*K105-100,1))&lt;999,ROUND(100/J105*K105-100,1),IF(ROUND(100/J105*K105-100,1)&gt;999,999,-999)))</f>
        <v>-2.5</v>
      </c>
      <c r="M105" s="159">
        <f>IFERROR(100/'Skjema total MA'!I105*K105,0)</f>
        <v>0</v>
      </c>
    </row>
    <row r="106" spans="1:13" x14ac:dyDescent="0.2">
      <c r="A106" s="298" t="s">
        <v>12</v>
      </c>
      <c r="B106" s="230"/>
      <c r="C106" s="290"/>
      <c r="D106" s="159"/>
      <c r="E106" s="237"/>
      <c r="F106" s="282"/>
      <c r="G106" s="282"/>
      <c r="H106" s="159"/>
      <c r="I106" s="237"/>
      <c r="J106" s="291"/>
      <c r="K106" s="291"/>
      <c r="L106" s="159"/>
      <c r="M106" s="159"/>
    </row>
    <row r="107" spans="1:13" x14ac:dyDescent="0.2">
      <c r="A107" s="298" t="s">
        <v>13</v>
      </c>
      <c r="B107" s="230"/>
      <c r="C107" s="290"/>
      <c r="D107" s="159"/>
      <c r="E107" s="237"/>
      <c r="F107" s="282">
        <v>69711</v>
      </c>
      <c r="G107" s="282">
        <v>68002</v>
      </c>
      <c r="H107" s="159">
        <f t="shared" si="12"/>
        <v>-2.5</v>
      </c>
      <c r="I107" s="237">
        <f>IFERROR(100/'Skjema total MA'!F107*G107,0)</f>
        <v>0</v>
      </c>
      <c r="J107" s="291">
        <v>69711</v>
      </c>
      <c r="K107" s="291">
        <v>68002</v>
      </c>
      <c r="L107" s="159">
        <f t="shared" ref="L107" si="21">IF(J107=0, "    ---- ", IF(ABS(ROUND(100/J107*K107-100,1))&lt;999,ROUND(100/J107*K107-100,1),IF(ROUND(100/J107*K107-100,1)&gt;999,999,-999)))</f>
        <v>-2.5</v>
      </c>
      <c r="M107" s="159">
        <f>IFERROR(100/'Skjema total MA'!I107*K107,0)</f>
        <v>0</v>
      </c>
    </row>
    <row r="108" spans="1:13" x14ac:dyDescent="0.2">
      <c r="A108" s="18" t="s">
        <v>33</v>
      </c>
      <c r="B108" s="229"/>
      <c r="C108" s="139"/>
      <c r="D108" s="159"/>
      <c r="E108" s="170"/>
      <c r="F108" s="229"/>
      <c r="G108" s="139"/>
      <c r="H108" s="159"/>
      <c r="I108" s="170"/>
      <c r="J108" s="288"/>
      <c r="K108" s="37"/>
      <c r="L108" s="256"/>
      <c r="M108" s="170"/>
    </row>
    <row r="109" spans="1:13" ht="15.75" x14ac:dyDescent="0.2">
      <c r="A109" s="18" t="s">
        <v>332</v>
      </c>
      <c r="B109" s="229">
        <v>15223</v>
      </c>
      <c r="C109" s="139">
        <v>16848</v>
      </c>
      <c r="D109" s="159">
        <f t="shared" si="11"/>
        <v>10.7</v>
      </c>
      <c r="E109" s="170">
        <f>IFERROR(100/'Skjema total MA'!C109*C109,0)</f>
        <v>6.7643332287444471</v>
      </c>
      <c r="F109" s="293">
        <v>69711</v>
      </c>
      <c r="G109" s="293">
        <v>68002</v>
      </c>
      <c r="H109" s="159">
        <f t="shared" si="12"/>
        <v>-2.5</v>
      </c>
      <c r="I109" s="170">
        <f>IFERROR(100/'Skjema total MA'!F109*G109,0)</f>
        <v>6.7729339559479182</v>
      </c>
      <c r="J109" s="288">
        <v>84934</v>
      </c>
      <c r="K109" s="37">
        <v>84850</v>
      </c>
      <c r="L109" s="256">
        <f t="shared" si="14"/>
        <v>-0.1</v>
      </c>
      <c r="M109" s="170">
        <f>IFERROR(100/'Skjema total MA'!I109*K109,0)</f>
        <v>6.771224437092461</v>
      </c>
    </row>
    <row r="110" spans="1:13" x14ac:dyDescent="0.2">
      <c r="A110" s="18" t="s">
        <v>9</v>
      </c>
      <c r="B110" s="229">
        <v>15223</v>
      </c>
      <c r="C110" s="139">
        <v>16848</v>
      </c>
      <c r="D110" s="159">
        <f t="shared" si="11"/>
        <v>10.7</v>
      </c>
      <c r="E110" s="170">
        <f>IFERROR(100/'Skjema total MA'!C110*C110,0)</f>
        <v>6.9584147786140589</v>
      </c>
      <c r="F110" s="293"/>
      <c r="G110" s="294"/>
      <c r="H110" s="159"/>
      <c r="I110" s="170"/>
      <c r="J110" s="288">
        <v>15223</v>
      </c>
      <c r="K110" s="37">
        <v>16848</v>
      </c>
      <c r="L110" s="256">
        <f t="shared" si="14"/>
        <v>10.7</v>
      </c>
      <c r="M110" s="170">
        <f>IFERROR(100/'Skjema total MA'!I110*K110,0)</f>
        <v>6.9584147786140589</v>
      </c>
    </row>
    <row r="111" spans="1:13" x14ac:dyDescent="0.2">
      <c r="A111" s="18" t="s">
        <v>10</v>
      </c>
      <c r="B111" s="293"/>
      <c r="C111" s="294"/>
      <c r="D111" s="159"/>
      <c r="E111" s="170"/>
      <c r="F111" s="293">
        <v>69711</v>
      </c>
      <c r="G111" s="294">
        <v>68002</v>
      </c>
      <c r="H111" s="159">
        <f t="shared" si="12"/>
        <v>-2.5</v>
      </c>
      <c r="I111" s="170">
        <f>IFERROR(100/'Skjema total MA'!F111*G111,0)</f>
        <v>6.7729339559479182</v>
      </c>
      <c r="J111" s="288">
        <v>69711</v>
      </c>
      <c r="K111" s="37">
        <v>68002</v>
      </c>
      <c r="L111" s="256">
        <f t="shared" si="14"/>
        <v>-2.5</v>
      </c>
      <c r="M111" s="170">
        <f>IFERROR(100/'Skjema total MA'!I111*K111,0)</f>
        <v>6.7263930646691543</v>
      </c>
    </row>
    <row r="112" spans="1:13" ht="15.75" x14ac:dyDescent="0.2">
      <c r="A112" s="298" t="s">
        <v>330</v>
      </c>
      <c r="B112" s="282"/>
      <c r="C112" s="282"/>
      <c r="D112" s="159"/>
      <c r="E112" s="237"/>
      <c r="F112" s="282"/>
      <c r="G112" s="282"/>
      <c r="H112" s="159"/>
      <c r="I112" s="237"/>
      <c r="J112" s="291"/>
      <c r="K112" s="291"/>
      <c r="L112" s="159"/>
      <c r="M112" s="159"/>
    </row>
    <row r="113" spans="1:13" x14ac:dyDescent="0.2">
      <c r="A113" s="298" t="s">
        <v>12</v>
      </c>
      <c r="B113" s="230"/>
      <c r="C113" s="290"/>
      <c r="D113" s="159"/>
      <c r="E113" s="237"/>
      <c r="F113" s="282"/>
      <c r="G113" s="282"/>
      <c r="H113" s="159"/>
      <c r="I113" s="237"/>
      <c r="J113" s="291"/>
      <c r="K113" s="291"/>
      <c r="L113" s="159"/>
      <c r="M113" s="159"/>
    </row>
    <row r="114" spans="1:13" x14ac:dyDescent="0.2">
      <c r="A114" s="298" t="s">
        <v>13</v>
      </c>
      <c r="B114" s="230"/>
      <c r="C114" s="290"/>
      <c r="D114" s="159"/>
      <c r="E114" s="237"/>
      <c r="F114" s="282"/>
      <c r="G114" s="282"/>
      <c r="H114" s="159"/>
      <c r="I114" s="237"/>
      <c r="J114" s="291"/>
      <c r="K114" s="291"/>
      <c r="L114" s="159"/>
      <c r="M114" s="159"/>
    </row>
    <row r="115" spans="1:13" ht="15.75" x14ac:dyDescent="0.2">
      <c r="A115" s="298" t="s">
        <v>331</v>
      </c>
      <c r="B115" s="282"/>
      <c r="C115" s="282"/>
      <c r="D115" s="159"/>
      <c r="E115" s="237"/>
      <c r="F115" s="282">
        <v>69711</v>
      </c>
      <c r="G115" s="282">
        <v>68002</v>
      </c>
      <c r="H115" s="159">
        <f t="shared" si="12"/>
        <v>-2.5</v>
      </c>
      <c r="I115" s="237">
        <f>IFERROR(100/'Skjema total MA'!F115*G115,0)</f>
        <v>0</v>
      </c>
      <c r="J115" s="291">
        <v>69711</v>
      </c>
      <c r="K115" s="291">
        <v>68002</v>
      </c>
      <c r="L115" s="159">
        <f t="shared" ref="L115" si="22">IF(J115=0, "    ---- ", IF(ABS(ROUND(100/J115*K115-100,1))&lt;999,ROUND(100/J115*K115-100,1),IF(ROUND(100/J115*K115-100,1)&gt;999,999,-999)))</f>
        <v>-2.5</v>
      </c>
      <c r="M115" s="159">
        <f>IFERROR(100/'Skjema total MA'!I115*K115,0)</f>
        <v>0</v>
      </c>
    </row>
    <row r="116" spans="1:13" x14ac:dyDescent="0.2">
      <c r="A116" s="298" t="s">
        <v>12</v>
      </c>
      <c r="B116" s="230"/>
      <c r="C116" s="290"/>
      <c r="D116" s="159"/>
      <c r="E116" s="237"/>
      <c r="F116" s="282"/>
      <c r="G116" s="282"/>
      <c r="H116" s="159"/>
      <c r="I116" s="237"/>
      <c r="J116" s="291"/>
      <c r="K116" s="291"/>
      <c r="L116" s="159"/>
      <c r="M116" s="159"/>
    </row>
    <row r="117" spans="1:13" x14ac:dyDescent="0.2">
      <c r="A117" s="298" t="s">
        <v>13</v>
      </c>
      <c r="B117" s="232"/>
      <c r="C117" s="297"/>
      <c r="D117" s="159"/>
      <c r="E117" s="237"/>
      <c r="F117" s="282">
        <v>69711</v>
      </c>
      <c r="G117" s="282">
        <v>68002</v>
      </c>
      <c r="H117" s="159">
        <f t="shared" si="12"/>
        <v>-2.5</v>
      </c>
      <c r="I117" s="237">
        <f>IFERROR(100/'Skjema total MA'!F117*G117,0)</f>
        <v>0</v>
      </c>
      <c r="J117" s="291">
        <v>69711</v>
      </c>
      <c r="K117" s="291">
        <v>68002</v>
      </c>
      <c r="L117" s="159">
        <f t="shared" ref="L117" si="23">IF(J117=0, "    ---- ", IF(ABS(ROUND(100/J117*K117-100,1))&lt;999,ROUND(100/J117*K117-100,1),IF(ROUND(100/J117*K117-100,1)&gt;999,999,-999)))</f>
        <v>-2.5</v>
      </c>
      <c r="M117" s="159">
        <f>IFERROR(100/'Skjema total MA'!I117*K117,0)</f>
        <v>0</v>
      </c>
    </row>
    <row r="118" spans="1:13" ht="15.75" x14ac:dyDescent="0.2">
      <c r="A118" s="18" t="s">
        <v>342</v>
      </c>
      <c r="B118" s="229"/>
      <c r="C118" s="139"/>
      <c r="D118" s="159"/>
      <c r="E118" s="170"/>
      <c r="F118" s="229"/>
      <c r="G118" s="139"/>
      <c r="H118" s="159"/>
      <c r="I118" s="170"/>
      <c r="J118" s="288"/>
      <c r="K118" s="37"/>
      <c r="L118" s="256"/>
      <c r="M118" s="170"/>
    </row>
    <row r="119" spans="1:13" ht="15.75" x14ac:dyDescent="0.2">
      <c r="A119" s="11" t="s">
        <v>28</v>
      </c>
      <c r="B119" s="355">
        <v>4118747</v>
      </c>
      <c r="C119" s="355">
        <v>4419972</v>
      </c>
      <c r="D119" s="159">
        <f t="shared" si="11"/>
        <v>7.3</v>
      </c>
      <c r="E119" s="170">
        <f>IFERROR(100/'Skjema total MA'!C119*C119,0)</f>
        <v>1.1850356329863103</v>
      </c>
      <c r="F119" s="354">
        <v>13252747</v>
      </c>
      <c r="G119" s="354">
        <v>15882147</v>
      </c>
      <c r="H119" s="159">
        <f t="shared" si="12"/>
        <v>19.8</v>
      </c>
      <c r="I119" s="170">
        <f>IFERROR(100/'Skjema total MA'!F119*G119,0)</f>
        <v>8.9360305078528732</v>
      </c>
      <c r="J119" s="311">
        <v>17371494</v>
      </c>
      <c r="K119" s="231">
        <v>20302119</v>
      </c>
      <c r="L119" s="256">
        <f t="shared" si="14"/>
        <v>16.899999999999999</v>
      </c>
      <c r="M119" s="170">
        <f>IFERROR(100/'Skjema total MA'!I119*K119,0)</f>
        <v>3.6865101542998504</v>
      </c>
    </row>
    <row r="120" spans="1:13" x14ac:dyDescent="0.2">
      <c r="A120" s="18" t="s">
        <v>9</v>
      </c>
      <c r="B120" s="229">
        <v>4118747</v>
      </c>
      <c r="C120" s="139">
        <v>4419972</v>
      </c>
      <c r="D120" s="159">
        <f t="shared" si="11"/>
        <v>7.3</v>
      </c>
      <c r="E120" s="170">
        <f>IFERROR(100/'Skjema total MA'!C120*C120,0)</f>
        <v>1.1926223639531401</v>
      </c>
      <c r="F120" s="229"/>
      <c r="G120" s="139"/>
      <c r="H120" s="159"/>
      <c r="I120" s="170"/>
      <c r="J120" s="288">
        <v>4118747</v>
      </c>
      <c r="K120" s="37">
        <v>4419972</v>
      </c>
      <c r="L120" s="256">
        <f t="shared" si="14"/>
        <v>7.3</v>
      </c>
      <c r="M120" s="170">
        <f>IFERROR(100/'Skjema total MA'!I120*K120,0)</f>
        <v>1.1926223639531401</v>
      </c>
    </row>
    <row r="121" spans="1:13" x14ac:dyDescent="0.2">
      <c r="A121" s="18" t="s">
        <v>10</v>
      </c>
      <c r="B121" s="229"/>
      <c r="C121" s="139"/>
      <c r="D121" s="159"/>
      <c r="E121" s="170"/>
      <c r="F121" s="229">
        <v>13252747</v>
      </c>
      <c r="G121" s="139">
        <v>15882147</v>
      </c>
      <c r="H121" s="159">
        <f t="shared" si="12"/>
        <v>19.8</v>
      </c>
      <c r="I121" s="170">
        <f>IFERROR(100/'Skjema total MA'!F121*G121,0)</f>
        <v>8.9468599949173147</v>
      </c>
      <c r="J121" s="288">
        <v>13252747</v>
      </c>
      <c r="K121" s="37">
        <v>15882147</v>
      </c>
      <c r="L121" s="256">
        <f t="shared" si="14"/>
        <v>19.8</v>
      </c>
      <c r="M121" s="170">
        <f>IFERROR(100/'Skjema total MA'!I121*K121,0)</f>
        <v>8.8337403843690403</v>
      </c>
    </row>
    <row r="122" spans="1:13" ht="15.75" x14ac:dyDescent="0.2">
      <c r="A122" s="298" t="s">
        <v>330</v>
      </c>
      <c r="B122" s="282"/>
      <c r="C122" s="282"/>
      <c r="D122" s="159"/>
      <c r="E122" s="237"/>
      <c r="F122" s="282"/>
      <c r="G122" s="282"/>
      <c r="H122" s="159"/>
      <c r="I122" s="237"/>
      <c r="J122" s="291"/>
      <c r="K122" s="291"/>
      <c r="L122" s="159"/>
      <c r="M122" s="159"/>
    </row>
    <row r="123" spans="1:13" x14ac:dyDescent="0.2">
      <c r="A123" s="298" t="s">
        <v>12</v>
      </c>
      <c r="B123" s="230"/>
      <c r="C123" s="290"/>
      <c r="D123" s="159"/>
      <c r="E123" s="237"/>
      <c r="F123" s="282"/>
      <c r="G123" s="282"/>
      <c r="H123" s="159"/>
      <c r="I123" s="237"/>
      <c r="J123" s="291"/>
      <c r="K123" s="291"/>
      <c r="L123" s="159"/>
      <c r="M123" s="159"/>
    </row>
    <row r="124" spans="1:13" x14ac:dyDescent="0.2">
      <c r="A124" s="298" t="s">
        <v>13</v>
      </c>
      <c r="B124" s="230"/>
      <c r="C124" s="290"/>
      <c r="D124" s="159"/>
      <c r="E124" s="237"/>
      <c r="F124" s="282"/>
      <c r="G124" s="282"/>
      <c r="H124" s="159"/>
      <c r="I124" s="237"/>
      <c r="J124" s="291"/>
      <c r="K124" s="291"/>
      <c r="L124" s="159"/>
      <c r="M124" s="159"/>
    </row>
    <row r="125" spans="1:13" ht="15.75" x14ac:dyDescent="0.2">
      <c r="A125" s="298" t="s">
        <v>331</v>
      </c>
      <c r="B125" s="282"/>
      <c r="C125" s="282"/>
      <c r="D125" s="159"/>
      <c r="E125" s="237"/>
      <c r="F125" s="282">
        <v>13252747</v>
      </c>
      <c r="G125" s="282">
        <v>15882147</v>
      </c>
      <c r="H125" s="159">
        <f t="shared" si="12"/>
        <v>19.8</v>
      </c>
      <c r="I125" s="237">
        <f>IFERROR(100/'Skjema total MA'!F125*G125,0)</f>
        <v>0</v>
      </c>
      <c r="J125" s="291">
        <v>13252747</v>
      </c>
      <c r="K125" s="291">
        <v>15882147</v>
      </c>
      <c r="L125" s="159">
        <f t="shared" ref="L125" si="24">IF(J125=0, "    ---- ", IF(ABS(ROUND(100/J125*K125-100,1))&lt;999,ROUND(100/J125*K125-100,1),IF(ROUND(100/J125*K125-100,1)&gt;999,999,-999)))</f>
        <v>19.8</v>
      </c>
      <c r="M125" s="159">
        <f>IFERROR(100/'Skjema total MA'!I125*K125,0)</f>
        <v>0</v>
      </c>
    </row>
    <row r="126" spans="1:13" x14ac:dyDescent="0.2">
      <c r="A126" s="298" t="s">
        <v>12</v>
      </c>
      <c r="B126" s="230"/>
      <c r="C126" s="290"/>
      <c r="D126" s="159"/>
      <c r="E126" s="237"/>
      <c r="F126" s="282"/>
      <c r="G126" s="282"/>
      <c r="H126" s="159"/>
      <c r="I126" s="237"/>
      <c r="J126" s="291"/>
      <c r="K126" s="291"/>
      <c r="L126" s="159"/>
      <c r="M126" s="159"/>
    </row>
    <row r="127" spans="1:13" x14ac:dyDescent="0.2">
      <c r="A127" s="298" t="s">
        <v>13</v>
      </c>
      <c r="B127" s="230"/>
      <c r="C127" s="290"/>
      <c r="D127" s="159"/>
      <c r="E127" s="237"/>
      <c r="F127" s="282">
        <v>13252747</v>
      </c>
      <c r="G127" s="282">
        <v>15882147</v>
      </c>
      <c r="H127" s="159">
        <f t="shared" si="12"/>
        <v>19.8</v>
      </c>
      <c r="I127" s="237">
        <f>IFERROR(100/'Skjema total MA'!F127*G127,0)</f>
        <v>0</v>
      </c>
      <c r="J127" s="291">
        <v>13252747</v>
      </c>
      <c r="K127" s="291">
        <v>15882147</v>
      </c>
      <c r="L127" s="159">
        <f t="shared" ref="L127" si="25">IF(J127=0, "    ---- ", IF(ABS(ROUND(100/J127*K127-100,1))&lt;999,ROUND(100/J127*K127-100,1),IF(ROUND(100/J127*K127-100,1)&gt;999,999,-999)))</f>
        <v>19.8</v>
      </c>
      <c r="M127" s="159">
        <f>IFERROR(100/'Skjema total MA'!I127*K127,0)</f>
        <v>0</v>
      </c>
    </row>
    <row r="128" spans="1:13" x14ac:dyDescent="0.2">
      <c r="A128" s="18" t="s">
        <v>34</v>
      </c>
      <c r="B128" s="229"/>
      <c r="C128" s="139"/>
      <c r="D128" s="159"/>
      <c r="E128" s="170"/>
      <c r="F128" s="229"/>
      <c r="G128" s="139"/>
      <c r="H128" s="159"/>
      <c r="I128" s="170"/>
      <c r="J128" s="288"/>
      <c r="K128" s="37"/>
      <c r="L128" s="256"/>
      <c r="M128" s="170"/>
    </row>
    <row r="129" spans="1:13" ht="15.75" x14ac:dyDescent="0.2">
      <c r="A129" s="18" t="s">
        <v>332</v>
      </c>
      <c r="B129" s="229">
        <v>4118747</v>
      </c>
      <c r="C129" s="229">
        <v>4419972</v>
      </c>
      <c r="D129" s="159">
        <f t="shared" si="11"/>
        <v>7.3</v>
      </c>
      <c r="E129" s="170">
        <f>IFERROR(100/'Skjema total MA'!C129*C129,0)</f>
        <v>1.2009206932867256</v>
      </c>
      <c r="F129" s="293">
        <v>13252747</v>
      </c>
      <c r="G129" s="293">
        <v>15882147</v>
      </c>
      <c r="H129" s="159">
        <f t="shared" si="12"/>
        <v>19.8</v>
      </c>
      <c r="I129" s="170">
        <f>IFERROR(100/'Skjema total MA'!F129*G129,0)</f>
        <v>8.9663184347498497</v>
      </c>
      <c r="J129" s="288">
        <v>17371494</v>
      </c>
      <c r="K129" s="37">
        <v>20302119</v>
      </c>
      <c r="L129" s="256">
        <f t="shared" si="14"/>
        <v>16.899999999999999</v>
      </c>
      <c r="M129" s="170">
        <f>IFERROR(100/'Skjema total MA'!I129*K129,0)</f>
        <v>3.7239308129905782</v>
      </c>
    </row>
    <row r="130" spans="1:13" x14ac:dyDescent="0.2">
      <c r="A130" s="18" t="s">
        <v>9</v>
      </c>
      <c r="B130" s="293">
        <v>4118747</v>
      </c>
      <c r="C130" s="294">
        <v>4419972</v>
      </c>
      <c r="D130" s="159">
        <f t="shared" si="11"/>
        <v>7.3</v>
      </c>
      <c r="E130" s="170">
        <f>IFERROR(100/'Skjema total MA'!C130*C130,0)</f>
        <v>1.208384005106526</v>
      </c>
      <c r="F130" s="229"/>
      <c r="G130" s="139"/>
      <c r="H130" s="159"/>
      <c r="I130" s="170"/>
      <c r="J130" s="288">
        <v>4118747</v>
      </c>
      <c r="K130" s="37">
        <v>4419972</v>
      </c>
      <c r="L130" s="256">
        <f t="shared" si="14"/>
        <v>7.3</v>
      </c>
      <c r="M130" s="170">
        <f>IFERROR(100/'Skjema total MA'!I130*K130,0)</f>
        <v>1.208384005106526</v>
      </c>
    </row>
    <row r="131" spans="1:13" x14ac:dyDescent="0.2">
      <c r="A131" s="18" t="s">
        <v>10</v>
      </c>
      <c r="B131" s="293"/>
      <c r="C131" s="294"/>
      <c r="D131" s="159"/>
      <c r="E131" s="170"/>
      <c r="F131" s="229">
        <v>13252747</v>
      </c>
      <c r="G131" s="229">
        <v>15882147</v>
      </c>
      <c r="H131" s="159">
        <f t="shared" si="12"/>
        <v>19.8</v>
      </c>
      <c r="I131" s="170">
        <f>IFERROR(100/'Skjema total MA'!F131*G131,0)</f>
        <v>8.9663184347498497</v>
      </c>
      <c r="J131" s="288">
        <v>13252747</v>
      </c>
      <c r="K131" s="37">
        <v>15882147</v>
      </c>
      <c r="L131" s="256">
        <f t="shared" si="14"/>
        <v>19.8</v>
      </c>
      <c r="M131" s="170">
        <f>IFERROR(100/'Skjema total MA'!I131*K131,0)</f>
        <v>8.8527093756624069</v>
      </c>
    </row>
    <row r="132" spans="1:13" ht="15.75" x14ac:dyDescent="0.2">
      <c r="A132" s="298" t="s">
        <v>330</v>
      </c>
      <c r="B132" s="282"/>
      <c r="C132" s="282"/>
      <c r="D132" s="159"/>
      <c r="E132" s="237"/>
      <c r="F132" s="282"/>
      <c r="G132" s="282"/>
      <c r="H132" s="159"/>
      <c r="I132" s="237"/>
      <c r="J132" s="291"/>
      <c r="K132" s="291"/>
      <c r="L132" s="159"/>
      <c r="M132" s="159"/>
    </row>
    <row r="133" spans="1:13" x14ac:dyDescent="0.2">
      <c r="A133" s="298" t="s">
        <v>12</v>
      </c>
      <c r="B133" s="230"/>
      <c r="C133" s="290"/>
      <c r="D133" s="159"/>
      <c r="E133" s="237"/>
      <c r="F133" s="282"/>
      <c r="G133" s="282"/>
      <c r="H133" s="159"/>
      <c r="I133" s="237"/>
      <c r="J133" s="291"/>
      <c r="K133" s="291"/>
      <c r="L133" s="159"/>
      <c r="M133" s="159"/>
    </row>
    <row r="134" spans="1:13" x14ac:dyDescent="0.2">
      <c r="A134" s="298" t="s">
        <v>13</v>
      </c>
      <c r="B134" s="230"/>
      <c r="C134" s="290"/>
      <c r="D134" s="159"/>
      <c r="E134" s="237"/>
      <c r="F134" s="282"/>
      <c r="G134" s="282"/>
      <c r="H134" s="159"/>
      <c r="I134" s="237"/>
      <c r="J134" s="291"/>
      <c r="K134" s="291"/>
      <c r="L134" s="159"/>
      <c r="M134" s="159"/>
    </row>
    <row r="135" spans="1:13" ht="15.75" x14ac:dyDescent="0.2">
      <c r="A135" s="298" t="s">
        <v>331</v>
      </c>
      <c r="B135" s="282"/>
      <c r="C135" s="282"/>
      <c r="D135" s="159"/>
      <c r="E135" s="237"/>
      <c r="F135" s="282">
        <v>13252747</v>
      </c>
      <c r="G135" s="282">
        <v>15882147</v>
      </c>
      <c r="H135" s="159">
        <f t="shared" si="12"/>
        <v>19.8</v>
      </c>
      <c r="I135" s="237">
        <f>IFERROR(100/'Skjema total MA'!F135*G135,0)</f>
        <v>0</v>
      </c>
      <c r="J135" s="291">
        <v>13252747</v>
      </c>
      <c r="K135" s="291">
        <v>15882147</v>
      </c>
      <c r="L135" s="159">
        <f t="shared" ref="L135" si="26">IF(J135=0, "    ---- ", IF(ABS(ROUND(100/J135*K135-100,1))&lt;999,ROUND(100/J135*K135-100,1),IF(ROUND(100/J135*K135-100,1)&gt;999,999,-999)))</f>
        <v>19.8</v>
      </c>
      <c r="M135" s="159">
        <f>IFERROR(100/'Skjema total MA'!I135*K135,0)</f>
        <v>0</v>
      </c>
    </row>
    <row r="136" spans="1:13" x14ac:dyDescent="0.2">
      <c r="A136" s="298" t="s">
        <v>12</v>
      </c>
      <c r="B136" s="230"/>
      <c r="C136" s="290"/>
      <c r="D136" s="159"/>
      <c r="E136" s="237"/>
      <c r="F136" s="282"/>
      <c r="G136" s="282"/>
      <c r="H136" s="159"/>
      <c r="I136" s="237"/>
      <c r="J136" s="291"/>
      <c r="K136" s="291"/>
      <c r="L136" s="159"/>
      <c r="M136" s="159"/>
    </row>
    <row r="137" spans="1:13" x14ac:dyDescent="0.2">
      <c r="A137" s="298" t="s">
        <v>13</v>
      </c>
      <c r="B137" s="230"/>
      <c r="C137" s="290"/>
      <c r="D137" s="159"/>
      <c r="E137" s="237"/>
      <c r="F137" s="282">
        <v>13252747</v>
      </c>
      <c r="G137" s="282">
        <v>15882147</v>
      </c>
      <c r="H137" s="159">
        <f t="shared" si="12"/>
        <v>19.8</v>
      </c>
      <c r="I137" s="237">
        <f>IFERROR(100/'Skjema total MA'!F137*G137,0)</f>
        <v>0</v>
      </c>
      <c r="J137" s="291">
        <v>13252747</v>
      </c>
      <c r="K137" s="291">
        <v>15882147</v>
      </c>
      <c r="L137" s="159">
        <f t="shared" ref="L137" si="27">IF(J137=0, "    ---- ", IF(ABS(ROUND(100/J137*K137-100,1))&lt;999,ROUND(100/J137*K137-100,1),IF(ROUND(100/J137*K137-100,1)&gt;999,999,-999)))</f>
        <v>19.8</v>
      </c>
      <c r="M137" s="159">
        <f>IFERROR(100/'Skjema total MA'!I137*K137,0)</f>
        <v>0</v>
      </c>
    </row>
    <row r="138" spans="1:13" ht="15.75" x14ac:dyDescent="0.2">
      <c r="A138" s="18" t="s">
        <v>342</v>
      </c>
      <c r="B138" s="229"/>
      <c r="C138" s="139"/>
      <c r="D138" s="159"/>
      <c r="E138" s="170"/>
      <c r="F138" s="229"/>
      <c r="G138" s="139"/>
      <c r="H138" s="159"/>
      <c r="I138" s="170"/>
      <c r="J138" s="288"/>
      <c r="K138" s="37"/>
      <c r="L138" s="256"/>
      <c r="M138" s="170"/>
    </row>
    <row r="139" spans="1:13" ht="15.75" x14ac:dyDescent="0.2">
      <c r="A139" s="18" t="s">
        <v>343</v>
      </c>
      <c r="B139" s="229">
        <v>3352008.8224800001</v>
      </c>
      <c r="C139" s="229">
        <v>3457092</v>
      </c>
      <c r="D139" s="159">
        <f t="shared" si="11"/>
        <v>3.1</v>
      </c>
      <c r="E139" s="170">
        <f>IFERROR(100/'Skjema total MA'!C139*C139,0)</f>
        <v>1.2829882090173748</v>
      </c>
      <c r="F139" s="229"/>
      <c r="G139" s="229"/>
      <c r="H139" s="159"/>
      <c r="I139" s="170"/>
      <c r="J139" s="288">
        <v>3352008.8224800001</v>
      </c>
      <c r="K139" s="37">
        <v>3457092</v>
      </c>
      <c r="L139" s="256">
        <f t="shared" si="14"/>
        <v>3.1</v>
      </c>
      <c r="M139" s="170">
        <f>IFERROR(100/'Skjema total MA'!I139*K139,0)</f>
        <v>1.2558641439213001</v>
      </c>
    </row>
    <row r="140" spans="1:13" ht="15.75" x14ac:dyDescent="0.2">
      <c r="A140" s="18" t="s">
        <v>334</v>
      </c>
      <c r="B140" s="229"/>
      <c r="C140" s="229"/>
      <c r="D140" s="159"/>
      <c r="E140" s="170"/>
      <c r="F140" s="229">
        <v>4410799.2220000001</v>
      </c>
      <c r="G140" s="229">
        <v>5284724</v>
      </c>
      <c r="H140" s="159">
        <f t="shared" si="12"/>
        <v>19.8</v>
      </c>
      <c r="I140" s="170">
        <f>IFERROR(100/'Skjema total MA'!F140*G140,0)</f>
        <v>9.4739611658340586</v>
      </c>
      <c r="J140" s="288">
        <v>4410799.2220000001</v>
      </c>
      <c r="K140" s="37">
        <v>5284724</v>
      </c>
      <c r="L140" s="256">
        <f t="shared" si="14"/>
        <v>19.8</v>
      </c>
      <c r="M140" s="170">
        <f>IFERROR(100/'Skjema total MA'!I140*K140,0)</f>
        <v>9.3488095587742439</v>
      </c>
    </row>
    <row r="141" spans="1:13" ht="15.75" x14ac:dyDescent="0.2">
      <c r="A141" s="18" t="s">
        <v>335</v>
      </c>
      <c r="B141" s="229"/>
      <c r="C141" s="229"/>
      <c r="D141" s="159"/>
      <c r="E141" s="170"/>
      <c r="F141" s="229"/>
      <c r="G141" s="229"/>
      <c r="H141" s="159"/>
      <c r="I141" s="170"/>
      <c r="J141" s="288"/>
      <c r="K141" s="37"/>
      <c r="L141" s="256"/>
      <c r="M141" s="170"/>
    </row>
    <row r="142" spans="1:13" ht="15.75" x14ac:dyDescent="0.2">
      <c r="A142" s="11" t="s">
        <v>27</v>
      </c>
      <c r="B142" s="310">
        <v>261021.51800000001</v>
      </c>
      <c r="C142" s="152">
        <v>66453</v>
      </c>
      <c r="D142" s="159">
        <f t="shared" si="11"/>
        <v>-74.5</v>
      </c>
      <c r="E142" s="170">
        <f>IFERROR(100/'Skjema total MA'!C142*C142,0)</f>
        <v>5.3639354652495426</v>
      </c>
      <c r="F142" s="310">
        <v>651731.32299999997</v>
      </c>
      <c r="G142" s="152">
        <v>1020537</v>
      </c>
      <c r="H142" s="159">
        <f t="shared" si="12"/>
        <v>56.6</v>
      </c>
      <c r="I142" s="170">
        <f>IFERROR(100/'Skjema total MA'!F142*G142,0)</f>
        <v>16.823516711025832</v>
      </c>
      <c r="J142" s="311">
        <v>912752.84100000001</v>
      </c>
      <c r="K142" s="231">
        <v>1086990</v>
      </c>
      <c r="L142" s="256">
        <f t="shared" si="14"/>
        <v>19.100000000000001</v>
      </c>
      <c r="M142" s="170">
        <f>IFERROR(100/'Skjema total MA'!I142*K142,0)</f>
        <v>14.88004393880729</v>
      </c>
    </row>
    <row r="143" spans="1:13" x14ac:dyDescent="0.2">
      <c r="A143" s="18" t="s">
        <v>9</v>
      </c>
      <c r="B143" s="229">
        <v>261021.51800000001</v>
      </c>
      <c r="C143" s="139">
        <v>66453</v>
      </c>
      <c r="D143" s="159">
        <f t="shared" ref="D143:D151" si="28">IF(B143=0, "    ---- ", IF(ABS(ROUND(100/B143*C143-100,1))&lt;999,ROUND(100/B143*C143-100,1),IF(ROUND(100/B143*C143-100,1)&gt;999,999,-999)))</f>
        <v>-74.5</v>
      </c>
      <c r="E143" s="170">
        <f>IFERROR(100/'Skjema total MA'!C143*C143,0)</f>
        <v>5.3822011487783898</v>
      </c>
      <c r="F143" s="229"/>
      <c r="G143" s="139"/>
      <c r="H143" s="159"/>
      <c r="I143" s="170"/>
      <c r="J143" s="288">
        <v>261021.51800000001</v>
      </c>
      <c r="K143" s="37">
        <v>66453</v>
      </c>
      <c r="L143" s="256">
        <f t="shared" ref="L143:L156" si="29">IF(J143=0, "    ---- ", IF(ABS(ROUND(100/J143*K143-100,1))&lt;999,ROUND(100/J143*K143-100,1),IF(ROUND(100/J143*K143-100,1)&gt;999,999,-999)))</f>
        <v>-74.5</v>
      </c>
      <c r="M143" s="170">
        <f>IFERROR(100/'Skjema total MA'!I143*K143,0)</f>
        <v>5.3822011487783898</v>
      </c>
    </row>
    <row r="144" spans="1:13" x14ac:dyDescent="0.2">
      <c r="A144" s="18" t="s">
        <v>10</v>
      </c>
      <c r="B144" s="229"/>
      <c r="C144" s="139"/>
      <c r="D144" s="159"/>
      <c r="E144" s="170"/>
      <c r="F144" s="229">
        <v>651731.32299999997</v>
      </c>
      <c r="G144" s="139">
        <v>1020537</v>
      </c>
      <c r="H144" s="159">
        <f t="shared" ref="H144:H156" si="30">IF(F144=0, "    ---- ", IF(ABS(ROUND(100/F144*G144-100,1))&lt;999,ROUND(100/F144*G144-100,1),IF(ROUND(100/F144*G144-100,1)&gt;999,999,-999)))</f>
        <v>56.6</v>
      </c>
      <c r="I144" s="170">
        <f>IFERROR(100/'Skjema total MA'!F144*G144,0)</f>
        <v>16.823516711025832</v>
      </c>
      <c r="J144" s="288">
        <v>651731.32299999997</v>
      </c>
      <c r="K144" s="37">
        <v>1020537</v>
      </c>
      <c r="L144" s="256">
        <f t="shared" si="29"/>
        <v>56.6</v>
      </c>
      <c r="M144" s="170">
        <f>IFERROR(100/'Skjema total MA'!I144*K144,0)</f>
        <v>16.811864429735248</v>
      </c>
    </row>
    <row r="145" spans="1:14" x14ac:dyDescent="0.2">
      <c r="A145" s="18" t="s">
        <v>34</v>
      </c>
      <c r="B145" s="229"/>
      <c r="C145" s="139"/>
      <c r="D145" s="159"/>
      <c r="E145" s="170"/>
      <c r="F145" s="229"/>
      <c r="G145" s="139"/>
      <c r="H145" s="159"/>
      <c r="I145" s="170"/>
      <c r="J145" s="288"/>
      <c r="K145" s="37"/>
      <c r="L145" s="256"/>
      <c r="M145" s="170"/>
    </row>
    <row r="146" spans="1:14" x14ac:dyDescent="0.2">
      <c r="A146" s="298" t="s">
        <v>15</v>
      </c>
      <c r="B146" s="282"/>
      <c r="C146" s="282"/>
      <c r="D146" s="159"/>
      <c r="E146" s="237"/>
      <c r="F146" s="282"/>
      <c r="G146" s="282"/>
      <c r="H146" s="159"/>
      <c r="I146" s="237"/>
      <c r="J146" s="291"/>
      <c r="K146" s="291"/>
      <c r="L146" s="159"/>
      <c r="M146" s="159"/>
    </row>
    <row r="147" spans="1:14" ht="15.75" x14ac:dyDescent="0.2">
      <c r="A147" s="18" t="s">
        <v>344</v>
      </c>
      <c r="B147" s="229">
        <v>208274.337</v>
      </c>
      <c r="C147" s="229">
        <v>9977</v>
      </c>
      <c r="D147" s="159">
        <f t="shared" si="28"/>
        <v>-95.2</v>
      </c>
      <c r="E147" s="170">
        <f>IFERROR(100/'Skjema total MA'!C147*C147,0)</f>
        <v>1.7893515794790968</v>
      </c>
      <c r="F147" s="229"/>
      <c r="G147" s="229"/>
      <c r="H147" s="159"/>
      <c r="I147" s="170"/>
      <c r="J147" s="288">
        <v>208274.337</v>
      </c>
      <c r="K147" s="37">
        <v>9977</v>
      </c>
      <c r="L147" s="256">
        <f t="shared" si="29"/>
        <v>-95.2</v>
      </c>
      <c r="M147" s="170">
        <f>IFERROR(100/'Skjema total MA'!I147*K147,0)</f>
        <v>1.6032610982906701</v>
      </c>
    </row>
    <row r="148" spans="1:14" ht="15.75" x14ac:dyDescent="0.2">
      <c r="A148" s="18" t="s">
        <v>336</v>
      </c>
      <c r="B148" s="229"/>
      <c r="C148" s="229"/>
      <c r="D148" s="159"/>
      <c r="E148" s="170"/>
      <c r="F148" s="229">
        <v>62457.286999999997</v>
      </c>
      <c r="G148" s="229">
        <v>105236</v>
      </c>
      <c r="H148" s="159">
        <f t="shared" si="30"/>
        <v>68.5</v>
      </c>
      <c r="I148" s="170">
        <f>IFERROR(100/'Skjema total MA'!F148*G148,0)</f>
        <v>9.3397558057808592</v>
      </c>
      <c r="J148" s="288">
        <v>62457.286999999997</v>
      </c>
      <c r="K148" s="37">
        <v>105236</v>
      </c>
      <c r="L148" s="256">
        <f t="shared" si="29"/>
        <v>68.5</v>
      </c>
      <c r="M148" s="170">
        <f>IFERROR(100/'Skjema total MA'!I148*K148,0)</f>
        <v>9.3396406137561812</v>
      </c>
    </row>
    <row r="149" spans="1:14" ht="15.75" x14ac:dyDescent="0.2">
      <c r="A149" s="18" t="s">
        <v>335</v>
      </c>
      <c r="B149" s="229"/>
      <c r="C149" s="229"/>
      <c r="D149" s="159"/>
      <c r="E149" s="170"/>
      <c r="F149" s="229"/>
      <c r="G149" s="229"/>
      <c r="H149" s="159"/>
      <c r="I149" s="170"/>
      <c r="J149" s="288"/>
      <c r="K149" s="37"/>
      <c r="L149" s="256"/>
      <c r="M149" s="170"/>
    </row>
    <row r="150" spans="1:14" ht="15.75" x14ac:dyDescent="0.2">
      <c r="A150" s="11" t="s">
        <v>26</v>
      </c>
      <c r="B150" s="310">
        <v>41981.103000000003</v>
      </c>
      <c r="C150" s="152">
        <v>45931</v>
      </c>
      <c r="D150" s="159">
        <f t="shared" si="28"/>
        <v>9.4</v>
      </c>
      <c r="E150" s="170">
        <f>IFERROR(100/'Skjema total MA'!C150*C150,0)</f>
        <v>5.2614243935562524</v>
      </c>
      <c r="F150" s="310">
        <v>742677.39399999997</v>
      </c>
      <c r="G150" s="152">
        <v>643263</v>
      </c>
      <c r="H150" s="159">
        <f t="shared" si="30"/>
        <v>-13.4</v>
      </c>
      <c r="I150" s="170">
        <f>IFERROR(100/'Skjema total MA'!F150*G150,0)</f>
        <v>10.370125817371369</v>
      </c>
      <c r="J150" s="311">
        <v>784658.49699999997</v>
      </c>
      <c r="K150" s="231">
        <v>689194</v>
      </c>
      <c r="L150" s="256">
        <f t="shared" si="29"/>
        <v>-12.2</v>
      </c>
      <c r="M150" s="170">
        <f>IFERROR(100/'Skjema total MA'!I150*K150,0)</f>
        <v>9.7398592353916182</v>
      </c>
    </row>
    <row r="151" spans="1:14" x14ac:dyDescent="0.2">
      <c r="A151" s="18" t="s">
        <v>9</v>
      </c>
      <c r="B151" s="229">
        <v>41981.103000000003</v>
      </c>
      <c r="C151" s="139">
        <v>45931</v>
      </c>
      <c r="D151" s="159">
        <f t="shared" si="28"/>
        <v>9.4</v>
      </c>
      <c r="E151" s="170">
        <f>IFERROR(100/'Skjema total MA'!C151*C151,0)</f>
        <v>5.5559333217649538</v>
      </c>
      <c r="F151" s="229"/>
      <c r="G151" s="139"/>
      <c r="H151" s="159"/>
      <c r="I151" s="170"/>
      <c r="J151" s="288">
        <v>41981.103000000003</v>
      </c>
      <c r="K151" s="37">
        <v>45931</v>
      </c>
      <c r="L151" s="256">
        <f t="shared" si="29"/>
        <v>9.4</v>
      </c>
      <c r="M151" s="170">
        <f>IFERROR(100/'Skjema total MA'!I151*K151,0)</f>
        <v>5.5559333217649538</v>
      </c>
    </row>
    <row r="152" spans="1:14" x14ac:dyDescent="0.2">
      <c r="A152" s="18" t="s">
        <v>10</v>
      </c>
      <c r="B152" s="229"/>
      <c r="C152" s="139"/>
      <c r="D152" s="159"/>
      <c r="E152" s="170"/>
      <c r="F152" s="229">
        <v>742677.39399999997</v>
      </c>
      <c r="G152" s="139">
        <v>643263</v>
      </c>
      <c r="H152" s="159">
        <f t="shared" si="30"/>
        <v>-13.4</v>
      </c>
      <c r="I152" s="170">
        <f>IFERROR(100/'Skjema total MA'!F152*G152,0)</f>
        <v>10.370125817371369</v>
      </c>
      <c r="J152" s="288">
        <v>742677.39399999997</v>
      </c>
      <c r="K152" s="37">
        <v>643263</v>
      </c>
      <c r="L152" s="256">
        <f t="shared" si="29"/>
        <v>-13.4</v>
      </c>
      <c r="M152" s="170">
        <f>IFERROR(100/'Skjema total MA'!I152*K152,0)</f>
        <v>10.293337408317495</v>
      </c>
    </row>
    <row r="153" spans="1:14" x14ac:dyDescent="0.2">
      <c r="A153" s="18" t="s">
        <v>34</v>
      </c>
      <c r="B153" s="229"/>
      <c r="C153" s="139"/>
      <c r="D153" s="159"/>
      <c r="E153" s="170"/>
      <c r="F153" s="229"/>
      <c r="G153" s="139"/>
      <c r="H153" s="159"/>
      <c r="I153" s="170"/>
      <c r="J153" s="288"/>
      <c r="K153" s="37"/>
      <c r="L153" s="256"/>
      <c r="M153" s="170"/>
    </row>
    <row r="154" spans="1:14" x14ac:dyDescent="0.2">
      <c r="A154" s="298" t="s">
        <v>14</v>
      </c>
      <c r="B154" s="282"/>
      <c r="C154" s="282"/>
      <c r="D154" s="159"/>
      <c r="E154" s="237"/>
      <c r="F154" s="282"/>
      <c r="G154" s="282"/>
      <c r="H154" s="159"/>
      <c r="I154" s="237"/>
      <c r="J154" s="291"/>
      <c r="K154" s="291"/>
      <c r="L154" s="159"/>
      <c r="M154" s="159"/>
    </row>
    <row r="155" spans="1:14" ht="15.75" x14ac:dyDescent="0.2">
      <c r="A155" s="18" t="s">
        <v>333</v>
      </c>
      <c r="B155" s="229"/>
      <c r="C155" s="229"/>
      <c r="D155" s="159"/>
      <c r="E155" s="170"/>
      <c r="F155" s="229"/>
      <c r="G155" s="229"/>
      <c r="H155" s="159"/>
      <c r="I155" s="170"/>
      <c r="J155" s="288">
        <v>0</v>
      </c>
      <c r="K155" s="37">
        <v>28</v>
      </c>
      <c r="L155" s="256" t="str">
        <f t="shared" si="29"/>
        <v xml:space="preserve">    ---- </v>
      </c>
      <c r="M155" s="170">
        <f>IFERROR(100/'Skjema total MA'!I155*K155,0)</f>
        <v>2.5422794925962423E-2</v>
      </c>
    </row>
    <row r="156" spans="1:14" ht="15.75" x14ac:dyDescent="0.2">
      <c r="A156" s="18" t="s">
        <v>334</v>
      </c>
      <c r="B156" s="229"/>
      <c r="C156" s="229"/>
      <c r="D156" s="159"/>
      <c r="E156" s="170"/>
      <c r="F156" s="229">
        <v>81802.910999999993</v>
      </c>
      <c r="G156" s="229">
        <v>124072</v>
      </c>
      <c r="H156" s="159">
        <f t="shared" si="30"/>
        <v>51.7</v>
      </c>
      <c r="I156" s="170">
        <f>IFERROR(100/'Skjema total MA'!F156*G156,0)</f>
        <v>13.692429645062365</v>
      </c>
      <c r="J156" s="288">
        <v>81802.910999999993</v>
      </c>
      <c r="K156" s="37">
        <v>124072</v>
      </c>
      <c r="L156" s="256">
        <f t="shared" si="29"/>
        <v>51.7</v>
      </c>
      <c r="M156" s="170">
        <f>IFERROR(100/'Skjema total MA'!I156*K156,0)</f>
        <v>13.637108841133928</v>
      </c>
    </row>
    <row r="157" spans="1:14" ht="15.75" x14ac:dyDescent="0.2">
      <c r="A157" s="9" t="s">
        <v>335</v>
      </c>
      <c r="B157" s="38"/>
      <c r="C157" s="38"/>
      <c r="D157" s="160"/>
      <c r="E157" s="201"/>
      <c r="F157" s="38"/>
      <c r="G157" s="38"/>
      <c r="H157" s="160"/>
      <c r="I157" s="160"/>
      <c r="J157" s="289"/>
      <c r="K157" s="38"/>
      <c r="L157" s="257"/>
      <c r="M157" s="160"/>
    </row>
    <row r="158" spans="1:14" x14ac:dyDescent="0.2">
      <c r="A158" s="148"/>
      <c r="L158" s="20"/>
      <c r="M158" s="20"/>
      <c r="N158" s="20"/>
    </row>
    <row r="159" spans="1:14" x14ac:dyDescent="0.2">
      <c r="L159" s="20"/>
      <c r="M159" s="20"/>
      <c r="N159" s="20"/>
    </row>
    <row r="160" spans="1:14" ht="15.75" x14ac:dyDescent="0.25">
      <c r="A160" s="158" t="s">
        <v>35</v>
      </c>
    </row>
    <row r="161" spans="1:14" ht="15.75" x14ac:dyDescent="0.25">
      <c r="B161" s="832"/>
      <c r="C161" s="832"/>
      <c r="D161" s="832"/>
      <c r="E161" s="301"/>
      <c r="F161" s="832"/>
      <c r="G161" s="832"/>
      <c r="H161" s="832"/>
      <c r="I161" s="301"/>
      <c r="J161" s="832"/>
      <c r="K161" s="832"/>
      <c r="L161" s="832"/>
      <c r="M161" s="301"/>
    </row>
    <row r="162" spans="1:14" s="3" customFormat="1" x14ac:dyDescent="0.2">
      <c r="A162" s="138"/>
      <c r="B162" s="833" t="s">
        <v>0</v>
      </c>
      <c r="C162" s="834"/>
      <c r="D162" s="834"/>
      <c r="E162" s="303"/>
      <c r="F162" s="833" t="s">
        <v>1</v>
      </c>
      <c r="G162" s="834"/>
      <c r="H162" s="834"/>
      <c r="I162" s="306"/>
      <c r="J162" s="833" t="s">
        <v>2</v>
      </c>
      <c r="K162" s="834"/>
      <c r="L162" s="834"/>
      <c r="M162" s="306"/>
      <c r="N162" s="142"/>
    </row>
    <row r="163" spans="1:14" s="3" customFormat="1" x14ac:dyDescent="0.2">
      <c r="A163" s="134"/>
      <c r="B163" s="145" t="s">
        <v>400</v>
      </c>
      <c r="C163" s="145" t="s">
        <v>401</v>
      </c>
      <c r="D163" s="242" t="s">
        <v>3</v>
      </c>
      <c r="E163" s="307" t="s">
        <v>37</v>
      </c>
      <c r="F163" s="145" t="s">
        <v>400</v>
      </c>
      <c r="G163" s="145" t="s">
        <v>401</v>
      </c>
      <c r="H163" s="242" t="s">
        <v>3</v>
      </c>
      <c r="I163" s="307" t="s">
        <v>37</v>
      </c>
      <c r="J163" s="145" t="s">
        <v>400</v>
      </c>
      <c r="K163" s="145" t="s">
        <v>401</v>
      </c>
      <c r="L163" s="242" t="s">
        <v>3</v>
      </c>
      <c r="M163" s="155" t="s">
        <v>37</v>
      </c>
      <c r="N163" s="142"/>
    </row>
    <row r="164" spans="1:14" s="3" customFormat="1" x14ac:dyDescent="0.2">
      <c r="A164" s="403"/>
      <c r="B164" s="149"/>
      <c r="C164" s="149"/>
      <c r="D164" s="243" t="s">
        <v>4</v>
      </c>
      <c r="E164" s="149" t="s">
        <v>38</v>
      </c>
      <c r="F164" s="154"/>
      <c r="G164" s="154"/>
      <c r="H164" s="242" t="s">
        <v>4</v>
      </c>
      <c r="I164" s="149" t="s">
        <v>38</v>
      </c>
      <c r="J164" s="154"/>
      <c r="K164" s="154"/>
      <c r="L164" s="242" t="s">
        <v>4</v>
      </c>
      <c r="M164" s="149" t="s">
        <v>38</v>
      </c>
      <c r="N164" s="142"/>
    </row>
    <row r="165" spans="1:14" s="3" customFormat="1" ht="15.75" x14ac:dyDescent="0.2">
      <c r="A165" s="12" t="s">
        <v>337</v>
      </c>
      <c r="B165" s="231"/>
      <c r="C165" s="311"/>
      <c r="D165" s="251"/>
      <c r="E165" s="170"/>
      <c r="F165" s="318"/>
      <c r="G165" s="319"/>
      <c r="H165" s="252"/>
      <c r="I165" s="159"/>
      <c r="J165" s="320"/>
      <c r="K165" s="320"/>
      <c r="L165" s="255"/>
      <c r="M165" s="170"/>
      <c r="N165" s="142"/>
    </row>
    <row r="166" spans="1:14" s="3" customFormat="1" ht="15.75" x14ac:dyDescent="0.2">
      <c r="A166" s="11" t="s">
        <v>338</v>
      </c>
      <c r="B166" s="231"/>
      <c r="C166" s="311"/>
      <c r="D166" s="159"/>
      <c r="E166" s="170"/>
      <c r="F166" s="231"/>
      <c r="G166" s="311"/>
      <c r="H166" s="236"/>
      <c r="I166" s="159"/>
      <c r="J166" s="310"/>
      <c r="K166" s="310"/>
      <c r="L166" s="256"/>
      <c r="M166" s="170"/>
      <c r="N166" s="142"/>
    </row>
    <row r="167" spans="1:14" s="3" customFormat="1" ht="15.75" x14ac:dyDescent="0.2">
      <c r="A167" s="11" t="s">
        <v>339</v>
      </c>
      <c r="B167" s="231"/>
      <c r="C167" s="311"/>
      <c r="D167" s="159"/>
      <c r="E167" s="170"/>
      <c r="F167" s="231"/>
      <c r="G167" s="311"/>
      <c r="H167" s="236"/>
      <c r="I167" s="159"/>
      <c r="J167" s="310"/>
      <c r="K167" s="310"/>
      <c r="L167" s="256"/>
      <c r="M167" s="170"/>
      <c r="N167" s="142"/>
    </row>
    <row r="168" spans="1:14" s="3" customFormat="1" ht="15.75" x14ac:dyDescent="0.2">
      <c r="A168" s="11" t="s">
        <v>340</v>
      </c>
      <c r="B168" s="231"/>
      <c r="C168" s="311"/>
      <c r="D168" s="159"/>
      <c r="E168" s="170"/>
      <c r="F168" s="231"/>
      <c r="G168" s="311"/>
      <c r="H168" s="236"/>
      <c r="I168" s="159"/>
      <c r="J168" s="310"/>
      <c r="K168" s="310"/>
      <c r="L168" s="256"/>
      <c r="M168" s="170"/>
      <c r="N168" s="142"/>
    </row>
    <row r="169" spans="1:14" s="3" customFormat="1" ht="15.75" x14ac:dyDescent="0.2">
      <c r="A169" s="34" t="s">
        <v>341</v>
      </c>
      <c r="B169" s="277"/>
      <c r="C169" s="317"/>
      <c r="D169" s="160"/>
      <c r="E169" s="201"/>
      <c r="F169" s="277"/>
      <c r="G169" s="317"/>
      <c r="H169" s="239"/>
      <c r="I169" s="160"/>
      <c r="J169" s="316"/>
      <c r="K169" s="316"/>
      <c r="L169" s="257"/>
      <c r="M169" s="160"/>
      <c r="N169" s="142"/>
    </row>
    <row r="170" spans="1:14" s="3" customFormat="1" x14ac:dyDescent="0.2">
      <c r="A170" s="161"/>
      <c r="B170" s="27"/>
      <c r="C170" s="27"/>
      <c r="D170" s="152"/>
      <c r="E170" s="152"/>
      <c r="F170" s="27"/>
      <c r="G170" s="27"/>
      <c r="H170" s="152"/>
      <c r="I170" s="152"/>
      <c r="J170" s="27"/>
      <c r="K170" s="27"/>
      <c r="L170" s="152"/>
      <c r="M170" s="152"/>
      <c r="N170" s="142"/>
    </row>
    <row r="171" spans="1:14" x14ac:dyDescent="0.2">
      <c r="A171" s="161"/>
      <c r="B171" s="27"/>
      <c r="C171" s="27"/>
      <c r="D171" s="152"/>
      <c r="E171" s="152"/>
      <c r="F171" s="27"/>
      <c r="G171" s="27"/>
      <c r="H171" s="152"/>
      <c r="I171" s="152"/>
      <c r="J171" s="27"/>
      <c r="K171" s="27"/>
      <c r="L171" s="152"/>
      <c r="M171" s="152"/>
      <c r="N171" s="142"/>
    </row>
    <row r="172" spans="1:14" x14ac:dyDescent="0.2">
      <c r="A172" s="161"/>
      <c r="B172" s="27"/>
      <c r="C172" s="27"/>
      <c r="D172" s="152"/>
      <c r="E172" s="152"/>
      <c r="F172" s="27"/>
      <c r="G172" s="27"/>
      <c r="H172" s="152"/>
      <c r="I172" s="152"/>
      <c r="J172" s="27"/>
      <c r="K172" s="27"/>
      <c r="L172" s="152"/>
      <c r="M172" s="152"/>
      <c r="N172" s="142"/>
    </row>
    <row r="173" spans="1:14" x14ac:dyDescent="0.2">
      <c r="A173" s="140"/>
      <c r="B173" s="140"/>
      <c r="C173" s="140"/>
      <c r="D173" s="140"/>
      <c r="E173" s="140"/>
      <c r="F173" s="140"/>
      <c r="G173" s="140"/>
      <c r="H173" s="140"/>
      <c r="I173" s="140"/>
      <c r="J173" s="140"/>
      <c r="K173" s="140"/>
      <c r="L173" s="140"/>
      <c r="M173" s="140"/>
      <c r="N173" s="140"/>
    </row>
    <row r="174" spans="1:14" ht="15.75" x14ac:dyDescent="0.25">
      <c r="B174" s="136"/>
      <c r="C174" s="136"/>
      <c r="D174" s="136"/>
      <c r="E174" s="136"/>
      <c r="F174" s="136"/>
      <c r="G174" s="136"/>
      <c r="H174" s="136"/>
      <c r="I174" s="136"/>
      <c r="J174" s="136"/>
      <c r="K174" s="136"/>
      <c r="L174" s="136"/>
      <c r="M174" s="136"/>
      <c r="N174" s="136"/>
    </row>
    <row r="175" spans="1:14" ht="15.75" x14ac:dyDescent="0.25">
      <c r="B175" s="150"/>
      <c r="C175" s="150"/>
      <c r="D175" s="150"/>
      <c r="E175" s="150"/>
      <c r="F175" s="150"/>
      <c r="G175" s="150"/>
      <c r="H175" s="150"/>
      <c r="I175" s="150"/>
      <c r="J175" s="150"/>
      <c r="K175" s="150"/>
      <c r="L175" s="150"/>
      <c r="M175" s="150"/>
      <c r="N175" s="150"/>
    </row>
    <row r="176" spans="1:14" ht="15.75" x14ac:dyDescent="0.25">
      <c r="B176" s="150"/>
      <c r="C176" s="150"/>
      <c r="D176" s="150"/>
      <c r="E176" s="150"/>
      <c r="F176" s="150"/>
      <c r="G176" s="150"/>
      <c r="H176" s="150"/>
      <c r="I176" s="150"/>
      <c r="J176" s="150"/>
      <c r="K176" s="150"/>
      <c r="L176" s="150"/>
      <c r="M176" s="150"/>
      <c r="N176" s="150"/>
    </row>
  </sheetData>
  <mergeCells count="28">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22:D22"/>
    <mergeCell ref="F22:H22"/>
    <mergeCell ref="J22:L22"/>
    <mergeCell ref="D47:F47"/>
    <mergeCell ref="G47:I47"/>
    <mergeCell ref="J47:L47"/>
  </mergeCells>
  <conditionalFormatting sqref="B57:C59">
    <cfRule type="expression" dxfId="1840" priority="132">
      <formula>kvartal &lt; 4</formula>
    </cfRule>
  </conditionalFormatting>
  <conditionalFormatting sqref="B63:C65">
    <cfRule type="expression" dxfId="1839" priority="131">
      <formula>kvartal &lt; 4</formula>
    </cfRule>
  </conditionalFormatting>
  <conditionalFormatting sqref="B37">
    <cfRule type="expression" dxfId="1838" priority="130">
      <formula>kvartal &lt; 4</formula>
    </cfRule>
  </conditionalFormatting>
  <conditionalFormatting sqref="B38">
    <cfRule type="expression" dxfId="1837" priority="129">
      <formula>kvartal &lt; 4</formula>
    </cfRule>
  </conditionalFormatting>
  <conditionalFormatting sqref="B39">
    <cfRule type="expression" dxfId="1836" priority="128">
      <formula>kvartal &lt; 4</formula>
    </cfRule>
  </conditionalFormatting>
  <conditionalFormatting sqref="A34">
    <cfRule type="expression" dxfId="1835" priority="1">
      <formula>kvartal &lt; 4</formula>
    </cfRule>
  </conditionalFormatting>
  <conditionalFormatting sqref="C37">
    <cfRule type="expression" dxfId="1834" priority="127">
      <formula>kvartal &lt; 4</formula>
    </cfRule>
  </conditionalFormatting>
  <conditionalFormatting sqref="C38">
    <cfRule type="expression" dxfId="1833" priority="126">
      <formula>kvartal &lt; 4</formula>
    </cfRule>
  </conditionalFormatting>
  <conditionalFormatting sqref="C39">
    <cfRule type="expression" dxfId="1832" priority="125">
      <formula>kvartal &lt; 4</formula>
    </cfRule>
  </conditionalFormatting>
  <conditionalFormatting sqref="B26:C28">
    <cfRule type="expression" dxfId="1831" priority="124">
      <formula>kvartal &lt; 4</formula>
    </cfRule>
  </conditionalFormatting>
  <conditionalFormatting sqref="B32:C33">
    <cfRule type="expression" dxfId="1830" priority="123">
      <formula>kvartal &lt; 4</formula>
    </cfRule>
  </conditionalFormatting>
  <conditionalFormatting sqref="B34">
    <cfRule type="expression" dxfId="1829" priority="122">
      <formula>kvartal &lt; 4</formula>
    </cfRule>
  </conditionalFormatting>
  <conditionalFormatting sqref="C34">
    <cfRule type="expression" dxfId="1828" priority="121">
      <formula>kvartal &lt; 4</formula>
    </cfRule>
  </conditionalFormatting>
  <conditionalFormatting sqref="F26:G28">
    <cfRule type="expression" dxfId="1827" priority="120">
      <formula>kvartal &lt; 4</formula>
    </cfRule>
  </conditionalFormatting>
  <conditionalFormatting sqref="F32">
    <cfRule type="expression" dxfId="1826" priority="119">
      <formula>kvartal &lt; 4</formula>
    </cfRule>
  </conditionalFormatting>
  <conditionalFormatting sqref="G32">
    <cfRule type="expression" dxfId="1825" priority="118">
      <formula>kvartal &lt; 4</formula>
    </cfRule>
  </conditionalFormatting>
  <conditionalFormatting sqref="F33">
    <cfRule type="expression" dxfId="1824" priority="117">
      <formula>kvartal &lt; 4</formula>
    </cfRule>
  </conditionalFormatting>
  <conditionalFormatting sqref="G33">
    <cfRule type="expression" dxfId="1823" priority="116">
      <formula>kvartal &lt; 4</formula>
    </cfRule>
  </conditionalFormatting>
  <conditionalFormatting sqref="F34">
    <cfRule type="expression" dxfId="1822" priority="115">
      <formula>kvartal &lt; 4</formula>
    </cfRule>
  </conditionalFormatting>
  <conditionalFormatting sqref="G34">
    <cfRule type="expression" dxfId="1821" priority="114">
      <formula>kvartal &lt; 4</formula>
    </cfRule>
  </conditionalFormatting>
  <conditionalFormatting sqref="F37">
    <cfRule type="expression" dxfId="1820" priority="113">
      <formula>kvartal &lt; 4</formula>
    </cfRule>
  </conditionalFormatting>
  <conditionalFormatting sqref="F38">
    <cfRule type="expression" dxfId="1819" priority="112">
      <formula>kvartal &lt; 4</formula>
    </cfRule>
  </conditionalFormatting>
  <conditionalFormatting sqref="F39">
    <cfRule type="expression" dxfId="1818" priority="111">
      <formula>kvartal &lt; 4</formula>
    </cfRule>
  </conditionalFormatting>
  <conditionalFormatting sqref="G37">
    <cfRule type="expression" dxfId="1817" priority="110">
      <formula>kvartal &lt; 4</formula>
    </cfRule>
  </conditionalFormatting>
  <conditionalFormatting sqref="G38">
    <cfRule type="expression" dxfId="1816" priority="109">
      <formula>kvartal &lt; 4</formula>
    </cfRule>
  </conditionalFormatting>
  <conditionalFormatting sqref="G39">
    <cfRule type="expression" dxfId="1815" priority="108">
      <formula>kvartal &lt; 4</formula>
    </cfRule>
  </conditionalFormatting>
  <conditionalFormatting sqref="B29">
    <cfRule type="expression" dxfId="1814" priority="107">
      <formula>kvartal &lt; 4</formula>
    </cfRule>
  </conditionalFormatting>
  <conditionalFormatting sqref="C29">
    <cfRule type="expression" dxfId="1813" priority="106">
      <formula>kvartal &lt; 4</formula>
    </cfRule>
  </conditionalFormatting>
  <conditionalFormatting sqref="F29">
    <cfRule type="expression" dxfId="1812" priority="105">
      <formula>kvartal &lt; 4</formula>
    </cfRule>
  </conditionalFormatting>
  <conditionalFormatting sqref="G29">
    <cfRule type="expression" dxfId="1811" priority="104">
      <formula>kvartal &lt; 4</formula>
    </cfRule>
  </conditionalFormatting>
  <conditionalFormatting sqref="J26:K29">
    <cfRule type="expression" dxfId="1810" priority="103">
      <formula>kvartal &lt; 4</formula>
    </cfRule>
  </conditionalFormatting>
  <conditionalFormatting sqref="J32:K34">
    <cfRule type="expression" dxfId="1809" priority="102">
      <formula>kvartal &lt; 4</formula>
    </cfRule>
  </conditionalFormatting>
  <conditionalFormatting sqref="J37:K39">
    <cfRule type="expression" dxfId="1808" priority="101">
      <formula>kvartal &lt; 4</formula>
    </cfRule>
  </conditionalFormatting>
  <conditionalFormatting sqref="B82">
    <cfRule type="expression" dxfId="1807" priority="100">
      <formula>kvartal &lt; 4</formula>
    </cfRule>
  </conditionalFormatting>
  <conditionalFormatting sqref="C82">
    <cfRule type="expression" dxfId="1806" priority="99">
      <formula>kvartal &lt; 4</formula>
    </cfRule>
  </conditionalFormatting>
  <conditionalFormatting sqref="B85">
    <cfRule type="expression" dxfId="1805" priority="98">
      <formula>kvartal &lt; 4</formula>
    </cfRule>
  </conditionalFormatting>
  <conditionalFormatting sqref="C85">
    <cfRule type="expression" dxfId="1804" priority="97">
      <formula>kvartal &lt; 4</formula>
    </cfRule>
  </conditionalFormatting>
  <conditionalFormatting sqref="B92">
    <cfRule type="expression" dxfId="1803" priority="96">
      <formula>kvartal &lt; 4</formula>
    </cfRule>
  </conditionalFormatting>
  <conditionalFormatting sqref="C92">
    <cfRule type="expression" dxfId="1802" priority="95">
      <formula>kvartal &lt; 4</formula>
    </cfRule>
  </conditionalFormatting>
  <conditionalFormatting sqref="B95">
    <cfRule type="expression" dxfId="1801" priority="94">
      <formula>kvartal &lt; 4</formula>
    </cfRule>
  </conditionalFormatting>
  <conditionalFormatting sqref="C95">
    <cfRule type="expression" dxfId="1800" priority="93">
      <formula>kvartal &lt; 4</formula>
    </cfRule>
  </conditionalFormatting>
  <conditionalFormatting sqref="B102">
    <cfRule type="expression" dxfId="1799" priority="92">
      <formula>kvartal &lt; 4</formula>
    </cfRule>
  </conditionalFormatting>
  <conditionalFormatting sqref="C102">
    <cfRule type="expression" dxfId="1798" priority="91">
      <formula>kvartal &lt; 4</formula>
    </cfRule>
  </conditionalFormatting>
  <conditionalFormatting sqref="B105">
    <cfRule type="expression" dxfId="1797" priority="90">
      <formula>kvartal &lt; 4</formula>
    </cfRule>
  </conditionalFormatting>
  <conditionalFormatting sqref="C105">
    <cfRule type="expression" dxfId="1796" priority="89">
      <formula>kvartal &lt; 4</formula>
    </cfRule>
  </conditionalFormatting>
  <conditionalFormatting sqref="B112">
    <cfRule type="expression" dxfId="1795" priority="88">
      <formula>kvartal &lt; 4</formula>
    </cfRule>
  </conditionalFormatting>
  <conditionalFormatting sqref="C112">
    <cfRule type="expression" dxfId="1794" priority="87">
      <formula>kvartal &lt; 4</formula>
    </cfRule>
  </conditionalFormatting>
  <conditionalFormatting sqref="B115">
    <cfRule type="expression" dxfId="1793" priority="86">
      <formula>kvartal &lt; 4</formula>
    </cfRule>
  </conditionalFormatting>
  <conditionalFormatting sqref="C115">
    <cfRule type="expression" dxfId="1792" priority="85">
      <formula>kvartal &lt; 4</formula>
    </cfRule>
  </conditionalFormatting>
  <conditionalFormatting sqref="B122">
    <cfRule type="expression" dxfId="1791" priority="84">
      <formula>kvartal &lt; 4</formula>
    </cfRule>
  </conditionalFormatting>
  <conditionalFormatting sqref="C122">
    <cfRule type="expression" dxfId="1790" priority="83">
      <formula>kvartal &lt; 4</formula>
    </cfRule>
  </conditionalFormatting>
  <conditionalFormatting sqref="B125">
    <cfRule type="expression" dxfId="1789" priority="82">
      <formula>kvartal &lt; 4</formula>
    </cfRule>
  </conditionalFormatting>
  <conditionalFormatting sqref="C125">
    <cfRule type="expression" dxfId="1788" priority="81">
      <formula>kvartal &lt; 4</formula>
    </cfRule>
  </conditionalFormatting>
  <conditionalFormatting sqref="B132">
    <cfRule type="expression" dxfId="1787" priority="80">
      <formula>kvartal &lt; 4</formula>
    </cfRule>
  </conditionalFormatting>
  <conditionalFormatting sqref="C132">
    <cfRule type="expression" dxfId="1786" priority="79">
      <formula>kvartal &lt; 4</formula>
    </cfRule>
  </conditionalFormatting>
  <conditionalFormatting sqref="B135">
    <cfRule type="expression" dxfId="1785" priority="78">
      <formula>kvartal &lt; 4</formula>
    </cfRule>
  </conditionalFormatting>
  <conditionalFormatting sqref="C135">
    <cfRule type="expression" dxfId="1784" priority="77">
      <formula>kvartal &lt; 4</formula>
    </cfRule>
  </conditionalFormatting>
  <conditionalFormatting sqref="B146">
    <cfRule type="expression" dxfId="1783" priority="76">
      <formula>kvartal &lt; 4</formula>
    </cfRule>
  </conditionalFormatting>
  <conditionalFormatting sqref="C146">
    <cfRule type="expression" dxfId="1782" priority="75">
      <formula>kvartal &lt; 4</formula>
    </cfRule>
  </conditionalFormatting>
  <conditionalFormatting sqref="B154">
    <cfRule type="expression" dxfId="1781" priority="74">
      <formula>kvartal &lt; 4</formula>
    </cfRule>
  </conditionalFormatting>
  <conditionalFormatting sqref="C154">
    <cfRule type="expression" dxfId="1780" priority="73">
      <formula>kvartal &lt; 4</formula>
    </cfRule>
  </conditionalFormatting>
  <conditionalFormatting sqref="F83">
    <cfRule type="expression" dxfId="1779" priority="72">
      <formula>kvartal &lt; 4</formula>
    </cfRule>
  </conditionalFormatting>
  <conditionalFormatting sqref="G83">
    <cfRule type="expression" dxfId="1778" priority="71">
      <formula>kvartal &lt; 4</formula>
    </cfRule>
  </conditionalFormatting>
  <conditionalFormatting sqref="F84:G84">
    <cfRule type="expression" dxfId="1777" priority="70">
      <formula>kvartal &lt; 4</formula>
    </cfRule>
  </conditionalFormatting>
  <conditionalFormatting sqref="F86:G86 G87">
    <cfRule type="expression" dxfId="1776" priority="69">
      <formula>kvartal &lt; 4</formula>
    </cfRule>
  </conditionalFormatting>
  <conditionalFormatting sqref="F93:G94">
    <cfRule type="expression" dxfId="1775" priority="68">
      <formula>kvartal &lt; 4</formula>
    </cfRule>
  </conditionalFormatting>
  <conditionalFormatting sqref="F96:G97">
    <cfRule type="expression" dxfId="1774" priority="67">
      <formula>kvartal &lt; 4</formula>
    </cfRule>
  </conditionalFormatting>
  <conditionalFormatting sqref="F103:G104">
    <cfRule type="expression" dxfId="1773" priority="66">
      <formula>kvartal &lt; 4</formula>
    </cfRule>
  </conditionalFormatting>
  <conditionalFormatting sqref="F106:G107">
    <cfRule type="expression" dxfId="1772" priority="65">
      <formula>kvartal &lt; 4</formula>
    </cfRule>
  </conditionalFormatting>
  <conditionalFormatting sqref="F113:G114">
    <cfRule type="expression" dxfId="1771" priority="64">
      <formula>kvartal &lt; 4</formula>
    </cfRule>
  </conditionalFormatting>
  <conditionalFormatting sqref="F116:G117">
    <cfRule type="expression" dxfId="1770" priority="63">
      <formula>kvartal &lt; 4</formula>
    </cfRule>
  </conditionalFormatting>
  <conditionalFormatting sqref="F123:G124">
    <cfRule type="expression" dxfId="1769" priority="62">
      <formula>kvartal &lt; 4</formula>
    </cfRule>
  </conditionalFormatting>
  <conditionalFormatting sqref="F126:G127">
    <cfRule type="expression" dxfId="1768" priority="61">
      <formula>kvartal &lt; 4</formula>
    </cfRule>
  </conditionalFormatting>
  <conditionalFormatting sqref="F133:G134">
    <cfRule type="expression" dxfId="1767" priority="60">
      <formula>kvartal &lt; 4</formula>
    </cfRule>
  </conditionalFormatting>
  <conditionalFormatting sqref="F136:G137">
    <cfRule type="expression" dxfId="1766" priority="59">
      <formula>kvartal &lt; 4</formula>
    </cfRule>
  </conditionalFormatting>
  <conditionalFormatting sqref="F146">
    <cfRule type="expression" dxfId="1765" priority="58">
      <formula>kvartal &lt; 4</formula>
    </cfRule>
  </conditionalFormatting>
  <conditionalFormatting sqref="G146">
    <cfRule type="expression" dxfId="1764" priority="57">
      <formula>kvartal &lt; 4</formula>
    </cfRule>
  </conditionalFormatting>
  <conditionalFormatting sqref="F154:G154">
    <cfRule type="expression" dxfId="1763" priority="56">
      <formula>kvartal &lt; 4</formula>
    </cfRule>
  </conditionalFormatting>
  <conditionalFormatting sqref="F82:G82">
    <cfRule type="expression" dxfId="1762" priority="55">
      <formula>kvartal &lt; 4</formula>
    </cfRule>
  </conditionalFormatting>
  <conditionalFormatting sqref="G85">
    <cfRule type="expression" dxfId="1761" priority="54">
      <formula>kvartal &lt; 4</formula>
    </cfRule>
  </conditionalFormatting>
  <conditionalFormatting sqref="F92:G92">
    <cfRule type="expression" dxfId="1760" priority="53">
      <formula>kvartal &lt; 4</formula>
    </cfRule>
  </conditionalFormatting>
  <conditionalFormatting sqref="F95:G95">
    <cfRule type="expression" dxfId="1759" priority="52">
      <formula>kvartal &lt; 4</formula>
    </cfRule>
  </conditionalFormatting>
  <conditionalFormatting sqref="F102:G102">
    <cfRule type="expression" dxfId="1758" priority="51">
      <formula>kvartal &lt; 4</formula>
    </cfRule>
  </conditionalFormatting>
  <conditionalFormatting sqref="F105:G105">
    <cfRule type="expression" dxfId="1757" priority="50">
      <formula>kvartal &lt; 4</formula>
    </cfRule>
  </conditionalFormatting>
  <conditionalFormatting sqref="F112:G112">
    <cfRule type="expression" dxfId="1756" priority="49">
      <formula>kvartal &lt; 4</formula>
    </cfRule>
  </conditionalFormatting>
  <conditionalFormatting sqref="F115">
    <cfRule type="expression" dxfId="1755" priority="48">
      <formula>kvartal &lt; 4</formula>
    </cfRule>
  </conditionalFormatting>
  <conditionalFormatting sqref="G115">
    <cfRule type="expression" dxfId="1754" priority="47">
      <formula>kvartal &lt; 4</formula>
    </cfRule>
  </conditionalFormatting>
  <conditionalFormatting sqref="F122:G122">
    <cfRule type="expression" dxfId="1753" priority="46">
      <formula>kvartal &lt; 4</formula>
    </cfRule>
  </conditionalFormatting>
  <conditionalFormatting sqref="F125">
    <cfRule type="expression" dxfId="1752" priority="45">
      <formula>kvartal &lt; 4</formula>
    </cfRule>
  </conditionalFormatting>
  <conditionalFormatting sqref="G125">
    <cfRule type="expression" dxfId="1751" priority="44">
      <formula>kvartal &lt; 4</formula>
    </cfRule>
  </conditionalFormatting>
  <conditionalFormatting sqref="F132">
    <cfRule type="expression" dxfId="1750" priority="43">
      <formula>kvartal &lt; 4</formula>
    </cfRule>
  </conditionalFormatting>
  <conditionalFormatting sqref="G132">
    <cfRule type="expression" dxfId="1749" priority="42">
      <formula>kvartal &lt; 4</formula>
    </cfRule>
  </conditionalFormatting>
  <conditionalFormatting sqref="G135">
    <cfRule type="expression" dxfId="1748" priority="41">
      <formula>kvartal &lt; 4</formula>
    </cfRule>
  </conditionalFormatting>
  <conditionalFormatting sqref="F135">
    <cfRule type="expression" dxfId="1747" priority="40">
      <formula>kvartal &lt; 4</formula>
    </cfRule>
  </conditionalFormatting>
  <conditionalFormatting sqref="J82:K84 J86:K86">
    <cfRule type="expression" dxfId="1746" priority="39">
      <formula>kvartal &lt; 4</formula>
    </cfRule>
  </conditionalFormatting>
  <conditionalFormatting sqref="J92:K94 J96:K96">
    <cfRule type="expression" dxfId="1745" priority="37">
      <formula>kvartal &lt; 4</formula>
    </cfRule>
  </conditionalFormatting>
  <conditionalFormatting sqref="J102:K107">
    <cfRule type="expression" dxfId="1744" priority="36">
      <formula>kvartal &lt; 4</formula>
    </cfRule>
  </conditionalFormatting>
  <conditionalFormatting sqref="J112:K117">
    <cfRule type="expression" dxfId="1743" priority="35">
      <formula>kvartal &lt; 4</formula>
    </cfRule>
  </conditionalFormatting>
  <conditionalFormatting sqref="J122:K127">
    <cfRule type="expression" dxfId="1742" priority="34">
      <formula>kvartal &lt; 4</formula>
    </cfRule>
  </conditionalFormatting>
  <conditionalFormatting sqref="J132:K137">
    <cfRule type="expression" dxfId="1741" priority="33">
      <formula>kvartal &lt; 4</formula>
    </cfRule>
  </conditionalFormatting>
  <conditionalFormatting sqref="J146:K146">
    <cfRule type="expression" dxfId="1740" priority="32">
      <formula>kvartal &lt; 4</formula>
    </cfRule>
  </conditionalFormatting>
  <conditionalFormatting sqref="J154:K154">
    <cfRule type="expression" dxfId="1739" priority="31">
      <formula>kvartal &lt; 4</formula>
    </cfRule>
  </conditionalFormatting>
  <conditionalFormatting sqref="A26:A28">
    <cfRule type="expression" dxfId="1738" priority="15">
      <formula>kvartal &lt; 4</formula>
    </cfRule>
  </conditionalFormatting>
  <conditionalFormatting sqref="A32:A33">
    <cfRule type="expression" dxfId="1737" priority="14">
      <formula>kvartal &lt; 4</formula>
    </cfRule>
  </conditionalFormatting>
  <conditionalFormatting sqref="A37:A39">
    <cfRule type="expression" dxfId="1736" priority="13">
      <formula>kvartal &lt; 4</formula>
    </cfRule>
  </conditionalFormatting>
  <conditionalFormatting sqref="A57:A59">
    <cfRule type="expression" dxfId="1735" priority="12">
      <formula>kvartal &lt; 4</formula>
    </cfRule>
  </conditionalFormatting>
  <conditionalFormatting sqref="A63:A65">
    <cfRule type="expression" dxfId="1734" priority="11">
      <formula>kvartal &lt; 4</formula>
    </cfRule>
  </conditionalFormatting>
  <conditionalFormatting sqref="A82:A87">
    <cfRule type="expression" dxfId="1733" priority="10">
      <formula>kvartal &lt; 4</formula>
    </cfRule>
  </conditionalFormatting>
  <conditionalFormatting sqref="A92:A97">
    <cfRule type="expression" dxfId="1732" priority="9">
      <formula>kvartal &lt; 4</formula>
    </cfRule>
  </conditionalFormatting>
  <conditionalFormatting sqref="A102:A107">
    <cfRule type="expression" dxfId="1731" priority="8">
      <formula>kvartal &lt; 4</formula>
    </cfRule>
  </conditionalFormatting>
  <conditionalFormatting sqref="A112:A117">
    <cfRule type="expression" dxfId="1730" priority="7">
      <formula>kvartal &lt; 4</formula>
    </cfRule>
  </conditionalFormatting>
  <conditionalFormatting sqref="A122:A127">
    <cfRule type="expression" dxfId="1729" priority="6">
      <formula>kvartal &lt; 4</formula>
    </cfRule>
  </conditionalFormatting>
  <conditionalFormatting sqref="A132:A137">
    <cfRule type="expression" dxfId="1728" priority="5">
      <formula>kvartal &lt; 4</formula>
    </cfRule>
  </conditionalFormatting>
  <conditionalFormatting sqref="A146">
    <cfRule type="expression" dxfId="1727" priority="4">
      <formula>kvartal &lt; 4</formula>
    </cfRule>
  </conditionalFormatting>
  <conditionalFormatting sqref="A154">
    <cfRule type="expression" dxfId="1726" priority="3">
      <formula>kvartal &lt; 4</formula>
    </cfRule>
  </conditionalFormatting>
  <conditionalFormatting sqref="A29">
    <cfRule type="expression" dxfId="1725" priority="2">
      <formula>kvartal &lt; 4</formula>
    </cfRule>
  </conditionalFormatting>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dimension ref="A1:N176"/>
  <sheetViews>
    <sheetView showGridLines="0" zoomScale="90" zoomScaleNormal="90" workbookViewId="0">
      <selection activeCell="A4" sqref="A4"/>
    </sheetView>
  </sheetViews>
  <sheetFormatPr baseColWidth="10" defaultColWidth="11.42578125" defaultRowHeight="12.75" x14ac:dyDescent="0.2"/>
  <cols>
    <col min="1" max="1" width="41.5703125" style="143" customWidth="1"/>
    <col min="2" max="2" width="10.85546875" style="143" customWidth="1"/>
    <col min="3" max="3" width="11" style="143" customWidth="1"/>
    <col min="4" max="5" width="8.7109375" style="143" customWidth="1"/>
    <col min="6" max="7" width="10.85546875" style="143" customWidth="1"/>
    <col min="8" max="9" width="8.7109375" style="143" customWidth="1"/>
    <col min="10" max="11" width="10.85546875" style="143" customWidth="1"/>
    <col min="12" max="13" width="8.7109375" style="143" customWidth="1"/>
    <col min="14" max="14" width="11.42578125" style="143"/>
    <col min="15" max="16384" width="11.42578125" style="1"/>
  </cols>
  <sheetData>
    <row r="1" spans="1:14" x14ac:dyDescent="0.2">
      <c r="A1" s="165" t="s">
        <v>159</v>
      </c>
      <c r="B1" s="401"/>
      <c r="C1" s="245" t="s">
        <v>163</v>
      </c>
      <c r="D1" s="20"/>
      <c r="E1" s="20"/>
      <c r="F1" s="20"/>
      <c r="G1" s="20"/>
      <c r="H1" s="20"/>
      <c r="I1" s="20"/>
      <c r="J1" s="20"/>
      <c r="K1" s="20"/>
      <c r="L1" s="20"/>
      <c r="M1" s="20"/>
    </row>
    <row r="2" spans="1:14" ht="15.75" x14ac:dyDescent="0.25">
      <c r="A2" s="158" t="s">
        <v>36</v>
      </c>
      <c r="B2" s="835"/>
      <c r="C2" s="835"/>
      <c r="D2" s="835"/>
      <c r="E2" s="301"/>
      <c r="F2" s="835"/>
      <c r="G2" s="835"/>
      <c r="H2" s="835"/>
      <c r="I2" s="301"/>
      <c r="J2" s="835"/>
      <c r="K2" s="835"/>
      <c r="L2" s="835"/>
      <c r="M2" s="301"/>
    </row>
    <row r="3" spans="1:14" ht="15.75" x14ac:dyDescent="0.25">
      <c r="A3" s="156"/>
      <c r="B3" s="301"/>
      <c r="C3" s="301"/>
      <c r="D3" s="301"/>
      <c r="E3" s="301"/>
      <c r="F3" s="301"/>
      <c r="G3" s="301"/>
      <c r="H3" s="301"/>
      <c r="I3" s="301"/>
      <c r="J3" s="301"/>
      <c r="K3" s="301"/>
      <c r="L3" s="301"/>
      <c r="M3" s="301"/>
    </row>
    <row r="4" spans="1:14" x14ac:dyDescent="0.2">
      <c r="A4" s="138"/>
      <c r="B4" s="808" t="s">
        <v>0</v>
      </c>
      <c r="C4" s="802"/>
      <c r="D4" s="802"/>
      <c r="E4" s="802"/>
      <c r="F4" s="808" t="s">
        <v>1</v>
      </c>
      <c r="G4" s="802"/>
      <c r="H4" s="802"/>
      <c r="I4" s="803"/>
      <c r="J4" s="801" t="s">
        <v>2</v>
      </c>
      <c r="K4" s="802"/>
      <c r="L4" s="802"/>
      <c r="M4" s="803"/>
    </row>
    <row r="5" spans="1:14" x14ac:dyDescent="0.2">
      <c r="A5" s="151"/>
      <c r="B5" s="145" t="s">
        <v>400</v>
      </c>
      <c r="C5" s="145" t="s">
        <v>401</v>
      </c>
      <c r="D5" s="242" t="s">
        <v>3</v>
      </c>
      <c r="E5" s="307" t="s">
        <v>37</v>
      </c>
      <c r="F5" s="145" t="s">
        <v>400</v>
      </c>
      <c r="G5" s="145" t="s">
        <v>401</v>
      </c>
      <c r="H5" s="242" t="s">
        <v>3</v>
      </c>
      <c r="I5" s="307" t="s">
        <v>37</v>
      </c>
      <c r="J5" s="145" t="s">
        <v>400</v>
      </c>
      <c r="K5" s="145" t="s">
        <v>401</v>
      </c>
      <c r="L5" s="242" t="s">
        <v>3</v>
      </c>
      <c r="M5" s="155" t="s">
        <v>37</v>
      </c>
    </row>
    <row r="6" spans="1:14" x14ac:dyDescent="0.2">
      <c r="A6" s="402"/>
      <c r="B6" s="149"/>
      <c r="C6" s="149"/>
      <c r="D6" s="243" t="s">
        <v>4</v>
      </c>
      <c r="E6" s="149" t="s">
        <v>38</v>
      </c>
      <c r="F6" s="154"/>
      <c r="G6" s="154"/>
      <c r="H6" s="242" t="s">
        <v>4</v>
      </c>
      <c r="I6" s="149" t="s">
        <v>38</v>
      </c>
      <c r="J6" s="154"/>
      <c r="K6" s="154"/>
      <c r="L6" s="242" t="s">
        <v>4</v>
      </c>
      <c r="M6" s="149" t="s">
        <v>38</v>
      </c>
    </row>
    <row r="7" spans="1:14" ht="15.75" x14ac:dyDescent="0.2">
      <c r="A7" s="12" t="s">
        <v>30</v>
      </c>
      <c r="B7" s="308">
        <v>39855</v>
      </c>
      <c r="C7" s="309">
        <v>38344</v>
      </c>
      <c r="D7" s="251">
        <f>IF(B7=0, "    ---- ", IF(ABS(ROUND(100/B7*C7-100,1))&lt;999,ROUND(100/B7*C7-100,1),IF(ROUND(100/B7*C7-100,1)&gt;999,999,-999)))</f>
        <v>-3.8</v>
      </c>
      <c r="E7" s="170">
        <f>IFERROR(100/'Skjema total MA'!C7*C7,0)</f>
        <v>0.76433761616377272</v>
      </c>
      <c r="F7" s="308"/>
      <c r="G7" s="309"/>
      <c r="H7" s="251"/>
      <c r="I7" s="170"/>
      <c r="J7" s="310">
        <v>39855</v>
      </c>
      <c r="K7" s="311">
        <v>38344</v>
      </c>
      <c r="L7" s="255">
        <f>IF(J7=0, "    ---- ", IF(ABS(ROUND(100/J7*K7-100,1))&lt;999,ROUND(100/J7*K7-100,1),IF(ROUND(100/J7*K7-100,1)&gt;999,999,-999)))</f>
        <v>-3.8</v>
      </c>
      <c r="M7" s="170">
        <f>IFERROR(100/'Skjema total MA'!I7*K7,0)</f>
        <v>0.27169449982031907</v>
      </c>
    </row>
    <row r="8" spans="1:14" ht="15.75" x14ac:dyDescent="0.2">
      <c r="A8" s="18" t="s">
        <v>32</v>
      </c>
      <c r="B8" s="282">
        <v>22382</v>
      </c>
      <c r="C8" s="283">
        <v>23372.823287785101</v>
      </c>
      <c r="D8" s="159">
        <f t="shared" ref="D8:D13" si="0">IF(B8=0, "    ---- ", IF(ABS(ROUND(100/B8*C8-100,1))&lt;999,ROUND(100/B8*C8-100,1),IF(ROUND(100/B8*C8-100,1)&gt;999,999,-999)))</f>
        <v>4.4000000000000004</v>
      </c>
      <c r="E8" s="170">
        <f>IFERROR(100/'Skjema total MA'!C8*C8,0)</f>
        <v>0.96638846170835102</v>
      </c>
      <c r="F8" s="286"/>
      <c r="G8" s="287"/>
      <c r="H8" s="159"/>
      <c r="I8" s="170"/>
      <c r="J8" s="229">
        <v>22382</v>
      </c>
      <c r="K8" s="288">
        <v>23372.823287785101</v>
      </c>
      <c r="L8" s="256">
        <f t="shared" ref="L8:L9" si="1">IF(J8=0, "    ---- ", IF(ABS(ROUND(100/J8*K8-100,1))&lt;999,ROUND(100/J8*K8-100,1),IF(ROUND(100/J8*K8-100,1)&gt;999,999,-999)))</f>
        <v>4.4000000000000004</v>
      </c>
      <c r="M8" s="170">
        <f>IFERROR(100/'Skjema total MA'!I8*K8,0)</f>
        <v>0.96638846170835102</v>
      </c>
    </row>
    <row r="9" spans="1:14" ht="15.75" x14ac:dyDescent="0.2">
      <c r="A9" s="18" t="s">
        <v>31</v>
      </c>
      <c r="B9" s="282">
        <v>15122</v>
      </c>
      <c r="C9" s="283">
        <v>14327.060393833101</v>
      </c>
      <c r="D9" s="159">
        <f t="shared" si="0"/>
        <v>-5.3</v>
      </c>
      <c r="E9" s="170">
        <f>IFERROR(100/'Skjema total MA'!C9*C9,0)</f>
        <v>1.2494989435711021</v>
      </c>
      <c r="F9" s="286"/>
      <c r="G9" s="287"/>
      <c r="H9" s="159"/>
      <c r="I9" s="170"/>
      <c r="J9" s="229">
        <v>15122</v>
      </c>
      <c r="K9" s="288">
        <v>14327.060393833101</v>
      </c>
      <c r="L9" s="256">
        <f t="shared" si="1"/>
        <v>-5.3</v>
      </c>
      <c r="M9" s="170">
        <f>IFERROR(100/'Skjema total MA'!I9*K9,0)</f>
        <v>1.2494989435711021</v>
      </c>
    </row>
    <row r="10" spans="1:14" ht="15.75" x14ac:dyDescent="0.2">
      <c r="A10" s="11" t="s">
        <v>29</v>
      </c>
      <c r="B10" s="312">
        <v>2739</v>
      </c>
      <c r="C10" s="313">
        <v>1814</v>
      </c>
      <c r="D10" s="159">
        <f t="shared" si="0"/>
        <v>-33.799999999999997</v>
      </c>
      <c r="E10" s="170">
        <f>IFERROR(100/'Skjema total MA'!C10*C10,0)</f>
        <v>0.51009467695608668</v>
      </c>
      <c r="F10" s="312"/>
      <c r="G10" s="313"/>
      <c r="H10" s="159"/>
      <c r="I10" s="170"/>
      <c r="J10" s="310">
        <v>2739</v>
      </c>
      <c r="K10" s="311">
        <v>1814</v>
      </c>
      <c r="L10" s="256">
        <f t="shared" ref="L10:L13" si="2">IF(J10=0, "    ---- ", IF(ABS(ROUND(100/J10*K10-100,1))&lt;999,ROUND(100/J10*K10-100,1),IF(ROUND(100/J10*K10-100,1)&gt;999,999,-999)))</f>
        <v>-33.799999999999997</v>
      </c>
      <c r="M10" s="170">
        <f>IFERROR(100/'Skjema total MA'!I10*K10,0)</f>
        <v>2.2610748858588811E-2</v>
      </c>
    </row>
    <row r="11" spans="1:14" ht="15.75" x14ac:dyDescent="0.2">
      <c r="A11" s="18" t="s">
        <v>32</v>
      </c>
      <c r="B11" s="282">
        <v>1538.1833646970299</v>
      </c>
      <c r="C11" s="283">
        <v>1106</v>
      </c>
      <c r="D11" s="159">
        <f t="shared" si="0"/>
        <v>-28.1</v>
      </c>
      <c r="E11" s="170">
        <f>IFERROR(100/'Skjema total MA'!C11*C11,0)</f>
        <v>0.57959845753490302</v>
      </c>
      <c r="F11" s="286"/>
      <c r="G11" s="287"/>
      <c r="H11" s="159"/>
      <c r="I11" s="170"/>
      <c r="J11" s="229">
        <v>1538.1833646970299</v>
      </c>
      <c r="K11" s="288">
        <v>1106</v>
      </c>
      <c r="L11" s="256">
        <f t="shared" ref="L11:L12" si="3">IF(J11=0, "    ---- ", IF(ABS(ROUND(100/J11*K11-100,1))&lt;999,ROUND(100/J11*K11-100,1),IF(ROUND(100/J11*K11-100,1)&gt;999,999,-999)))</f>
        <v>-28.1</v>
      </c>
      <c r="M11" s="170">
        <f>IFERROR(100/'Skjema total MA'!I11*K11,0)</f>
        <v>0.57959845753490302</v>
      </c>
    </row>
    <row r="12" spans="1:14" ht="15.75" x14ac:dyDescent="0.2">
      <c r="A12" s="18" t="s">
        <v>31</v>
      </c>
      <c r="B12" s="282">
        <v>1039.2462175385799</v>
      </c>
      <c r="C12" s="283">
        <v>671</v>
      </c>
      <c r="D12" s="159">
        <f t="shared" si="0"/>
        <v>-35.4</v>
      </c>
      <c r="E12" s="170">
        <f>IFERROR(100/'Skjema total MA'!C12*C12,0)</f>
        <v>1.0594208317181373</v>
      </c>
      <c r="F12" s="286"/>
      <c r="G12" s="287"/>
      <c r="H12" s="159"/>
      <c r="I12" s="170"/>
      <c r="J12" s="229">
        <v>1039.2462175385799</v>
      </c>
      <c r="K12" s="288">
        <v>671</v>
      </c>
      <c r="L12" s="256">
        <f t="shared" si="3"/>
        <v>-35.4</v>
      </c>
      <c r="M12" s="170">
        <f>IFERROR(100/'Skjema total MA'!I12*K12,0)</f>
        <v>1.0594208317181373</v>
      </c>
    </row>
    <row r="13" spans="1:14" ht="15.75" x14ac:dyDescent="0.2">
      <c r="A13" s="11" t="s">
        <v>28</v>
      </c>
      <c r="B13" s="312">
        <v>26595</v>
      </c>
      <c r="C13" s="313">
        <v>23415</v>
      </c>
      <c r="D13" s="159">
        <f t="shared" si="0"/>
        <v>-12</v>
      </c>
      <c r="E13" s="170">
        <f>IFERROR(100/'Skjema total MA'!C13*C13,0)</f>
        <v>9.053119059379805E-2</v>
      </c>
      <c r="F13" s="312"/>
      <c r="G13" s="313"/>
      <c r="H13" s="159"/>
      <c r="I13" s="170"/>
      <c r="J13" s="310">
        <v>26595</v>
      </c>
      <c r="K13" s="311">
        <v>23415</v>
      </c>
      <c r="L13" s="256">
        <f t="shared" si="2"/>
        <v>-12</v>
      </c>
      <c r="M13" s="170">
        <f>IFERROR(100/'Skjema total MA'!I13*K13,0)</f>
        <v>3.9698163679114072E-2</v>
      </c>
    </row>
    <row r="14" spans="1:14" s="36" customFormat="1" ht="15.75" x14ac:dyDescent="0.2">
      <c r="A14" s="11" t="s">
        <v>27</v>
      </c>
      <c r="B14" s="312"/>
      <c r="C14" s="313"/>
      <c r="D14" s="159"/>
      <c r="E14" s="170"/>
      <c r="F14" s="312"/>
      <c r="G14" s="313"/>
      <c r="H14" s="159"/>
      <c r="I14" s="170"/>
      <c r="J14" s="310"/>
      <c r="K14" s="311"/>
      <c r="L14" s="256"/>
      <c r="M14" s="170"/>
      <c r="N14" s="137"/>
    </row>
    <row r="15" spans="1:14" s="36" customFormat="1" ht="15.75" x14ac:dyDescent="0.2">
      <c r="A15" s="34" t="s">
        <v>26</v>
      </c>
      <c r="B15" s="314"/>
      <c r="C15" s="315"/>
      <c r="D15" s="160"/>
      <c r="E15" s="160"/>
      <c r="F15" s="314"/>
      <c r="G15" s="315"/>
      <c r="H15" s="160"/>
      <c r="I15" s="160"/>
      <c r="J15" s="316"/>
      <c r="K15" s="317"/>
      <c r="L15" s="257"/>
      <c r="M15" s="160"/>
      <c r="N15" s="137"/>
    </row>
    <row r="16" spans="1:14" s="36" customFormat="1" x14ac:dyDescent="0.2">
      <c r="A16" s="161"/>
      <c r="B16" s="139"/>
      <c r="C16" s="27"/>
      <c r="D16" s="152"/>
      <c r="E16" s="152"/>
      <c r="F16" s="139"/>
      <c r="G16" s="27"/>
      <c r="H16" s="152"/>
      <c r="I16" s="152"/>
      <c r="J16" s="41"/>
      <c r="K16" s="41"/>
      <c r="L16" s="152"/>
      <c r="M16" s="152"/>
      <c r="N16" s="137"/>
    </row>
    <row r="17" spans="1:14" x14ac:dyDescent="0.2">
      <c r="A17" s="146" t="s">
        <v>307</v>
      </c>
      <c r="B17" s="20"/>
    </row>
    <row r="18" spans="1:14" x14ac:dyDescent="0.2">
      <c r="F18" s="140"/>
      <c r="G18" s="140"/>
      <c r="H18" s="140"/>
      <c r="I18" s="140"/>
      <c r="J18" s="140"/>
      <c r="K18" s="140"/>
      <c r="L18" s="140"/>
      <c r="M18" s="140"/>
    </row>
    <row r="19" spans="1:14" s="3" customFormat="1" ht="15.75" x14ac:dyDescent="0.25">
      <c r="A19" s="157"/>
      <c r="B19" s="142"/>
      <c r="C19" s="147"/>
      <c r="D19" s="147"/>
      <c r="E19" s="147"/>
      <c r="F19" s="147"/>
      <c r="G19" s="147"/>
      <c r="H19" s="147"/>
      <c r="I19" s="147"/>
      <c r="J19" s="147"/>
      <c r="K19" s="147"/>
      <c r="L19" s="147"/>
      <c r="M19" s="147"/>
      <c r="N19" s="142"/>
    </row>
    <row r="20" spans="1:14" ht="15.75" x14ac:dyDescent="0.25">
      <c r="A20" s="141" t="s">
        <v>304</v>
      </c>
      <c r="B20" s="150"/>
      <c r="C20" s="150"/>
      <c r="D20" s="144"/>
      <c r="E20" s="144"/>
      <c r="F20" s="150"/>
      <c r="G20" s="150"/>
      <c r="H20" s="150"/>
      <c r="I20" s="150"/>
      <c r="J20" s="150"/>
      <c r="K20" s="150"/>
      <c r="L20" s="150"/>
      <c r="M20" s="150"/>
    </row>
    <row r="21" spans="1:14" ht="15.75" x14ac:dyDescent="0.25">
      <c r="B21" s="832"/>
      <c r="C21" s="832"/>
      <c r="D21" s="832"/>
      <c r="E21" s="301"/>
      <c r="F21" s="832"/>
      <c r="G21" s="832"/>
      <c r="H21" s="832"/>
      <c r="I21" s="301"/>
      <c r="J21" s="832"/>
      <c r="K21" s="832"/>
      <c r="L21" s="832"/>
      <c r="M21" s="301"/>
    </row>
    <row r="22" spans="1:14" x14ac:dyDescent="0.2">
      <c r="A22" s="138"/>
      <c r="B22" s="833" t="s">
        <v>0</v>
      </c>
      <c r="C22" s="834"/>
      <c r="D22" s="834"/>
      <c r="E22" s="303"/>
      <c r="F22" s="833" t="s">
        <v>1</v>
      </c>
      <c r="G22" s="834"/>
      <c r="H22" s="834"/>
      <c r="I22" s="306"/>
      <c r="J22" s="833" t="s">
        <v>2</v>
      </c>
      <c r="K22" s="834"/>
      <c r="L22" s="834"/>
      <c r="M22" s="306"/>
    </row>
    <row r="23" spans="1:14" x14ac:dyDescent="0.2">
      <c r="A23" s="134" t="s">
        <v>5</v>
      </c>
      <c r="B23" s="145" t="s">
        <v>400</v>
      </c>
      <c r="C23" s="145" t="s">
        <v>401</v>
      </c>
      <c r="D23" s="242" t="s">
        <v>3</v>
      </c>
      <c r="E23" s="307" t="s">
        <v>37</v>
      </c>
      <c r="F23" s="145" t="s">
        <v>400</v>
      </c>
      <c r="G23" s="145" t="s">
        <v>401</v>
      </c>
      <c r="H23" s="242" t="s">
        <v>3</v>
      </c>
      <c r="I23" s="307" t="s">
        <v>37</v>
      </c>
      <c r="J23" s="145" t="s">
        <v>400</v>
      </c>
      <c r="K23" s="145" t="s">
        <v>401</v>
      </c>
      <c r="L23" s="242" t="s">
        <v>3</v>
      </c>
      <c r="M23" s="155" t="s">
        <v>37</v>
      </c>
    </row>
    <row r="24" spans="1:14" x14ac:dyDescent="0.2">
      <c r="A24" s="403"/>
      <c r="B24" s="149"/>
      <c r="C24" s="149"/>
      <c r="D24" s="243" t="s">
        <v>4</v>
      </c>
      <c r="E24" s="149" t="s">
        <v>38</v>
      </c>
      <c r="F24" s="154"/>
      <c r="G24" s="154"/>
      <c r="H24" s="242" t="s">
        <v>4</v>
      </c>
      <c r="I24" s="149" t="s">
        <v>38</v>
      </c>
      <c r="J24" s="154"/>
      <c r="K24" s="154"/>
      <c r="L24" s="242" t="s">
        <v>4</v>
      </c>
      <c r="M24" s="149" t="s">
        <v>38</v>
      </c>
    </row>
    <row r="25" spans="1:14" ht="15.75" x14ac:dyDescent="0.2">
      <c r="A25" s="12" t="s">
        <v>30</v>
      </c>
      <c r="B25" s="318">
        <v>244</v>
      </c>
      <c r="C25" s="319">
        <v>273</v>
      </c>
      <c r="D25" s="251">
        <f t="shared" ref="D25:D38" si="4">IF(B25=0, "    ---- ", IF(ABS(ROUND(100/B25*C25-100,1))&lt;999,ROUND(100/B25*C25-100,1),IF(ROUND(100/B25*C25-100,1)&gt;999,999,-999)))</f>
        <v>11.9</v>
      </c>
      <c r="E25" s="170">
        <f>IFERROR(100/'Skjema total MA'!C25*C25,0)</f>
        <v>1.9018652176169965E-2</v>
      </c>
      <c r="F25" s="320"/>
      <c r="G25" s="319"/>
      <c r="H25" s="251"/>
      <c r="I25" s="170"/>
      <c r="J25" s="318">
        <v>244</v>
      </c>
      <c r="K25" s="318">
        <v>273</v>
      </c>
      <c r="L25" s="255">
        <f t="shared" ref="L25:L36" si="5">IF(J25=0, "    ---- ", IF(ABS(ROUND(100/J25*K25-100,1))&lt;999,ROUND(100/J25*K25-100,1),IF(ROUND(100/J25*K25-100,1)&gt;999,999,-999)))</f>
        <v>11.9</v>
      </c>
      <c r="M25" s="159">
        <f>IFERROR(100/'Skjema total MA'!I25*K25,0)</f>
        <v>1.4885160727918192E-2</v>
      </c>
    </row>
    <row r="26" spans="1:14" ht="15.75" x14ac:dyDescent="0.2">
      <c r="A26" s="298" t="s">
        <v>318</v>
      </c>
      <c r="B26" s="291"/>
      <c r="C26" s="291"/>
      <c r="D26" s="159"/>
      <c r="E26" s="237"/>
      <c r="F26" s="291"/>
      <c r="G26" s="291"/>
      <c r="H26" s="159"/>
      <c r="I26" s="237"/>
      <c r="J26" s="291"/>
      <c r="K26" s="291"/>
      <c r="L26" s="159"/>
      <c r="M26" s="159"/>
    </row>
    <row r="27" spans="1:14" ht="15.75" x14ac:dyDescent="0.2">
      <c r="A27" s="298" t="s">
        <v>319</v>
      </c>
      <c r="B27" s="291">
        <v>244</v>
      </c>
      <c r="C27" s="291">
        <v>273</v>
      </c>
      <c r="D27" s="159">
        <f t="shared" si="4"/>
        <v>11.9</v>
      </c>
      <c r="E27" s="170">
        <f>IFERROR(100/'Skjema total MA'!C27*C27,0)</f>
        <v>1.4116403188862205</v>
      </c>
      <c r="F27" s="291"/>
      <c r="G27" s="291"/>
      <c r="H27" s="159"/>
      <c r="I27" s="237"/>
      <c r="J27" s="291">
        <v>244</v>
      </c>
      <c r="K27" s="291">
        <v>273</v>
      </c>
      <c r="L27" s="159">
        <f t="shared" ref="L27" si="6">IF(J27=0, "    ---- ", IF(ABS(ROUND(100/J27*K27-100,1))&lt;999,ROUND(100/J27*K27-100,1),IF(ROUND(100/J27*K27-100,1)&gt;999,999,-999)))</f>
        <v>11.9</v>
      </c>
      <c r="M27" s="159">
        <f>IFERROR(100/'Skjema total MA'!I27*K27,0)</f>
        <v>1.0630424710186399</v>
      </c>
    </row>
    <row r="28" spans="1:14" ht="15.75" x14ac:dyDescent="0.2">
      <c r="A28" s="298" t="s">
        <v>320</v>
      </c>
      <c r="B28" s="291"/>
      <c r="C28" s="291"/>
      <c r="D28" s="159"/>
      <c r="E28" s="237"/>
      <c r="F28" s="291"/>
      <c r="G28" s="291"/>
      <c r="H28" s="159"/>
      <c r="I28" s="237"/>
      <c r="J28" s="291"/>
      <c r="K28" s="291"/>
      <c r="L28" s="159"/>
      <c r="M28" s="159"/>
    </row>
    <row r="29" spans="1:14" x14ac:dyDescent="0.2">
      <c r="A29" s="298" t="s">
        <v>11</v>
      </c>
      <c r="B29" s="291"/>
      <c r="C29" s="291"/>
      <c r="D29" s="159"/>
      <c r="E29" s="237"/>
      <c r="F29" s="291"/>
      <c r="G29" s="291"/>
      <c r="H29" s="159"/>
      <c r="I29" s="237"/>
      <c r="J29" s="291"/>
      <c r="K29" s="291"/>
      <c r="L29" s="159"/>
      <c r="M29" s="159"/>
    </row>
    <row r="30" spans="1:14" ht="15.75" x14ac:dyDescent="0.2">
      <c r="A30" s="42" t="s">
        <v>308</v>
      </c>
      <c r="B30" s="37">
        <v>244</v>
      </c>
      <c r="C30" s="288">
        <v>273</v>
      </c>
      <c r="D30" s="159">
        <f t="shared" si="4"/>
        <v>11.9</v>
      </c>
      <c r="E30" s="170">
        <f>IFERROR(100/'Skjema total MA'!C30*C30,0)</f>
        <v>1.8268031895812085E-2</v>
      </c>
      <c r="F30" s="229"/>
      <c r="G30" s="288"/>
      <c r="H30" s="159"/>
      <c r="I30" s="170"/>
      <c r="J30" s="37">
        <v>244</v>
      </c>
      <c r="K30" s="37">
        <v>273</v>
      </c>
      <c r="L30" s="256">
        <f t="shared" si="5"/>
        <v>11.9</v>
      </c>
      <c r="M30" s="159">
        <f>IFERROR(100/'Skjema total MA'!I30*K30,0)</f>
        <v>1.8268031895812085E-2</v>
      </c>
    </row>
    <row r="31" spans="1:14" ht="15.75" x14ac:dyDescent="0.2">
      <c r="A31" s="11" t="s">
        <v>29</v>
      </c>
      <c r="B31" s="231"/>
      <c r="C31" s="231"/>
      <c r="D31" s="159"/>
      <c r="E31" s="170"/>
      <c r="F31" s="310"/>
      <c r="G31" s="310"/>
      <c r="H31" s="159"/>
      <c r="I31" s="170"/>
      <c r="J31" s="231"/>
      <c r="K31" s="231"/>
      <c r="L31" s="256"/>
      <c r="M31" s="159"/>
    </row>
    <row r="32" spans="1:14" ht="15.75" x14ac:dyDescent="0.2">
      <c r="A32" s="298" t="s">
        <v>318</v>
      </c>
      <c r="B32" s="291"/>
      <c r="C32" s="291"/>
      <c r="D32" s="159"/>
      <c r="E32" s="237"/>
      <c r="F32" s="291"/>
      <c r="G32" s="291"/>
      <c r="H32" s="159"/>
      <c r="I32" s="237"/>
      <c r="J32" s="291"/>
      <c r="K32" s="291"/>
      <c r="L32" s="159"/>
      <c r="M32" s="159"/>
    </row>
    <row r="33" spans="1:14" ht="15.75" x14ac:dyDescent="0.2">
      <c r="A33" s="298" t="s">
        <v>320</v>
      </c>
      <c r="B33" s="291"/>
      <c r="C33" s="291"/>
      <c r="D33" s="159"/>
      <c r="E33" s="237"/>
      <c r="F33" s="291"/>
      <c r="G33" s="291"/>
      <c r="H33" s="159"/>
      <c r="I33" s="237"/>
      <c r="J33" s="291"/>
      <c r="K33" s="291"/>
      <c r="L33" s="159"/>
      <c r="M33" s="159"/>
    </row>
    <row r="34" spans="1:14" s="21" customFormat="1" x14ac:dyDescent="0.2">
      <c r="A34" s="298" t="s">
        <v>16</v>
      </c>
      <c r="B34" s="291"/>
      <c r="C34" s="291"/>
      <c r="D34" s="159"/>
      <c r="E34" s="237"/>
      <c r="F34" s="291"/>
      <c r="G34" s="291"/>
      <c r="H34" s="159"/>
      <c r="I34" s="237"/>
      <c r="J34" s="291"/>
      <c r="K34" s="291"/>
      <c r="L34" s="159"/>
      <c r="M34" s="159"/>
      <c r="N34" s="166"/>
    </row>
    <row r="35" spans="1:14" ht="15.75" x14ac:dyDescent="0.2">
      <c r="A35" s="42" t="s">
        <v>308</v>
      </c>
      <c r="B35" s="37"/>
      <c r="C35" s="288"/>
      <c r="D35" s="159"/>
      <c r="E35" s="170"/>
      <c r="F35" s="229"/>
      <c r="G35" s="288"/>
      <c r="H35" s="159"/>
      <c r="I35" s="170"/>
      <c r="J35" s="37"/>
      <c r="K35" s="37"/>
      <c r="L35" s="256"/>
      <c r="M35" s="159"/>
    </row>
    <row r="36" spans="1:14" s="3" customFormat="1" ht="15.75" x14ac:dyDescent="0.2">
      <c r="A36" s="11" t="s">
        <v>28</v>
      </c>
      <c r="B36" s="231">
        <v>2522</v>
      </c>
      <c r="C36" s="311">
        <v>2486</v>
      </c>
      <c r="D36" s="159">
        <f t="shared" si="4"/>
        <v>-1.4</v>
      </c>
      <c r="E36" s="170">
        <f>IFERROR(100/'Skjema total MA'!C36*C36,0)</f>
        <v>4.9160627410897656E-3</v>
      </c>
      <c r="F36" s="310"/>
      <c r="G36" s="311"/>
      <c r="H36" s="159"/>
      <c r="I36" s="170"/>
      <c r="J36" s="231">
        <v>2522</v>
      </c>
      <c r="K36" s="231">
        <v>2486</v>
      </c>
      <c r="L36" s="256">
        <f t="shared" si="5"/>
        <v>-1.4</v>
      </c>
      <c r="M36" s="159">
        <f>IFERROR(100/'Skjema total MA'!I36*K36,0)</f>
        <v>3.567603801350305E-3</v>
      </c>
      <c r="N36" s="142"/>
    </row>
    <row r="37" spans="1:14" s="3" customFormat="1" ht="15.75" x14ac:dyDescent="0.2">
      <c r="A37" s="298" t="s">
        <v>318</v>
      </c>
      <c r="B37" s="291"/>
      <c r="C37" s="291"/>
      <c r="D37" s="159"/>
      <c r="E37" s="170"/>
      <c r="F37" s="291"/>
      <c r="G37" s="291"/>
      <c r="H37" s="159"/>
      <c r="I37" s="237"/>
      <c r="J37" s="291"/>
      <c r="K37" s="291"/>
      <c r="L37" s="159"/>
      <c r="M37" s="159"/>
      <c r="N37" s="142"/>
    </row>
    <row r="38" spans="1:14" s="3" customFormat="1" ht="15.75" x14ac:dyDescent="0.2">
      <c r="A38" s="298" t="s">
        <v>319</v>
      </c>
      <c r="B38" s="291">
        <v>2522</v>
      </c>
      <c r="C38" s="291">
        <v>2486</v>
      </c>
      <c r="D38" s="159">
        <f t="shared" si="4"/>
        <v>-1.4</v>
      </c>
      <c r="E38" s="170">
        <f>IFERROR(100/'Skjema total MA'!C38*C38,0)</f>
        <v>6.8394443146660945E-3</v>
      </c>
      <c r="F38" s="291"/>
      <c r="G38" s="291"/>
      <c r="H38" s="159"/>
      <c r="I38" s="237"/>
      <c r="J38" s="291">
        <v>2522</v>
      </c>
      <c r="K38" s="291">
        <v>2486</v>
      </c>
      <c r="L38" s="159">
        <f t="shared" ref="L38" si="7">IF(J38=0, "    ---- ", IF(ABS(ROUND(100/J38*K38-100,1))&lt;999,ROUND(100/J38*K38-100,1),IF(ROUND(100/J38*K38-100,1)&gt;999,999,-999)))</f>
        <v>-1.4</v>
      </c>
      <c r="M38" s="159">
        <f>IFERROR(100/'Skjema total MA'!I38*K38,0)</f>
        <v>5.2079176729246069E-3</v>
      </c>
      <c r="N38" s="142"/>
    </row>
    <row r="39" spans="1:14" ht="15.75" x14ac:dyDescent="0.2">
      <c r="A39" s="298" t="s">
        <v>320</v>
      </c>
      <c r="B39" s="291"/>
      <c r="C39" s="291"/>
      <c r="D39" s="159"/>
      <c r="E39" s="237"/>
      <c r="F39" s="291"/>
      <c r="G39" s="291"/>
      <c r="H39" s="159"/>
      <c r="I39" s="237"/>
      <c r="J39" s="291"/>
      <c r="K39" s="291"/>
      <c r="L39" s="159"/>
      <c r="M39" s="159"/>
    </row>
    <row r="40" spans="1:14" ht="15.75" x14ac:dyDescent="0.2">
      <c r="A40" s="11" t="s">
        <v>27</v>
      </c>
      <c r="B40" s="231"/>
      <c r="C40" s="311"/>
      <c r="D40" s="159"/>
      <c r="E40" s="170"/>
      <c r="F40" s="310"/>
      <c r="G40" s="311"/>
      <c r="H40" s="159"/>
      <c r="I40" s="170"/>
      <c r="J40" s="231"/>
      <c r="K40" s="231"/>
      <c r="L40" s="256"/>
      <c r="M40" s="159"/>
    </row>
    <row r="41" spans="1:14" ht="15.75" x14ac:dyDescent="0.2">
      <c r="A41" s="11" t="s">
        <v>26</v>
      </c>
      <c r="B41" s="231"/>
      <c r="C41" s="311"/>
      <c r="D41" s="159"/>
      <c r="E41" s="170"/>
      <c r="F41" s="310"/>
      <c r="G41" s="311"/>
      <c r="H41" s="159"/>
      <c r="I41" s="170"/>
      <c r="J41" s="231"/>
      <c r="K41" s="231"/>
      <c r="L41" s="256"/>
      <c r="M41" s="159"/>
    </row>
    <row r="42" spans="1:14" ht="15.75" x14ac:dyDescent="0.2">
      <c r="A42" s="10" t="s">
        <v>321</v>
      </c>
      <c r="B42" s="231"/>
      <c r="C42" s="311"/>
      <c r="D42" s="159"/>
      <c r="E42" s="170"/>
      <c r="F42" s="321"/>
      <c r="G42" s="322"/>
      <c r="H42" s="159"/>
      <c r="I42" s="237"/>
      <c r="J42" s="231"/>
      <c r="K42" s="231"/>
      <c r="L42" s="256"/>
      <c r="M42" s="159"/>
    </row>
    <row r="43" spans="1:14" ht="15.75" x14ac:dyDescent="0.2">
      <c r="A43" s="10" t="s">
        <v>322</v>
      </c>
      <c r="B43" s="231"/>
      <c r="C43" s="311"/>
      <c r="D43" s="159"/>
      <c r="E43" s="170"/>
      <c r="F43" s="321"/>
      <c r="G43" s="322"/>
      <c r="H43" s="159"/>
      <c r="I43" s="237"/>
      <c r="J43" s="231"/>
      <c r="K43" s="231"/>
      <c r="L43" s="256"/>
      <c r="M43" s="159"/>
    </row>
    <row r="44" spans="1:14" ht="15.75" x14ac:dyDescent="0.2">
      <c r="A44" s="10" t="s">
        <v>323</v>
      </c>
      <c r="B44" s="231"/>
      <c r="C44" s="311"/>
      <c r="D44" s="159"/>
      <c r="E44" s="170"/>
      <c r="F44" s="321"/>
      <c r="G44" s="323"/>
      <c r="H44" s="159"/>
      <c r="I44" s="237"/>
      <c r="J44" s="231"/>
      <c r="K44" s="231"/>
      <c r="L44" s="256"/>
      <c r="M44" s="159"/>
    </row>
    <row r="45" spans="1:14" ht="15.75" x14ac:dyDescent="0.2">
      <c r="A45" s="10" t="s">
        <v>324</v>
      </c>
      <c r="B45" s="231"/>
      <c r="C45" s="311"/>
      <c r="D45" s="159"/>
      <c r="E45" s="170"/>
      <c r="F45" s="321"/>
      <c r="G45" s="322"/>
      <c r="H45" s="159"/>
      <c r="I45" s="237"/>
      <c r="J45" s="231"/>
      <c r="K45" s="231"/>
      <c r="L45" s="256"/>
      <c r="M45" s="159"/>
    </row>
    <row r="46" spans="1:14" ht="15.75" x14ac:dyDescent="0.2">
      <c r="A46" s="16" t="s">
        <v>325</v>
      </c>
      <c r="B46" s="277"/>
      <c r="C46" s="317"/>
      <c r="D46" s="160"/>
      <c r="E46" s="201"/>
      <c r="F46" s="324"/>
      <c r="G46" s="325"/>
      <c r="H46" s="160"/>
      <c r="I46" s="160"/>
      <c r="J46" s="231"/>
      <c r="K46" s="231"/>
      <c r="L46" s="257"/>
      <c r="M46" s="160"/>
    </row>
    <row r="47" spans="1:14" ht="15.75" x14ac:dyDescent="0.25">
      <c r="A47" s="40"/>
      <c r="B47" s="254"/>
      <c r="C47" s="254"/>
      <c r="D47" s="836"/>
      <c r="E47" s="836"/>
      <c r="F47" s="836"/>
      <c r="G47" s="836"/>
      <c r="H47" s="836"/>
      <c r="I47" s="836"/>
      <c r="J47" s="836"/>
      <c r="K47" s="836"/>
      <c r="L47" s="836"/>
      <c r="M47" s="304"/>
    </row>
    <row r="48" spans="1:14" x14ac:dyDescent="0.2">
      <c r="A48" s="148"/>
    </row>
    <row r="49" spans="1:14" ht="15.75" x14ac:dyDescent="0.25">
      <c r="A49" s="141" t="s">
        <v>305</v>
      </c>
      <c r="B49" s="835"/>
      <c r="C49" s="835"/>
      <c r="D49" s="835"/>
      <c r="E49" s="301"/>
      <c r="F49" s="837"/>
      <c r="G49" s="837"/>
      <c r="H49" s="837"/>
      <c r="I49" s="304"/>
      <c r="J49" s="837"/>
      <c r="K49" s="837"/>
      <c r="L49" s="837"/>
      <c r="M49" s="304"/>
    </row>
    <row r="50" spans="1:14" ht="15.75" x14ac:dyDescent="0.25">
      <c r="A50" s="156"/>
      <c r="B50" s="305"/>
      <c r="C50" s="305"/>
      <c r="D50" s="305"/>
      <c r="E50" s="305"/>
      <c r="F50" s="304"/>
      <c r="G50" s="304"/>
      <c r="H50" s="304"/>
      <c r="I50" s="304"/>
      <c r="J50" s="304"/>
      <c r="K50" s="304"/>
      <c r="L50" s="304"/>
      <c r="M50" s="304"/>
    </row>
    <row r="51" spans="1:14" ht="15.75" x14ac:dyDescent="0.25">
      <c r="A51" s="244"/>
      <c r="B51" s="833" t="s">
        <v>0</v>
      </c>
      <c r="C51" s="834"/>
      <c r="D51" s="834"/>
      <c r="E51" s="240"/>
      <c r="F51" s="304"/>
      <c r="G51" s="304"/>
      <c r="H51" s="304"/>
      <c r="I51" s="304"/>
      <c r="J51" s="304"/>
      <c r="K51" s="304"/>
      <c r="L51" s="304"/>
      <c r="M51" s="304"/>
    </row>
    <row r="52" spans="1:14" s="3" customFormat="1" x14ac:dyDescent="0.2">
      <c r="A52" s="134"/>
      <c r="B52" s="167" t="s">
        <v>400</v>
      </c>
      <c r="C52" s="167" t="s">
        <v>401</v>
      </c>
      <c r="D52" s="155" t="s">
        <v>3</v>
      </c>
      <c r="E52" s="155" t="s">
        <v>37</v>
      </c>
      <c r="F52" s="169"/>
      <c r="G52" s="169"/>
      <c r="H52" s="168"/>
      <c r="I52" s="168"/>
      <c r="J52" s="169"/>
      <c r="K52" s="169"/>
      <c r="L52" s="168"/>
      <c r="M52" s="168"/>
      <c r="N52" s="142"/>
    </row>
    <row r="53" spans="1:14" s="3" customFormat="1" x14ac:dyDescent="0.2">
      <c r="A53" s="403"/>
      <c r="B53" s="241"/>
      <c r="C53" s="241"/>
      <c r="D53" s="242" t="s">
        <v>4</v>
      </c>
      <c r="E53" s="149" t="s">
        <v>38</v>
      </c>
      <c r="F53" s="168"/>
      <c r="G53" s="168"/>
      <c r="H53" s="168"/>
      <c r="I53" s="168"/>
      <c r="J53" s="168"/>
      <c r="K53" s="168"/>
      <c r="L53" s="168"/>
      <c r="M53" s="168"/>
      <c r="N53" s="142"/>
    </row>
    <row r="54" spans="1:14" s="3" customFormat="1" ht="15.75" x14ac:dyDescent="0.2">
      <c r="A54" s="12" t="s">
        <v>30</v>
      </c>
      <c r="B54" s="312">
        <v>34</v>
      </c>
      <c r="C54" s="313">
        <v>0</v>
      </c>
      <c r="D54" s="255">
        <f t="shared" ref="D54" si="8">IF(B54=0, "    ---- ", IF(ABS(ROUND(100/B54*C54-100,1))&lt;999,ROUND(100/B54*C54-100,1),IF(ROUND(100/B54*C54-100,1)&gt;999,999,-999)))</f>
        <v>-100</v>
      </c>
      <c r="E54" s="170">
        <f>IFERROR(100/'Skjema total MA'!C54*C54,0)</f>
        <v>0</v>
      </c>
      <c r="F54" s="139"/>
      <c r="G54" s="27"/>
      <c r="H54" s="152"/>
      <c r="I54" s="152"/>
      <c r="J54" s="30"/>
      <c r="K54" s="30"/>
      <c r="L54" s="152"/>
      <c r="M54" s="152"/>
      <c r="N54" s="142"/>
    </row>
    <row r="55" spans="1:14" s="3" customFormat="1" ht="15.75" x14ac:dyDescent="0.2">
      <c r="A55" s="31" t="s">
        <v>326</v>
      </c>
      <c r="B55" s="282"/>
      <c r="C55" s="283"/>
      <c r="D55" s="256"/>
      <c r="E55" s="170"/>
      <c r="F55" s="139"/>
      <c r="G55" s="27"/>
      <c r="H55" s="139"/>
      <c r="I55" s="139"/>
      <c r="J55" s="27"/>
      <c r="K55" s="27"/>
      <c r="L55" s="152"/>
      <c r="M55" s="152"/>
      <c r="N55" s="142"/>
    </row>
    <row r="56" spans="1:14" s="3" customFormat="1" ht="15.75" x14ac:dyDescent="0.2">
      <c r="A56" s="31" t="s">
        <v>327</v>
      </c>
      <c r="B56" s="37">
        <v>34</v>
      </c>
      <c r="C56" s="288">
        <v>0</v>
      </c>
      <c r="D56" s="256">
        <f>IF(B56=0, "    ---- ", IF(ABS(ROUND(100/B56*C56-100,1))&lt;999,ROUND(100/B56*C56-100,1),IF(ROUND(100/B56*C56-100,1)&gt;999,999,-999)))</f>
        <v>-100</v>
      </c>
      <c r="E56" s="170">
        <f>IFERROR(100/'Skjema total MA'!C56*C56,0)</f>
        <v>0</v>
      </c>
      <c r="F56" s="139"/>
      <c r="G56" s="27"/>
      <c r="H56" s="139"/>
      <c r="I56" s="139"/>
      <c r="J56" s="30"/>
      <c r="K56" s="30"/>
      <c r="L56" s="152"/>
      <c r="M56" s="152"/>
      <c r="N56" s="142"/>
    </row>
    <row r="57" spans="1:14" s="3" customFormat="1" x14ac:dyDescent="0.2">
      <c r="A57" s="298" t="s">
        <v>6</v>
      </c>
      <c r="B57" s="291"/>
      <c r="C57" s="292"/>
      <c r="D57" s="256"/>
      <c r="E57" s="159"/>
      <c r="F57" s="139"/>
      <c r="G57" s="27"/>
      <c r="H57" s="139"/>
      <c r="I57" s="139"/>
      <c r="J57" s="27"/>
      <c r="K57" s="27"/>
      <c r="L57" s="152"/>
      <c r="M57" s="152"/>
      <c r="N57" s="142"/>
    </row>
    <row r="58" spans="1:14" s="3" customFormat="1" x14ac:dyDescent="0.2">
      <c r="A58" s="298" t="s">
        <v>7</v>
      </c>
      <c r="B58" s="291">
        <v>34</v>
      </c>
      <c r="C58" s="292">
        <v>0</v>
      </c>
      <c r="D58" s="256">
        <f>IF(B58=0, "    ---- ", IF(ABS(ROUND(100/B58*C58-100,1))&lt;999,ROUND(100/B58*C58-100,1),IF(ROUND(100/B58*C58-100,1)&gt;999,999,-999)))</f>
        <v>-100</v>
      </c>
      <c r="E58" s="170">
        <f>IFERROR(100/'Skjema total MA'!C58*C58,0)</f>
        <v>0</v>
      </c>
      <c r="F58" s="139"/>
      <c r="G58" s="27"/>
      <c r="H58" s="139"/>
      <c r="I58" s="139"/>
      <c r="J58" s="27"/>
      <c r="K58" s="27"/>
      <c r="L58" s="152"/>
      <c r="M58" s="152"/>
      <c r="N58" s="142"/>
    </row>
    <row r="59" spans="1:14" s="3" customFormat="1" x14ac:dyDescent="0.2">
      <c r="A59" s="298" t="s">
        <v>8</v>
      </c>
      <c r="B59" s="291"/>
      <c r="C59" s="292"/>
      <c r="D59" s="256"/>
      <c r="E59" s="159"/>
      <c r="F59" s="139"/>
      <c r="G59" s="27"/>
      <c r="H59" s="139"/>
      <c r="I59" s="139"/>
      <c r="J59" s="27"/>
      <c r="K59" s="27"/>
      <c r="L59" s="152"/>
      <c r="M59" s="152"/>
      <c r="N59" s="142"/>
    </row>
    <row r="60" spans="1:14" s="3" customFormat="1" ht="15.75" x14ac:dyDescent="0.2">
      <c r="A60" s="11" t="s">
        <v>29</v>
      </c>
      <c r="B60" s="312"/>
      <c r="C60" s="313"/>
      <c r="D60" s="256"/>
      <c r="E60" s="170"/>
      <c r="F60" s="139"/>
      <c r="G60" s="27"/>
      <c r="H60" s="139"/>
      <c r="I60" s="139"/>
      <c r="J60" s="27"/>
      <c r="K60" s="27"/>
      <c r="L60" s="152"/>
      <c r="M60" s="152"/>
      <c r="N60" s="142"/>
    </row>
    <row r="61" spans="1:14" s="3" customFormat="1" ht="15.75" x14ac:dyDescent="0.2">
      <c r="A61" s="31" t="s">
        <v>326</v>
      </c>
      <c r="B61" s="282"/>
      <c r="C61" s="283"/>
      <c r="D61" s="256"/>
      <c r="E61" s="170"/>
      <c r="F61" s="139"/>
      <c r="G61" s="27"/>
      <c r="H61" s="139"/>
      <c r="I61" s="139"/>
      <c r="J61" s="27"/>
      <c r="K61" s="27"/>
      <c r="L61" s="152"/>
      <c r="M61" s="152"/>
      <c r="N61" s="142"/>
    </row>
    <row r="62" spans="1:14" s="3" customFormat="1" ht="15.75" x14ac:dyDescent="0.2">
      <c r="A62" s="31" t="s">
        <v>327</v>
      </c>
      <c r="B62" s="37"/>
      <c r="C62" s="288"/>
      <c r="D62" s="256"/>
      <c r="E62" s="170"/>
      <c r="F62" s="139"/>
      <c r="G62" s="27"/>
      <c r="H62" s="139"/>
      <c r="I62" s="139"/>
      <c r="J62" s="27"/>
      <c r="K62" s="27"/>
      <c r="L62" s="152"/>
      <c r="M62" s="152"/>
      <c r="N62" s="142"/>
    </row>
    <row r="63" spans="1:14" s="3" customFormat="1" x14ac:dyDescent="0.2">
      <c r="A63" s="298" t="s">
        <v>6</v>
      </c>
      <c r="B63" s="282"/>
      <c r="C63" s="283"/>
      <c r="D63" s="256"/>
      <c r="E63" s="159"/>
      <c r="F63" s="139"/>
      <c r="G63" s="27"/>
      <c r="H63" s="139"/>
      <c r="I63" s="139"/>
      <c r="J63" s="27"/>
      <c r="K63" s="27"/>
      <c r="L63" s="152"/>
      <c r="M63" s="152"/>
      <c r="N63" s="142"/>
    </row>
    <row r="64" spans="1:14" s="3" customFormat="1" x14ac:dyDescent="0.2">
      <c r="A64" s="298" t="s">
        <v>7</v>
      </c>
      <c r="B64" s="282"/>
      <c r="C64" s="283"/>
      <c r="D64" s="256"/>
      <c r="E64" s="159"/>
      <c r="F64" s="139"/>
      <c r="G64" s="27"/>
      <c r="H64" s="139"/>
      <c r="I64" s="139"/>
      <c r="J64" s="27"/>
      <c r="K64" s="27"/>
      <c r="L64" s="152"/>
      <c r="M64" s="152"/>
      <c r="N64" s="142"/>
    </row>
    <row r="65" spans="1:14" s="3" customFormat="1" x14ac:dyDescent="0.2">
      <c r="A65" s="298" t="s">
        <v>8</v>
      </c>
      <c r="B65" s="282"/>
      <c r="C65" s="283"/>
      <c r="D65" s="256"/>
      <c r="E65" s="159"/>
      <c r="F65" s="139"/>
      <c r="G65" s="27"/>
      <c r="H65" s="139"/>
      <c r="I65" s="139"/>
      <c r="J65" s="27"/>
      <c r="K65" s="27"/>
      <c r="L65" s="152"/>
      <c r="M65" s="152"/>
      <c r="N65" s="142"/>
    </row>
    <row r="66" spans="1:14" s="3" customFormat="1" ht="15.75" x14ac:dyDescent="0.2">
      <c r="A66" s="32" t="s">
        <v>328</v>
      </c>
      <c r="B66" s="312"/>
      <c r="C66" s="313"/>
      <c r="D66" s="256"/>
      <c r="E66" s="170"/>
      <c r="F66" s="139"/>
      <c r="G66" s="27"/>
      <c r="H66" s="139"/>
      <c r="I66" s="139"/>
      <c r="J66" s="27"/>
      <c r="K66" s="27"/>
      <c r="L66" s="152"/>
      <c r="M66" s="152"/>
      <c r="N66" s="142"/>
    </row>
    <row r="67" spans="1:14" s="3" customFormat="1" ht="15.75" x14ac:dyDescent="0.2">
      <c r="A67" s="31" t="s">
        <v>326</v>
      </c>
      <c r="B67" s="282"/>
      <c r="C67" s="283"/>
      <c r="D67" s="256"/>
      <c r="E67" s="170"/>
      <c r="F67" s="139"/>
      <c r="G67" s="27"/>
      <c r="H67" s="139"/>
      <c r="I67" s="139"/>
      <c r="J67" s="27"/>
      <c r="K67" s="27"/>
      <c r="L67" s="152"/>
      <c r="M67" s="152"/>
      <c r="N67" s="142"/>
    </row>
    <row r="68" spans="1:14" s="3" customFormat="1" ht="15.75" x14ac:dyDescent="0.2">
      <c r="A68" s="31" t="s">
        <v>327</v>
      </c>
      <c r="B68" s="282"/>
      <c r="C68" s="283"/>
      <c r="D68" s="256"/>
      <c r="E68" s="170"/>
      <c r="F68" s="139"/>
      <c r="G68" s="27"/>
      <c r="H68" s="139"/>
      <c r="I68" s="139"/>
      <c r="J68" s="27"/>
      <c r="K68" s="27"/>
      <c r="L68" s="152"/>
      <c r="M68" s="152"/>
      <c r="N68" s="142"/>
    </row>
    <row r="69" spans="1:14" s="3" customFormat="1" ht="15.75" x14ac:dyDescent="0.2">
      <c r="A69" s="32" t="s">
        <v>329</v>
      </c>
      <c r="B69" s="312"/>
      <c r="C69" s="313"/>
      <c r="D69" s="256"/>
      <c r="E69" s="170"/>
      <c r="F69" s="139"/>
      <c r="G69" s="27"/>
      <c r="H69" s="139"/>
      <c r="I69" s="139"/>
      <c r="J69" s="27"/>
      <c r="K69" s="27"/>
      <c r="L69" s="152"/>
      <c r="M69" s="152"/>
      <c r="N69" s="142"/>
    </row>
    <row r="70" spans="1:14" s="3" customFormat="1" ht="15.75" x14ac:dyDescent="0.2">
      <c r="A70" s="31" t="s">
        <v>326</v>
      </c>
      <c r="B70" s="282"/>
      <c r="C70" s="283"/>
      <c r="D70" s="256"/>
      <c r="E70" s="170"/>
      <c r="F70" s="139"/>
      <c r="G70" s="27"/>
      <c r="H70" s="139"/>
      <c r="I70" s="139"/>
      <c r="J70" s="27"/>
      <c r="K70" s="27"/>
      <c r="L70" s="152"/>
      <c r="M70" s="152"/>
      <c r="N70" s="142"/>
    </row>
    <row r="71" spans="1:14" s="3" customFormat="1" ht="15.75" x14ac:dyDescent="0.2">
      <c r="A71" s="39" t="s">
        <v>327</v>
      </c>
      <c r="B71" s="284"/>
      <c r="C71" s="285"/>
      <c r="D71" s="257"/>
      <c r="E71" s="160"/>
      <c r="F71" s="139"/>
      <c r="G71" s="27"/>
      <c r="H71" s="139"/>
      <c r="I71" s="139"/>
      <c r="J71" s="27"/>
      <c r="K71" s="27"/>
      <c r="L71" s="152"/>
      <c r="M71" s="152"/>
      <c r="N71" s="142"/>
    </row>
    <row r="72" spans="1:14" s="3" customFormat="1" ht="15.75" x14ac:dyDescent="0.25">
      <c r="A72" s="157"/>
      <c r="B72" s="147"/>
      <c r="C72" s="147"/>
      <c r="D72" s="147"/>
      <c r="E72" s="147"/>
      <c r="F72" s="136"/>
      <c r="G72" s="136"/>
      <c r="H72" s="136"/>
      <c r="I72" s="136"/>
      <c r="J72" s="136"/>
      <c r="K72" s="136"/>
      <c r="L72" s="136"/>
      <c r="M72" s="136"/>
      <c r="N72" s="142"/>
    </row>
    <row r="73" spans="1:14" x14ac:dyDescent="0.2">
      <c r="A73" s="148"/>
    </row>
    <row r="74" spans="1:14" ht="15.75" x14ac:dyDescent="0.25">
      <c r="A74" s="141" t="s">
        <v>306</v>
      </c>
      <c r="C74" s="20"/>
      <c r="D74" s="20"/>
      <c r="E74" s="20"/>
      <c r="F74" s="20"/>
      <c r="G74" s="20"/>
      <c r="H74" s="20"/>
      <c r="I74" s="20"/>
      <c r="J74" s="20"/>
      <c r="K74" s="20"/>
      <c r="L74" s="20"/>
      <c r="M74" s="20"/>
    </row>
    <row r="75" spans="1:14" ht="15.75" x14ac:dyDescent="0.25">
      <c r="B75" s="832"/>
      <c r="C75" s="832"/>
      <c r="D75" s="832"/>
      <c r="E75" s="301"/>
      <c r="F75" s="832"/>
      <c r="G75" s="832"/>
      <c r="H75" s="832"/>
      <c r="I75" s="301"/>
      <c r="J75" s="832"/>
      <c r="K75" s="832"/>
      <c r="L75" s="832"/>
      <c r="M75" s="301"/>
    </row>
    <row r="76" spans="1:14" x14ac:dyDescent="0.2">
      <c r="A76" s="138"/>
      <c r="B76" s="833" t="s">
        <v>0</v>
      </c>
      <c r="C76" s="834"/>
      <c r="D76" s="838"/>
      <c r="E76" s="302"/>
      <c r="F76" s="834" t="s">
        <v>1</v>
      </c>
      <c r="G76" s="834"/>
      <c r="H76" s="834"/>
      <c r="I76" s="306"/>
      <c r="J76" s="833" t="s">
        <v>2</v>
      </c>
      <c r="K76" s="834"/>
      <c r="L76" s="834"/>
      <c r="M76" s="306"/>
    </row>
    <row r="77" spans="1:14" x14ac:dyDescent="0.2">
      <c r="A77" s="134"/>
      <c r="B77" s="145" t="s">
        <v>400</v>
      </c>
      <c r="C77" s="145" t="s">
        <v>401</v>
      </c>
      <c r="D77" s="242" t="s">
        <v>3</v>
      </c>
      <c r="E77" s="307" t="s">
        <v>37</v>
      </c>
      <c r="F77" s="145" t="s">
        <v>400</v>
      </c>
      <c r="G77" s="145" t="s">
        <v>401</v>
      </c>
      <c r="H77" s="242" t="s">
        <v>3</v>
      </c>
      <c r="I77" s="307" t="s">
        <v>37</v>
      </c>
      <c r="J77" s="145" t="s">
        <v>400</v>
      </c>
      <c r="K77" s="145" t="s">
        <v>401</v>
      </c>
      <c r="L77" s="242" t="s">
        <v>3</v>
      </c>
      <c r="M77" s="155" t="s">
        <v>37</v>
      </c>
    </row>
    <row r="78" spans="1:14" x14ac:dyDescent="0.2">
      <c r="A78" s="403"/>
      <c r="B78" s="149"/>
      <c r="C78" s="149"/>
      <c r="D78" s="243" t="s">
        <v>4</v>
      </c>
      <c r="E78" s="149" t="s">
        <v>38</v>
      </c>
      <c r="F78" s="154"/>
      <c r="G78" s="154"/>
      <c r="H78" s="242" t="s">
        <v>4</v>
      </c>
      <c r="I78" s="149" t="s">
        <v>38</v>
      </c>
      <c r="J78" s="154"/>
      <c r="K78" s="154"/>
      <c r="L78" s="242" t="s">
        <v>4</v>
      </c>
      <c r="M78" s="149" t="s">
        <v>38</v>
      </c>
    </row>
    <row r="79" spans="1:14" ht="15.75" x14ac:dyDescent="0.2">
      <c r="A79" s="12" t="s">
        <v>30</v>
      </c>
      <c r="B79" s="355"/>
      <c r="C79" s="355"/>
      <c r="D79" s="251"/>
      <c r="E79" s="251"/>
      <c r="F79" s="355"/>
      <c r="G79" s="355"/>
      <c r="H79" s="251"/>
      <c r="I79" s="170"/>
      <c r="J79" s="311"/>
      <c r="K79" s="318"/>
      <c r="L79" s="255"/>
      <c r="M79" s="170"/>
    </row>
    <row r="80" spans="1:14" x14ac:dyDescent="0.2">
      <c r="A80" s="18" t="s">
        <v>9</v>
      </c>
      <c r="B80" s="37"/>
      <c r="C80" s="139"/>
      <c r="D80" s="159"/>
      <c r="E80" s="159"/>
      <c r="F80" s="37"/>
      <c r="G80" s="139"/>
      <c r="H80" s="159"/>
      <c r="I80" s="170"/>
      <c r="J80" s="288"/>
      <c r="K80" s="37"/>
      <c r="L80" s="256"/>
      <c r="M80" s="170"/>
    </row>
    <row r="81" spans="1:14" x14ac:dyDescent="0.2">
      <c r="A81" s="18" t="s">
        <v>10</v>
      </c>
      <c r="B81" s="293"/>
      <c r="C81" s="294"/>
      <c r="D81" s="159"/>
      <c r="E81" s="159"/>
      <c r="F81" s="293"/>
      <c r="G81" s="294"/>
      <c r="H81" s="159"/>
      <c r="I81" s="170"/>
      <c r="J81" s="288"/>
      <c r="K81" s="37"/>
      <c r="L81" s="256"/>
      <c r="M81" s="170"/>
    </row>
    <row r="82" spans="1:14" ht="15.75" x14ac:dyDescent="0.2">
      <c r="A82" s="298" t="s">
        <v>330</v>
      </c>
      <c r="B82" s="282"/>
      <c r="C82" s="282"/>
      <c r="D82" s="159"/>
      <c r="E82" s="159"/>
      <c r="F82" s="805"/>
      <c r="G82" s="282"/>
      <c r="H82" s="159"/>
      <c r="I82" s="237"/>
      <c r="J82" s="291"/>
      <c r="K82" s="291"/>
      <c r="L82" s="159"/>
      <c r="M82" s="159"/>
    </row>
    <row r="83" spans="1:14" x14ac:dyDescent="0.2">
      <c r="A83" s="298" t="s">
        <v>12</v>
      </c>
      <c r="B83" s="295"/>
      <c r="C83" s="296"/>
      <c r="D83" s="159"/>
      <c r="E83" s="159"/>
      <c r="F83" s="806"/>
      <c r="G83" s="41"/>
      <c r="H83" s="159"/>
      <c r="I83" s="237"/>
      <c r="J83" s="291"/>
      <c r="K83" s="291"/>
      <c r="L83" s="159"/>
      <c r="M83" s="159"/>
    </row>
    <row r="84" spans="1:14" x14ac:dyDescent="0.2">
      <c r="A84" s="298" t="s">
        <v>13</v>
      </c>
      <c r="B84" s="230"/>
      <c r="C84" s="290"/>
      <c r="D84" s="159"/>
      <c r="E84" s="159"/>
      <c r="F84" s="229"/>
      <c r="G84" s="139"/>
      <c r="H84" s="159"/>
      <c r="I84" s="237"/>
      <c r="J84" s="291"/>
      <c r="K84" s="291"/>
      <c r="L84" s="159"/>
      <c r="M84" s="159"/>
    </row>
    <row r="85" spans="1:14" ht="15.75" x14ac:dyDescent="0.2">
      <c r="A85" s="298" t="s">
        <v>331</v>
      </c>
      <c r="B85" s="282"/>
      <c r="C85" s="282"/>
      <c r="D85" s="159"/>
      <c r="E85" s="159"/>
      <c r="F85" s="805"/>
      <c r="G85" s="282"/>
      <c r="H85" s="159"/>
      <c r="I85" s="237"/>
      <c r="J85" s="291"/>
      <c r="K85" s="291"/>
      <c r="L85" s="159"/>
      <c r="M85" s="159"/>
    </row>
    <row r="86" spans="1:14" x14ac:dyDescent="0.2">
      <c r="A86" s="298" t="s">
        <v>12</v>
      </c>
      <c r="B86" s="230"/>
      <c r="C86" s="290"/>
      <c r="D86" s="159"/>
      <c r="E86" s="159"/>
      <c r="F86" s="229"/>
      <c r="G86" s="139"/>
      <c r="H86" s="159"/>
      <c r="I86" s="237"/>
      <c r="J86" s="291"/>
      <c r="K86" s="291"/>
      <c r="L86" s="159"/>
      <c r="M86" s="159"/>
    </row>
    <row r="87" spans="1:14" s="3" customFormat="1" x14ac:dyDescent="0.2">
      <c r="A87" s="298" t="s">
        <v>13</v>
      </c>
      <c r="B87" s="230"/>
      <c r="C87" s="290"/>
      <c r="D87" s="159"/>
      <c r="E87" s="159"/>
      <c r="F87" s="229"/>
      <c r="G87" s="139"/>
      <c r="H87" s="159"/>
      <c r="I87" s="237"/>
      <c r="J87" s="291"/>
      <c r="K87" s="291"/>
      <c r="L87" s="159"/>
      <c r="M87" s="159"/>
      <c r="N87" s="142"/>
    </row>
    <row r="88" spans="1:14" s="3" customFormat="1" x14ac:dyDescent="0.2">
      <c r="A88" s="18" t="s">
        <v>33</v>
      </c>
      <c r="B88" s="229"/>
      <c r="C88" s="139"/>
      <c r="D88" s="159"/>
      <c r="E88" s="159"/>
      <c r="F88" s="229"/>
      <c r="G88" s="139"/>
      <c r="H88" s="159"/>
      <c r="I88" s="170"/>
      <c r="J88" s="288"/>
      <c r="K88" s="37"/>
      <c r="L88" s="256"/>
      <c r="M88" s="170"/>
      <c r="N88" s="142"/>
    </row>
    <row r="89" spans="1:14" ht="15.75" x14ac:dyDescent="0.2">
      <c r="A89" s="18" t="s">
        <v>332</v>
      </c>
      <c r="B89" s="229"/>
      <c r="C89" s="229"/>
      <c r="D89" s="159"/>
      <c r="E89" s="159"/>
      <c r="F89" s="229"/>
      <c r="G89" s="229"/>
      <c r="H89" s="159"/>
      <c r="I89" s="170"/>
      <c r="J89" s="288"/>
      <c r="K89" s="37"/>
      <c r="L89" s="256"/>
      <c r="M89" s="170"/>
    </row>
    <row r="90" spans="1:14" x14ac:dyDescent="0.2">
      <c r="A90" s="18" t="s">
        <v>9</v>
      </c>
      <c r="B90" s="229"/>
      <c r="C90" s="139"/>
      <c r="D90" s="159"/>
      <c r="E90" s="159"/>
      <c r="F90" s="229"/>
      <c r="G90" s="139"/>
      <c r="H90" s="159"/>
      <c r="I90" s="170"/>
      <c r="J90" s="288"/>
      <c r="K90" s="37"/>
      <c r="L90" s="256"/>
      <c r="M90" s="170"/>
    </row>
    <row r="91" spans="1:14" x14ac:dyDescent="0.2">
      <c r="A91" s="18" t="s">
        <v>10</v>
      </c>
      <c r="B91" s="293"/>
      <c r="C91" s="294"/>
      <c r="D91" s="159"/>
      <c r="E91" s="159"/>
      <c r="F91" s="293"/>
      <c r="G91" s="294"/>
      <c r="H91" s="159"/>
      <c r="I91" s="170"/>
      <c r="J91" s="288"/>
      <c r="K91" s="37"/>
      <c r="L91" s="256"/>
      <c r="M91" s="170"/>
    </row>
    <row r="92" spans="1:14" ht="15.75" x14ac:dyDescent="0.2">
      <c r="A92" s="298" t="s">
        <v>330</v>
      </c>
      <c r="B92" s="282"/>
      <c r="C92" s="282"/>
      <c r="D92" s="159"/>
      <c r="E92" s="159"/>
      <c r="F92" s="805"/>
      <c r="G92" s="282"/>
      <c r="H92" s="159"/>
      <c r="I92" s="237"/>
      <c r="J92" s="291"/>
      <c r="K92" s="291"/>
      <c r="L92" s="159"/>
      <c r="M92" s="159"/>
    </row>
    <row r="93" spans="1:14" x14ac:dyDescent="0.2">
      <c r="A93" s="298" t="s">
        <v>12</v>
      </c>
      <c r="B93" s="230"/>
      <c r="C93" s="290"/>
      <c r="D93" s="159"/>
      <c r="E93" s="159"/>
      <c r="F93" s="229"/>
      <c r="G93" s="139"/>
      <c r="H93" s="159"/>
      <c r="I93" s="237"/>
      <c r="J93" s="291"/>
      <c r="K93" s="291"/>
      <c r="L93" s="159"/>
      <c r="M93" s="159"/>
    </row>
    <row r="94" spans="1:14" x14ac:dyDescent="0.2">
      <c r="A94" s="298" t="s">
        <v>13</v>
      </c>
      <c r="B94" s="230"/>
      <c r="C94" s="290"/>
      <c r="D94" s="159"/>
      <c r="E94" s="159"/>
      <c r="F94" s="229"/>
      <c r="G94" s="139"/>
      <c r="H94" s="159"/>
      <c r="I94" s="237"/>
      <c r="J94" s="291"/>
      <c r="K94" s="291"/>
      <c r="L94" s="159"/>
      <c r="M94" s="159"/>
    </row>
    <row r="95" spans="1:14" ht="15.75" x14ac:dyDescent="0.2">
      <c r="A95" s="298" t="s">
        <v>331</v>
      </c>
      <c r="B95" s="282"/>
      <c r="C95" s="282"/>
      <c r="D95" s="159"/>
      <c r="E95" s="159"/>
      <c r="F95" s="805"/>
      <c r="G95" s="282"/>
      <c r="H95" s="159"/>
      <c r="I95" s="237"/>
      <c r="J95" s="291"/>
      <c r="K95" s="291"/>
      <c r="L95" s="159"/>
      <c r="M95" s="159"/>
    </row>
    <row r="96" spans="1:14" x14ac:dyDescent="0.2">
      <c r="A96" s="298" t="s">
        <v>12</v>
      </c>
      <c r="B96" s="230"/>
      <c r="C96" s="290"/>
      <c r="D96" s="159"/>
      <c r="E96" s="159"/>
      <c r="F96" s="229"/>
      <c r="G96" s="139"/>
      <c r="H96" s="159"/>
      <c r="I96" s="237"/>
      <c r="J96" s="291"/>
      <c r="K96" s="291"/>
      <c r="L96" s="159"/>
      <c r="M96" s="159"/>
    </row>
    <row r="97" spans="1:13" x14ac:dyDescent="0.2">
      <c r="A97" s="298" t="s">
        <v>13</v>
      </c>
      <c r="B97" s="230"/>
      <c r="C97" s="290"/>
      <c r="D97" s="159"/>
      <c r="E97" s="159"/>
      <c r="F97" s="229"/>
      <c r="G97" s="139"/>
      <c r="H97" s="159"/>
      <c r="I97" s="237"/>
      <c r="J97" s="291"/>
      <c r="K97" s="291"/>
      <c r="L97" s="159"/>
      <c r="M97" s="159"/>
    </row>
    <row r="98" spans="1:13" ht="15.75" x14ac:dyDescent="0.2">
      <c r="A98" s="18" t="s">
        <v>342</v>
      </c>
      <c r="B98" s="229"/>
      <c r="C98" s="139"/>
      <c r="D98" s="159"/>
      <c r="E98" s="159"/>
      <c r="F98" s="229"/>
      <c r="G98" s="139"/>
      <c r="H98" s="159"/>
      <c r="I98" s="170"/>
      <c r="J98" s="288"/>
      <c r="K98" s="37"/>
      <c r="L98" s="256"/>
      <c r="M98" s="170"/>
    </row>
    <row r="99" spans="1:13" ht="15.75" x14ac:dyDescent="0.2">
      <c r="A99" s="11" t="s">
        <v>29</v>
      </c>
      <c r="B99" s="310"/>
      <c r="C99" s="310"/>
      <c r="D99" s="159"/>
      <c r="E99" s="159"/>
      <c r="F99" s="310"/>
      <c r="G99" s="310"/>
      <c r="H99" s="159"/>
      <c r="I99" s="170"/>
      <c r="J99" s="311"/>
      <c r="K99" s="231"/>
      <c r="L99" s="256"/>
      <c r="M99" s="170"/>
    </row>
    <row r="100" spans="1:13" x14ac:dyDescent="0.2">
      <c r="A100" s="18" t="s">
        <v>9</v>
      </c>
      <c r="B100" s="229"/>
      <c r="C100" s="139"/>
      <c r="D100" s="159"/>
      <c r="E100" s="159"/>
      <c r="F100" s="229"/>
      <c r="G100" s="139"/>
      <c r="H100" s="159"/>
      <c r="I100" s="170"/>
      <c r="J100" s="288"/>
      <c r="K100" s="37"/>
      <c r="L100" s="256"/>
      <c r="M100" s="170"/>
    </row>
    <row r="101" spans="1:13" x14ac:dyDescent="0.2">
      <c r="A101" s="18" t="s">
        <v>10</v>
      </c>
      <c r="B101" s="229"/>
      <c r="C101" s="139"/>
      <c r="D101" s="159"/>
      <c r="E101" s="159"/>
      <c r="F101" s="229"/>
      <c r="G101" s="139"/>
      <c r="H101" s="159"/>
      <c r="I101" s="170"/>
      <c r="J101" s="288"/>
      <c r="K101" s="37"/>
      <c r="L101" s="256"/>
      <c r="M101" s="170"/>
    </row>
    <row r="102" spans="1:13" ht="15.75" x14ac:dyDescent="0.2">
      <c r="A102" s="298" t="s">
        <v>330</v>
      </c>
      <c r="B102" s="282"/>
      <c r="C102" s="282"/>
      <c r="D102" s="159"/>
      <c r="E102" s="159"/>
      <c r="F102" s="805"/>
      <c r="G102" s="282"/>
      <c r="H102" s="159"/>
      <c r="I102" s="237"/>
      <c r="J102" s="291"/>
      <c r="K102" s="291"/>
      <c r="L102" s="159"/>
      <c r="M102" s="159"/>
    </row>
    <row r="103" spans="1:13" x14ac:dyDescent="0.2">
      <c r="A103" s="298" t="s">
        <v>12</v>
      </c>
      <c r="B103" s="230"/>
      <c r="C103" s="290"/>
      <c r="D103" s="159"/>
      <c r="E103" s="159"/>
      <c r="F103" s="229"/>
      <c r="G103" s="139"/>
      <c r="H103" s="159"/>
      <c r="I103" s="237"/>
      <c r="J103" s="291"/>
      <c r="K103" s="291"/>
      <c r="L103" s="159"/>
      <c r="M103" s="159"/>
    </row>
    <row r="104" spans="1:13" x14ac:dyDescent="0.2">
      <c r="A104" s="298" t="s">
        <v>13</v>
      </c>
      <c r="B104" s="230"/>
      <c r="C104" s="290"/>
      <c r="D104" s="159"/>
      <c r="E104" s="159"/>
      <c r="F104" s="229"/>
      <c r="G104" s="139"/>
      <c r="H104" s="159"/>
      <c r="I104" s="237"/>
      <c r="J104" s="291"/>
      <c r="K104" s="291"/>
      <c r="L104" s="159"/>
      <c r="M104" s="159"/>
    </row>
    <row r="105" spans="1:13" ht="15.75" x14ac:dyDescent="0.2">
      <c r="A105" s="298" t="s">
        <v>331</v>
      </c>
      <c r="B105" s="282"/>
      <c r="C105" s="282"/>
      <c r="D105" s="159"/>
      <c r="E105" s="159"/>
      <c r="F105" s="805"/>
      <c r="G105" s="282"/>
      <c r="H105" s="159"/>
      <c r="I105" s="237"/>
      <c r="J105" s="291"/>
      <c r="K105" s="291"/>
      <c r="L105" s="159"/>
      <c r="M105" s="159"/>
    </row>
    <row r="106" spans="1:13" x14ac:dyDescent="0.2">
      <c r="A106" s="298" t="s">
        <v>12</v>
      </c>
      <c r="B106" s="230"/>
      <c r="C106" s="290"/>
      <c r="D106" s="159"/>
      <c r="E106" s="159"/>
      <c r="F106" s="229"/>
      <c r="G106" s="139"/>
      <c r="H106" s="159"/>
      <c r="I106" s="237"/>
      <c r="J106" s="291"/>
      <c r="K106" s="291"/>
      <c r="L106" s="159"/>
      <c r="M106" s="159"/>
    </row>
    <row r="107" spans="1:13" x14ac:dyDescent="0.2">
      <c r="A107" s="298" t="s">
        <v>13</v>
      </c>
      <c r="B107" s="230"/>
      <c r="C107" s="290"/>
      <c r="D107" s="159"/>
      <c r="E107" s="159"/>
      <c r="F107" s="229"/>
      <c r="G107" s="139"/>
      <c r="H107" s="159"/>
      <c r="I107" s="237"/>
      <c r="J107" s="291"/>
      <c r="K107" s="291"/>
      <c r="L107" s="159"/>
      <c r="M107" s="159"/>
    </row>
    <row r="108" spans="1:13" x14ac:dyDescent="0.2">
      <c r="A108" s="18" t="s">
        <v>33</v>
      </c>
      <c r="B108" s="229"/>
      <c r="C108" s="139"/>
      <c r="D108" s="159"/>
      <c r="E108" s="159"/>
      <c r="F108" s="229"/>
      <c r="G108" s="139"/>
      <c r="H108" s="159"/>
      <c r="I108" s="170"/>
      <c r="J108" s="288"/>
      <c r="K108" s="37"/>
      <c r="L108" s="256"/>
      <c r="M108" s="170"/>
    </row>
    <row r="109" spans="1:13" ht="15.75" x14ac:dyDescent="0.2">
      <c r="A109" s="18" t="s">
        <v>332</v>
      </c>
      <c r="B109" s="229"/>
      <c r="C109" s="139"/>
      <c r="D109" s="159"/>
      <c r="E109" s="159"/>
      <c r="F109" s="229"/>
      <c r="G109" s="139"/>
      <c r="H109" s="159"/>
      <c r="I109" s="170"/>
      <c r="J109" s="288"/>
      <c r="K109" s="37"/>
      <c r="L109" s="256"/>
      <c r="M109" s="170"/>
    </row>
    <row r="110" spans="1:13" x14ac:dyDescent="0.2">
      <c r="A110" s="18" t="s">
        <v>9</v>
      </c>
      <c r="B110" s="229"/>
      <c r="C110" s="139"/>
      <c r="D110" s="159"/>
      <c r="E110" s="159"/>
      <c r="F110" s="229"/>
      <c r="G110" s="139"/>
      <c r="H110" s="159"/>
      <c r="I110" s="170"/>
      <c r="J110" s="288"/>
      <c r="K110" s="37"/>
      <c r="L110" s="256"/>
      <c r="M110" s="170"/>
    </row>
    <row r="111" spans="1:13" x14ac:dyDescent="0.2">
      <c r="A111" s="18" t="s">
        <v>10</v>
      </c>
      <c r="B111" s="293"/>
      <c r="C111" s="294"/>
      <c r="D111" s="159"/>
      <c r="E111" s="159"/>
      <c r="F111" s="293"/>
      <c r="G111" s="294"/>
      <c r="H111" s="159"/>
      <c r="I111" s="170"/>
      <c r="J111" s="288"/>
      <c r="K111" s="37"/>
      <c r="L111" s="256"/>
      <c r="M111" s="170"/>
    </row>
    <row r="112" spans="1:13" ht="15.75" x14ac:dyDescent="0.2">
      <c r="A112" s="298" t="s">
        <v>330</v>
      </c>
      <c r="B112" s="282"/>
      <c r="C112" s="282"/>
      <c r="D112" s="159"/>
      <c r="E112" s="159"/>
      <c r="F112" s="805"/>
      <c r="G112" s="282"/>
      <c r="H112" s="159"/>
      <c r="I112" s="237"/>
      <c r="J112" s="291"/>
      <c r="K112" s="291"/>
      <c r="L112" s="159"/>
      <c r="M112" s="159"/>
    </row>
    <row r="113" spans="1:13" x14ac:dyDescent="0.2">
      <c r="A113" s="298" t="s">
        <v>12</v>
      </c>
      <c r="B113" s="230"/>
      <c r="C113" s="290"/>
      <c r="D113" s="159"/>
      <c r="E113" s="159"/>
      <c r="F113" s="229"/>
      <c r="G113" s="139"/>
      <c r="H113" s="159"/>
      <c r="I113" s="237"/>
      <c r="J113" s="291"/>
      <c r="K113" s="291"/>
      <c r="L113" s="159"/>
      <c r="M113" s="159"/>
    </row>
    <row r="114" spans="1:13" x14ac:dyDescent="0.2">
      <c r="A114" s="298" t="s">
        <v>13</v>
      </c>
      <c r="B114" s="230"/>
      <c r="C114" s="290"/>
      <c r="D114" s="159"/>
      <c r="E114" s="159"/>
      <c r="F114" s="229"/>
      <c r="G114" s="139"/>
      <c r="H114" s="159"/>
      <c r="I114" s="237"/>
      <c r="J114" s="291"/>
      <c r="K114" s="291"/>
      <c r="L114" s="159"/>
      <c r="M114" s="159"/>
    </row>
    <row r="115" spans="1:13" ht="15.75" x14ac:dyDescent="0.2">
      <c r="A115" s="298" t="s">
        <v>331</v>
      </c>
      <c r="B115" s="282"/>
      <c r="C115" s="282"/>
      <c r="D115" s="159"/>
      <c r="E115" s="159"/>
      <c r="F115" s="805"/>
      <c r="G115" s="282"/>
      <c r="H115" s="159"/>
      <c r="I115" s="237"/>
      <c r="J115" s="291"/>
      <c r="K115" s="291"/>
      <c r="L115" s="159"/>
      <c r="M115" s="159"/>
    </row>
    <row r="116" spans="1:13" x14ac:dyDescent="0.2">
      <c r="A116" s="298" t="s">
        <v>12</v>
      </c>
      <c r="B116" s="230"/>
      <c r="C116" s="290"/>
      <c r="D116" s="159"/>
      <c r="E116" s="159"/>
      <c r="F116" s="229"/>
      <c r="G116" s="139"/>
      <c r="H116" s="159"/>
      <c r="I116" s="237"/>
      <c r="J116" s="291"/>
      <c r="K116" s="291"/>
      <c r="L116" s="159"/>
      <c r="M116" s="159"/>
    </row>
    <row r="117" spans="1:13" x14ac:dyDescent="0.2">
      <c r="A117" s="298" t="s">
        <v>13</v>
      </c>
      <c r="B117" s="232"/>
      <c r="C117" s="297"/>
      <c r="D117" s="159"/>
      <c r="E117" s="159"/>
      <c r="F117" s="233"/>
      <c r="G117" s="807"/>
      <c r="H117" s="159"/>
      <c r="I117" s="237"/>
      <c r="J117" s="291"/>
      <c r="K117" s="291"/>
      <c r="L117" s="159"/>
      <c r="M117" s="159"/>
    </row>
    <row r="118" spans="1:13" ht="15.75" x14ac:dyDescent="0.2">
      <c r="A118" s="18" t="s">
        <v>342</v>
      </c>
      <c r="B118" s="229"/>
      <c r="C118" s="139"/>
      <c r="D118" s="159"/>
      <c r="E118" s="159"/>
      <c r="F118" s="229"/>
      <c r="G118" s="139"/>
      <c r="H118" s="159"/>
      <c r="I118" s="170"/>
      <c r="J118" s="288"/>
      <c r="K118" s="37"/>
      <c r="L118" s="256"/>
      <c r="M118" s="170"/>
    </row>
    <row r="119" spans="1:13" ht="15.75" x14ac:dyDescent="0.2">
      <c r="A119" s="11" t="s">
        <v>28</v>
      </c>
      <c r="B119" s="355"/>
      <c r="C119" s="355"/>
      <c r="D119" s="159"/>
      <c r="E119" s="159"/>
      <c r="F119" s="355"/>
      <c r="G119" s="355"/>
      <c r="H119" s="159"/>
      <c r="I119" s="170"/>
      <c r="J119" s="311"/>
      <c r="K119" s="231"/>
      <c r="L119" s="256"/>
      <c r="M119" s="170"/>
    </row>
    <row r="120" spans="1:13" x14ac:dyDescent="0.2">
      <c r="A120" s="18" t="s">
        <v>9</v>
      </c>
      <c r="B120" s="229"/>
      <c r="C120" s="139"/>
      <c r="D120" s="159"/>
      <c r="E120" s="159"/>
      <c r="F120" s="229"/>
      <c r="G120" s="139"/>
      <c r="H120" s="159"/>
      <c r="I120" s="170"/>
      <c r="J120" s="288"/>
      <c r="K120" s="37"/>
      <c r="L120" s="256"/>
      <c r="M120" s="170"/>
    </row>
    <row r="121" spans="1:13" x14ac:dyDescent="0.2">
      <c r="A121" s="18" t="s">
        <v>10</v>
      </c>
      <c r="B121" s="229"/>
      <c r="C121" s="139"/>
      <c r="D121" s="159"/>
      <c r="E121" s="159"/>
      <c r="F121" s="229"/>
      <c r="G121" s="139"/>
      <c r="H121" s="159"/>
      <c r="I121" s="170"/>
      <c r="J121" s="288"/>
      <c r="K121" s="37"/>
      <c r="L121" s="256"/>
      <c r="M121" s="170"/>
    </row>
    <row r="122" spans="1:13" ht="15.75" x14ac:dyDescent="0.2">
      <c r="A122" s="298" t="s">
        <v>330</v>
      </c>
      <c r="B122" s="282"/>
      <c r="C122" s="282"/>
      <c r="D122" s="159"/>
      <c r="E122" s="159"/>
      <c r="F122" s="805"/>
      <c r="G122" s="282"/>
      <c r="H122" s="159"/>
      <c r="I122" s="237"/>
      <c r="J122" s="291"/>
      <c r="K122" s="291"/>
      <c r="L122" s="159"/>
      <c r="M122" s="159"/>
    </row>
    <row r="123" spans="1:13" x14ac:dyDescent="0.2">
      <c r="A123" s="298" t="s">
        <v>12</v>
      </c>
      <c r="B123" s="230"/>
      <c r="C123" s="290"/>
      <c r="D123" s="159"/>
      <c r="E123" s="159"/>
      <c r="F123" s="229"/>
      <c r="G123" s="139"/>
      <c r="H123" s="159"/>
      <c r="I123" s="237"/>
      <c r="J123" s="291"/>
      <c r="K123" s="291"/>
      <c r="L123" s="159"/>
      <c r="M123" s="159"/>
    </row>
    <row r="124" spans="1:13" x14ac:dyDescent="0.2">
      <c r="A124" s="298" t="s">
        <v>13</v>
      </c>
      <c r="B124" s="230"/>
      <c r="C124" s="290"/>
      <c r="D124" s="159"/>
      <c r="E124" s="159"/>
      <c r="F124" s="229"/>
      <c r="G124" s="139"/>
      <c r="H124" s="159"/>
      <c r="I124" s="237"/>
      <c r="J124" s="291"/>
      <c r="K124" s="291"/>
      <c r="L124" s="159"/>
      <c r="M124" s="159"/>
    </row>
    <row r="125" spans="1:13" ht="15.75" x14ac:dyDescent="0.2">
      <c r="A125" s="298" t="s">
        <v>331</v>
      </c>
      <c r="B125" s="282"/>
      <c r="C125" s="282"/>
      <c r="D125" s="159"/>
      <c r="E125" s="159"/>
      <c r="F125" s="805"/>
      <c r="G125" s="282"/>
      <c r="H125" s="159"/>
      <c r="I125" s="237"/>
      <c r="J125" s="291"/>
      <c r="K125" s="291"/>
      <c r="L125" s="159"/>
      <c r="M125" s="159"/>
    </row>
    <row r="126" spans="1:13" x14ac:dyDescent="0.2">
      <c r="A126" s="298" t="s">
        <v>12</v>
      </c>
      <c r="B126" s="230"/>
      <c r="C126" s="290"/>
      <c r="D126" s="159"/>
      <c r="E126" s="159"/>
      <c r="F126" s="229"/>
      <c r="G126" s="139"/>
      <c r="H126" s="159"/>
      <c r="I126" s="237"/>
      <c r="J126" s="291"/>
      <c r="K126" s="291"/>
      <c r="L126" s="159"/>
      <c r="M126" s="159"/>
    </row>
    <row r="127" spans="1:13" x14ac:dyDescent="0.2">
      <c r="A127" s="298" t="s">
        <v>13</v>
      </c>
      <c r="B127" s="230"/>
      <c r="C127" s="290"/>
      <c r="D127" s="159"/>
      <c r="E127" s="159"/>
      <c r="F127" s="229"/>
      <c r="G127" s="139"/>
      <c r="H127" s="159"/>
      <c r="I127" s="237"/>
      <c r="J127" s="291"/>
      <c r="K127" s="291"/>
      <c r="L127" s="159"/>
      <c r="M127" s="159"/>
    </row>
    <row r="128" spans="1:13" x14ac:dyDescent="0.2">
      <c r="A128" s="18" t="s">
        <v>34</v>
      </c>
      <c r="B128" s="229"/>
      <c r="C128" s="139"/>
      <c r="D128" s="159"/>
      <c r="E128" s="159"/>
      <c r="F128" s="229"/>
      <c r="G128" s="139"/>
      <c r="H128" s="159"/>
      <c r="I128" s="170"/>
      <c r="J128" s="288"/>
      <c r="K128" s="37"/>
      <c r="L128" s="256"/>
      <c r="M128" s="170"/>
    </row>
    <row r="129" spans="1:13" ht="15.75" x14ac:dyDescent="0.2">
      <c r="A129" s="18" t="s">
        <v>332</v>
      </c>
      <c r="B129" s="229"/>
      <c r="C129" s="229"/>
      <c r="D129" s="159"/>
      <c r="E129" s="159"/>
      <c r="F129" s="229"/>
      <c r="G129" s="229"/>
      <c r="H129" s="159"/>
      <c r="I129" s="170"/>
      <c r="J129" s="288"/>
      <c r="K129" s="37"/>
      <c r="L129" s="256"/>
      <c r="M129" s="170"/>
    </row>
    <row r="130" spans="1:13" x14ac:dyDescent="0.2">
      <c r="A130" s="18" t="s">
        <v>9</v>
      </c>
      <c r="B130" s="293"/>
      <c r="C130" s="294"/>
      <c r="D130" s="159"/>
      <c r="E130" s="159"/>
      <c r="F130" s="293"/>
      <c r="G130" s="294"/>
      <c r="H130" s="159"/>
      <c r="I130" s="170"/>
      <c r="J130" s="288"/>
      <c r="K130" s="37"/>
      <c r="L130" s="256"/>
      <c r="M130" s="170"/>
    </row>
    <row r="131" spans="1:13" x14ac:dyDescent="0.2">
      <c r="A131" s="18" t="s">
        <v>10</v>
      </c>
      <c r="B131" s="293"/>
      <c r="C131" s="294"/>
      <c r="D131" s="159"/>
      <c r="E131" s="159"/>
      <c r="F131" s="293"/>
      <c r="G131" s="294"/>
      <c r="H131" s="159"/>
      <c r="I131" s="170"/>
      <c r="J131" s="288"/>
      <c r="K131" s="37"/>
      <c r="L131" s="256"/>
      <c r="M131" s="170"/>
    </row>
    <row r="132" spans="1:13" ht="15.75" x14ac:dyDescent="0.2">
      <c r="A132" s="298" t="s">
        <v>330</v>
      </c>
      <c r="B132" s="282"/>
      <c r="C132" s="282"/>
      <c r="D132" s="159"/>
      <c r="E132" s="159"/>
      <c r="F132" s="805"/>
      <c r="G132" s="282"/>
      <c r="H132" s="159"/>
      <c r="I132" s="237"/>
      <c r="J132" s="291"/>
      <c r="K132" s="291"/>
      <c r="L132" s="159"/>
      <c r="M132" s="159"/>
    </row>
    <row r="133" spans="1:13" x14ac:dyDescent="0.2">
      <c r="A133" s="298" t="s">
        <v>12</v>
      </c>
      <c r="B133" s="230"/>
      <c r="C133" s="290"/>
      <c r="D133" s="159"/>
      <c r="E133" s="159"/>
      <c r="F133" s="229"/>
      <c r="G133" s="139"/>
      <c r="H133" s="159"/>
      <c r="I133" s="237"/>
      <c r="J133" s="291"/>
      <c r="K133" s="291"/>
      <c r="L133" s="159"/>
      <c r="M133" s="159"/>
    </row>
    <row r="134" spans="1:13" x14ac:dyDescent="0.2">
      <c r="A134" s="298" t="s">
        <v>13</v>
      </c>
      <c r="B134" s="230"/>
      <c r="C134" s="290"/>
      <c r="D134" s="159"/>
      <c r="E134" s="159"/>
      <c r="F134" s="229"/>
      <c r="G134" s="139"/>
      <c r="H134" s="159"/>
      <c r="I134" s="237"/>
      <c r="J134" s="291"/>
      <c r="K134" s="291"/>
      <c r="L134" s="159"/>
      <c r="M134" s="159"/>
    </row>
    <row r="135" spans="1:13" ht="15.75" x14ac:dyDescent="0.2">
      <c r="A135" s="298" t="s">
        <v>331</v>
      </c>
      <c r="B135" s="282"/>
      <c r="C135" s="282"/>
      <c r="D135" s="159"/>
      <c r="E135" s="159"/>
      <c r="F135" s="805"/>
      <c r="G135" s="282"/>
      <c r="H135" s="159"/>
      <c r="I135" s="237"/>
      <c r="J135" s="291"/>
      <c r="K135" s="291"/>
      <c r="L135" s="159"/>
      <c r="M135" s="159"/>
    </row>
    <row r="136" spans="1:13" x14ac:dyDescent="0.2">
      <c r="A136" s="298" t="s">
        <v>12</v>
      </c>
      <c r="B136" s="230"/>
      <c r="C136" s="290"/>
      <c r="D136" s="159"/>
      <c r="E136" s="159"/>
      <c r="F136" s="229"/>
      <c r="G136" s="139"/>
      <c r="H136" s="159"/>
      <c r="I136" s="237"/>
      <c r="J136" s="291"/>
      <c r="K136" s="291"/>
      <c r="L136" s="159"/>
      <c r="M136" s="159"/>
    </row>
    <row r="137" spans="1:13" x14ac:dyDescent="0.2">
      <c r="A137" s="298" t="s">
        <v>13</v>
      </c>
      <c r="B137" s="230"/>
      <c r="C137" s="290"/>
      <c r="D137" s="159"/>
      <c r="E137" s="159"/>
      <c r="F137" s="229"/>
      <c r="G137" s="139"/>
      <c r="H137" s="159"/>
      <c r="I137" s="237"/>
      <c r="J137" s="291"/>
      <c r="K137" s="291"/>
      <c r="L137" s="159"/>
      <c r="M137" s="159"/>
    </row>
    <row r="138" spans="1:13" ht="15.75" x14ac:dyDescent="0.2">
      <c r="A138" s="18" t="s">
        <v>342</v>
      </c>
      <c r="B138" s="229"/>
      <c r="C138" s="139"/>
      <c r="D138" s="159"/>
      <c r="E138" s="159"/>
      <c r="F138" s="229"/>
      <c r="G138" s="139"/>
      <c r="H138" s="159"/>
      <c r="I138" s="170"/>
      <c r="J138" s="288"/>
      <c r="K138" s="37"/>
      <c r="L138" s="256"/>
      <c r="M138" s="170"/>
    </row>
    <row r="139" spans="1:13" ht="15.75" x14ac:dyDescent="0.2">
      <c r="A139" s="18" t="s">
        <v>343</v>
      </c>
      <c r="B139" s="229"/>
      <c r="C139" s="229"/>
      <c r="D139" s="159"/>
      <c r="E139" s="159"/>
      <c r="F139" s="229"/>
      <c r="G139" s="229"/>
      <c r="H139" s="159"/>
      <c r="I139" s="170"/>
      <c r="J139" s="288"/>
      <c r="K139" s="37"/>
      <c r="L139" s="256"/>
      <c r="M139" s="170"/>
    </row>
    <row r="140" spans="1:13" ht="15.75" x14ac:dyDescent="0.2">
      <c r="A140" s="18" t="s">
        <v>334</v>
      </c>
      <c r="B140" s="229"/>
      <c r="C140" s="229"/>
      <c r="D140" s="159"/>
      <c r="E140" s="159"/>
      <c r="F140" s="229"/>
      <c r="G140" s="229"/>
      <c r="H140" s="159"/>
      <c r="I140" s="170"/>
      <c r="J140" s="288"/>
      <c r="K140" s="37"/>
      <c r="L140" s="256"/>
      <c r="M140" s="170"/>
    </row>
    <row r="141" spans="1:13" ht="15.75" x14ac:dyDescent="0.2">
      <c r="A141" s="18" t="s">
        <v>335</v>
      </c>
      <c r="B141" s="229"/>
      <c r="C141" s="229"/>
      <c r="D141" s="159"/>
      <c r="E141" s="159"/>
      <c r="F141" s="229"/>
      <c r="G141" s="229"/>
      <c r="H141" s="159"/>
      <c r="I141" s="170"/>
      <c r="J141" s="288"/>
      <c r="K141" s="37"/>
      <c r="L141" s="256"/>
      <c r="M141" s="170"/>
    </row>
    <row r="142" spans="1:13" ht="15.75" x14ac:dyDescent="0.2">
      <c r="A142" s="11" t="s">
        <v>27</v>
      </c>
      <c r="B142" s="310"/>
      <c r="C142" s="152"/>
      <c r="D142" s="159"/>
      <c r="E142" s="159"/>
      <c r="F142" s="310"/>
      <c r="G142" s="152"/>
      <c r="H142" s="159"/>
      <c r="I142" s="170"/>
      <c r="J142" s="311"/>
      <c r="K142" s="231"/>
      <c r="L142" s="256"/>
      <c r="M142" s="170"/>
    </row>
    <row r="143" spans="1:13" x14ac:dyDescent="0.2">
      <c r="A143" s="18" t="s">
        <v>9</v>
      </c>
      <c r="B143" s="229"/>
      <c r="C143" s="139"/>
      <c r="D143" s="159"/>
      <c r="E143" s="159"/>
      <c r="F143" s="229"/>
      <c r="G143" s="139"/>
      <c r="H143" s="159"/>
      <c r="I143" s="170"/>
      <c r="J143" s="288"/>
      <c r="K143" s="37"/>
      <c r="L143" s="256"/>
      <c r="M143" s="170"/>
    </row>
    <row r="144" spans="1:13" x14ac:dyDescent="0.2">
      <c r="A144" s="18" t="s">
        <v>10</v>
      </c>
      <c r="B144" s="229"/>
      <c r="C144" s="139"/>
      <c r="D144" s="159"/>
      <c r="E144" s="159"/>
      <c r="F144" s="229"/>
      <c r="G144" s="139"/>
      <c r="H144" s="159"/>
      <c r="I144" s="170"/>
      <c r="J144" s="288"/>
      <c r="K144" s="37"/>
      <c r="L144" s="256"/>
      <c r="M144" s="170"/>
    </row>
    <row r="145" spans="1:14" x14ac:dyDescent="0.2">
      <c r="A145" s="18" t="s">
        <v>34</v>
      </c>
      <c r="B145" s="229"/>
      <c r="C145" s="139"/>
      <c r="D145" s="159"/>
      <c r="E145" s="159"/>
      <c r="F145" s="229"/>
      <c r="G145" s="139"/>
      <c r="H145" s="159"/>
      <c r="I145" s="170"/>
      <c r="J145" s="288"/>
      <c r="K145" s="37"/>
      <c r="L145" s="256"/>
      <c r="M145" s="170"/>
    </row>
    <row r="146" spans="1:14" x14ac:dyDescent="0.2">
      <c r="A146" s="298" t="s">
        <v>15</v>
      </c>
      <c r="B146" s="282"/>
      <c r="C146" s="282"/>
      <c r="D146" s="159"/>
      <c r="E146" s="159"/>
      <c r="F146" s="805"/>
      <c r="G146" s="282"/>
      <c r="H146" s="159"/>
      <c r="I146" s="237"/>
      <c r="J146" s="291"/>
      <c r="K146" s="291"/>
      <c r="L146" s="159"/>
      <c r="M146" s="159"/>
    </row>
    <row r="147" spans="1:14" ht="15.75" x14ac:dyDescent="0.2">
      <c r="A147" s="18" t="s">
        <v>344</v>
      </c>
      <c r="B147" s="229"/>
      <c r="C147" s="229"/>
      <c r="D147" s="159"/>
      <c r="E147" s="159"/>
      <c r="F147" s="229"/>
      <c r="G147" s="229"/>
      <c r="H147" s="159"/>
      <c r="I147" s="170"/>
      <c r="J147" s="288"/>
      <c r="K147" s="37"/>
      <c r="L147" s="256"/>
      <c r="M147" s="170"/>
    </row>
    <row r="148" spans="1:14" ht="15.75" x14ac:dyDescent="0.2">
      <c r="A148" s="18" t="s">
        <v>336</v>
      </c>
      <c r="B148" s="229"/>
      <c r="C148" s="229"/>
      <c r="D148" s="159"/>
      <c r="E148" s="159"/>
      <c r="F148" s="229"/>
      <c r="G148" s="229"/>
      <c r="H148" s="159"/>
      <c r="I148" s="170"/>
      <c r="J148" s="288"/>
      <c r="K148" s="37"/>
      <c r="L148" s="256"/>
      <c r="M148" s="170"/>
    </row>
    <row r="149" spans="1:14" ht="15.75" x14ac:dyDescent="0.2">
      <c r="A149" s="18" t="s">
        <v>335</v>
      </c>
      <c r="B149" s="229"/>
      <c r="C149" s="229"/>
      <c r="D149" s="159"/>
      <c r="E149" s="159"/>
      <c r="F149" s="229"/>
      <c r="G149" s="229"/>
      <c r="H149" s="159"/>
      <c r="I149" s="170"/>
      <c r="J149" s="288"/>
      <c r="K149" s="37"/>
      <c r="L149" s="256"/>
      <c r="M149" s="170"/>
    </row>
    <row r="150" spans="1:14" ht="15.75" x14ac:dyDescent="0.2">
      <c r="A150" s="11" t="s">
        <v>26</v>
      </c>
      <c r="B150" s="310"/>
      <c r="C150" s="152"/>
      <c r="D150" s="159"/>
      <c r="E150" s="159"/>
      <c r="F150" s="310"/>
      <c r="G150" s="152"/>
      <c r="H150" s="159"/>
      <c r="I150" s="170"/>
      <c r="J150" s="311"/>
      <c r="K150" s="231"/>
      <c r="L150" s="256"/>
      <c r="M150" s="170"/>
    </row>
    <row r="151" spans="1:14" x14ac:dyDescent="0.2">
      <c r="A151" s="18" t="s">
        <v>9</v>
      </c>
      <c r="B151" s="229"/>
      <c r="C151" s="139"/>
      <c r="D151" s="159"/>
      <c r="E151" s="159"/>
      <c r="F151" s="229"/>
      <c r="G151" s="139"/>
      <c r="H151" s="159"/>
      <c r="I151" s="170"/>
      <c r="J151" s="288"/>
      <c r="K151" s="37"/>
      <c r="L151" s="256"/>
      <c r="M151" s="170"/>
    </row>
    <row r="152" spans="1:14" x14ac:dyDescent="0.2">
      <c r="A152" s="18" t="s">
        <v>10</v>
      </c>
      <c r="B152" s="229"/>
      <c r="C152" s="139"/>
      <c r="D152" s="159"/>
      <c r="E152" s="159"/>
      <c r="F152" s="229"/>
      <c r="G152" s="139"/>
      <c r="H152" s="159"/>
      <c r="I152" s="170"/>
      <c r="J152" s="288"/>
      <c r="K152" s="37"/>
      <c r="L152" s="256"/>
      <c r="M152" s="170"/>
    </row>
    <row r="153" spans="1:14" x14ac:dyDescent="0.2">
      <c r="A153" s="18" t="s">
        <v>34</v>
      </c>
      <c r="B153" s="229"/>
      <c r="C153" s="139"/>
      <c r="D153" s="159"/>
      <c r="E153" s="159"/>
      <c r="F153" s="229"/>
      <c r="G153" s="139"/>
      <c r="H153" s="159"/>
      <c r="I153" s="170"/>
      <c r="J153" s="288"/>
      <c r="K153" s="37"/>
      <c r="L153" s="256"/>
      <c r="M153" s="170"/>
    </row>
    <row r="154" spans="1:14" x14ac:dyDescent="0.2">
      <c r="A154" s="298" t="s">
        <v>14</v>
      </c>
      <c r="B154" s="282"/>
      <c r="C154" s="282"/>
      <c r="D154" s="159"/>
      <c r="E154" s="159"/>
      <c r="F154" s="805"/>
      <c r="G154" s="282"/>
      <c r="H154" s="159"/>
      <c r="I154" s="237"/>
      <c r="J154" s="291"/>
      <c r="K154" s="291"/>
      <c r="L154" s="159"/>
      <c r="M154" s="159"/>
    </row>
    <row r="155" spans="1:14" ht="15.75" x14ac:dyDescent="0.2">
      <c r="A155" s="18" t="s">
        <v>333</v>
      </c>
      <c r="B155" s="229"/>
      <c r="C155" s="229"/>
      <c r="D155" s="159"/>
      <c r="E155" s="159"/>
      <c r="F155" s="229"/>
      <c r="G155" s="229"/>
      <c r="H155" s="159"/>
      <c r="I155" s="170"/>
      <c r="J155" s="288"/>
      <c r="K155" s="37"/>
      <c r="L155" s="256"/>
      <c r="M155" s="170"/>
    </row>
    <row r="156" spans="1:14" ht="15.75" x14ac:dyDescent="0.2">
      <c r="A156" s="18" t="s">
        <v>334</v>
      </c>
      <c r="B156" s="229"/>
      <c r="C156" s="229"/>
      <c r="D156" s="159"/>
      <c r="E156" s="159"/>
      <c r="F156" s="229"/>
      <c r="G156" s="229"/>
      <c r="H156" s="159"/>
      <c r="I156" s="170"/>
      <c r="J156" s="288"/>
      <c r="K156" s="37"/>
      <c r="L156" s="256"/>
      <c r="M156" s="170"/>
    </row>
    <row r="157" spans="1:14" ht="15.75" x14ac:dyDescent="0.2">
      <c r="A157" s="9" t="s">
        <v>335</v>
      </c>
      <c r="B157" s="38"/>
      <c r="C157" s="38"/>
      <c r="D157" s="160"/>
      <c r="E157" s="160"/>
      <c r="F157" s="400"/>
      <c r="G157" s="38"/>
      <c r="H157" s="160"/>
      <c r="I157" s="160"/>
      <c r="J157" s="289"/>
      <c r="K157" s="38"/>
      <c r="L157" s="257"/>
      <c r="M157" s="160"/>
    </row>
    <row r="158" spans="1:14" x14ac:dyDescent="0.2">
      <c r="A158" s="148"/>
      <c r="L158" s="20"/>
      <c r="M158" s="20"/>
      <c r="N158" s="20"/>
    </row>
    <row r="159" spans="1:14" x14ac:dyDescent="0.2">
      <c r="L159" s="20"/>
      <c r="M159" s="20"/>
      <c r="N159" s="20"/>
    </row>
    <row r="160" spans="1:14" ht="15.75" x14ac:dyDescent="0.25">
      <c r="A160" s="158" t="s">
        <v>35</v>
      </c>
    </row>
    <row r="161" spans="1:14" ht="15.75" x14ac:dyDescent="0.25">
      <c r="B161" s="832"/>
      <c r="C161" s="832"/>
      <c r="D161" s="832"/>
      <c r="E161" s="301"/>
      <c r="F161" s="832"/>
      <c r="G161" s="832"/>
      <c r="H161" s="832"/>
      <c r="I161" s="301"/>
      <c r="J161" s="832"/>
      <c r="K161" s="832"/>
      <c r="L161" s="832"/>
      <c r="M161" s="301"/>
    </row>
    <row r="162" spans="1:14" s="3" customFormat="1" x14ac:dyDescent="0.2">
      <c r="A162" s="138"/>
      <c r="B162" s="833" t="s">
        <v>0</v>
      </c>
      <c r="C162" s="834"/>
      <c r="D162" s="834"/>
      <c r="E162" s="303"/>
      <c r="F162" s="833" t="s">
        <v>1</v>
      </c>
      <c r="G162" s="834"/>
      <c r="H162" s="834"/>
      <c r="I162" s="306">
        <f>IFERROR(100/'Skjema total MA'!F162*G162,0)</f>
        <v>0</v>
      </c>
      <c r="J162" s="833" t="s">
        <v>2</v>
      </c>
      <c r="K162" s="834"/>
      <c r="L162" s="834"/>
      <c r="M162" s="306"/>
      <c r="N162" s="142"/>
    </row>
    <row r="163" spans="1:14" s="3" customFormat="1" x14ac:dyDescent="0.2">
      <c r="A163" s="134"/>
      <c r="B163" s="145" t="s">
        <v>400</v>
      </c>
      <c r="C163" s="145" t="s">
        <v>401</v>
      </c>
      <c r="D163" s="242" t="s">
        <v>3</v>
      </c>
      <c r="E163" s="307" t="s">
        <v>37</v>
      </c>
      <c r="F163" s="145" t="s">
        <v>400</v>
      </c>
      <c r="G163" s="145" t="s">
        <v>401</v>
      </c>
      <c r="H163" s="242" t="s">
        <v>3</v>
      </c>
      <c r="I163" s="307" t="s">
        <v>37</v>
      </c>
      <c r="J163" s="145" t="s">
        <v>400</v>
      </c>
      <c r="K163" s="145" t="s">
        <v>401</v>
      </c>
      <c r="L163" s="242" t="s">
        <v>3</v>
      </c>
      <c r="M163" s="155" t="s">
        <v>37</v>
      </c>
      <c r="N163" s="142"/>
    </row>
    <row r="164" spans="1:14" s="3" customFormat="1" x14ac:dyDescent="0.2">
      <c r="A164" s="403"/>
      <c r="B164" s="149"/>
      <c r="C164" s="149"/>
      <c r="D164" s="243" t="s">
        <v>4</v>
      </c>
      <c r="E164" s="149" t="s">
        <v>38</v>
      </c>
      <c r="F164" s="154"/>
      <c r="G164" s="154"/>
      <c r="H164" s="242" t="s">
        <v>4</v>
      </c>
      <c r="I164" s="149" t="s">
        <v>38</v>
      </c>
      <c r="J164" s="154"/>
      <c r="K164" s="154"/>
      <c r="L164" s="242" t="s">
        <v>4</v>
      </c>
      <c r="M164" s="149" t="s">
        <v>38</v>
      </c>
      <c r="N164" s="142"/>
    </row>
    <row r="165" spans="1:14" s="3" customFormat="1" ht="15.75" x14ac:dyDescent="0.2">
      <c r="A165" s="12" t="s">
        <v>337</v>
      </c>
      <c r="B165" s="231"/>
      <c r="C165" s="311"/>
      <c r="D165" s="251"/>
      <c r="E165" s="170"/>
      <c r="F165" s="318"/>
      <c r="G165" s="319"/>
      <c r="H165" s="252"/>
      <c r="I165" s="159"/>
      <c r="J165" s="320"/>
      <c r="K165" s="320"/>
      <c r="L165" s="255"/>
      <c r="M165" s="170"/>
      <c r="N165" s="142"/>
    </row>
    <row r="166" spans="1:14" s="3" customFormat="1" ht="15.75" x14ac:dyDescent="0.2">
      <c r="A166" s="11" t="s">
        <v>338</v>
      </c>
      <c r="B166" s="231"/>
      <c r="C166" s="311"/>
      <c r="D166" s="159"/>
      <c r="E166" s="170"/>
      <c r="F166" s="231"/>
      <c r="G166" s="311"/>
      <c r="H166" s="236"/>
      <c r="I166" s="159"/>
      <c r="J166" s="310"/>
      <c r="K166" s="310"/>
      <c r="L166" s="256"/>
      <c r="M166" s="170"/>
      <c r="N166" s="142"/>
    </row>
    <row r="167" spans="1:14" s="3" customFormat="1" ht="15.75" x14ac:dyDescent="0.2">
      <c r="A167" s="11" t="s">
        <v>339</v>
      </c>
      <c r="B167" s="231"/>
      <c r="C167" s="311"/>
      <c r="D167" s="159"/>
      <c r="E167" s="170"/>
      <c r="F167" s="231"/>
      <c r="G167" s="311"/>
      <c r="H167" s="236"/>
      <c r="I167" s="159"/>
      <c r="J167" s="310"/>
      <c r="K167" s="310"/>
      <c r="L167" s="256"/>
      <c r="M167" s="170"/>
      <c r="N167" s="142"/>
    </row>
    <row r="168" spans="1:14" s="3" customFormat="1" ht="15.75" x14ac:dyDescent="0.2">
      <c r="A168" s="11" t="s">
        <v>340</v>
      </c>
      <c r="B168" s="231"/>
      <c r="C168" s="311"/>
      <c r="D168" s="159"/>
      <c r="E168" s="170"/>
      <c r="F168" s="231"/>
      <c r="G168" s="311"/>
      <c r="H168" s="236"/>
      <c r="I168" s="159"/>
      <c r="J168" s="310"/>
      <c r="K168" s="310"/>
      <c r="L168" s="256"/>
      <c r="M168" s="170"/>
      <c r="N168" s="142"/>
    </row>
    <row r="169" spans="1:14" s="3" customFormat="1" ht="15.75" x14ac:dyDescent="0.2">
      <c r="A169" s="34" t="s">
        <v>341</v>
      </c>
      <c r="B169" s="277"/>
      <c r="C169" s="317"/>
      <c r="D169" s="160"/>
      <c r="E169" s="201"/>
      <c r="F169" s="277"/>
      <c r="G169" s="317"/>
      <c r="H169" s="239"/>
      <c r="I169" s="160"/>
      <c r="J169" s="316"/>
      <c r="K169" s="316"/>
      <c r="L169" s="257"/>
      <c r="M169" s="160"/>
      <c r="N169" s="142"/>
    </row>
    <row r="170" spans="1:14" s="3" customFormat="1" x14ac:dyDescent="0.2">
      <c r="A170" s="161"/>
      <c r="B170" s="27"/>
      <c r="C170" s="27"/>
      <c r="D170" s="152"/>
      <c r="E170" s="152"/>
      <c r="F170" s="27"/>
      <c r="G170" s="27"/>
      <c r="H170" s="152"/>
      <c r="I170" s="152"/>
      <c r="J170" s="27"/>
      <c r="K170" s="27"/>
      <c r="L170" s="152"/>
      <c r="M170" s="152"/>
      <c r="N170" s="142"/>
    </row>
    <row r="171" spans="1:14" x14ac:dyDescent="0.2">
      <c r="A171" s="161"/>
      <c r="B171" s="27"/>
      <c r="C171" s="27"/>
      <c r="D171" s="152"/>
      <c r="E171" s="152"/>
      <c r="F171" s="27"/>
      <c r="G171" s="27"/>
      <c r="H171" s="152"/>
      <c r="I171" s="152"/>
      <c r="J171" s="27"/>
      <c r="K171" s="27"/>
      <c r="L171" s="152"/>
      <c r="M171" s="152"/>
      <c r="N171" s="142"/>
    </row>
    <row r="172" spans="1:14" x14ac:dyDescent="0.2">
      <c r="A172" s="161"/>
      <c r="B172" s="27"/>
      <c r="C172" s="27"/>
      <c r="D172" s="152"/>
      <c r="E172" s="152"/>
      <c r="F172" s="27"/>
      <c r="G172" s="27"/>
      <c r="H172" s="152"/>
      <c r="I172" s="152"/>
      <c r="J172" s="27"/>
      <c r="K172" s="27"/>
      <c r="L172" s="152"/>
      <c r="M172" s="152"/>
      <c r="N172" s="142"/>
    </row>
    <row r="173" spans="1:14" x14ac:dyDescent="0.2">
      <c r="A173" s="140"/>
      <c r="B173" s="140"/>
      <c r="C173" s="140"/>
      <c r="D173" s="140"/>
      <c r="E173" s="140"/>
      <c r="F173" s="140"/>
      <c r="G173" s="140"/>
      <c r="H173" s="140"/>
      <c r="I173" s="140"/>
      <c r="J173" s="140"/>
      <c r="K173" s="140"/>
      <c r="L173" s="140"/>
      <c r="M173" s="140"/>
      <c r="N173" s="140"/>
    </row>
    <row r="174" spans="1:14" ht="15.75" x14ac:dyDescent="0.25">
      <c r="B174" s="136"/>
      <c r="C174" s="136"/>
      <c r="D174" s="136"/>
      <c r="E174" s="136"/>
      <c r="F174" s="136"/>
      <c r="G174" s="136"/>
      <c r="H174" s="136"/>
      <c r="I174" s="136"/>
      <c r="J174" s="136"/>
      <c r="K174" s="136"/>
      <c r="L174" s="136"/>
      <c r="M174" s="136"/>
      <c r="N174" s="136"/>
    </row>
    <row r="175" spans="1:14" ht="15.75" x14ac:dyDescent="0.25">
      <c r="B175" s="150"/>
      <c r="C175" s="150"/>
      <c r="D175" s="150"/>
      <c r="E175" s="150"/>
      <c r="F175" s="150"/>
      <c r="G175" s="150"/>
      <c r="H175" s="150"/>
      <c r="I175" s="150"/>
      <c r="J175" s="150"/>
      <c r="K175" s="150"/>
      <c r="L175" s="150"/>
      <c r="M175" s="150"/>
      <c r="N175" s="150"/>
    </row>
    <row r="176" spans="1:14" ht="15.75" x14ac:dyDescent="0.25">
      <c r="B176" s="150"/>
      <c r="C176" s="150"/>
      <c r="D176" s="150"/>
      <c r="E176" s="150"/>
      <c r="F176" s="150"/>
      <c r="G176" s="150"/>
      <c r="H176" s="150"/>
      <c r="I176" s="150"/>
      <c r="J176" s="150"/>
      <c r="K176" s="150"/>
      <c r="L176" s="150"/>
      <c r="M176" s="150"/>
      <c r="N176" s="150"/>
    </row>
  </sheetData>
  <mergeCells count="28">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22:D22"/>
    <mergeCell ref="F22:H22"/>
    <mergeCell ref="J22:L22"/>
    <mergeCell ref="D47:F47"/>
    <mergeCell ref="G47:I47"/>
    <mergeCell ref="J47:L47"/>
  </mergeCells>
  <conditionalFormatting sqref="B57:C59">
    <cfRule type="expression" dxfId="1724" priority="188">
      <formula>kvartal &lt; 4</formula>
    </cfRule>
  </conditionalFormatting>
  <conditionalFormatting sqref="B63:C65">
    <cfRule type="expression" dxfId="1723" priority="187">
      <formula>kvartal &lt; 4</formula>
    </cfRule>
  </conditionalFormatting>
  <conditionalFormatting sqref="B37">
    <cfRule type="expression" dxfId="1722" priority="186">
      <formula>kvartal &lt; 4</formula>
    </cfRule>
  </conditionalFormatting>
  <conditionalFormatting sqref="B38">
    <cfRule type="expression" dxfId="1721" priority="185">
      <formula>kvartal &lt; 4</formula>
    </cfRule>
  </conditionalFormatting>
  <conditionalFormatting sqref="B39">
    <cfRule type="expression" dxfId="1720" priority="184">
      <formula>kvartal &lt; 4</formula>
    </cfRule>
  </conditionalFormatting>
  <conditionalFormatting sqref="A34">
    <cfRule type="expression" dxfId="1719" priority="57">
      <formula>kvartal &lt; 4</formula>
    </cfRule>
  </conditionalFormatting>
  <conditionalFormatting sqref="C37">
    <cfRule type="expression" dxfId="1718" priority="183">
      <formula>kvartal &lt; 4</formula>
    </cfRule>
  </conditionalFormatting>
  <conditionalFormatting sqref="C38">
    <cfRule type="expression" dxfId="1717" priority="182">
      <formula>kvartal &lt; 4</formula>
    </cfRule>
  </conditionalFormatting>
  <conditionalFormatting sqref="C39">
    <cfRule type="expression" dxfId="1716" priority="181">
      <formula>kvartal &lt; 4</formula>
    </cfRule>
  </conditionalFormatting>
  <conditionalFormatting sqref="B26:C28">
    <cfRule type="expression" dxfId="1715" priority="180">
      <formula>kvartal &lt; 4</formula>
    </cfRule>
  </conditionalFormatting>
  <conditionalFormatting sqref="B32:C33">
    <cfRule type="expression" dxfId="1714" priority="179">
      <formula>kvartal &lt; 4</formula>
    </cfRule>
  </conditionalFormatting>
  <conditionalFormatting sqref="B34">
    <cfRule type="expression" dxfId="1713" priority="178">
      <formula>kvartal &lt; 4</formula>
    </cfRule>
  </conditionalFormatting>
  <conditionalFormatting sqref="C34">
    <cfRule type="expression" dxfId="1712" priority="177">
      <formula>kvartal &lt; 4</formula>
    </cfRule>
  </conditionalFormatting>
  <conditionalFormatting sqref="F26:G28">
    <cfRule type="expression" dxfId="1711" priority="176">
      <formula>kvartal &lt; 4</formula>
    </cfRule>
  </conditionalFormatting>
  <conditionalFormatting sqref="F32">
    <cfRule type="expression" dxfId="1710" priority="175">
      <formula>kvartal &lt; 4</formula>
    </cfRule>
  </conditionalFormatting>
  <conditionalFormatting sqref="G32">
    <cfRule type="expression" dxfId="1709" priority="174">
      <formula>kvartal &lt; 4</formula>
    </cfRule>
  </conditionalFormatting>
  <conditionalFormatting sqref="F33">
    <cfRule type="expression" dxfId="1708" priority="173">
      <formula>kvartal &lt; 4</formula>
    </cfRule>
  </conditionalFormatting>
  <conditionalFormatting sqref="G33">
    <cfRule type="expression" dxfId="1707" priority="172">
      <formula>kvartal &lt; 4</formula>
    </cfRule>
  </conditionalFormatting>
  <conditionalFormatting sqref="F34">
    <cfRule type="expression" dxfId="1706" priority="171">
      <formula>kvartal &lt; 4</formula>
    </cfRule>
  </conditionalFormatting>
  <conditionalFormatting sqref="G34">
    <cfRule type="expression" dxfId="1705" priority="170">
      <formula>kvartal &lt; 4</formula>
    </cfRule>
  </conditionalFormatting>
  <conditionalFormatting sqref="F37">
    <cfRule type="expression" dxfId="1704" priority="169">
      <formula>kvartal &lt; 4</formula>
    </cfRule>
  </conditionalFormatting>
  <conditionalFormatting sqref="F38">
    <cfRule type="expression" dxfId="1703" priority="168">
      <formula>kvartal &lt; 4</formula>
    </cfRule>
  </conditionalFormatting>
  <conditionalFormatting sqref="F39">
    <cfRule type="expression" dxfId="1702" priority="167">
      <formula>kvartal &lt; 4</formula>
    </cfRule>
  </conditionalFormatting>
  <conditionalFormatting sqref="G37">
    <cfRule type="expression" dxfId="1701" priority="166">
      <formula>kvartal &lt; 4</formula>
    </cfRule>
  </conditionalFormatting>
  <conditionalFormatting sqref="G38">
    <cfRule type="expression" dxfId="1700" priority="165">
      <formula>kvartal &lt; 4</formula>
    </cfRule>
  </conditionalFormatting>
  <conditionalFormatting sqref="G39">
    <cfRule type="expression" dxfId="1699" priority="164">
      <formula>kvartal &lt; 4</formula>
    </cfRule>
  </conditionalFormatting>
  <conditionalFormatting sqref="B29">
    <cfRule type="expression" dxfId="1698" priority="163">
      <formula>kvartal &lt; 4</formula>
    </cfRule>
  </conditionalFormatting>
  <conditionalFormatting sqref="C29">
    <cfRule type="expression" dxfId="1697" priority="162">
      <formula>kvartal &lt; 4</formula>
    </cfRule>
  </conditionalFormatting>
  <conditionalFormatting sqref="F29">
    <cfRule type="expression" dxfId="1696" priority="161">
      <formula>kvartal &lt; 4</formula>
    </cfRule>
  </conditionalFormatting>
  <conditionalFormatting sqref="G29">
    <cfRule type="expression" dxfId="1695" priority="160">
      <formula>kvartal &lt; 4</formula>
    </cfRule>
  </conditionalFormatting>
  <conditionalFormatting sqref="J26:K29">
    <cfRule type="expression" dxfId="1694" priority="159">
      <formula>kvartal &lt; 4</formula>
    </cfRule>
  </conditionalFormatting>
  <conditionalFormatting sqref="J32:K34">
    <cfRule type="expression" dxfId="1693" priority="158">
      <formula>kvartal &lt; 4</formula>
    </cfRule>
  </conditionalFormatting>
  <conditionalFormatting sqref="J37:K39">
    <cfRule type="expression" dxfId="1692" priority="157">
      <formula>kvartal &lt; 4</formula>
    </cfRule>
  </conditionalFormatting>
  <conditionalFormatting sqref="J82:K86">
    <cfRule type="expression" dxfId="1691" priority="95">
      <formula>kvartal &lt; 4</formula>
    </cfRule>
  </conditionalFormatting>
  <conditionalFormatting sqref="J87:K87">
    <cfRule type="expression" dxfId="1690" priority="94">
      <formula>kvartal &lt; 4</formula>
    </cfRule>
  </conditionalFormatting>
  <conditionalFormatting sqref="J92:K97">
    <cfRule type="expression" dxfId="1689" priority="93">
      <formula>kvartal &lt; 4</formula>
    </cfRule>
  </conditionalFormatting>
  <conditionalFormatting sqref="J102:K107">
    <cfRule type="expression" dxfId="1688" priority="92">
      <formula>kvartal &lt; 4</formula>
    </cfRule>
  </conditionalFormatting>
  <conditionalFormatting sqref="J112:K117">
    <cfRule type="expression" dxfId="1687" priority="91">
      <formula>kvartal &lt; 4</formula>
    </cfRule>
  </conditionalFormatting>
  <conditionalFormatting sqref="J122:K127">
    <cfRule type="expression" dxfId="1686" priority="90">
      <formula>kvartal &lt; 4</formula>
    </cfRule>
  </conditionalFormatting>
  <conditionalFormatting sqref="J132:K137">
    <cfRule type="expression" dxfId="1685" priority="89">
      <formula>kvartal &lt; 4</formula>
    </cfRule>
  </conditionalFormatting>
  <conditionalFormatting sqref="J146:K146">
    <cfRule type="expression" dxfId="1684" priority="88">
      <formula>kvartal &lt; 4</formula>
    </cfRule>
  </conditionalFormatting>
  <conditionalFormatting sqref="J154:K154">
    <cfRule type="expression" dxfId="1683" priority="87">
      <formula>kvartal &lt; 4</formula>
    </cfRule>
  </conditionalFormatting>
  <conditionalFormatting sqref="A26:A28">
    <cfRule type="expression" dxfId="1682" priority="71">
      <formula>kvartal &lt; 4</formula>
    </cfRule>
  </conditionalFormatting>
  <conditionalFormatting sqref="A32:A33">
    <cfRule type="expression" dxfId="1681" priority="70">
      <formula>kvartal &lt; 4</formula>
    </cfRule>
  </conditionalFormatting>
  <conditionalFormatting sqref="A37:A39">
    <cfRule type="expression" dxfId="1680" priority="69">
      <formula>kvartal &lt; 4</formula>
    </cfRule>
  </conditionalFormatting>
  <conditionalFormatting sqref="A57:A59">
    <cfRule type="expression" dxfId="1679" priority="68">
      <formula>kvartal &lt; 4</formula>
    </cfRule>
  </conditionalFormatting>
  <conditionalFormatting sqref="A63:A65">
    <cfRule type="expression" dxfId="1678" priority="67">
      <formula>kvartal &lt; 4</formula>
    </cfRule>
  </conditionalFormatting>
  <conditionalFormatting sqref="A82:A87">
    <cfRule type="expression" dxfId="1677" priority="66">
      <formula>kvartal &lt; 4</formula>
    </cfRule>
  </conditionalFormatting>
  <conditionalFormatting sqref="A92:A97">
    <cfRule type="expression" dxfId="1676" priority="65">
      <formula>kvartal &lt; 4</formula>
    </cfRule>
  </conditionalFormatting>
  <conditionalFormatting sqref="A102:A107">
    <cfRule type="expression" dxfId="1675" priority="64">
      <formula>kvartal &lt; 4</formula>
    </cfRule>
  </conditionalFormatting>
  <conditionalFormatting sqref="A112:A117">
    <cfRule type="expression" dxfId="1674" priority="63">
      <formula>kvartal &lt; 4</formula>
    </cfRule>
  </conditionalFormatting>
  <conditionalFormatting sqref="A122:A127">
    <cfRule type="expression" dxfId="1673" priority="62">
      <formula>kvartal &lt; 4</formula>
    </cfRule>
  </conditionalFormatting>
  <conditionalFormatting sqref="A132:A137">
    <cfRule type="expression" dxfId="1672" priority="61">
      <formula>kvartal &lt; 4</formula>
    </cfRule>
  </conditionalFormatting>
  <conditionalFormatting sqref="A146">
    <cfRule type="expression" dxfId="1671" priority="60">
      <formula>kvartal &lt; 4</formula>
    </cfRule>
  </conditionalFormatting>
  <conditionalFormatting sqref="A154">
    <cfRule type="expression" dxfId="1670" priority="59">
      <formula>kvartal &lt; 4</formula>
    </cfRule>
  </conditionalFormatting>
  <conditionalFormatting sqref="A29">
    <cfRule type="expression" dxfId="1669" priority="58">
      <formula>kvartal &lt; 4</formula>
    </cfRule>
  </conditionalFormatting>
  <conditionalFormatting sqref="B82">
    <cfRule type="expression" dxfId="1668" priority="56">
      <formula>kvartal &lt; 4</formula>
    </cfRule>
  </conditionalFormatting>
  <conditionalFormatting sqref="C82">
    <cfRule type="expression" dxfId="1667" priority="55">
      <formula>kvartal &lt; 4</formula>
    </cfRule>
  </conditionalFormatting>
  <conditionalFormatting sqref="B85">
    <cfRule type="expression" dxfId="1666" priority="54">
      <formula>kvartal &lt; 4</formula>
    </cfRule>
  </conditionalFormatting>
  <conditionalFormatting sqref="C85">
    <cfRule type="expression" dxfId="1665" priority="53">
      <formula>kvartal &lt; 4</formula>
    </cfRule>
  </conditionalFormatting>
  <conditionalFormatting sqref="B92">
    <cfRule type="expression" dxfId="1664" priority="52">
      <formula>kvartal &lt; 4</formula>
    </cfRule>
  </conditionalFormatting>
  <conditionalFormatting sqref="C92">
    <cfRule type="expression" dxfId="1663" priority="51">
      <formula>kvartal &lt; 4</formula>
    </cfRule>
  </conditionalFormatting>
  <conditionalFormatting sqref="B95">
    <cfRule type="expression" dxfId="1662" priority="50">
      <formula>kvartal &lt; 4</formula>
    </cfRule>
  </conditionalFormatting>
  <conditionalFormatting sqref="C95">
    <cfRule type="expression" dxfId="1661" priority="49">
      <formula>kvartal &lt; 4</formula>
    </cfRule>
  </conditionalFormatting>
  <conditionalFormatting sqref="B102">
    <cfRule type="expression" dxfId="1660" priority="48">
      <formula>kvartal &lt; 4</formula>
    </cfRule>
  </conditionalFormatting>
  <conditionalFormatting sqref="C102">
    <cfRule type="expression" dxfId="1659" priority="47">
      <formula>kvartal &lt; 4</formula>
    </cfRule>
  </conditionalFormatting>
  <conditionalFormatting sqref="B105">
    <cfRule type="expression" dxfId="1658" priority="46">
      <formula>kvartal &lt; 4</formula>
    </cfRule>
  </conditionalFormatting>
  <conditionalFormatting sqref="C105">
    <cfRule type="expression" dxfId="1657" priority="45">
      <formula>kvartal &lt; 4</formula>
    </cfRule>
  </conditionalFormatting>
  <conditionalFormatting sqref="B112">
    <cfRule type="expression" dxfId="1656" priority="44">
      <formula>kvartal &lt; 4</formula>
    </cfRule>
  </conditionalFormatting>
  <conditionalFormatting sqref="C112">
    <cfRule type="expression" dxfId="1655" priority="43">
      <formula>kvartal &lt; 4</formula>
    </cfRule>
  </conditionalFormatting>
  <conditionalFormatting sqref="B115">
    <cfRule type="expression" dxfId="1654" priority="42">
      <formula>kvartal &lt; 4</formula>
    </cfRule>
  </conditionalFormatting>
  <conditionalFormatting sqref="C115">
    <cfRule type="expression" dxfId="1653" priority="41">
      <formula>kvartal &lt; 4</formula>
    </cfRule>
  </conditionalFormatting>
  <conditionalFormatting sqref="B122">
    <cfRule type="expression" dxfId="1652" priority="40">
      <formula>kvartal &lt; 4</formula>
    </cfRule>
  </conditionalFormatting>
  <conditionalFormatting sqref="C122">
    <cfRule type="expression" dxfId="1651" priority="39">
      <formula>kvartal &lt; 4</formula>
    </cfRule>
  </conditionalFormatting>
  <conditionalFormatting sqref="B125">
    <cfRule type="expression" dxfId="1650" priority="38">
      <formula>kvartal &lt; 4</formula>
    </cfRule>
  </conditionalFormatting>
  <conditionalFormatting sqref="C125">
    <cfRule type="expression" dxfId="1649" priority="37">
      <formula>kvartal &lt; 4</formula>
    </cfRule>
  </conditionalFormatting>
  <conditionalFormatting sqref="B132">
    <cfRule type="expression" dxfId="1648" priority="36">
      <formula>kvartal &lt; 4</formula>
    </cfRule>
  </conditionalFormatting>
  <conditionalFormatting sqref="C132">
    <cfRule type="expression" dxfId="1647" priority="35">
      <formula>kvartal &lt; 4</formula>
    </cfRule>
  </conditionalFormatting>
  <conditionalFormatting sqref="B135">
    <cfRule type="expression" dxfId="1646" priority="34">
      <formula>kvartal &lt; 4</formula>
    </cfRule>
  </conditionalFormatting>
  <conditionalFormatting sqref="C135">
    <cfRule type="expression" dxfId="1645" priority="33">
      <formula>kvartal &lt; 4</formula>
    </cfRule>
  </conditionalFormatting>
  <conditionalFormatting sqref="B146">
    <cfRule type="expression" dxfId="1644" priority="32">
      <formula>kvartal &lt; 4</formula>
    </cfRule>
  </conditionalFormatting>
  <conditionalFormatting sqref="C146">
    <cfRule type="expression" dxfId="1643" priority="31">
      <formula>kvartal &lt; 4</formula>
    </cfRule>
  </conditionalFormatting>
  <conditionalFormatting sqref="B154">
    <cfRule type="expression" dxfId="1642" priority="30">
      <formula>kvartal &lt; 4</formula>
    </cfRule>
  </conditionalFormatting>
  <conditionalFormatting sqref="C154">
    <cfRule type="expression" dxfId="1641" priority="29">
      <formula>kvartal &lt; 4</formula>
    </cfRule>
  </conditionalFormatting>
  <conditionalFormatting sqref="F82">
    <cfRule type="expression" dxfId="1640" priority="28">
      <formula>kvartal &lt; 4</formula>
    </cfRule>
  </conditionalFormatting>
  <conditionalFormatting sqref="G82">
    <cfRule type="expression" dxfId="1639" priority="27">
      <formula>kvartal &lt; 4</formula>
    </cfRule>
  </conditionalFormatting>
  <conditionalFormatting sqref="F85">
    <cfRule type="expression" dxfId="1638" priority="26">
      <formula>kvartal &lt; 4</formula>
    </cfRule>
  </conditionalFormatting>
  <conditionalFormatting sqref="G85">
    <cfRule type="expression" dxfId="1637" priority="25">
      <formula>kvartal &lt; 4</formula>
    </cfRule>
  </conditionalFormatting>
  <conditionalFormatting sqref="F92">
    <cfRule type="expression" dxfId="1636" priority="24">
      <formula>kvartal &lt; 4</formula>
    </cfRule>
  </conditionalFormatting>
  <conditionalFormatting sqref="G92">
    <cfRule type="expression" dxfId="1635" priority="23">
      <formula>kvartal &lt; 4</formula>
    </cfRule>
  </conditionalFormatting>
  <conditionalFormatting sqref="F95">
    <cfRule type="expression" dxfId="1634" priority="22">
      <formula>kvartal &lt; 4</formula>
    </cfRule>
  </conditionalFormatting>
  <conditionalFormatting sqref="G95">
    <cfRule type="expression" dxfId="1633" priority="21">
      <formula>kvartal &lt; 4</formula>
    </cfRule>
  </conditionalFormatting>
  <conditionalFormatting sqref="F102">
    <cfRule type="expression" dxfId="1632" priority="20">
      <formula>kvartal &lt; 4</formula>
    </cfRule>
  </conditionalFormatting>
  <conditionalFormatting sqref="G102">
    <cfRule type="expression" dxfId="1631" priority="19">
      <formula>kvartal &lt; 4</formula>
    </cfRule>
  </conditionalFormatting>
  <conditionalFormatting sqref="F105">
    <cfRule type="expression" dxfId="1630" priority="18">
      <formula>kvartal &lt; 4</formula>
    </cfRule>
  </conditionalFormatting>
  <conditionalFormatting sqref="G105">
    <cfRule type="expression" dxfId="1629" priority="17">
      <formula>kvartal &lt; 4</formula>
    </cfRule>
  </conditionalFormatting>
  <conditionalFormatting sqref="F112">
    <cfRule type="expression" dxfId="1628" priority="16">
      <formula>kvartal &lt; 4</formula>
    </cfRule>
  </conditionalFormatting>
  <conditionalFormatting sqref="G112">
    <cfRule type="expression" dxfId="1627" priority="15">
      <formula>kvartal &lt; 4</formula>
    </cfRule>
  </conditionalFormatting>
  <conditionalFormatting sqref="F115">
    <cfRule type="expression" dxfId="1626" priority="14">
      <formula>kvartal &lt; 4</formula>
    </cfRule>
  </conditionalFormatting>
  <conditionalFormatting sqref="G115">
    <cfRule type="expression" dxfId="1625" priority="13">
      <formula>kvartal &lt; 4</formula>
    </cfRule>
  </conditionalFormatting>
  <conditionalFormatting sqref="F122">
    <cfRule type="expression" dxfId="1624" priority="12">
      <formula>kvartal &lt; 4</formula>
    </cfRule>
  </conditionalFormatting>
  <conditionalFormatting sqref="G122">
    <cfRule type="expression" dxfId="1623" priority="11">
      <formula>kvartal &lt; 4</formula>
    </cfRule>
  </conditionalFormatting>
  <conditionalFormatting sqref="F125">
    <cfRule type="expression" dxfId="1622" priority="10">
      <formula>kvartal &lt; 4</formula>
    </cfRule>
  </conditionalFormatting>
  <conditionalFormatting sqref="G125">
    <cfRule type="expression" dxfId="1621" priority="9">
      <formula>kvartal &lt; 4</formula>
    </cfRule>
  </conditionalFormatting>
  <conditionalFormatting sqref="F132">
    <cfRule type="expression" dxfId="1620" priority="8">
      <formula>kvartal &lt; 4</formula>
    </cfRule>
  </conditionalFormatting>
  <conditionalFormatting sqref="G132">
    <cfRule type="expression" dxfId="1619" priority="7">
      <formula>kvartal &lt; 4</formula>
    </cfRule>
  </conditionalFormatting>
  <conditionalFormatting sqref="F135">
    <cfRule type="expression" dxfId="1618" priority="6">
      <formula>kvartal &lt; 4</formula>
    </cfRule>
  </conditionalFormatting>
  <conditionalFormatting sqref="G135">
    <cfRule type="expression" dxfId="1617" priority="5">
      <formula>kvartal &lt; 4</formula>
    </cfRule>
  </conditionalFormatting>
  <conditionalFormatting sqref="F146">
    <cfRule type="expression" dxfId="1616" priority="4">
      <formula>kvartal &lt; 4</formula>
    </cfRule>
  </conditionalFormatting>
  <conditionalFormatting sqref="G146">
    <cfRule type="expression" dxfId="1615" priority="3">
      <formula>kvartal &lt; 4</formula>
    </cfRule>
  </conditionalFormatting>
  <conditionalFormatting sqref="F154">
    <cfRule type="expression" dxfId="1614" priority="2">
      <formula>kvartal &lt; 4</formula>
    </cfRule>
  </conditionalFormatting>
  <conditionalFormatting sqref="G154">
    <cfRule type="expression" dxfId="1613" priority="1">
      <formula>kvartal &lt; 4</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dimension ref="A1:N176"/>
  <sheetViews>
    <sheetView showGridLines="0" zoomScale="90" zoomScaleNormal="90" workbookViewId="0">
      <selection activeCell="A4" sqref="A4"/>
    </sheetView>
  </sheetViews>
  <sheetFormatPr baseColWidth="10" defaultColWidth="11.42578125" defaultRowHeight="12.75" x14ac:dyDescent="0.2"/>
  <cols>
    <col min="1" max="1" width="41.5703125" style="143" customWidth="1"/>
    <col min="2" max="2" width="10.85546875" style="143" customWidth="1"/>
    <col min="3" max="3" width="11" style="143" customWidth="1"/>
    <col min="4" max="5" width="8.7109375" style="143" customWidth="1"/>
    <col min="6" max="7" width="10.85546875" style="143" customWidth="1"/>
    <col min="8" max="9" width="8.7109375" style="143" customWidth="1"/>
    <col min="10" max="11" width="10.85546875" style="143" customWidth="1"/>
    <col min="12" max="13" width="8.7109375" style="143" customWidth="1"/>
    <col min="14" max="14" width="11.42578125" style="143"/>
    <col min="15" max="16384" width="11.42578125" style="1"/>
  </cols>
  <sheetData>
    <row r="1" spans="1:14" x14ac:dyDescent="0.2">
      <c r="A1" s="165" t="s">
        <v>159</v>
      </c>
      <c r="B1" s="401"/>
      <c r="C1" s="245" t="s">
        <v>164</v>
      </c>
      <c r="D1" s="20"/>
      <c r="E1" s="20"/>
      <c r="F1" s="20"/>
      <c r="G1" s="20"/>
      <c r="H1" s="20"/>
      <c r="I1" s="20"/>
      <c r="J1" s="20"/>
      <c r="K1" s="20"/>
      <c r="L1" s="20"/>
      <c r="M1" s="20"/>
    </row>
    <row r="2" spans="1:14" ht="15.75" x14ac:dyDescent="0.25">
      <c r="A2" s="158" t="s">
        <v>36</v>
      </c>
      <c r="B2" s="835"/>
      <c r="C2" s="835"/>
      <c r="D2" s="835"/>
      <c r="E2" s="301"/>
      <c r="F2" s="835"/>
      <c r="G2" s="835"/>
      <c r="H2" s="835"/>
      <c r="I2" s="301"/>
      <c r="J2" s="835"/>
      <c r="K2" s="835"/>
      <c r="L2" s="835"/>
      <c r="M2" s="301"/>
    </row>
    <row r="3" spans="1:14" ht="15.75" x14ac:dyDescent="0.25">
      <c r="A3" s="156"/>
      <c r="B3" s="301"/>
      <c r="C3" s="301"/>
      <c r="D3" s="301"/>
      <c r="E3" s="301"/>
      <c r="F3" s="301"/>
      <c r="G3" s="301"/>
      <c r="H3" s="301"/>
      <c r="I3" s="301"/>
      <c r="J3" s="301"/>
      <c r="K3" s="301"/>
      <c r="L3" s="301"/>
      <c r="M3" s="301"/>
    </row>
    <row r="4" spans="1:14" x14ac:dyDescent="0.2">
      <c r="A4" s="138"/>
      <c r="B4" s="808" t="s">
        <v>0</v>
      </c>
      <c r="C4" s="802"/>
      <c r="D4" s="802"/>
      <c r="E4" s="802"/>
      <c r="F4" s="808" t="s">
        <v>1</v>
      </c>
      <c r="G4" s="802"/>
      <c r="H4" s="802"/>
      <c r="I4" s="803"/>
      <c r="J4" s="801" t="s">
        <v>2</v>
      </c>
      <c r="K4" s="802"/>
      <c r="L4" s="802"/>
      <c r="M4" s="803"/>
    </row>
    <row r="5" spans="1:14" x14ac:dyDescent="0.2">
      <c r="A5" s="151"/>
      <c r="B5" s="145" t="s">
        <v>400</v>
      </c>
      <c r="C5" s="145" t="s">
        <v>401</v>
      </c>
      <c r="D5" s="242" t="s">
        <v>3</v>
      </c>
      <c r="E5" s="307" t="s">
        <v>37</v>
      </c>
      <c r="F5" s="145" t="s">
        <v>400</v>
      </c>
      <c r="G5" s="145" t="s">
        <v>401</v>
      </c>
      <c r="H5" s="242" t="s">
        <v>3</v>
      </c>
      <c r="I5" s="307" t="s">
        <v>37</v>
      </c>
      <c r="J5" s="145" t="s">
        <v>400</v>
      </c>
      <c r="K5" s="145" t="s">
        <v>401</v>
      </c>
      <c r="L5" s="242" t="s">
        <v>3</v>
      </c>
      <c r="M5" s="155" t="s">
        <v>37</v>
      </c>
    </row>
    <row r="6" spans="1:14" x14ac:dyDescent="0.2">
      <c r="A6" s="402"/>
      <c r="B6" s="149"/>
      <c r="C6" s="149"/>
      <c r="D6" s="243" t="s">
        <v>4</v>
      </c>
      <c r="E6" s="149" t="s">
        <v>38</v>
      </c>
      <c r="F6" s="154"/>
      <c r="G6" s="154"/>
      <c r="H6" s="242" t="s">
        <v>4</v>
      </c>
      <c r="I6" s="149" t="s">
        <v>38</v>
      </c>
      <c r="J6" s="154"/>
      <c r="K6" s="154"/>
      <c r="L6" s="242" t="s">
        <v>4</v>
      </c>
      <c r="M6" s="149" t="s">
        <v>38</v>
      </c>
    </row>
    <row r="7" spans="1:14" ht="15.75" x14ac:dyDescent="0.2">
      <c r="A7" s="12" t="s">
        <v>30</v>
      </c>
      <c r="B7" s="308">
        <v>292958.43199999997</v>
      </c>
      <c r="C7" s="309">
        <v>307300.755</v>
      </c>
      <c r="D7" s="251">
        <f>IF(B7=0, "    ---- ", IF(ABS(ROUND(100/B7*C7-100,1))&lt;999,ROUND(100/B7*C7-100,1),IF(ROUND(100/B7*C7-100,1)&gt;999,999,-999)))</f>
        <v>4.9000000000000004</v>
      </c>
      <c r="E7" s="170">
        <f>IFERROR(100/'Skjema total MA'!C7*C7,0)</f>
        <v>6.1256396443257755</v>
      </c>
      <c r="F7" s="308"/>
      <c r="G7" s="309"/>
      <c r="H7" s="251"/>
      <c r="I7" s="170"/>
      <c r="J7" s="310">
        <v>292958.43199999997</v>
      </c>
      <c r="K7" s="311">
        <v>307300.755</v>
      </c>
      <c r="L7" s="255">
        <f>IF(J7=0, "    ---- ", IF(ABS(ROUND(100/J7*K7-100,1))&lt;999,ROUND(100/J7*K7-100,1),IF(ROUND(100/J7*K7-100,1)&gt;999,999,-999)))</f>
        <v>4.9000000000000004</v>
      </c>
      <c r="M7" s="170">
        <f>IFERROR(100/'Skjema total MA'!I7*K7,0)</f>
        <v>2.1774443178628058</v>
      </c>
    </row>
    <row r="8" spans="1:14" ht="15.75" x14ac:dyDescent="0.2">
      <c r="A8" s="18" t="s">
        <v>32</v>
      </c>
      <c r="B8" s="282">
        <v>168106.883</v>
      </c>
      <c r="C8" s="283">
        <v>180788.6</v>
      </c>
      <c r="D8" s="159">
        <f t="shared" ref="D8:D13" si="0">IF(B8=0, "    ---- ", IF(ABS(ROUND(100/B8*C8-100,1))&lt;999,ROUND(100/B8*C8-100,1),IF(ROUND(100/B8*C8-100,1)&gt;999,999,-999)))</f>
        <v>7.5</v>
      </c>
      <c r="E8" s="170">
        <f>IFERROR(100/'Skjema total MA'!C8*C8,0)</f>
        <v>7.475006972722583</v>
      </c>
      <c r="F8" s="286"/>
      <c r="G8" s="287"/>
      <c r="H8" s="159"/>
      <c r="I8" s="170"/>
      <c r="J8" s="229">
        <v>168106.883</v>
      </c>
      <c r="K8" s="288">
        <v>180788.6</v>
      </c>
      <c r="L8" s="256">
        <f t="shared" ref="L8:L9" si="1">IF(J8=0, "    ---- ", IF(ABS(ROUND(100/J8*K8-100,1))&lt;999,ROUND(100/J8*K8-100,1),IF(ROUND(100/J8*K8-100,1)&gt;999,999,-999)))</f>
        <v>7.5</v>
      </c>
      <c r="M8" s="170">
        <f>IFERROR(100/'Skjema total MA'!I8*K8,0)</f>
        <v>7.475006972722583</v>
      </c>
    </row>
    <row r="9" spans="1:14" ht="15.75" x14ac:dyDescent="0.2">
      <c r="A9" s="18" t="s">
        <v>31</v>
      </c>
      <c r="B9" s="282">
        <v>124851.549</v>
      </c>
      <c r="C9" s="283">
        <v>126512.155</v>
      </c>
      <c r="D9" s="159">
        <f t="shared" si="0"/>
        <v>1.3</v>
      </c>
      <c r="E9" s="170">
        <f>IFERROR(100/'Skjema total MA'!C9*C9,0)</f>
        <v>11.033442986632879</v>
      </c>
      <c r="F9" s="286"/>
      <c r="G9" s="287"/>
      <c r="H9" s="159"/>
      <c r="I9" s="170"/>
      <c r="J9" s="229">
        <v>124851.549</v>
      </c>
      <c r="K9" s="288">
        <v>126512.155</v>
      </c>
      <c r="L9" s="256">
        <f t="shared" si="1"/>
        <v>1.3</v>
      </c>
      <c r="M9" s="170">
        <f>IFERROR(100/'Skjema total MA'!I9*K9,0)</f>
        <v>11.033442986632879</v>
      </c>
    </row>
    <row r="10" spans="1:14" ht="15.75" x14ac:dyDescent="0.2">
      <c r="A10" s="11" t="s">
        <v>29</v>
      </c>
      <c r="B10" s="312">
        <v>21391.495999999999</v>
      </c>
      <c r="C10" s="313">
        <v>21027.776999999998</v>
      </c>
      <c r="D10" s="159">
        <f t="shared" si="0"/>
        <v>-1.7</v>
      </c>
      <c r="E10" s="170">
        <f>IFERROR(100/'Skjema total MA'!C10*C10,0)</f>
        <v>5.9129862822048667</v>
      </c>
      <c r="F10" s="312"/>
      <c r="G10" s="313"/>
      <c r="H10" s="159"/>
      <c r="I10" s="170"/>
      <c r="J10" s="310">
        <v>21391.495999999999</v>
      </c>
      <c r="K10" s="311">
        <v>21027.776999999998</v>
      </c>
      <c r="L10" s="256">
        <f t="shared" ref="L10:L13" si="2">IF(J10=0, "    ---- ", IF(ABS(ROUND(100/J10*K10-100,1))&lt;999,ROUND(100/J10*K10-100,1),IF(ROUND(100/J10*K10-100,1)&gt;999,999,-999)))</f>
        <v>-1.7</v>
      </c>
      <c r="M10" s="170">
        <f>IFERROR(100/'Skjema total MA'!I10*K10,0)</f>
        <v>0.26210241720033628</v>
      </c>
    </row>
    <row r="11" spans="1:14" ht="15.75" x14ac:dyDescent="0.2">
      <c r="A11" s="18" t="s">
        <v>32</v>
      </c>
      <c r="B11" s="282">
        <v>16862.421999999999</v>
      </c>
      <c r="C11" s="283">
        <v>17406.29</v>
      </c>
      <c r="D11" s="159">
        <f t="shared" si="0"/>
        <v>3.2</v>
      </c>
      <c r="E11" s="170">
        <f>IFERROR(100/'Skjema total MA'!C11*C11,0)</f>
        <v>9.1217530157370774</v>
      </c>
      <c r="F11" s="286"/>
      <c r="G11" s="287"/>
      <c r="H11" s="159"/>
      <c r="I11" s="170"/>
      <c r="J11" s="229">
        <v>16862.421999999999</v>
      </c>
      <c r="K11" s="288">
        <v>17406.29</v>
      </c>
      <c r="L11" s="256">
        <f t="shared" ref="L11:L12" si="3">IF(J11=0, "    ---- ", IF(ABS(ROUND(100/J11*K11-100,1))&lt;999,ROUND(100/J11*K11-100,1),IF(ROUND(100/J11*K11-100,1)&gt;999,999,-999)))</f>
        <v>3.2</v>
      </c>
      <c r="M11" s="170">
        <f>IFERROR(100/'Skjema total MA'!I11*K11,0)</f>
        <v>9.1217530157370774</v>
      </c>
    </row>
    <row r="12" spans="1:14" ht="15.75" x14ac:dyDescent="0.2">
      <c r="A12" s="18" t="s">
        <v>31</v>
      </c>
      <c r="B12" s="282">
        <v>4529.0739999999996</v>
      </c>
      <c r="C12" s="283">
        <v>3621.4870000000001</v>
      </c>
      <c r="D12" s="159">
        <f t="shared" si="0"/>
        <v>-20</v>
      </c>
      <c r="E12" s="170">
        <f>IFERROR(100/'Skjema total MA'!C12*C12,0)</f>
        <v>5.7178521156429536</v>
      </c>
      <c r="F12" s="286"/>
      <c r="G12" s="287"/>
      <c r="H12" s="159"/>
      <c r="I12" s="170"/>
      <c r="J12" s="229">
        <v>4529.0739999999996</v>
      </c>
      <c r="K12" s="288">
        <v>3621.4870000000001</v>
      </c>
      <c r="L12" s="256">
        <f t="shared" si="3"/>
        <v>-20</v>
      </c>
      <c r="M12" s="170">
        <f>IFERROR(100/'Skjema total MA'!I12*K12,0)</f>
        <v>5.7178521156429536</v>
      </c>
    </row>
    <row r="13" spans="1:14" ht="15.75" x14ac:dyDescent="0.2">
      <c r="A13" s="11" t="s">
        <v>28</v>
      </c>
      <c r="B13" s="312">
        <v>311920</v>
      </c>
      <c r="C13" s="313">
        <v>378750</v>
      </c>
      <c r="D13" s="159">
        <f t="shared" si="0"/>
        <v>21.4</v>
      </c>
      <c r="E13" s="170">
        <f>IFERROR(100/'Skjema total MA'!C13*C13,0)</f>
        <v>1.464389854255862</v>
      </c>
      <c r="F13" s="312"/>
      <c r="G13" s="313"/>
      <c r="H13" s="159"/>
      <c r="I13" s="170"/>
      <c r="J13" s="310">
        <v>311920</v>
      </c>
      <c r="K13" s="311">
        <v>378750</v>
      </c>
      <c r="L13" s="256">
        <f t="shared" si="2"/>
        <v>21.4</v>
      </c>
      <c r="M13" s="170">
        <f>IFERROR(100/'Skjema total MA'!I13*K13,0)</f>
        <v>0.64213877828163379</v>
      </c>
    </row>
    <row r="14" spans="1:14" s="36" customFormat="1" ht="15.75" x14ac:dyDescent="0.2">
      <c r="A14" s="11" t="s">
        <v>27</v>
      </c>
      <c r="B14" s="312"/>
      <c r="C14" s="313"/>
      <c r="D14" s="159"/>
      <c r="E14" s="170"/>
      <c r="F14" s="312"/>
      <c r="G14" s="313"/>
      <c r="H14" s="159"/>
      <c r="I14" s="170"/>
      <c r="J14" s="310"/>
      <c r="K14" s="311"/>
      <c r="L14" s="256"/>
      <c r="M14" s="170"/>
      <c r="N14" s="137"/>
    </row>
    <row r="15" spans="1:14" s="36" customFormat="1" ht="15.75" x14ac:dyDescent="0.2">
      <c r="A15" s="34" t="s">
        <v>26</v>
      </c>
      <c r="B15" s="314"/>
      <c r="C15" s="315"/>
      <c r="D15" s="160"/>
      <c r="E15" s="160"/>
      <c r="F15" s="314"/>
      <c r="G15" s="315"/>
      <c r="H15" s="160"/>
      <c r="I15" s="160"/>
      <c r="J15" s="316"/>
      <c r="K15" s="317"/>
      <c r="L15" s="257"/>
      <c r="M15" s="160"/>
      <c r="N15" s="137"/>
    </row>
    <row r="16" spans="1:14" s="36" customFormat="1" x14ac:dyDescent="0.2">
      <c r="A16" s="161"/>
      <c r="B16" s="139"/>
      <c r="C16" s="27"/>
      <c r="D16" s="152"/>
      <c r="E16" s="152"/>
      <c r="F16" s="139"/>
      <c r="G16" s="27"/>
      <c r="H16" s="152"/>
      <c r="I16" s="152"/>
      <c r="J16" s="41"/>
      <c r="K16" s="41"/>
      <c r="L16" s="152"/>
      <c r="M16" s="152"/>
      <c r="N16" s="137"/>
    </row>
    <row r="17" spans="1:14" x14ac:dyDescent="0.2">
      <c r="A17" s="146" t="s">
        <v>307</v>
      </c>
      <c r="B17" s="20"/>
    </row>
    <row r="18" spans="1:14" x14ac:dyDescent="0.2">
      <c r="F18" s="140"/>
      <c r="G18" s="140"/>
      <c r="H18" s="140"/>
      <c r="I18" s="140"/>
      <c r="J18" s="140"/>
      <c r="K18" s="140"/>
      <c r="L18" s="140"/>
      <c r="M18" s="140"/>
    </row>
    <row r="19" spans="1:14" s="3" customFormat="1" ht="15.75" x14ac:dyDescent="0.25">
      <c r="A19" s="157"/>
      <c r="B19" s="142"/>
      <c r="C19" s="147"/>
      <c r="D19" s="147"/>
      <c r="E19" s="147"/>
      <c r="F19" s="147"/>
      <c r="G19" s="147"/>
      <c r="H19" s="147"/>
      <c r="I19" s="147"/>
      <c r="J19" s="147"/>
      <c r="K19" s="147"/>
      <c r="L19" s="147"/>
      <c r="M19" s="147"/>
      <c r="N19" s="142"/>
    </row>
    <row r="20" spans="1:14" ht="15.75" x14ac:dyDescent="0.25">
      <c r="A20" s="141" t="s">
        <v>304</v>
      </c>
      <c r="B20" s="150"/>
      <c r="C20" s="150"/>
      <c r="D20" s="144"/>
      <c r="E20" s="144"/>
      <c r="F20" s="150"/>
      <c r="G20" s="150"/>
      <c r="H20" s="150"/>
      <c r="I20" s="150"/>
      <c r="J20" s="150"/>
      <c r="K20" s="150"/>
      <c r="L20" s="150"/>
      <c r="M20" s="150"/>
    </row>
    <row r="21" spans="1:14" ht="15.75" x14ac:dyDescent="0.25">
      <c r="B21" s="832"/>
      <c r="C21" s="832"/>
      <c r="D21" s="832"/>
      <c r="E21" s="301"/>
      <c r="F21" s="832"/>
      <c r="G21" s="832"/>
      <c r="H21" s="832"/>
      <c r="I21" s="301"/>
      <c r="J21" s="832"/>
      <c r="K21" s="832"/>
      <c r="L21" s="832"/>
      <c r="M21" s="301"/>
    </row>
    <row r="22" spans="1:14" x14ac:dyDescent="0.2">
      <c r="A22" s="138"/>
      <c r="B22" s="833" t="s">
        <v>0</v>
      </c>
      <c r="C22" s="834"/>
      <c r="D22" s="834"/>
      <c r="E22" s="303"/>
      <c r="F22" s="833" t="s">
        <v>1</v>
      </c>
      <c r="G22" s="834"/>
      <c r="H22" s="834"/>
      <c r="I22" s="306"/>
      <c r="J22" s="833" t="s">
        <v>2</v>
      </c>
      <c r="K22" s="834"/>
      <c r="L22" s="834"/>
      <c r="M22" s="306"/>
    </row>
    <row r="23" spans="1:14" x14ac:dyDescent="0.2">
      <c r="A23" s="134" t="s">
        <v>5</v>
      </c>
      <c r="B23" s="145" t="s">
        <v>400</v>
      </c>
      <c r="C23" s="145" t="s">
        <v>401</v>
      </c>
      <c r="D23" s="242" t="s">
        <v>3</v>
      </c>
      <c r="E23" s="307" t="s">
        <v>37</v>
      </c>
      <c r="F23" s="145" t="s">
        <v>400</v>
      </c>
      <c r="G23" s="145" t="s">
        <v>401</v>
      </c>
      <c r="H23" s="242" t="s">
        <v>3</v>
      </c>
      <c r="I23" s="307" t="s">
        <v>37</v>
      </c>
      <c r="J23" s="145" t="s">
        <v>400</v>
      </c>
      <c r="K23" s="145" t="s">
        <v>401</v>
      </c>
      <c r="L23" s="242" t="s">
        <v>3</v>
      </c>
      <c r="M23" s="155" t="s">
        <v>37</v>
      </c>
    </row>
    <row r="24" spans="1:14" x14ac:dyDescent="0.2">
      <c r="A24" s="403"/>
      <c r="B24" s="149"/>
      <c r="C24" s="149"/>
      <c r="D24" s="243" t="s">
        <v>4</v>
      </c>
      <c r="E24" s="149" t="s">
        <v>38</v>
      </c>
      <c r="F24" s="154"/>
      <c r="G24" s="154"/>
      <c r="H24" s="242" t="s">
        <v>4</v>
      </c>
      <c r="I24" s="149" t="s">
        <v>38</v>
      </c>
      <c r="J24" s="154"/>
      <c r="K24" s="154"/>
      <c r="L24" s="242" t="s">
        <v>4</v>
      </c>
      <c r="M24" s="149" t="s">
        <v>38</v>
      </c>
    </row>
    <row r="25" spans="1:14" ht="15.75" x14ac:dyDescent="0.2">
      <c r="A25" s="12" t="s">
        <v>30</v>
      </c>
      <c r="B25" s="318"/>
      <c r="C25" s="319"/>
      <c r="D25" s="251"/>
      <c r="E25" s="170"/>
      <c r="F25" s="320"/>
      <c r="G25" s="319"/>
      <c r="H25" s="251"/>
      <c r="I25" s="170"/>
      <c r="J25" s="318"/>
      <c r="K25" s="318"/>
      <c r="L25" s="255"/>
      <c r="M25" s="159"/>
    </row>
    <row r="26" spans="1:14" ht="15.75" x14ac:dyDescent="0.2">
      <c r="A26" s="298" t="s">
        <v>318</v>
      </c>
      <c r="B26" s="291"/>
      <c r="C26" s="291"/>
      <c r="D26" s="159"/>
      <c r="E26" s="237"/>
      <c r="F26" s="291"/>
      <c r="G26" s="291"/>
      <c r="H26" s="159"/>
      <c r="I26" s="237"/>
      <c r="J26" s="291"/>
      <c r="K26" s="291"/>
      <c r="L26" s="159"/>
      <c r="M26" s="159"/>
    </row>
    <row r="27" spans="1:14" ht="15.75" x14ac:dyDescent="0.2">
      <c r="A27" s="298" t="s">
        <v>319</v>
      </c>
      <c r="B27" s="291"/>
      <c r="C27" s="291"/>
      <c r="D27" s="159"/>
      <c r="E27" s="237"/>
      <c r="F27" s="291"/>
      <c r="G27" s="291"/>
      <c r="H27" s="159"/>
      <c r="I27" s="237"/>
      <c r="J27" s="291"/>
      <c r="K27" s="291"/>
      <c r="L27" s="159"/>
      <c r="M27" s="159"/>
    </row>
    <row r="28" spans="1:14" ht="15.75" x14ac:dyDescent="0.2">
      <c r="A28" s="298" t="s">
        <v>320</v>
      </c>
      <c r="B28" s="291"/>
      <c r="C28" s="291"/>
      <c r="D28" s="159"/>
      <c r="E28" s="237"/>
      <c r="F28" s="291"/>
      <c r="G28" s="291"/>
      <c r="H28" s="159"/>
      <c r="I28" s="237"/>
      <c r="J28" s="291"/>
      <c r="K28" s="291"/>
      <c r="L28" s="159"/>
      <c r="M28" s="159"/>
    </row>
    <row r="29" spans="1:14" x14ac:dyDescent="0.2">
      <c r="A29" s="298" t="s">
        <v>11</v>
      </c>
      <c r="B29" s="291"/>
      <c r="C29" s="291"/>
      <c r="D29" s="159"/>
      <c r="E29" s="237"/>
      <c r="F29" s="291"/>
      <c r="G29" s="291"/>
      <c r="H29" s="159"/>
      <c r="I29" s="237"/>
      <c r="J29" s="291"/>
      <c r="K29" s="291"/>
      <c r="L29" s="159"/>
      <c r="M29" s="159"/>
    </row>
    <row r="30" spans="1:14" ht="15.75" x14ac:dyDescent="0.2">
      <c r="A30" s="42" t="s">
        <v>308</v>
      </c>
      <c r="B30" s="37">
        <v>90893.043999999994</v>
      </c>
      <c r="C30" s="288">
        <v>109295.97500000001</v>
      </c>
      <c r="D30" s="159">
        <f t="shared" ref="D30:D35" si="4">IF(B30=0, "    ---- ", IF(ABS(ROUND(100/B30*C30-100,1))&lt;999,ROUND(100/B30*C30-100,1),IF(ROUND(100/B30*C30-100,1)&gt;999,999,-999)))</f>
        <v>20.2</v>
      </c>
      <c r="E30" s="170">
        <f>IFERROR(100/'Skjema total MA'!C30*C30,0)</f>
        <v>7.3136350087321622</v>
      </c>
      <c r="F30" s="229"/>
      <c r="G30" s="288"/>
      <c r="H30" s="159"/>
      <c r="I30" s="170"/>
      <c r="J30" s="37">
        <v>90893.043999999994</v>
      </c>
      <c r="K30" s="37">
        <v>109295.97500000001</v>
      </c>
      <c r="L30" s="256">
        <f t="shared" ref="L30:L35" si="5">IF(J30=0, "    ---- ", IF(ABS(ROUND(100/J30*K30-100,1))&lt;999,ROUND(100/J30*K30-100,1),IF(ROUND(100/J30*K30-100,1)&gt;999,999,-999)))</f>
        <v>20.2</v>
      </c>
      <c r="M30" s="159">
        <f>IFERROR(100/'Skjema total MA'!I30*K30,0)</f>
        <v>7.3136350087321622</v>
      </c>
    </row>
    <row r="31" spans="1:14" ht="15.75" x14ac:dyDescent="0.2">
      <c r="A31" s="11" t="s">
        <v>29</v>
      </c>
      <c r="B31" s="231"/>
      <c r="C31" s="231"/>
      <c r="D31" s="159"/>
      <c r="E31" s="170"/>
      <c r="F31" s="310"/>
      <c r="G31" s="310"/>
      <c r="H31" s="159"/>
      <c r="I31" s="170"/>
      <c r="J31" s="231"/>
      <c r="K31" s="231"/>
      <c r="L31" s="256"/>
      <c r="M31" s="159"/>
    </row>
    <row r="32" spans="1:14" ht="15.75" x14ac:dyDescent="0.2">
      <c r="A32" s="298" t="s">
        <v>318</v>
      </c>
      <c r="B32" s="291"/>
      <c r="C32" s="291"/>
      <c r="D32" s="159"/>
      <c r="E32" s="237"/>
      <c r="F32" s="291"/>
      <c r="G32" s="291"/>
      <c r="H32" s="159"/>
      <c r="I32" s="237"/>
      <c r="J32" s="291"/>
      <c r="K32" s="291"/>
      <c r="L32" s="159"/>
      <c r="M32" s="159"/>
    </row>
    <row r="33" spans="1:14" ht="15.75" x14ac:dyDescent="0.2">
      <c r="A33" s="298" t="s">
        <v>320</v>
      </c>
      <c r="B33" s="291"/>
      <c r="C33" s="291"/>
      <c r="D33" s="159"/>
      <c r="E33" s="237"/>
      <c r="F33" s="291"/>
      <c r="G33" s="291"/>
      <c r="H33" s="159"/>
      <c r="I33" s="237"/>
      <c r="J33" s="291"/>
      <c r="K33" s="291"/>
      <c r="L33" s="159"/>
      <c r="M33" s="159"/>
    </row>
    <row r="34" spans="1:14" s="21" customFormat="1" x14ac:dyDescent="0.2">
      <c r="A34" s="298" t="s">
        <v>16</v>
      </c>
      <c r="B34" s="291"/>
      <c r="C34" s="291"/>
      <c r="D34" s="159"/>
      <c r="E34" s="237"/>
      <c r="F34" s="291"/>
      <c r="G34" s="291"/>
      <c r="H34" s="159"/>
      <c r="I34" s="237"/>
      <c r="J34" s="291"/>
      <c r="K34" s="291"/>
      <c r="L34" s="159"/>
      <c r="M34" s="159"/>
      <c r="N34" s="166"/>
    </row>
    <row r="35" spans="1:14" ht="15.75" x14ac:dyDescent="0.2">
      <c r="A35" s="42" t="s">
        <v>308</v>
      </c>
      <c r="B35" s="37">
        <v>12531.95</v>
      </c>
      <c r="C35" s="288">
        <v>11591.022000000001</v>
      </c>
      <c r="D35" s="159">
        <f t="shared" si="4"/>
        <v>-7.5</v>
      </c>
      <c r="E35" s="170">
        <f>IFERROR(100/'Skjema total MA'!C35*C35,0)</f>
        <v>6.1794043648375219</v>
      </c>
      <c r="F35" s="229"/>
      <c r="G35" s="288"/>
      <c r="H35" s="159"/>
      <c r="I35" s="170"/>
      <c r="J35" s="37">
        <v>12531.95</v>
      </c>
      <c r="K35" s="37">
        <v>11591.022000000001</v>
      </c>
      <c r="L35" s="256">
        <f t="shared" si="5"/>
        <v>-7.5</v>
      </c>
      <c r="M35" s="159">
        <f>IFERROR(100/'Skjema total MA'!I35*K35,0)</f>
        <v>6.1794043648375219</v>
      </c>
    </row>
    <row r="36" spans="1:14" s="3" customFormat="1" ht="15.75" x14ac:dyDescent="0.2">
      <c r="A36" s="11" t="s">
        <v>28</v>
      </c>
      <c r="B36" s="231"/>
      <c r="C36" s="311"/>
      <c r="D36" s="159"/>
      <c r="E36" s="170"/>
      <c r="F36" s="310"/>
      <c r="G36" s="311"/>
      <c r="H36" s="159"/>
      <c r="I36" s="170"/>
      <c r="J36" s="231"/>
      <c r="K36" s="231"/>
      <c r="L36" s="256"/>
      <c r="M36" s="159"/>
      <c r="N36" s="142"/>
    </row>
    <row r="37" spans="1:14" s="3" customFormat="1" ht="15.75" x14ac:dyDescent="0.2">
      <c r="A37" s="298" t="s">
        <v>318</v>
      </c>
      <c r="B37" s="291"/>
      <c r="C37" s="291"/>
      <c r="D37" s="159"/>
      <c r="E37" s="237"/>
      <c r="F37" s="291"/>
      <c r="G37" s="291"/>
      <c r="H37" s="159"/>
      <c r="I37" s="237"/>
      <c r="J37" s="291"/>
      <c r="K37" s="291"/>
      <c r="L37" s="159"/>
      <c r="M37" s="159"/>
      <c r="N37" s="142"/>
    </row>
    <row r="38" spans="1:14" s="3" customFormat="1" ht="15.75" x14ac:dyDescent="0.2">
      <c r="A38" s="298" t="s">
        <v>319</v>
      </c>
      <c r="B38" s="291"/>
      <c r="C38" s="291"/>
      <c r="D38" s="159"/>
      <c r="E38" s="237"/>
      <c r="F38" s="291"/>
      <c r="G38" s="291"/>
      <c r="H38" s="159"/>
      <c r="I38" s="237"/>
      <c r="J38" s="291"/>
      <c r="K38" s="291"/>
      <c r="L38" s="159"/>
      <c r="M38" s="159"/>
      <c r="N38" s="142"/>
    </row>
    <row r="39" spans="1:14" ht="15.75" x14ac:dyDescent="0.2">
      <c r="A39" s="298" t="s">
        <v>320</v>
      </c>
      <c r="B39" s="291"/>
      <c r="C39" s="291"/>
      <c r="D39" s="159"/>
      <c r="E39" s="237"/>
      <c r="F39" s="291"/>
      <c r="G39" s="291"/>
      <c r="H39" s="159"/>
      <c r="I39" s="237"/>
      <c r="J39" s="291"/>
      <c r="K39" s="291"/>
      <c r="L39" s="159"/>
      <c r="M39" s="159"/>
    </row>
    <row r="40" spans="1:14" ht="15.75" x14ac:dyDescent="0.2">
      <c r="A40" s="11" t="s">
        <v>27</v>
      </c>
      <c r="B40" s="231"/>
      <c r="C40" s="311"/>
      <c r="D40" s="159"/>
      <c r="E40" s="170"/>
      <c r="F40" s="310"/>
      <c r="G40" s="311"/>
      <c r="H40" s="159"/>
      <c r="I40" s="170"/>
      <c r="J40" s="231"/>
      <c r="K40" s="231"/>
      <c r="L40" s="256"/>
      <c r="M40" s="159"/>
    </row>
    <row r="41" spans="1:14" ht="15.75" x14ac:dyDescent="0.2">
      <c r="A41" s="11" t="s">
        <v>26</v>
      </c>
      <c r="B41" s="231"/>
      <c r="C41" s="311"/>
      <c r="D41" s="159"/>
      <c r="E41" s="170"/>
      <c r="F41" s="310"/>
      <c r="G41" s="311"/>
      <c r="H41" s="159"/>
      <c r="I41" s="170"/>
      <c r="J41" s="231"/>
      <c r="K41" s="231"/>
      <c r="L41" s="256"/>
      <c r="M41" s="159"/>
    </row>
    <row r="42" spans="1:14" ht="15.75" x14ac:dyDescent="0.2">
      <c r="A42" s="10" t="s">
        <v>321</v>
      </c>
      <c r="B42" s="231"/>
      <c r="C42" s="311"/>
      <c r="D42" s="159"/>
      <c r="E42" s="170"/>
      <c r="F42" s="321"/>
      <c r="G42" s="322"/>
      <c r="H42" s="159"/>
      <c r="I42" s="237"/>
      <c r="J42" s="231"/>
      <c r="K42" s="231"/>
      <c r="L42" s="256"/>
      <c r="M42" s="159"/>
    </row>
    <row r="43" spans="1:14" ht="15.75" x14ac:dyDescent="0.2">
      <c r="A43" s="10" t="s">
        <v>322</v>
      </c>
      <c r="B43" s="231"/>
      <c r="C43" s="311"/>
      <c r="D43" s="159"/>
      <c r="E43" s="170"/>
      <c r="F43" s="321"/>
      <c r="G43" s="322"/>
      <c r="H43" s="159"/>
      <c r="I43" s="237"/>
      <c r="J43" s="231"/>
      <c r="K43" s="231"/>
      <c r="L43" s="256"/>
      <c r="M43" s="159"/>
    </row>
    <row r="44" spans="1:14" ht="15.75" x14ac:dyDescent="0.2">
      <c r="A44" s="10" t="s">
        <v>323</v>
      </c>
      <c r="B44" s="231"/>
      <c r="C44" s="311"/>
      <c r="D44" s="159"/>
      <c r="E44" s="170"/>
      <c r="F44" s="321"/>
      <c r="G44" s="323"/>
      <c r="H44" s="159"/>
      <c r="I44" s="237"/>
      <c r="J44" s="231"/>
      <c r="K44" s="231"/>
      <c r="L44" s="256"/>
      <c r="M44" s="159"/>
    </row>
    <row r="45" spans="1:14" ht="15.75" x14ac:dyDescent="0.2">
      <c r="A45" s="10" t="s">
        <v>324</v>
      </c>
      <c r="B45" s="231"/>
      <c r="C45" s="311"/>
      <c r="D45" s="159"/>
      <c r="E45" s="170"/>
      <c r="F45" s="321"/>
      <c r="G45" s="322"/>
      <c r="H45" s="159"/>
      <c r="I45" s="237"/>
      <c r="J45" s="231"/>
      <c r="K45" s="231"/>
      <c r="L45" s="256"/>
      <c r="M45" s="159"/>
    </row>
    <row r="46" spans="1:14" ht="15.75" x14ac:dyDescent="0.2">
      <c r="A46" s="16" t="s">
        <v>325</v>
      </c>
      <c r="B46" s="277"/>
      <c r="C46" s="317"/>
      <c r="D46" s="160"/>
      <c r="E46" s="201"/>
      <c r="F46" s="324"/>
      <c r="G46" s="325"/>
      <c r="H46" s="160"/>
      <c r="I46" s="160"/>
      <c r="J46" s="231"/>
      <c r="K46" s="231"/>
      <c r="L46" s="257"/>
      <c r="M46" s="160"/>
    </row>
    <row r="47" spans="1:14" ht="15.75" x14ac:dyDescent="0.25">
      <c r="A47" s="40"/>
      <c r="B47" s="254"/>
      <c r="C47" s="254"/>
      <c r="D47" s="836"/>
      <c r="E47" s="836"/>
      <c r="F47" s="836"/>
      <c r="G47" s="836"/>
      <c r="H47" s="836"/>
      <c r="I47" s="836"/>
      <c r="J47" s="836"/>
      <c r="K47" s="836"/>
      <c r="L47" s="836"/>
      <c r="M47" s="304"/>
    </row>
    <row r="48" spans="1:14" x14ac:dyDescent="0.2">
      <c r="A48" s="148"/>
    </row>
    <row r="49" spans="1:14" ht="15.75" x14ac:dyDescent="0.25">
      <c r="A49" s="141" t="s">
        <v>305</v>
      </c>
      <c r="B49" s="835"/>
      <c r="C49" s="835"/>
      <c r="D49" s="835"/>
      <c r="E49" s="301"/>
      <c r="F49" s="837"/>
      <c r="G49" s="837"/>
      <c r="H49" s="837"/>
      <c r="I49" s="304"/>
      <c r="J49" s="837"/>
      <c r="K49" s="837"/>
      <c r="L49" s="837"/>
      <c r="M49" s="304"/>
    </row>
    <row r="50" spans="1:14" ht="15.75" x14ac:dyDescent="0.25">
      <c r="A50" s="156"/>
      <c r="B50" s="305"/>
      <c r="C50" s="305"/>
      <c r="D50" s="305"/>
      <c r="E50" s="305"/>
      <c r="F50" s="304"/>
      <c r="G50" s="304"/>
      <c r="H50" s="304"/>
      <c r="I50" s="304"/>
      <c r="J50" s="304"/>
      <c r="K50" s="304"/>
      <c r="L50" s="304"/>
      <c r="M50" s="304"/>
    </row>
    <row r="51" spans="1:14" ht="15.75" x14ac:dyDescent="0.25">
      <c r="A51" s="244"/>
      <c r="B51" s="833" t="s">
        <v>0</v>
      </c>
      <c r="C51" s="834"/>
      <c r="D51" s="834"/>
      <c r="E51" s="240"/>
      <c r="F51" s="304"/>
      <c r="G51" s="304"/>
      <c r="H51" s="304"/>
      <c r="I51" s="304"/>
      <c r="J51" s="304"/>
      <c r="K51" s="304"/>
      <c r="L51" s="304"/>
      <c r="M51" s="304"/>
    </row>
    <row r="52" spans="1:14" s="3" customFormat="1" x14ac:dyDescent="0.2">
      <c r="A52" s="134"/>
      <c r="B52" s="167" t="s">
        <v>400</v>
      </c>
      <c r="C52" s="167" t="s">
        <v>401</v>
      </c>
      <c r="D52" s="155" t="s">
        <v>3</v>
      </c>
      <c r="E52" s="155" t="s">
        <v>37</v>
      </c>
      <c r="F52" s="169"/>
      <c r="G52" s="169"/>
      <c r="H52" s="168"/>
      <c r="I52" s="168"/>
      <c r="J52" s="169"/>
      <c r="K52" s="169"/>
      <c r="L52" s="168"/>
      <c r="M52" s="168"/>
      <c r="N52" s="142"/>
    </row>
    <row r="53" spans="1:14" s="3" customFormat="1" x14ac:dyDescent="0.2">
      <c r="A53" s="403"/>
      <c r="B53" s="241"/>
      <c r="C53" s="241"/>
      <c r="D53" s="242" t="s">
        <v>4</v>
      </c>
      <c r="E53" s="149" t="s">
        <v>38</v>
      </c>
      <c r="F53" s="168"/>
      <c r="G53" s="168"/>
      <c r="H53" s="168"/>
      <c r="I53" s="168"/>
      <c r="J53" s="168"/>
      <c r="K53" s="168"/>
      <c r="L53" s="168"/>
      <c r="M53" s="168"/>
      <c r="N53" s="142"/>
    </row>
    <row r="54" spans="1:14" s="3" customFormat="1" ht="15.75" x14ac:dyDescent="0.2">
      <c r="A54" s="12" t="s">
        <v>30</v>
      </c>
      <c r="B54" s="312">
        <v>97710</v>
      </c>
      <c r="C54" s="313">
        <v>106984</v>
      </c>
      <c r="D54" s="255">
        <f t="shared" ref="D54:D70" si="6">IF(B54=0, "    ---- ", IF(ABS(ROUND(100/B54*C54-100,1))&lt;999,ROUND(100/B54*C54-100,1),IF(ROUND(100/B54*C54-100,1)&gt;999,999,-999)))</f>
        <v>9.5</v>
      </c>
      <c r="E54" s="170">
        <f>IFERROR(100/'Skjema total MA'!C54*C54,0)</f>
        <v>2.8654190867983602</v>
      </c>
      <c r="F54" s="139"/>
      <c r="G54" s="27"/>
      <c r="H54" s="152"/>
      <c r="I54" s="152"/>
      <c r="J54" s="30"/>
      <c r="K54" s="30"/>
      <c r="L54" s="152"/>
      <c r="M54" s="152"/>
      <c r="N54" s="142"/>
    </row>
    <row r="55" spans="1:14" s="3" customFormat="1" ht="15.75" x14ac:dyDescent="0.2">
      <c r="A55" s="31" t="s">
        <v>326</v>
      </c>
      <c r="B55" s="282">
        <v>97710</v>
      </c>
      <c r="C55" s="283">
        <v>106984</v>
      </c>
      <c r="D55" s="256">
        <f t="shared" si="6"/>
        <v>9.5</v>
      </c>
      <c r="E55" s="170">
        <f>IFERROR(100/'Skjema total MA'!C55*C55,0)</f>
        <v>5.2556535574307661</v>
      </c>
      <c r="F55" s="139"/>
      <c r="G55" s="27"/>
      <c r="H55" s="139"/>
      <c r="I55" s="139"/>
      <c r="J55" s="27"/>
      <c r="K55" s="27"/>
      <c r="L55" s="152"/>
      <c r="M55" s="152"/>
      <c r="N55" s="142"/>
    </row>
    <row r="56" spans="1:14" s="3" customFormat="1" ht="15.75" x14ac:dyDescent="0.2">
      <c r="A56" s="31" t="s">
        <v>327</v>
      </c>
      <c r="B56" s="37"/>
      <c r="C56" s="288"/>
      <c r="D56" s="256"/>
      <c r="E56" s="170"/>
      <c r="F56" s="139"/>
      <c r="G56" s="27"/>
      <c r="H56" s="139"/>
      <c r="I56" s="139"/>
      <c r="J56" s="30"/>
      <c r="K56" s="30"/>
      <c r="L56" s="152"/>
      <c r="M56" s="152"/>
      <c r="N56" s="142"/>
    </row>
    <row r="57" spans="1:14" s="3" customFormat="1" x14ac:dyDescent="0.2">
      <c r="A57" s="298" t="s">
        <v>6</v>
      </c>
      <c r="B57" s="291"/>
      <c r="C57" s="292"/>
      <c r="D57" s="256"/>
      <c r="E57" s="159"/>
      <c r="F57" s="139"/>
      <c r="G57" s="27"/>
      <c r="H57" s="139"/>
      <c r="I57" s="139"/>
      <c r="J57" s="27"/>
      <c r="K57" s="27"/>
      <c r="L57" s="152"/>
      <c r="M57" s="152"/>
      <c r="N57" s="142"/>
    </row>
    <row r="58" spans="1:14" s="3" customFormat="1" x14ac:dyDescent="0.2">
      <c r="A58" s="298" t="s">
        <v>7</v>
      </c>
      <c r="B58" s="291"/>
      <c r="C58" s="292"/>
      <c r="D58" s="256"/>
      <c r="E58" s="159"/>
      <c r="F58" s="139"/>
      <c r="G58" s="27"/>
      <c r="H58" s="139"/>
      <c r="I58" s="139"/>
      <c r="J58" s="27"/>
      <c r="K58" s="27"/>
      <c r="L58" s="152"/>
      <c r="M58" s="152"/>
      <c r="N58" s="142"/>
    </row>
    <row r="59" spans="1:14" s="3" customFormat="1" x14ac:dyDescent="0.2">
      <c r="A59" s="298" t="s">
        <v>8</v>
      </c>
      <c r="B59" s="291"/>
      <c r="C59" s="292"/>
      <c r="D59" s="256"/>
      <c r="E59" s="159"/>
      <c r="F59" s="139"/>
      <c r="G59" s="27"/>
      <c r="H59" s="139"/>
      <c r="I59" s="139"/>
      <c r="J59" s="27"/>
      <c r="K59" s="27"/>
      <c r="L59" s="152"/>
      <c r="M59" s="152"/>
      <c r="N59" s="142"/>
    </row>
    <row r="60" spans="1:14" s="3" customFormat="1" ht="15.75" x14ac:dyDescent="0.2">
      <c r="A60" s="11" t="s">
        <v>29</v>
      </c>
      <c r="B60" s="312">
        <v>8818.6749999999993</v>
      </c>
      <c r="C60" s="313">
        <v>13565.066000000001</v>
      </c>
      <c r="D60" s="256">
        <f t="shared" si="6"/>
        <v>53.8</v>
      </c>
      <c r="E60" s="170">
        <f>IFERROR(100/'Skjema total MA'!C60*C60,0)</f>
        <v>15.358231352644765</v>
      </c>
      <c r="F60" s="139"/>
      <c r="G60" s="27"/>
      <c r="H60" s="139"/>
      <c r="I60" s="139"/>
      <c r="J60" s="27"/>
      <c r="K60" s="27"/>
      <c r="L60" s="152"/>
      <c r="M60" s="152"/>
      <c r="N60" s="142"/>
    </row>
    <row r="61" spans="1:14" s="3" customFormat="1" ht="15.75" x14ac:dyDescent="0.2">
      <c r="A61" s="31" t="s">
        <v>326</v>
      </c>
      <c r="B61" s="282">
        <v>8818.6749999999993</v>
      </c>
      <c r="C61" s="283">
        <v>13565.066000000001</v>
      </c>
      <c r="D61" s="256">
        <f t="shared" si="6"/>
        <v>53.8</v>
      </c>
      <c r="E61" s="170">
        <f>IFERROR(100/'Skjema total MA'!C61*C61,0)</f>
        <v>34.963017864146572</v>
      </c>
      <c r="F61" s="139"/>
      <c r="G61" s="27"/>
      <c r="H61" s="139"/>
      <c r="I61" s="139"/>
      <c r="J61" s="27"/>
      <c r="K61" s="27"/>
      <c r="L61" s="152"/>
      <c r="M61" s="152"/>
      <c r="N61" s="142"/>
    </row>
    <row r="62" spans="1:14" s="3" customFormat="1" ht="15.75" x14ac:dyDescent="0.2">
      <c r="A62" s="31" t="s">
        <v>327</v>
      </c>
      <c r="B62" s="37"/>
      <c r="C62" s="288"/>
      <c r="D62" s="256"/>
      <c r="E62" s="170"/>
      <c r="F62" s="139"/>
      <c r="G62" s="27"/>
      <c r="H62" s="139"/>
      <c r="I62" s="139"/>
      <c r="J62" s="27"/>
      <c r="K62" s="27"/>
      <c r="L62" s="152"/>
      <c r="M62" s="152"/>
      <c r="N62" s="142"/>
    </row>
    <row r="63" spans="1:14" s="3" customFormat="1" x14ac:dyDescent="0.2">
      <c r="A63" s="298" t="s">
        <v>6</v>
      </c>
      <c r="B63" s="282"/>
      <c r="C63" s="283"/>
      <c r="D63" s="256"/>
      <c r="E63" s="159"/>
      <c r="F63" s="139"/>
      <c r="G63" s="27"/>
      <c r="H63" s="139"/>
      <c r="I63" s="139"/>
      <c r="J63" s="27"/>
      <c r="K63" s="27"/>
      <c r="L63" s="152"/>
      <c r="M63" s="152"/>
      <c r="N63" s="142"/>
    </row>
    <row r="64" spans="1:14" s="3" customFormat="1" x14ac:dyDescent="0.2">
      <c r="A64" s="298" t="s">
        <v>7</v>
      </c>
      <c r="B64" s="282"/>
      <c r="C64" s="283"/>
      <c r="D64" s="256"/>
      <c r="E64" s="159"/>
      <c r="F64" s="139"/>
      <c r="G64" s="27"/>
      <c r="H64" s="139"/>
      <c r="I64" s="139"/>
      <c r="J64" s="27"/>
      <c r="K64" s="27"/>
      <c r="L64" s="152"/>
      <c r="M64" s="152"/>
      <c r="N64" s="142"/>
    </row>
    <row r="65" spans="1:14" s="3" customFormat="1" x14ac:dyDescent="0.2">
      <c r="A65" s="298" t="s">
        <v>8</v>
      </c>
      <c r="B65" s="282"/>
      <c r="C65" s="283"/>
      <c r="D65" s="256"/>
      <c r="E65" s="159"/>
      <c r="F65" s="139"/>
      <c r="G65" s="27"/>
      <c r="H65" s="139"/>
      <c r="I65" s="139"/>
      <c r="J65" s="27"/>
      <c r="K65" s="27"/>
      <c r="L65" s="152"/>
      <c r="M65" s="152"/>
      <c r="N65" s="142"/>
    </row>
    <row r="66" spans="1:14" s="3" customFormat="1" ht="15.75" x14ac:dyDescent="0.2">
      <c r="A66" s="32" t="s">
        <v>328</v>
      </c>
      <c r="B66" s="312">
        <v>3696.1619999999998</v>
      </c>
      <c r="C66" s="313">
        <v>11577.137000000001</v>
      </c>
      <c r="D66" s="256">
        <f t="shared" si="6"/>
        <v>213.2</v>
      </c>
      <c r="E66" s="170">
        <f>IFERROR(100/'Skjema total MA'!C66*C66,0)</f>
        <v>6.8819928389006835</v>
      </c>
      <c r="F66" s="139"/>
      <c r="G66" s="27"/>
      <c r="H66" s="139"/>
      <c r="I66" s="139"/>
      <c r="J66" s="27"/>
      <c r="K66" s="27"/>
      <c r="L66" s="152"/>
      <c r="M66" s="152"/>
      <c r="N66" s="142"/>
    </row>
    <row r="67" spans="1:14" s="3" customFormat="1" ht="15.75" x14ac:dyDescent="0.2">
      <c r="A67" s="31" t="s">
        <v>326</v>
      </c>
      <c r="B67" s="282">
        <v>3696.1619999999998</v>
      </c>
      <c r="C67" s="283">
        <v>11577.137000000001</v>
      </c>
      <c r="D67" s="256">
        <f t="shared" si="6"/>
        <v>213.2</v>
      </c>
      <c r="E67" s="170">
        <f>IFERROR(100/'Skjema total MA'!C67*C67,0)</f>
        <v>8.347565980015327</v>
      </c>
      <c r="F67" s="139"/>
      <c r="G67" s="27"/>
      <c r="H67" s="139"/>
      <c r="I67" s="139"/>
      <c r="J67" s="27"/>
      <c r="K67" s="27"/>
      <c r="L67" s="152"/>
      <c r="M67" s="152"/>
      <c r="N67" s="142"/>
    </row>
    <row r="68" spans="1:14" s="3" customFormat="1" ht="15.75" x14ac:dyDescent="0.2">
      <c r="A68" s="31" t="s">
        <v>327</v>
      </c>
      <c r="B68" s="282"/>
      <c r="C68" s="283"/>
      <c r="D68" s="256"/>
      <c r="E68" s="170"/>
      <c r="F68" s="139"/>
      <c r="G68" s="27"/>
      <c r="H68" s="139"/>
      <c r="I68" s="139"/>
      <c r="J68" s="27"/>
      <c r="K68" s="27"/>
      <c r="L68" s="152"/>
      <c r="M68" s="152"/>
      <c r="N68" s="142"/>
    </row>
    <row r="69" spans="1:14" s="3" customFormat="1" ht="15.75" x14ac:dyDescent="0.2">
      <c r="A69" s="32" t="s">
        <v>329</v>
      </c>
      <c r="B69" s="312">
        <v>4469.6660000000002</v>
      </c>
      <c r="C69" s="313">
        <v>5800.6660000000002</v>
      </c>
      <c r="D69" s="256">
        <f t="shared" si="6"/>
        <v>29.8</v>
      </c>
      <c r="E69" s="170">
        <f>IFERROR(100/'Skjema total MA'!C69*C69,0)</f>
        <v>3.0493461451656141</v>
      </c>
      <c r="F69" s="139"/>
      <c r="G69" s="27"/>
      <c r="H69" s="139"/>
      <c r="I69" s="139"/>
      <c r="J69" s="27"/>
      <c r="K69" s="27"/>
      <c r="L69" s="152"/>
      <c r="M69" s="152"/>
      <c r="N69" s="142"/>
    </row>
    <row r="70" spans="1:14" s="3" customFormat="1" ht="15.75" x14ac:dyDescent="0.2">
      <c r="A70" s="31" t="s">
        <v>326</v>
      </c>
      <c r="B70" s="282">
        <v>4469.6660000000002</v>
      </c>
      <c r="C70" s="283">
        <v>5800.6660000000002</v>
      </c>
      <c r="D70" s="256">
        <f t="shared" si="6"/>
        <v>29.8</v>
      </c>
      <c r="E70" s="170">
        <f>IFERROR(100/'Skjema total MA'!C70*C70,0)</f>
        <v>3.0978619895275559</v>
      </c>
      <c r="F70" s="139"/>
      <c r="G70" s="27"/>
      <c r="H70" s="139"/>
      <c r="I70" s="139"/>
      <c r="J70" s="27"/>
      <c r="K70" s="27"/>
      <c r="L70" s="152"/>
      <c r="M70" s="152"/>
      <c r="N70" s="142"/>
    </row>
    <row r="71" spans="1:14" s="3" customFormat="1" ht="15.75" x14ac:dyDescent="0.2">
      <c r="A71" s="39" t="s">
        <v>327</v>
      </c>
      <c r="B71" s="284"/>
      <c r="C71" s="285"/>
      <c r="D71" s="257"/>
      <c r="E71" s="160"/>
      <c r="F71" s="139"/>
      <c r="G71" s="27"/>
      <c r="H71" s="139"/>
      <c r="I71" s="139"/>
      <c r="J71" s="27"/>
      <c r="K71" s="27"/>
      <c r="L71" s="152"/>
      <c r="M71" s="152"/>
      <c r="N71" s="142"/>
    </row>
    <row r="72" spans="1:14" s="3" customFormat="1" ht="15.75" x14ac:dyDescent="0.25">
      <c r="A72" s="157"/>
      <c r="B72" s="147"/>
      <c r="C72" s="147"/>
      <c r="D72" s="147"/>
      <c r="E72" s="147"/>
      <c r="F72" s="136"/>
      <c r="G72" s="136"/>
      <c r="H72" s="136"/>
      <c r="I72" s="136"/>
      <c r="J72" s="136"/>
      <c r="K72" s="136"/>
      <c r="L72" s="136"/>
      <c r="M72" s="136"/>
      <c r="N72" s="142"/>
    </row>
    <row r="73" spans="1:14" x14ac:dyDescent="0.2">
      <c r="A73" s="148"/>
    </row>
    <row r="74" spans="1:14" ht="15.75" x14ac:dyDescent="0.25">
      <c r="A74" s="141" t="s">
        <v>306</v>
      </c>
      <c r="C74" s="20"/>
      <c r="D74" s="20"/>
      <c r="E74" s="20"/>
      <c r="F74" s="20"/>
      <c r="G74" s="20"/>
      <c r="H74" s="20"/>
      <c r="I74" s="20"/>
      <c r="J74" s="20"/>
      <c r="K74" s="20"/>
      <c r="L74" s="20"/>
      <c r="M74" s="20"/>
    </row>
    <row r="75" spans="1:14" ht="15.75" x14ac:dyDescent="0.25">
      <c r="B75" s="832"/>
      <c r="C75" s="832"/>
      <c r="D75" s="832"/>
      <c r="E75" s="301"/>
      <c r="F75" s="832"/>
      <c r="G75" s="832"/>
      <c r="H75" s="832"/>
      <c r="I75" s="301"/>
      <c r="J75" s="832"/>
      <c r="K75" s="832"/>
      <c r="L75" s="832"/>
      <c r="M75" s="301"/>
    </row>
    <row r="76" spans="1:14" x14ac:dyDescent="0.2">
      <c r="A76" s="138"/>
      <c r="B76" s="833" t="s">
        <v>0</v>
      </c>
      <c r="C76" s="834"/>
      <c r="D76" s="838"/>
      <c r="E76" s="302"/>
      <c r="F76" s="834" t="s">
        <v>1</v>
      </c>
      <c r="G76" s="834"/>
      <c r="H76" s="834"/>
      <c r="I76" s="306"/>
      <c r="J76" s="833" t="s">
        <v>2</v>
      </c>
      <c r="K76" s="834"/>
      <c r="L76" s="834"/>
      <c r="M76" s="306"/>
    </row>
    <row r="77" spans="1:14" x14ac:dyDescent="0.2">
      <c r="A77" s="134"/>
      <c r="B77" s="145" t="s">
        <v>400</v>
      </c>
      <c r="C77" s="145" t="s">
        <v>401</v>
      </c>
      <c r="D77" s="242" t="s">
        <v>3</v>
      </c>
      <c r="E77" s="307" t="s">
        <v>37</v>
      </c>
      <c r="F77" s="145" t="s">
        <v>400</v>
      </c>
      <c r="G77" s="145" t="s">
        <v>401</v>
      </c>
      <c r="H77" s="242" t="s">
        <v>3</v>
      </c>
      <c r="I77" s="307" t="s">
        <v>37</v>
      </c>
      <c r="J77" s="145" t="s">
        <v>400</v>
      </c>
      <c r="K77" s="145" t="s">
        <v>401</v>
      </c>
      <c r="L77" s="242" t="s">
        <v>3</v>
      </c>
      <c r="M77" s="155" t="s">
        <v>37</v>
      </c>
    </row>
    <row r="78" spans="1:14" x14ac:dyDescent="0.2">
      <c r="A78" s="403"/>
      <c r="B78" s="149"/>
      <c r="C78" s="149"/>
      <c r="D78" s="243" t="s">
        <v>4</v>
      </c>
      <c r="E78" s="149" t="s">
        <v>38</v>
      </c>
      <c r="F78" s="154"/>
      <c r="G78" s="154"/>
      <c r="H78" s="242" t="s">
        <v>4</v>
      </c>
      <c r="I78" s="149" t="s">
        <v>38</v>
      </c>
      <c r="J78" s="154"/>
      <c r="K78" s="154"/>
      <c r="L78" s="242" t="s">
        <v>4</v>
      </c>
      <c r="M78" s="149" t="s">
        <v>38</v>
      </c>
    </row>
    <row r="79" spans="1:14" ht="15.75" x14ac:dyDescent="0.2">
      <c r="A79" s="12" t="s">
        <v>30</v>
      </c>
      <c r="B79" s="355"/>
      <c r="C79" s="355"/>
      <c r="D79" s="251"/>
      <c r="E79" s="251"/>
      <c r="F79" s="355"/>
      <c r="G79" s="355"/>
      <c r="H79" s="251"/>
      <c r="I79" s="170"/>
      <c r="J79" s="311"/>
      <c r="K79" s="318"/>
      <c r="L79" s="255"/>
      <c r="M79" s="170"/>
    </row>
    <row r="80" spans="1:14" x14ac:dyDescent="0.2">
      <c r="A80" s="18" t="s">
        <v>9</v>
      </c>
      <c r="B80" s="37"/>
      <c r="C80" s="139"/>
      <c r="D80" s="159"/>
      <c r="E80" s="159"/>
      <c r="F80" s="37"/>
      <c r="G80" s="139"/>
      <c r="H80" s="159"/>
      <c r="I80" s="170"/>
      <c r="J80" s="288"/>
      <c r="K80" s="37"/>
      <c r="L80" s="256"/>
      <c r="M80" s="170"/>
    </row>
    <row r="81" spans="1:14" x14ac:dyDescent="0.2">
      <c r="A81" s="18" t="s">
        <v>10</v>
      </c>
      <c r="B81" s="293"/>
      <c r="C81" s="294"/>
      <c r="D81" s="159"/>
      <c r="E81" s="159"/>
      <c r="F81" s="293"/>
      <c r="G81" s="294"/>
      <c r="H81" s="159"/>
      <c r="I81" s="170"/>
      <c r="J81" s="288"/>
      <c r="K81" s="37"/>
      <c r="L81" s="256"/>
      <c r="M81" s="170"/>
    </row>
    <row r="82" spans="1:14" ht="15.75" x14ac:dyDescent="0.2">
      <c r="A82" s="298" t="s">
        <v>330</v>
      </c>
      <c r="B82" s="282"/>
      <c r="C82" s="282"/>
      <c r="D82" s="159"/>
      <c r="E82" s="159"/>
      <c r="F82" s="805"/>
      <c r="G82" s="282"/>
      <c r="H82" s="159"/>
      <c r="I82" s="237"/>
      <c r="J82" s="291"/>
      <c r="K82" s="291"/>
      <c r="L82" s="159"/>
      <c r="M82" s="159"/>
    </row>
    <row r="83" spans="1:14" x14ac:dyDescent="0.2">
      <c r="A83" s="298" t="s">
        <v>12</v>
      </c>
      <c r="B83" s="295"/>
      <c r="C83" s="296"/>
      <c r="D83" s="159"/>
      <c r="E83" s="159"/>
      <c r="F83" s="806"/>
      <c r="G83" s="41"/>
      <c r="H83" s="159"/>
      <c r="I83" s="237"/>
      <c r="J83" s="291"/>
      <c r="K83" s="291"/>
      <c r="L83" s="159"/>
      <c r="M83" s="159"/>
    </row>
    <row r="84" spans="1:14" x14ac:dyDescent="0.2">
      <c r="A84" s="298" t="s">
        <v>13</v>
      </c>
      <c r="B84" s="230"/>
      <c r="C84" s="290"/>
      <c r="D84" s="159"/>
      <c r="E84" s="159"/>
      <c r="F84" s="229"/>
      <c r="G84" s="139"/>
      <c r="H84" s="159"/>
      <c r="I84" s="237"/>
      <c r="J84" s="291"/>
      <c r="K84" s="291"/>
      <c r="L84" s="159"/>
      <c r="M84" s="159"/>
    </row>
    <row r="85" spans="1:14" ht="15.75" x14ac:dyDescent="0.2">
      <c r="A85" s="298" t="s">
        <v>331</v>
      </c>
      <c r="B85" s="282"/>
      <c r="C85" s="282"/>
      <c r="D85" s="159"/>
      <c r="E85" s="159"/>
      <c r="F85" s="805"/>
      <c r="G85" s="282"/>
      <c r="H85" s="159"/>
      <c r="I85" s="237"/>
      <c r="J85" s="291"/>
      <c r="K85" s="291"/>
      <c r="L85" s="159"/>
      <c r="M85" s="159"/>
    </row>
    <row r="86" spans="1:14" x14ac:dyDescent="0.2">
      <c r="A86" s="298" t="s">
        <v>12</v>
      </c>
      <c r="B86" s="230"/>
      <c r="C86" s="290"/>
      <c r="D86" s="159"/>
      <c r="E86" s="159"/>
      <c r="F86" s="229"/>
      <c r="G86" s="139"/>
      <c r="H86" s="159"/>
      <c r="I86" s="237"/>
      <c r="J86" s="291"/>
      <c r="K86" s="291"/>
      <c r="L86" s="159"/>
      <c r="M86" s="159"/>
    </row>
    <row r="87" spans="1:14" s="3" customFormat="1" x14ac:dyDescent="0.2">
      <c r="A87" s="298" t="s">
        <v>13</v>
      </c>
      <c r="B87" s="230"/>
      <c r="C87" s="290"/>
      <c r="D87" s="159"/>
      <c r="E87" s="159"/>
      <c r="F87" s="229"/>
      <c r="G87" s="139"/>
      <c r="H87" s="159"/>
      <c r="I87" s="237"/>
      <c r="J87" s="291"/>
      <c r="K87" s="291"/>
      <c r="L87" s="159"/>
      <c r="M87" s="159"/>
      <c r="N87" s="142"/>
    </row>
    <row r="88" spans="1:14" s="3" customFormat="1" x14ac:dyDescent="0.2">
      <c r="A88" s="18" t="s">
        <v>33</v>
      </c>
      <c r="B88" s="229"/>
      <c r="C88" s="139"/>
      <c r="D88" s="159"/>
      <c r="E88" s="159"/>
      <c r="F88" s="229"/>
      <c r="G88" s="139"/>
      <c r="H88" s="159"/>
      <c r="I88" s="170"/>
      <c r="J88" s="288"/>
      <c r="K88" s="37"/>
      <c r="L88" s="256"/>
      <c r="M88" s="170"/>
      <c r="N88" s="142"/>
    </row>
    <row r="89" spans="1:14" ht="15.75" x14ac:dyDescent="0.2">
      <c r="A89" s="18" t="s">
        <v>332</v>
      </c>
      <c r="B89" s="229"/>
      <c r="C89" s="229"/>
      <c r="D89" s="159"/>
      <c r="E89" s="159"/>
      <c r="F89" s="229"/>
      <c r="G89" s="229"/>
      <c r="H89" s="159"/>
      <c r="I89" s="170"/>
      <c r="J89" s="288"/>
      <c r="K89" s="37"/>
      <c r="L89" s="256"/>
      <c r="M89" s="170"/>
    </row>
    <row r="90" spans="1:14" x14ac:dyDescent="0.2">
      <c r="A90" s="18" t="s">
        <v>9</v>
      </c>
      <c r="B90" s="229"/>
      <c r="C90" s="139"/>
      <c r="D90" s="159"/>
      <c r="E90" s="159"/>
      <c r="F90" s="229"/>
      <c r="G90" s="139"/>
      <c r="H90" s="159"/>
      <c r="I90" s="170"/>
      <c r="J90" s="288"/>
      <c r="K90" s="37"/>
      <c r="L90" s="256"/>
      <c r="M90" s="170"/>
    </row>
    <row r="91" spans="1:14" x14ac:dyDescent="0.2">
      <c r="A91" s="18" t="s">
        <v>10</v>
      </c>
      <c r="B91" s="293"/>
      <c r="C91" s="294"/>
      <c r="D91" s="159"/>
      <c r="E91" s="159"/>
      <c r="F91" s="293"/>
      <c r="G91" s="294"/>
      <c r="H91" s="159"/>
      <c r="I91" s="170"/>
      <c r="J91" s="288"/>
      <c r="K91" s="37"/>
      <c r="L91" s="256"/>
      <c r="M91" s="170"/>
    </row>
    <row r="92" spans="1:14" ht="15.75" x14ac:dyDescent="0.2">
      <c r="A92" s="298" t="s">
        <v>330</v>
      </c>
      <c r="B92" s="282"/>
      <c r="C92" s="282"/>
      <c r="D92" s="159"/>
      <c r="E92" s="159"/>
      <c r="F92" s="805"/>
      <c r="G92" s="282"/>
      <c r="H92" s="159"/>
      <c r="I92" s="237"/>
      <c r="J92" s="291"/>
      <c r="K92" s="291"/>
      <c r="L92" s="159"/>
      <c r="M92" s="159"/>
    </row>
    <row r="93" spans="1:14" x14ac:dyDescent="0.2">
      <c r="A93" s="298" t="s">
        <v>12</v>
      </c>
      <c r="B93" s="230"/>
      <c r="C93" s="290"/>
      <c r="D93" s="159"/>
      <c r="E93" s="159"/>
      <c r="F93" s="229"/>
      <c r="G93" s="139"/>
      <c r="H93" s="159"/>
      <c r="I93" s="237"/>
      <c r="J93" s="291"/>
      <c r="K93" s="291"/>
      <c r="L93" s="159"/>
      <c r="M93" s="159"/>
    </row>
    <row r="94" spans="1:14" x14ac:dyDescent="0.2">
      <c r="A94" s="298" t="s">
        <v>13</v>
      </c>
      <c r="B94" s="230"/>
      <c r="C94" s="290"/>
      <c r="D94" s="159"/>
      <c r="E94" s="159"/>
      <c r="F94" s="229"/>
      <c r="G94" s="139"/>
      <c r="H94" s="159"/>
      <c r="I94" s="237"/>
      <c r="J94" s="291"/>
      <c r="K94" s="291"/>
      <c r="L94" s="159"/>
      <c r="M94" s="159"/>
    </row>
    <row r="95" spans="1:14" ht="15.75" x14ac:dyDescent="0.2">
      <c r="A95" s="298" t="s">
        <v>331</v>
      </c>
      <c r="B95" s="282"/>
      <c r="C95" s="282"/>
      <c r="D95" s="159"/>
      <c r="E95" s="159"/>
      <c r="F95" s="805"/>
      <c r="G95" s="282"/>
      <c r="H95" s="159"/>
      <c r="I95" s="237"/>
      <c r="J95" s="291"/>
      <c r="K95" s="291"/>
      <c r="L95" s="159"/>
      <c r="M95" s="159"/>
    </row>
    <row r="96" spans="1:14" x14ac:dyDescent="0.2">
      <c r="A96" s="298" t="s">
        <v>12</v>
      </c>
      <c r="B96" s="230"/>
      <c r="C96" s="290"/>
      <c r="D96" s="159"/>
      <c r="E96" s="159"/>
      <c r="F96" s="229"/>
      <c r="G96" s="139"/>
      <c r="H96" s="159"/>
      <c r="I96" s="237"/>
      <c r="J96" s="291"/>
      <c r="K96" s="291"/>
      <c r="L96" s="159"/>
      <c r="M96" s="159"/>
    </row>
    <row r="97" spans="1:13" x14ac:dyDescent="0.2">
      <c r="A97" s="298" t="s">
        <v>13</v>
      </c>
      <c r="B97" s="230"/>
      <c r="C97" s="290"/>
      <c r="D97" s="159"/>
      <c r="E97" s="159"/>
      <c r="F97" s="229"/>
      <c r="G97" s="139"/>
      <c r="H97" s="159"/>
      <c r="I97" s="237"/>
      <c r="J97" s="291"/>
      <c r="K97" s="291"/>
      <c r="L97" s="159"/>
      <c r="M97" s="159"/>
    </row>
    <row r="98" spans="1:13" ht="15.75" x14ac:dyDescent="0.2">
      <c r="A98" s="18" t="s">
        <v>342</v>
      </c>
      <c r="B98" s="229"/>
      <c r="C98" s="139"/>
      <c r="D98" s="159"/>
      <c r="E98" s="159"/>
      <c r="F98" s="229"/>
      <c r="G98" s="139"/>
      <c r="H98" s="159"/>
      <c r="I98" s="170"/>
      <c r="J98" s="288"/>
      <c r="K98" s="37"/>
      <c r="L98" s="256"/>
      <c r="M98" s="170"/>
    </row>
    <row r="99" spans="1:13" ht="15.75" x14ac:dyDescent="0.2">
      <c r="A99" s="11" t="s">
        <v>29</v>
      </c>
      <c r="B99" s="310"/>
      <c r="C99" s="310"/>
      <c r="D99" s="159"/>
      <c r="E99" s="159"/>
      <c r="F99" s="310"/>
      <c r="G99" s="310"/>
      <c r="H99" s="159"/>
      <c r="I99" s="170"/>
      <c r="J99" s="311"/>
      <c r="K99" s="231"/>
      <c r="L99" s="256"/>
      <c r="M99" s="170"/>
    </row>
    <row r="100" spans="1:13" x14ac:dyDescent="0.2">
      <c r="A100" s="18" t="s">
        <v>9</v>
      </c>
      <c r="B100" s="229"/>
      <c r="C100" s="139"/>
      <c r="D100" s="159"/>
      <c r="E100" s="159"/>
      <c r="F100" s="229"/>
      <c r="G100" s="139"/>
      <c r="H100" s="159"/>
      <c r="I100" s="170"/>
      <c r="J100" s="288"/>
      <c r="K100" s="37"/>
      <c r="L100" s="256"/>
      <c r="M100" s="170"/>
    </row>
    <row r="101" spans="1:13" x14ac:dyDescent="0.2">
      <c r="A101" s="18" t="s">
        <v>10</v>
      </c>
      <c r="B101" s="229"/>
      <c r="C101" s="139"/>
      <c r="D101" s="159"/>
      <c r="E101" s="159"/>
      <c r="F101" s="229"/>
      <c r="G101" s="139"/>
      <c r="H101" s="159"/>
      <c r="I101" s="170"/>
      <c r="J101" s="288"/>
      <c r="K101" s="37"/>
      <c r="L101" s="256"/>
      <c r="M101" s="170"/>
    </row>
    <row r="102" spans="1:13" ht="15.75" x14ac:dyDescent="0.2">
      <c r="A102" s="298" t="s">
        <v>330</v>
      </c>
      <c r="B102" s="282"/>
      <c r="C102" s="282"/>
      <c r="D102" s="159"/>
      <c r="E102" s="159"/>
      <c r="F102" s="805"/>
      <c r="G102" s="282"/>
      <c r="H102" s="159"/>
      <c r="I102" s="237"/>
      <c r="J102" s="291"/>
      <c r="K102" s="291"/>
      <c r="L102" s="159"/>
      <c r="M102" s="159"/>
    </row>
    <row r="103" spans="1:13" x14ac:dyDescent="0.2">
      <c r="A103" s="298" t="s">
        <v>12</v>
      </c>
      <c r="B103" s="230"/>
      <c r="C103" s="290"/>
      <c r="D103" s="159"/>
      <c r="E103" s="159"/>
      <c r="F103" s="229"/>
      <c r="G103" s="139"/>
      <c r="H103" s="159"/>
      <c r="I103" s="237"/>
      <c r="J103" s="291"/>
      <c r="K103" s="291"/>
      <c r="L103" s="159"/>
      <c r="M103" s="159"/>
    </row>
    <row r="104" spans="1:13" x14ac:dyDescent="0.2">
      <c r="A104" s="298" t="s">
        <v>13</v>
      </c>
      <c r="B104" s="230"/>
      <c r="C104" s="290"/>
      <c r="D104" s="159"/>
      <c r="E104" s="159"/>
      <c r="F104" s="229"/>
      <c r="G104" s="139"/>
      <c r="H104" s="159"/>
      <c r="I104" s="237"/>
      <c r="J104" s="291"/>
      <c r="K104" s="291"/>
      <c r="L104" s="159"/>
      <c r="M104" s="159"/>
    </row>
    <row r="105" spans="1:13" ht="15.75" x14ac:dyDescent="0.2">
      <c r="A105" s="298" t="s">
        <v>331</v>
      </c>
      <c r="B105" s="282"/>
      <c r="C105" s="282"/>
      <c r="D105" s="159"/>
      <c r="E105" s="159"/>
      <c r="F105" s="805"/>
      <c r="G105" s="282"/>
      <c r="H105" s="159"/>
      <c r="I105" s="237"/>
      <c r="J105" s="291"/>
      <c r="K105" s="291"/>
      <c r="L105" s="159"/>
      <c r="M105" s="159"/>
    </row>
    <row r="106" spans="1:13" x14ac:dyDescent="0.2">
      <c r="A106" s="298" t="s">
        <v>12</v>
      </c>
      <c r="B106" s="230"/>
      <c r="C106" s="290"/>
      <c r="D106" s="159"/>
      <c r="E106" s="159"/>
      <c r="F106" s="229"/>
      <c r="G106" s="139"/>
      <c r="H106" s="159"/>
      <c r="I106" s="237"/>
      <c r="J106" s="291"/>
      <c r="K106" s="291"/>
      <c r="L106" s="159"/>
      <c r="M106" s="159"/>
    </row>
    <row r="107" spans="1:13" x14ac:dyDescent="0.2">
      <c r="A107" s="298" t="s">
        <v>13</v>
      </c>
      <c r="B107" s="230"/>
      <c r="C107" s="290"/>
      <c r="D107" s="159"/>
      <c r="E107" s="159"/>
      <c r="F107" s="229"/>
      <c r="G107" s="139"/>
      <c r="H107" s="159"/>
      <c r="I107" s="237"/>
      <c r="J107" s="291"/>
      <c r="K107" s="291"/>
      <c r="L107" s="159"/>
      <c r="M107" s="159"/>
    </row>
    <row r="108" spans="1:13" x14ac:dyDescent="0.2">
      <c r="A108" s="18" t="s">
        <v>33</v>
      </c>
      <c r="B108" s="229"/>
      <c r="C108" s="139"/>
      <c r="D108" s="159"/>
      <c r="E108" s="159"/>
      <c r="F108" s="229"/>
      <c r="G108" s="139"/>
      <c r="H108" s="159"/>
      <c r="I108" s="170"/>
      <c r="J108" s="288"/>
      <c r="K108" s="37"/>
      <c r="L108" s="256"/>
      <c r="M108" s="170"/>
    </row>
    <row r="109" spans="1:13" ht="15.75" x14ac:dyDescent="0.2">
      <c r="A109" s="18" t="s">
        <v>332</v>
      </c>
      <c r="B109" s="229"/>
      <c r="C109" s="139"/>
      <c r="D109" s="159"/>
      <c r="E109" s="159"/>
      <c r="F109" s="229"/>
      <c r="G109" s="139"/>
      <c r="H109" s="159"/>
      <c r="I109" s="170"/>
      <c r="J109" s="288"/>
      <c r="K109" s="37"/>
      <c r="L109" s="256"/>
      <c r="M109" s="170"/>
    </row>
    <row r="110" spans="1:13" x14ac:dyDescent="0.2">
      <c r="A110" s="18" t="s">
        <v>9</v>
      </c>
      <c r="B110" s="229"/>
      <c r="C110" s="139"/>
      <c r="D110" s="159"/>
      <c r="E110" s="159"/>
      <c r="F110" s="229"/>
      <c r="G110" s="139"/>
      <c r="H110" s="159"/>
      <c r="I110" s="170"/>
      <c r="J110" s="288"/>
      <c r="K110" s="37"/>
      <c r="L110" s="256"/>
      <c r="M110" s="170"/>
    </row>
    <row r="111" spans="1:13" x14ac:dyDescent="0.2">
      <c r="A111" s="18" t="s">
        <v>10</v>
      </c>
      <c r="B111" s="293"/>
      <c r="C111" s="294"/>
      <c r="D111" s="159"/>
      <c r="E111" s="159"/>
      <c r="F111" s="293"/>
      <c r="G111" s="294"/>
      <c r="H111" s="159"/>
      <c r="I111" s="170"/>
      <c r="J111" s="288"/>
      <c r="K111" s="37"/>
      <c r="L111" s="256"/>
      <c r="M111" s="170"/>
    </row>
    <row r="112" spans="1:13" ht="15.75" x14ac:dyDescent="0.2">
      <c r="A112" s="298" t="s">
        <v>330</v>
      </c>
      <c r="B112" s="282"/>
      <c r="C112" s="282"/>
      <c r="D112" s="159"/>
      <c r="E112" s="159"/>
      <c r="F112" s="805"/>
      <c r="G112" s="282"/>
      <c r="H112" s="159"/>
      <c r="I112" s="237"/>
      <c r="J112" s="291"/>
      <c r="K112" s="291"/>
      <c r="L112" s="159"/>
      <c r="M112" s="159"/>
    </row>
    <row r="113" spans="1:13" x14ac:dyDescent="0.2">
      <c r="A113" s="298" t="s">
        <v>12</v>
      </c>
      <c r="B113" s="230"/>
      <c r="C113" s="290"/>
      <c r="D113" s="159"/>
      <c r="E113" s="159"/>
      <c r="F113" s="229"/>
      <c r="G113" s="139"/>
      <c r="H113" s="159"/>
      <c r="I113" s="237"/>
      <c r="J113" s="291"/>
      <c r="K113" s="291"/>
      <c r="L113" s="159"/>
      <c r="M113" s="159"/>
    </row>
    <row r="114" spans="1:13" x14ac:dyDescent="0.2">
      <c r="A114" s="298" t="s">
        <v>13</v>
      </c>
      <c r="B114" s="230"/>
      <c r="C114" s="290"/>
      <c r="D114" s="159"/>
      <c r="E114" s="159"/>
      <c r="F114" s="229"/>
      <c r="G114" s="139"/>
      <c r="H114" s="159"/>
      <c r="I114" s="237"/>
      <c r="J114" s="291"/>
      <c r="K114" s="291"/>
      <c r="L114" s="159"/>
      <c r="M114" s="159"/>
    </row>
    <row r="115" spans="1:13" ht="15.75" x14ac:dyDescent="0.2">
      <c r="A115" s="298" t="s">
        <v>331</v>
      </c>
      <c r="B115" s="282"/>
      <c r="C115" s="282"/>
      <c r="D115" s="159"/>
      <c r="E115" s="159"/>
      <c r="F115" s="805"/>
      <c r="G115" s="282"/>
      <c r="H115" s="159"/>
      <c r="I115" s="237"/>
      <c r="J115" s="291"/>
      <c r="K115" s="291"/>
      <c r="L115" s="159"/>
      <c r="M115" s="159"/>
    </row>
    <row r="116" spans="1:13" x14ac:dyDescent="0.2">
      <c r="A116" s="298" t="s">
        <v>12</v>
      </c>
      <c r="B116" s="230"/>
      <c r="C116" s="290"/>
      <c r="D116" s="159"/>
      <c r="E116" s="159"/>
      <c r="F116" s="229"/>
      <c r="G116" s="139"/>
      <c r="H116" s="159"/>
      <c r="I116" s="237"/>
      <c r="J116" s="291"/>
      <c r="K116" s="291"/>
      <c r="L116" s="159"/>
      <c r="M116" s="159"/>
    </row>
    <row r="117" spans="1:13" x14ac:dyDescent="0.2">
      <c r="A117" s="298" t="s">
        <v>13</v>
      </c>
      <c r="B117" s="232"/>
      <c r="C117" s="297"/>
      <c r="D117" s="159"/>
      <c r="E117" s="159"/>
      <c r="F117" s="233"/>
      <c r="G117" s="807"/>
      <c r="H117" s="159"/>
      <c r="I117" s="237"/>
      <c r="J117" s="291"/>
      <c r="K117" s="291"/>
      <c r="L117" s="159"/>
      <c r="M117" s="159"/>
    </row>
    <row r="118" spans="1:13" ht="15.75" x14ac:dyDescent="0.2">
      <c r="A118" s="18" t="s">
        <v>342</v>
      </c>
      <c r="B118" s="229"/>
      <c r="C118" s="139"/>
      <c r="D118" s="159"/>
      <c r="E118" s="159"/>
      <c r="F118" s="229"/>
      <c r="G118" s="139"/>
      <c r="H118" s="159"/>
      <c r="I118" s="170"/>
      <c r="J118" s="288"/>
      <c r="K118" s="37"/>
      <c r="L118" s="256"/>
      <c r="M118" s="170"/>
    </row>
    <row r="119" spans="1:13" ht="15.75" x14ac:dyDescent="0.2">
      <c r="A119" s="11" t="s">
        <v>28</v>
      </c>
      <c r="B119" s="355"/>
      <c r="C119" s="355"/>
      <c r="D119" s="159"/>
      <c r="E119" s="159"/>
      <c r="F119" s="355"/>
      <c r="G119" s="355"/>
      <c r="H119" s="159"/>
      <c r="I119" s="170"/>
      <c r="J119" s="311"/>
      <c r="K119" s="231"/>
      <c r="L119" s="256"/>
      <c r="M119" s="170"/>
    </row>
    <row r="120" spans="1:13" x14ac:dyDescent="0.2">
      <c r="A120" s="18" t="s">
        <v>9</v>
      </c>
      <c r="B120" s="229"/>
      <c r="C120" s="139"/>
      <c r="D120" s="159"/>
      <c r="E120" s="159"/>
      <c r="F120" s="229"/>
      <c r="G120" s="139"/>
      <c r="H120" s="159"/>
      <c r="I120" s="170"/>
      <c r="J120" s="288"/>
      <c r="K120" s="37"/>
      <c r="L120" s="256"/>
      <c r="M120" s="170"/>
    </row>
    <row r="121" spans="1:13" x14ac:dyDescent="0.2">
      <c r="A121" s="18" t="s">
        <v>10</v>
      </c>
      <c r="B121" s="229"/>
      <c r="C121" s="139"/>
      <c r="D121" s="159"/>
      <c r="E121" s="159"/>
      <c r="F121" s="229"/>
      <c r="G121" s="139"/>
      <c r="H121" s="159"/>
      <c r="I121" s="170"/>
      <c r="J121" s="288"/>
      <c r="K121" s="37"/>
      <c r="L121" s="256"/>
      <c r="M121" s="170"/>
    </row>
    <row r="122" spans="1:13" ht="15.75" x14ac:dyDescent="0.2">
      <c r="A122" s="298" t="s">
        <v>330</v>
      </c>
      <c r="B122" s="282"/>
      <c r="C122" s="282"/>
      <c r="D122" s="159"/>
      <c r="E122" s="159"/>
      <c r="F122" s="805"/>
      <c r="G122" s="282"/>
      <c r="H122" s="159"/>
      <c r="I122" s="237"/>
      <c r="J122" s="291"/>
      <c r="K122" s="291"/>
      <c r="L122" s="159"/>
      <c r="M122" s="159"/>
    </row>
    <row r="123" spans="1:13" x14ac:dyDescent="0.2">
      <c r="A123" s="298" t="s">
        <v>12</v>
      </c>
      <c r="B123" s="230"/>
      <c r="C123" s="290"/>
      <c r="D123" s="159"/>
      <c r="E123" s="159"/>
      <c r="F123" s="229"/>
      <c r="G123" s="139"/>
      <c r="H123" s="159"/>
      <c r="I123" s="237"/>
      <c r="J123" s="291"/>
      <c r="K123" s="291"/>
      <c r="L123" s="159"/>
      <c r="M123" s="159"/>
    </row>
    <row r="124" spans="1:13" x14ac:dyDescent="0.2">
      <c r="A124" s="298" t="s">
        <v>13</v>
      </c>
      <c r="B124" s="230"/>
      <c r="C124" s="290"/>
      <c r="D124" s="159"/>
      <c r="E124" s="159"/>
      <c r="F124" s="229"/>
      <c r="G124" s="139"/>
      <c r="H124" s="159"/>
      <c r="I124" s="237"/>
      <c r="J124" s="291"/>
      <c r="K124" s="291"/>
      <c r="L124" s="159"/>
      <c r="M124" s="159"/>
    </row>
    <row r="125" spans="1:13" ht="15.75" x14ac:dyDescent="0.2">
      <c r="A125" s="298" t="s">
        <v>331</v>
      </c>
      <c r="B125" s="282"/>
      <c r="C125" s="282"/>
      <c r="D125" s="159"/>
      <c r="E125" s="159"/>
      <c r="F125" s="805"/>
      <c r="G125" s="282"/>
      <c r="H125" s="159"/>
      <c r="I125" s="237"/>
      <c r="J125" s="291"/>
      <c r="K125" s="291"/>
      <c r="L125" s="159"/>
      <c r="M125" s="159"/>
    </row>
    <row r="126" spans="1:13" x14ac:dyDescent="0.2">
      <c r="A126" s="298" t="s">
        <v>12</v>
      </c>
      <c r="B126" s="230"/>
      <c r="C126" s="290"/>
      <c r="D126" s="159"/>
      <c r="E126" s="159"/>
      <c r="F126" s="229"/>
      <c r="G126" s="139"/>
      <c r="H126" s="159"/>
      <c r="I126" s="237"/>
      <c r="J126" s="291"/>
      <c r="K126" s="291"/>
      <c r="L126" s="159"/>
      <c r="M126" s="159"/>
    </row>
    <row r="127" spans="1:13" x14ac:dyDescent="0.2">
      <c r="A127" s="298" t="s">
        <v>13</v>
      </c>
      <c r="B127" s="230"/>
      <c r="C127" s="290"/>
      <c r="D127" s="159"/>
      <c r="E127" s="159"/>
      <c r="F127" s="229"/>
      <c r="G127" s="139"/>
      <c r="H127" s="159"/>
      <c r="I127" s="237"/>
      <c r="J127" s="291"/>
      <c r="K127" s="291"/>
      <c r="L127" s="159"/>
      <c r="M127" s="159"/>
    </row>
    <row r="128" spans="1:13" x14ac:dyDescent="0.2">
      <c r="A128" s="18" t="s">
        <v>34</v>
      </c>
      <c r="B128" s="229"/>
      <c r="C128" s="139"/>
      <c r="D128" s="159"/>
      <c r="E128" s="159"/>
      <c r="F128" s="229"/>
      <c r="G128" s="139"/>
      <c r="H128" s="159"/>
      <c r="I128" s="170"/>
      <c r="J128" s="288"/>
      <c r="K128" s="37"/>
      <c r="L128" s="256"/>
      <c r="M128" s="170"/>
    </row>
    <row r="129" spans="1:13" ht="15.75" x14ac:dyDescent="0.2">
      <c r="A129" s="18" t="s">
        <v>332</v>
      </c>
      <c r="B129" s="229"/>
      <c r="C129" s="229"/>
      <c r="D129" s="159"/>
      <c r="E129" s="159"/>
      <c r="F129" s="229"/>
      <c r="G129" s="229"/>
      <c r="H129" s="159"/>
      <c r="I129" s="170"/>
      <c r="J129" s="288"/>
      <c r="K129" s="37"/>
      <c r="L129" s="256"/>
      <c r="M129" s="170"/>
    </row>
    <row r="130" spans="1:13" x14ac:dyDescent="0.2">
      <c r="A130" s="18" t="s">
        <v>9</v>
      </c>
      <c r="B130" s="293"/>
      <c r="C130" s="294"/>
      <c r="D130" s="159"/>
      <c r="E130" s="159"/>
      <c r="F130" s="293"/>
      <c r="G130" s="294"/>
      <c r="H130" s="159"/>
      <c r="I130" s="170"/>
      <c r="J130" s="288"/>
      <c r="K130" s="37"/>
      <c r="L130" s="256"/>
      <c r="M130" s="170"/>
    </row>
    <row r="131" spans="1:13" x14ac:dyDescent="0.2">
      <c r="A131" s="18" t="s">
        <v>10</v>
      </c>
      <c r="B131" s="293"/>
      <c r="C131" s="294"/>
      <c r="D131" s="159"/>
      <c r="E131" s="159"/>
      <c r="F131" s="293"/>
      <c r="G131" s="294"/>
      <c r="H131" s="159"/>
      <c r="I131" s="170"/>
      <c r="J131" s="288"/>
      <c r="K131" s="37"/>
      <c r="L131" s="256"/>
      <c r="M131" s="170"/>
    </row>
    <row r="132" spans="1:13" ht="15.75" x14ac:dyDescent="0.2">
      <c r="A132" s="298" t="s">
        <v>330</v>
      </c>
      <c r="B132" s="282"/>
      <c r="C132" s="282"/>
      <c r="D132" s="159"/>
      <c r="E132" s="159"/>
      <c r="F132" s="805"/>
      <c r="G132" s="282"/>
      <c r="H132" s="159"/>
      <c r="I132" s="237"/>
      <c r="J132" s="291"/>
      <c r="K132" s="291"/>
      <c r="L132" s="159"/>
      <c r="M132" s="159"/>
    </row>
    <row r="133" spans="1:13" x14ac:dyDescent="0.2">
      <c r="A133" s="298" t="s">
        <v>12</v>
      </c>
      <c r="B133" s="230"/>
      <c r="C133" s="290"/>
      <c r="D133" s="159"/>
      <c r="E133" s="159"/>
      <c r="F133" s="229"/>
      <c r="G133" s="139"/>
      <c r="H133" s="159"/>
      <c r="I133" s="237"/>
      <c r="J133" s="291"/>
      <c r="K133" s="291"/>
      <c r="L133" s="159"/>
      <c r="M133" s="159"/>
    </row>
    <row r="134" spans="1:13" x14ac:dyDescent="0.2">
      <c r="A134" s="298" t="s">
        <v>13</v>
      </c>
      <c r="B134" s="230"/>
      <c r="C134" s="290"/>
      <c r="D134" s="159"/>
      <c r="E134" s="159"/>
      <c r="F134" s="229"/>
      <c r="G134" s="139"/>
      <c r="H134" s="159"/>
      <c r="I134" s="237"/>
      <c r="J134" s="291"/>
      <c r="K134" s="291"/>
      <c r="L134" s="159"/>
      <c r="M134" s="159"/>
    </row>
    <row r="135" spans="1:13" ht="15.75" x14ac:dyDescent="0.2">
      <c r="A135" s="298" t="s">
        <v>331</v>
      </c>
      <c r="B135" s="282"/>
      <c r="C135" s="282"/>
      <c r="D135" s="159"/>
      <c r="E135" s="159"/>
      <c r="F135" s="805"/>
      <c r="G135" s="282"/>
      <c r="H135" s="159"/>
      <c r="I135" s="237"/>
      <c r="J135" s="291"/>
      <c r="K135" s="291"/>
      <c r="L135" s="159"/>
      <c r="M135" s="159"/>
    </row>
    <row r="136" spans="1:13" x14ac:dyDescent="0.2">
      <c r="A136" s="298" t="s">
        <v>12</v>
      </c>
      <c r="B136" s="230"/>
      <c r="C136" s="290"/>
      <c r="D136" s="159"/>
      <c r="E136" s="159"/>
      <c r="F136" s="229"/>
      <c r="G136" s="139"/>
      <c r="H136" s="159"/>
      <c r="I136" s="237"/>
      <c r="J136" s="291"/>
      <c r="K136" s="291"/>
      <c r="L136" s="159"/>
      <c r="M136" s="159"/>
    </row>
    <row r="137" spans="1:13" x14ac:dyDescent="0.2">
      <c r="A137" s="298" t="s">
        <v>13</v>
      </c>
      <c r="B137" s="230"/>
      <c r="C137" s="290"/>
      <c r="D137" s="159"/>
      <c r="E137" s="159"/>
      <c r="F137" s="229"/>
      <c r="G137" s="139"/>
      <c r="H137" s="159"/>
      <c r="I137" s="237"/>
      <c r="J137" s="291"/>
      <c r="K137" s="291"/>
      <c r="L137" s="159"/>
      <c r="M137" s="159"/>
    </row>
    <row r="138" spans="1:13" ht="15.75" x14ac:dyDescent="0.2">
      <c r="A138" s="18" t="s">
        <v>342</v>
      </c>
      <c r="B138" s="229"/>
      <c r="C138" s="139"/>
      <c r="D138" s="159"/>
      <c r="E138" s="159"/>
      <c r="F138" s="229"/>
      <c r="G138" s="139"/>
      <c r="H138" s="159"/>
      <c r="I138" s="170"/>
      <c r="J138" s="288"/>
      <c r="K138" s="37"/>
      <c r="L138" s="256"/>
      <c r="M138" s="170"/>
    </row>
    <row r="139" spans="1:13" ht="15.75" x14ac:dyDescent="0.2">
      <c r="A139" s="18" t="s">
        <v>343</v>
      </c>
      <c r="B139" s="229"/>
      <c r="C139" s="229"/>
      <c r="D139" s="159"/>
      <c r="E139" s="159"/>
      <c r="F139" s="229"/>
      <c r="G139" s="229"/>
      <c r="H139" s="159"/>
      <c r="I139" s="170"/>
      <c r="J139" s="288"/>
      <c r="K139" s="37"/>
      <c r="L139" s="256"/>
      <c r="M139" s="170"/>
    </row>
    <row r="140" spans="1:13" ht="15.75" x14ac:dyDescent="0.2">
      <c r="A140" s="18" t="s">
        <v>334</v>
      </c>
      <c r="B140" s="229"/>
      <c r="C140" s="229"/>
      <c r="D140" s="159"/>
      <c r="E140" s="159"/>
      <c r="F140" s="229"/>
      <c r="G140" s="229"/>
      <c r="H140" s="159"/>
      <c r="I140" s="170"/>
      <c r="J140" s="288"/>
      <c r="K140" s="37"/>
      <c r="L140" s="256"/>
      <c r="M140" s="170"/>
    </row>
    <row r="141" spans="1:13" ht="15.75" x14ac:dyDescent="0.2">
      <c r="A141" s="18" t="s">
        <v>335</v>
      </c>
      <c r="B141" s="229"/>
      <c r="C141" s="229"/>
      <c r="D141" s="159"/>
      <c r="E141" s="159"/>
      <c r="F141" s="229"/>
      <c r="G141" s="229"/>
      <c r="H141" s="159"/>
      <c r="I141" s="170"/>
      <c r="J141" s="288"/>
      <c r="K141" s="37"/>
      <c r="L141" s="256"/>
      <c r="M141" s="170"/>
    </row>
    <row r="142" spans="1:13" ht="15.75" x14ac:dyDescent="0.2">
      <c r="A142" s="11" t="s">
        <v>27</v>
      </c>
      <c r="B142" s="310"/>
      <c r="C142" s="152"/>
      <c r="D142" s="159"/>
      <c r="E142" s="159"/>
      <c r="F142" s="310"/>
      <c r="G142" s="152"/>
      <c r="H142" s="159"/>
      <c r="I142" s="170"/>
      <c r="J142" s="311"/>
      <c r="K142" s="231"/>
      <c r="L142" s="256"/>
      <c r="M142" s="170"/>
    </row>
    <row r="143" spans="1:13" x14ac:dyDescent="0.2">
      <c r="A143" s="18" t="s">
        <v>9</v>
      </c>
      <c r="B143" s="229"/>
      <c r="C143" s="139"/>
      <c r="D143" s="159"/>
      <c r="E143" s="159"/>
      <c r="F143" s="229"/>
      <c r="G143" s="139"/>
      <c r="H143" s="159"/>
      <c r="I143" s="170"/>
      <c r="J143" s="288"/>
      <c r="K143" s="37"/>
      <c r="L143" s="256"/>
      <c r="M143" s="170"/>
    </row>
    <row r="144" spans="1:13" x14ac:dyDescent="0.2">
      <c r="A144" s="18" t="s">
        <v>10</v>
      </c>
      <c r="B144" s="229"/>
      <c r="C144" s="139"/>
      <c r="D144" s="159"/>
      <c r="E144" s="159"/>
      <c r="F144" s="229"/>
      <c r="G144" s="139"/>
      <c r="H144" s="159"/>
      <c r="I144" s="170"/>
      <c r="J144" s="288"/>
      <c r="K144" s="37"/>
      <c r="L144" s="256"/>
      <c r="M144" s="170"/>
    </row>
    <row r="145" spans="1:14" x14ac:dyDescent="0.2">
      <c r="A145" s="18" t="s">
        <v>34</v>
      </c>
      <c r="B145" s="229"/>
      <c r="C145" s="139"/>
      <c r="D145" s="159"/>
      <c r="E145" s="159"/>
      <c r="F145" s="229"/>
      <c r="G145" s="139"/>
      <c r="H145" s="159"/>
      <c r="I145" s="170"/>
      <c r="J145" s="288"/>
      <c r="K145" s="37"/>
      <c r="L145" s="256"/>
      <c r="M145" s="170"/>
    </row>
    <row r="146" spans="1:14" x14ac:dyDescent="0.2">
      <c r="A146" s="298" t="s">
        <v>15</v>
      </c>
      <c r="B146" s="282"/>
      <c r="C146" s="282"/>
      <c r="D146" s="159"/>
      <c r="E146" s="159"/>
      <c r="F146" s="805"/>
      <c r="G146" s="282"/>
      <c r="H146" s="159"/>
      <c r="I146" s="237"/>
      <c r="J146" s="291"/>
      <c r="K146" s="291"/>
      <c r="L146" s="159"/>
      <c r="M146" s="159"/>
    </row>
    <row r="147" spans="1:14" ht="15.75" x14ac:dyDescent="0.2">
      <c r="A147" s="18" t="s">
        <v>344</v>
      </c>
      <c r="B147" s="229"/>
      <c r="C147" s="229"/>
      <c r="D147" s="159"/>
      <c r="E147" s="159"/>
      <c r="F147" s="229"/>
      <c r="G147" s="229"/>
      <c r="H147" s="159"/>
      <c r="I147" s="170"/>
      <c r="J147" s="288"/>
      <c r="K147" s="37"/>
      <c r="L147" s="256"/>
      <c r="M147" s="170"/>
    </row>
    <row r="148" spans="1:14" ht="15.75" x14ac:dyDescent="0.2">
      <c r="A148" s="18" t="s">
        <v>336</v>
      </c>
      <c r="B148" s="229"/>
      <c r="C148" s="229"/>
      <c r="D148" s="159"/>
      <c r="E148" s="159"/>
      <c r="F148" s="229"/>
      <c r="G148" s="229"/>
      <c r="H148" s="159"/>
      <c r="I148" s="170"/>
      <c r="J148" s="288"/>
      <c r="K148" s="37"/>
      <c r="L148" s="256"/>
      <c r="M148" s="170"/>
    </row>
    <row r="149" spans="1:14" ht="15.75" x14ac:dyDescent="0.2">
      <c r="A149" s="18" t="s">
        <v>335</v>
      </c>
      <c r="B149" s="229"/>
      <c r="C149" s="229"/>
      <c r="D149" s="159"/>
      <c r="E149" s="159"/>
      <c r="F149" s="229"/>
      <c r="G149" s="229"/>
      <c r="H149" s="159"/>
      <c r="I149" s="170"/>
      <c r="J149" s="288"/>
      <c r="K149" s="37"/>
      <c r="L149" s="256"/>
      <c r="M149" s="170"/>
    </row>
    <row r="150" spans="1:14" ht="15.75" x14ac:dyDescent="0.2">
      <c r="A150" s="11" t="s">
        <v>26</v>
      </c>
      <c r="B150" s="310"/>
      <c r="C150" s="152"/>
      <c r="D150" s="159"/>
      <c r="E150" s="159"/>
      <c r="F150" s="310"/>
      <c r="G150" s="152"/>
      <c r="H150" s="159"/>
      <c r="I150" s="170"/>
      <c r="J150" s="311"/>
      <c r="K150" s="231"/>
      <c r="L150" s="256"/>
      <c r="M150" s="170"/>
    </row>
    <row r="151" spans="1:14" x14ac:dyDescent="0.2">
      <c r="A151" s="18" t="s">
        <v>9</v>
      </c>
      <c r="B151" s="229"/>
      <c r="C151" s="139"/>
      <c r="D151" s="159"/>
      <c r="E151" s="159"/>
      <c r="F151" s="229"/>
      <c r="G151" s="139"/>
      <c r="H151" s="159"/>
      <c r="I151" s="170"/>
      <c r="J151" s="288"/>
      <c r="K151" s="37"/>
      <c r="L151" s="256"/>
      <c r="M151" s="170"/>
    </row>
    <row r="152" spans="1:14" x14ac:dyDescent="0.2">
      <c r="A152" s="18" t="s">
        <v>10</v>
      </c>
      <c r="B152" s="229"/>
      <c r="C152" s="139"/>
      <c r="D152" s="159"/>
      <c r="E152" s="159"/>
      <c r="F152" s="229"/>
      <c r="G152" s="139"/>
      <c r="H152" s="159"/>
      <c r="I152" s="170"/>
      <c r="J152" s="288"/>
      <c r="K152" s="37"/>
      <c r="L152" s="256"/>
      <c r="M152" s="170"/>
    </row>
    <row r="153" spans="1:14" x14ac:dyDescent="0.2">
      <c r="A153" s="18" t="s">
        <v>34</v>
      </c>
      <c r="B153" s="229"/>
      <c r="C153" s="139"/>
      <c r="D153" s="159"/>
      <c r="E153" s="159"/>
      <c r="F153" s="229"/>
      <c r="G153" s="139"/>
      <c r="H153" s="159"/>
      <c r="I153" s="170"/>
      <c r="J153" s="288"/>
      <c r="K153" s="37"/>
      <c r="L153" s="256"/>
      <c r="M153" s="170"/>
    </row>
    <row r="154" spans="1:14" x14ac:dyDescent="0.2">
      <c r="A154" s="298" t="s">
        <v>14</v>
      </c>
      <c r="B154" s="282"/>
      <c r="C154" s="282"/>
      <c r="D154" s="159"/>
      <c r="E154" s="159"/>
      <c r="F154" s="805"/>
      <c r="G154" s="282"/>
      <c r="H154" s="159"/>
      <c r="I154" s="237"/>
      <c r="J154" s="291"/>
      <c r="K154" s="291"/>
      <c r="L154" s="159"/>
      <c r="M154" s="159"/>
    </row>
    <row r="155" spans="1:14" ht="15.75" x14ac:dyDescent="0.2">
      <c r="A155" s="18" t="s">
        <v>333</v>
      </c>
      <c r="B155" s="229"/>
      <c r="C155" s="229"/>
      <c r="D155" s="159"/>
      <c r="E155" s="159"/>
      <c r="F155" s="229"/>
      <c r="G155" s="229"/>
      <c r="H155" s="159"/>
      <c r="I155" s="170"/>
      <c r="J155" s="288"/>
      <c r="K155" s="37"/>
      <c r="L155" s="256"/>
      <c r="M155" s="170"/>
    </row>
    <row r="156" spans="1:14" ht="15.75" x14ac:dyDescent="0.2">
      <c r="A156" s="18" t="s">
        <v>334</v>
      </c>
      <c r="B156" s="229"/>
      <c r="C156" s="229"/>
      <c r="D156" s="159"/>
      <c r="E156" s="159"/>
      <c r="F156" s="229"/>
      <c r="G156" s="229"/>
      <c r="H156" s="159"/>
      <c r="I156" s="170"/>
      <c r="J156" s="288"/>
      <c r="K156" s="37"/>
      <c r="L156" s="256"/>
      <c r="M156" s="170"/>
    </row>
    <row r="157" spans="1:14" ht="15.75" x14ac:dyDescent="0.2">
      <c r="A157" s="9" t="s">
        <v>335</v>
      </c>
      <c r="B157" s="38"/>
      <c r="C157" s="38"/>
      <c r="D157" s="160"/>
      <c r="E157" s="160"/>
      <c r="F157" s="400"/>
      <c r="G157" s="38"/>
      <c r="H157" s="160"/>
      <c r="I157" s="160"/>
      <c r="J157" s="289"/>
      <c r="K157" s="38"/>
      <c r="L157" s="257"/>
      <c r="M157" s="160"/>
    </row>
    <row r="158" spans="1:14" x14ac:dyDescent="0.2">
      <c r="A158" s="148"/>
      <c r="L158" s="20"/>
      <c r="M158" s="20"/>
      <c r="N158" s="20"/>
    </row>
    <row r="159" spans="1:14" x14ac:dyDescent="0.2">
      <c r="L159" s="20"/>
      <c r="M159" s="20"/>
      <c r="N159" s="20"/>
    </row>
    <row r="160" spans="1:14" ht="15.75" x14ac:dyDescent="0.25">
      <c r="A160" s="158" t="s">
        <v>35</v>
      </c>
    </row>
    <row r="161" spans="1:14" ht="15.75" x14ac:dyDescent="0.25">
      <c r="B161" s="832"/>
      <c r="C161" s="832"/>
      <c r="D161" s="832"/>
      <c r="E161" s="301"/>
      <c r="F161" s="832"/>
      <c r="G161" s="832"/>
      <c r="H161" s="832"/>
      <c r="I161" s="301"/>
      <c r="J161" s="832"/>
      <c r="K161" s="832"/>
      <c r="L161" s="832"/>
      <c r="M161" s="301"/>
    </row>
    <row r="162" spans="1:14" s="3" customFormat="1" x14ac:dyDescent="0.2">
      <c r="A162" s="138"/>
      <c r="B162" s="833" t="s">
        <v>0</v>
      </c>
      <c r="C162" s="834"/>
      <c r="D162" s="834"/>
      <c r="E162" s="303"/>
      <c r="F162" s="833" t="s">
        <v>1</v>
      </c>
      <c r="G162" s="834"/>
      <c r="H162" s="834"/>
      <c r="I162" s="306"/>
      <c r="J162" s="833" t="s">
        <v>2</v>
      </c>
      <c r="K162" s="834"/>
      <c r="L162" s="834"/>
      <c r="M162" s="306"/>
      <c r="N162" s="142"/>
    </row>
    <row r="163" spans="1:14" s="3" customFormat="1" x14ac:dyDescent="0.2">
      <c r="A163" s="134"/>
      <c r="B163" s="145" t="s">
        <v>400</v>
      </c>
      <c r="C163" s="145" t="s">
        <v>401</v>
      </c>
      <c r="D163" s="242" t="s">
        <v>3</v>
      </c>
      <c r="E163" s="307" t="s">
        <v>37</v>
      </c>
      <c r="F163" s="145" t="s">
        <v>400</v>
      </c>
      <c r="G163" s="145" t="s">
        <v>401</v>
      </c>
      <c r="H163" s="242" t="s">
        <v>3</v>
      </c>
      <c r="I163" s="307" t="s">
        <v>37</v>
      </c>
      <c r="J163" s="145" t="s">
        <v>400</v>
      </c>
      <c r="K163" s="145" t="s">
        <v>401</v>
      </c>
      <c r="L163" s="242" t="s">
        <v>3</v>
      </c>
      <c r="M163" s="155" t="s">
        <v>37</v>
      </c>
      <c r="N163" s="142"/>
    </row>
    <row r="164" spans="1:14" s="3" customFormat="1" x14ac:dyDescent="0.2">
      <c r="A164" s="403"/>
      <c r="B164" s="149"/>
      <c r="C164" s="149"/>
      <c r="D164" s="243" t="s">
        <v>4</v>
      </c>
      <c r="E164" s="149" t="s">
        <v>38</v>
      </c>
      <c r="F164" s="154"/>
      <c r="G164" s="154"/>
      <c r="H164" s="242" t="s">
        <v>4</v>
      </c>
      <c r="I164" s="149" t="s">
        <v>38</v>
      </c>
      <c r="J164" s="154"/>
      <c r="K164" s="154"/>
      <c r="L164" s="242" t="s">
        <v>4</v>
      </c>
      <c r="M164" s="149" t="s">
        <v>38</v>
      </c>
      <c r="N164" s="142"/>
    </row>
    <row r="165" spans="1:14" s="3" customFormat="1" ht="15.75" x14ac:dyDescent="0.2">
      <c r="A165" s="12" t="s">
        <v>337</v>
      </c>
      <c r="B165" s="231"/>
      <c r="C165" s="311"/>
      <c r="D165" s="251"/>
      <c r="E165" s="170"/>
      <c r="F165" s="318"/>
      <c r="G165" s="319"/>
      <c r="H165" s="252"/>
      <c r="I165" s="159"/>
      <c r="J165" s="320"/>
      <c r="K165" s="320"/>
      <c r="L165" s="255"/>
      <c r="M165" s="170"/>
      <c r="N165" s="142"/>
    </row>
    <row r="166" spans="1:14" s="3" customFormat="1" ht="15.75" x14ac:dyDescent="0.2">
      <c r="A166" s="11" t="s">
        <v>338</v>
      </c>
      <c r="B166" s="231"/>
      <c r="C166" s="311"/>
      <c r="D166" s="159"/>
      <c r="E166" s="170"/>
      <c r="F166" s="231"/>
      <c r="G166" s="311"/>
      <c r="H166" s="236"/>
      <c r="I166" s="159"/>
      <c r="J166" s="310"/>
      <c r="K166" s="310"/>
      <c r="L166" s="256"/>
      <c r="M166" s="170"/>
      <c r="N166" s="142"/>
    </row>
    <row r="167" spans="1:14" s="3" customFormat="1" ht="15.75" x14ac:dyDescent="0.2">
      <c r="A167" s="11" t="s">
        <v>339</v>
      </c>
      <c r="B167" s="231"/>
      <c r="C167" s="311"/>
      <c r="D167" s="159"/>
      <c r="E167" s="170"/>
      <c r="F167" s="231"/>
      <c r="G167" s="311"/>
      <c r="H167" s="236"/>
      <c r="I167" s="159"/>
      <c r="J167" s="310"/>
      <c r="K167" s="310"/>
      <c r="L167" s="256"/>
      <c r="M167" s="170"/>
      <c r="N167" s="142"/>
    </row>
    <row r="168" spans="1:14" s="3" customFormat="1" ht="15.75" x14ac:dyDescent="0.2">
      <c r="A168" s="11" t="s">
        <v>340</v>
      </c>
      <c r="B168" s="231"/>
      <c r="C168" s="311"/>
      <c r="D168" s="159"/>
      <c r="E168" s="170"/>
      <c r="F168" s="231"/>
      <c r="G168" s="311"/>
      <c r="H168" s="236"/>
      <c r="I168" s="159"/>
      <c r="J168" s="310"/>
      <c r="K168" s="310"/>
      <c r="L168" s="256"/>
      <c r="M168" s="170"/>
      <c r="N168" s="142"/>
    </row>
    <row r="169" spans="1:14" s="3" customFormat="1" ht="15.75" x14ac:dyDescent="0.2">
      <c r="A169" s="34" t="s">
        <v>341</v>
      </c>
      <c r="B169" s="277"/>
      <c r="C169" s="317"/>
      <c r="D169" s="160"/>
      <c r="E169" s="201"/>
      <c r="F169" s="277"/>
      <c r="G169" s="317"/>
      <c r="H169" s="239"/>
      <c r="I169" s="160"/>
      <c r="J169" s="316"/>
      <c r="K169" s="316"/>
      <c r="L169" s="257"/>
      <c r="M169" s="160"/>
      <c r="N169" s="142"/>
    </row>
    <row r="170" spans="1:14" s="3" customFormat="1" x14ac:dyDescent="0.2">
      <c r="A170" s="161"/>
      <c r="B170" s="27"/>
      <c r="C170" s="27"/>
      <c r="D170" s="152"/>
      <c r="E170" s="152"/>
      <c r="F170" s="27"/>
      <c r="G170" s="27"/>
      <c r="H170" s="152"/>
      <c r="I170" s="152"/>
      <c r="J170" s="27"/>
      <c r="K170" s="27"/>
      <c r="L170" s="152"/>
      <c r="M170" s="152"/>
      <c r="N170" s="142"/>
    </row>
    <row r="171" spans="1:14" x14ac:dyDescent="0.2">
      <c r="A171" s="161"/>
      <c r="B171" s="27"/>
      <c r="C171" s="27"/>
      <c r="D171" s="152"/>
      <c r="E171" s="152"/>
      <c r="F171" s="27"/>
      <c r="G171" s="27"/>
      <c r="H171" s="152"/>
      <c r="I171" s="152"/>
      <c r="J171" s="27"/>
      <c r="K171" s="27"/>
      <c r="L171" s="152"/>
      <c r="M171" s="152"/>
      <c r="N171" s="142"/>
    </row>
    <row r="172" spans="1:14" x14ac:dyDescent="0.2">
      <c r="A172" s="161"/>
      <c r="B172" s="27"/>
      <c r="C172" s="27"/>
      <c r="D172" s="152"/>
      <c r="E172" s="152"/>
      <c r="F172" s="27"/>
      <c r="G172" s="27"/>
      <c r="H172" s="152"/>
      <c r="I172" s="152"/>
      <c r="J172" s="27"/>
      <c r="K172" s="27"/>
      <c r="L172" s="152"/>
      <c r="M172" s="152"/>
      <c r="N172" s="142"/>
    </row>
    <row r="173" spans="1:14" x14ac:dyDescent="0.2">
      <c r="A173" s="140"/>
      <c r="B173" s="140"/>
      <c r="C173" s="140"/>
      <c r="D173" s="140"/>
      <c r="E173" s="140"/>
      <c r="F173" s="140"/>
      <c r="G173" s="140"/>
      <c r="H173" s="140"/>
      <c r="I173" s="140"/>
      <c r="J173" s="140"/>
      <c r="K173" s="140"/>
      <c r="L173" s="140"/>
      <c r="M173" s="140"/>
      <c r="N173" s="140"/>
    </row>
    <row r="174" spans="1:14" ht="15.75" x14ac:dyDescent="0.25">
      <c r="B174" s="136"/>
      <c r="C174" s="136"/>
      <c r="D174" s="136"/>
      <c r="E174" s="136"/>
      <c r="F174" s="136"/>
      <c r="G174" s="136"/>
      <c r="H174" s="136"/>
      <c r="I174" s="136"/>
      <c r="J174" s="136"/>
      <c r="K174" s="136"/>
      <c r="L174" s="136"/>
      <c r="M174" s="136"/>
      <c r="N174" s="136"/>
    </row>
    <row r="175" spans="1:14" ht="15.75" x14ac:dyDescent="0.25">
      <c r="B175" s="150"/>
      <c r="C175" s="150"/>
      <c r="D175" s="150"/>
      <c r="E175" s="150"/>
      <c r="F175" s="150"/>
      <c r="G175" s="150"/>
      <c r="H175" s="150"/>
      <c r="I175" s="150"/>
      <c r="J175" s="150"/>
      <c r="K175" s="150"/>
      <c r="L175" s="150"/>
      <c r="M175" s="150"/>
      <c r="N175" s="150"/>
    </row>
    <row r="176" spans="1:14" ht="15.75" x14ac:dyDescent="0.25">
      <c r="B176" s="150"/>
      <c r="C176" s="150"/>
      <c r="D176" s="150"/>
      <c r="E176" s="150"/>
      <c r="F176" s="150"/>
      <c r="G176" s="150"/>
      <c r="H176" s="150"/>
      <c r="I176" s="150"/>
      <c r="J176" s="150"/>
      <c r="K176" s="150"/>
      <c r="L176" s="150"/>
      <c r="M176" s="150"/>
      <c r="N176" s="150"/>
    </row>
  </sheetData>
  <mergeCells count="28">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22:D22"/>
    <mergeCell ref="F22:H22"/>
    <mergeCell ref="J22:L22"/>
    <mergeCell ref="D47:F47"/>
    <mergeCell ref="G47:I47"/>
    <mergeCell ref="J47:L47"/>
  </mergeCells>
  <conditionalFormatting sqref="B57:C59">
    <cfRule type="expression" dxfId="1612" priority="188">
      <formula>kvartal &lt; 4</formula>
    </cfRule>
  </conditionalFormatting>
  <conditionalFormatting sqref="B63:C65">
    <cfRule type="expression" dxfId="1611" priority="187">
      <formula>kvartal &lt; 4</formula>
    </cfRule>
  </conditionalFormatting>
  <conditionalFormatting sqref="B37">
    <cfRule type="expression" dxfId="1610" priority="186">
      <formula>kvartal &lt; 4</formula>
    </cfRule>
  </conditionalFormatting>
  <conditionalFormatting sqref="B38">
    <cfRule type="expression" dxfId="1609" priority="185">
      <formula>kvartal &lt; 4</formula>
    </cfRule>
  </conditionalFormatting>
  <conditionalFormatting sqref="B39">
    <cfRule type="expression" dxfId="1608" priority="184">
      <formula>kvartal &lt; 4</formula>
    </cfRule>
  </conditionalFormatting>
  <conditionalFormatting sqref="A34">
    <cfRule type="expression" dxfId="1607" priority="57">
      <formula>kvartal &lt; 4</formula>
    </cfRule>
  </conditionalFormatting>
  <conditionalFormatting sqref="C37">
    <cfRule type="expression" dxfId="1606" priority="183">
      <formula>kvartal &lt; 4</formula>
    </cfRule>
  </conditionalFormatting>
  <conditionalFormatting sqref="C38">
    <cfRule type="expression" dxfId="1605" priority="182">
      <formula>kvartal &lt; 4</formula>
    </cfRule>
  </conditionalFormatting>
  <conditionalFormatting sqref="C39">
    <cfRule type="expression" dxfId="1604" priority="181">
      <formula>kvartal &lt; 4</formula>
    </cfRule>
  </conditionalFormatting>
  <conditionalFormatting sqref="B26:C28">
    <cfRule type="expression" dxfId="1603" priority="180">
      <formula>kvartal &lt; 4</formula>
    </cfRule>
  </conditionalFormatting>
  <conditionalFormatting sqref="B32:C33">
    <cfRule type="expression" dxfId="1602" priority="179">
      <formula>kvartal &lt; 4</formula>
    </cfRule>
  </conditionalFormatting>
  <conditionalFormatting sqref="B34">
    <cfRule type="expression" dxfId="1601" priority="178">
      <formula>kvartal &lt; 4</formula>
    </cfRule>
  </conditionalFormatting>
  <conditionalFormatting sqref="C34">
    <cfRule type="expression" dxfId="1600" priority="177">
      <formula>kvartal &lt; 4</formula>
    </cfRule>
  </conditionalFormatting>
  <conditionalFormatting sqref="F26:G28">
    <cfRule type="expression" dxfId="1599" priority="176">
      <formula>kvartal &lt; 4</formula>
    </cfRule>
  </conditionalFormatting>
  <conditionalFormatting sqref="F32">
    <cfRule type="expression" dxfId="1598" priority="175">
      <formula>kvartal &lt; 4</formula>
    </cfRule>
  </conditionalFormatting>
  <conditionalFormatting sqref="G32">
    <cfRule type="expression" dxfId="1597" priority="174">
      <formula>kvartal &lt; 4</formula>
    </cfRule>
  </conditionalFormatting>
  <conditionalFormatting sqref="F33">
    <cfRule type="expression" dxfId="1596" priority="173">
      <formula>kvartal &lt; 4</formula>
    </cfRule>
  </conditionalFormatting>
  <conditionalFormatting sqref="G33">
    <cfRule type="expression" dxfId="1595" priority="172">
      <formula>kvartal &lt; 4</formula>
    </cfRule>
  </conditionalFormatting>
  <conditionalFormatting sqref="F34">
    <cfRule type="expression" dxfId="1594" priority="171">
      <formula>kvartal &lt; 4</formula>
    </cfRule>
  </conditionalFormatting>
  <conditionalFormatting sqref="G34">
    <cfRule type="expression" dxfId="1593" priority="170">
      <formula>kvartal &lt; 4</formula>
    </cfRule>
  </conditionalFormatting>
  <conditionalFormatting sqref="F37">
    <cfRule type="expression" dxfId="1592" priority="169">
      <formula>kvartal &lt; 4</formula>
    </cfRule>
  </conditionalFormatting>
  <conditionalFormatting sqref="F38">
    <cfRule type="expression" dxfId="1591" priority="168">
      <formula>kvartal &lt; 4</formula>
    </cfRule>
  </conditionalFormatting>
  <conditionalFormatting sqref="F39">
    <cfRule type="expression" dxfId="1590" priority="167">
      <formula>kvartal &lt; 4</formula>
    </cfRule>
  </conditionalFormatting>
  <conditionalFormatting sqref="G37">
    <cfRule type="expression" dxfId="1589" priority="166">
      <formula>kvartal &lt; 4</formula>
    </cfRule>
  </conditionalFormatting>
  <conditionalFormatting sqref="G38">
    <cfRule type="expression" dxfId="1588" priority="165">
      <formula>kvartal &lt; 4</formula>
    </cfRule>
  </conditionalFormatting>
  <conditionalFormatting sqref="G39">
    <cfRule type="expression" dxfId="1587" priority="164">
      <formula>kvartal &lt; 4</formula>
    </cfRule>
  </conditionalFormatting>
  <conditionalFormatting sqref="B29">
    <cfRule type="expression" dxfId="1586" priority="163">
      <formula>kvartal &lt; 4</formula>
    </cfRule>
  </conditionalFormatting>
  <conditionalFormatting sqref="C29">
    <cfRule type="expression" dxfId="1585" priority="162">
      <formula>kvartal &lt; 4</formula>
    </cfRule>
  </conditionalFormatting>
  <conditionalFormatting sqref="F29">
    <cfRule type="expression" dxfId="1584" priority="161">
      <formula>kvartal &lt; 4</formula>
    </cfRule>
  </conditionalFormatting>
  <conditionalFormatting sqref="G29">
    <cfRule type="expression" dxfId="1583" priority="160">
      <formula>kvartal &lt; 4</formula>
    </cfRule>
  </conditionalFormatting>
  <conditionalFormatting sqref="J26:K29">
    <cfRule type="expression" dxfId="1582" priority="159">
      <formula>kvartal &lt; 4</formula>
    </cfRule>
  </conditionalFormatting>
  <conditionalFormatting sqref="J32:K34">
    <cfRule type="expression" dxfId="1581" priority="158">
      <formula>kvartal &lt; 4</formula>
    </cfRule>
  </conditionalFormatting>
  <conditionalFormatting sqref="J37:K39">
    <cfRule type="expression" dxfId="1580" priority="157">
      <formula>kvartal &lt; 4</formula>
    </cfRule>
  </conditionalFormatting>
  <conditionalFormatting sqref="J82:K86">
    <cfRule type="expression" dxfId="1579" priority="95">
      <formula>kvartal &lt; 4</formula>
    </cfRule>
  </conditionalFormatting>
  <conditionalFormatting sqref="J87:K87">
    <cfRule type="expression" dxfId="1578" priority="94">
      <formula>kvartal &lt; 4</formula>
    </cfRule>
  </conditionalFormatting>
  <conditionalFormatting sqref="J92:K97">
    <cfRule type="expression" dxfId="1577" priority="93">
      <formula>kvartal &lt; 4</formula>
    </cfRule>
  </conditionalFormatting>
  <conditionalFormatting sqref="J102:K107">
    <cfRule type="expression" dxfId="1576" priority="92">
      <formula>kvartal &lt; 4</formula>
    </cfRule>
  </conditionalFormatting>
  <conditionalFormatting sqref="J112:K117">
    <cfRule type="expression" dxfId="1575" priority="91">
      <formula>kvartal &lt; 4</formula>
    </cfRule>
  </conditionalFormatting>
  <conditionalFormatting sqref="J122:K127">
    <cfRule type="expression" dxfId="1574" priority="90">
      <formula>kvartal &lt; 4</formula>
    </cfRule>
  </conditionalFormatting>
  <conditionalFormatting sqref="J132:K137">
    <cfRule type="expression" dxfId="1573" priority="89">
      <formula>kvartal &lt; 4</formula>
    </cfRule>
  </conditionalFormatting>
  <conditionalFormatting sqref="J146:K146">
    <cfRule type="expression" dxfId="1572" priority="88">
      <formula>kvartal &lt; 4</formula>
    </cfRule>
  </conditionalFormatting>
  <conditionalFormatting sqref="J154:K154">
    <cfRule type="expression" dxfId="1571" priority="87">
      <formula>kvartal &lt; 4</formula>
    </cfRule>
  </conditionalFormatting>
  <conditionalFormatting sqref="A26:A28">
    <cfRule type="expression" dxfId="1570" priority="71">
      <formula>kvartal &lt; 4</formula>
    </cfRule>
  </conditionalFormatting>
  <conditionalFormatting sqref="A32:A33">
    <cfRule type="expression" dxfId="1569" priority="70">
      <formula>kvartal &lt; 4</formula>
    </cfRule>
  </conditionalFormatting>
  <conditionalFormatting sqref="A37:A39">
    <cfRule type="expression" dxfId="1568" priority="69">
      <formula>kvartal &lt; 4</formula>
    </cfRule>
  </conditionalFormatting>
  <conditionalFormatting sqref="A57:A59">
    <cfRule type="expression" dxfId="1567" priority="68">
      <formula>kvartal &lt; 4</formula>
    </cfRule>
  </conditionalFormatting>
  <conditionalFormatting sqref="A63:A65">
    <cfRule type="expression" dxfId="1566" priority="67">
      <formula>kvartal &lt; 4</formula>
    </cfRule>
  </conditionalFormatting>
  <conditionalFormatting sqref="A82:A87">
    <cfRule type="expression" dxfId="1565" priority="66">
      <formula>kvartal &lt; 4</formula>
    </cfRule>
  </conditionalFormatting>
  <conditionalFormatting sqref="A92:A97">
    <cfRule type="expression" dxfId="1564" priority="65">
      <formula>kvartal &lt; 4</formula>
    </cfRule>
  </conditionalFormatting>
  <conditionalFormatting sqref="A102:A107">
    <cfRule type="expression" dxfId="1563" priority="64">
      <formula>kvartal &lt; 4</formula>
    </cfRule>
  </conditionalFormatting>
  <conditionalFormatting sqref="A112:A117">
    <cfRule type="expression" dxfId="1562" priority="63">
      <formula>kvartal &lt; 4</formula>
    </cfRule>
  </conditionalFormatting>
  <conditionalFormatting sqref="A122:A127">
    <cfRule type="expression" dxfId="1561" priority="62">
      <formula>kvartal &lt; 4</formula>
    </cfRule>
  </conditionalFormatting>
  <conditionalFormatting sqref="A132:A137">
    <cfRule type="expression" dxfId="1560" priority="61">
      <formula>kvartal &lt; 4</formula>
    </cfRule>
  </conditionalFormatting>
  <conditionalFormatting sqref="A146">
    <cfRule type="expression" dxfId="1559" priority="60">
      <formula>kvartal &lt; 4</formula>
    </cfRule>
  </conditionalFormatting>
  <conditionalFormatting sqref="A154">
    <cfRule type="expression" dxfId="1558" priority="59">
      <formula>kvartal &lt; 4</formula>
    </cfRule>
  </conditionalFormatting>
  <conditionalFormatting sqref="A29">
    <cfRule type="expression" dxfId="1557" priority="58">
      <formula>kvartal &lt; 4</formula>
    </cfRule>
  </conditionalFormatting>
  <conditionalFormatting sqref="B82">
    <cfRule type="expression" dxfId="1556" priority="56">
      <formula>kvartal &lt; 4</formula>
    </cfRule>
  </conditionalFormatting>
  <conditionalFormatting sqref="C82">
    <cfRule type="expression" dxfId="1555" priority="55">
      <formula>kvartal &lt; 4</formula>
    </cfRule>
  </conditionalFormatting>
  <conditionalFormatting sqref="B85">
    <cfRule type="expression" dxfId="1554" priority="54">
      <formula>kvartal &lt; 4</formula>
    </cfRule>
  </conditionalFormatting>
  <conditionalFormatting sqref="C85">
    <cfRule type="expression" dxfId="1553" priority="53">
      <formula>kvartal &lt; 4</formula>
    </cfRule>
  </conditionalFormatting>
  <conditionalFormatting sqref="B92">
    <cfRule type="expression" dxfId="1552" priority="52">
      <formula>kvartal &lt; 4</formula>
    </cfRule>
  </conditionalFormatting>
  <conditionalFormatting sqref="C92">
    <cfRule type="expression" dxfId="1551" priority="51">
      <formula>kvartal &lt; 4</formula>
    </cfRule>
  </conditionalFormatting>
  <conditionalFormatting sqref="B95">
    <cfRule type="expression" dxfId="1550" priority="50">
      <formula>kvartal &lt; 4</formula>
    </cfRule>
  </conditionalFormatting>
  <conditionalFormatting sqref="C95">
    <cfRule type="expression" dxfId="1549" priority="49">
      <formula>kvartal &lt; 4</formula>
    </cfRule>
  </conditionalFormatting>
  <conditionalFormatting sqref="B102">
    <cfRule type="expression" dxfId="1548" priority="48">
      <formula>kvartal &lt; 4</formula>
    </cfRule>
  </conditionalFormatting>
  <conditionalFormatting sqref="C102">
    <cfRule type="expression" dxfId="1547" priority="47">
      <formula>kvartal &lt; 4</formula>
    </cfRule>
  </conditionalFormatting>
  <conditionalFormatting sqref="B105">
    <cfRule type="expression" dxfId="1546" priority="46">
      <formula>kvartal &lt; 4</formula>
    </cfRule>
  </conditionalFormatting>
  <conditionalFormatting sqref="C105">
    <cfRule type="expression" dxfId="1545" priority="45">
      <formula>kvartal &lt; 4</formula>
    </cfRule>
  </conditionalFormatting>
  <conditionalFormatting sqref="B112">
    <cfRule type="expression" dxfId="1544" priority="44">
      <formula>kvartal &lt; 4</formula>
    </cfRule>
  </conditionalFormatting>
  <conditionalFormatting sqref="C112">
    <cfRule type="expression" dxfId="1543" priority="43">
      <formula>kvartal &lt; 4</formula>
    </cfRule>
  </conditionalFormatting>
  <conditionalFormatting sqref="B115">
    <cfRule type="expression" dxfId="1542" priority="42">
      <formula>kvartal &lt; 4</formula>
    </cfRule>
  </conditionalFormatting>
  <conditionalFormatting sqref="C115">
    <cfRule type="expression" dxfId="1541" priority="41">
      <formula>kvartal &lt; 4</formula>
    </cfRule>
  </conditionalFormatting>
  <conditionalFormatting sqref="B122">
    <cfRule type="expression" dxfId="1540" priority="40">
      <formula>kvartal &lt; 4</formula>
    </cfRule>
  </conditionalFormatting>
  <conditionalFormatting sqref="C122">
    <cfRule type="expression" dxfId="1539" priority="39">
      <formula>kvartal &lt; 4</formula>
    </cfRule>
  </conditionalFormatting>
  <conditionalFormatting sqref="B125">
    <cfRule type="expression" dxfId="1538" priority="38">
      <formula>kvartal &lt; 4</formula>
    </cfRule>
  </conditionalFormatting>
  <conditionalFormatting sqref="C125">
    <cfRule type="expression" dxfId="1537" priority="37">
      <formula>kvartal &lt; 4</formula>
    </cfRule>
  </conditionalFormatting>
  <conditionalFormatting sqref="B132">
    <cfRule type="expression" dxfId="1536" priority="36">
      <formula>kvartal &lt; 4</formula>
    </cfRule>
  </conditionalFormatting>
  <conditionalFormatting sqref="C132">
    <cfRule type="expression" dxfId="1535" priority="35">
      <formula>kvartal &lt; 4</formula>
    </cfRule>
  </conditionalFormatting>
  <conditionalFormatting sqref="B135">
    <cfRule type="expression" dxfId="1534" priority="34">
      <formula>kvartal &lt; 4</formula>
    </cfRule>
  </conditionalFormatting>
  <conditionalFormatting sqref="C135">
    <cfRule type="expression" dxfId="1533" priority="33">
      <formula>kvartal &lt; 4</formula>
    </cfRule>
  </conditionalFormatting>
  <conditionalFormatting sqref="B146">
    <cfRule type="expression" dxfId="1532" priority="32">
      <formula>kvartal &lt; 4</formula>
    </cfRule>
  </conditionalFormatting>
  <conditionalFormatting sqref="C146">
    <cfRule type="expression" dxfId="1531" priority="31">
      <formula>kvartal &lt; 4</formula>
    </cfRule>
  </conditionalFormatting>
  <conditionalFormatting sqref="B154">
    <cfRule type="expression" dxfId="1530" priority="30">
      <formula>kvartal &lt; 4</formula>
    </cfRule>
  </conditionalFormatting>
  <conditionalFormatting sqref="C154">
    <cfRule type="expression" dxfId="1529" priority="29">
      <formula>kvartal &lt; 4</formula>
    </cfRule>
  </conditionalFormatting>
  <conditionalFormatting sqref="F82">
    <cfRule type="expression" dxfId="1528" priority="28">
      <formula>kvartal &lt; 4</formula>
    </cfRule>
  </conditionalFormatting>
  <conditionalFormatting sqref="G82">
    <cfRule type="expression" dxfId="1527" priority="27">
      <formula>kvartal &lt; 4</formula>
    </cfRule>
  </conditionalFormatting>
  <conditionalFormatting sqref="F85">
    <cfRule type="expression" dxfId="1526" priority="26">
      <formula>kvartal &lt; 4</formula>
    </cfRule>
  </conditionalFormatting>
  <conditionalFormatting sqref="G85">
    <cfRule type="expression" dxfId="1525" priority="25">
      <formula>kvartal &lt; 4</formula>
    </cfRule>
  </conditionalFormatting>
  <conditionalFormatting sqref="F92">
    <cfRule type="expression" dxfId="1524" priority="24">
      <formula>kvartal &lt; 4</formula>
    </cfRule>
  </conditionalFormatting>
  <conditionalFormatting sqref="G92">
    <cfRule type="expression" dxfId="1523" priority="23">
      <formula>kvartal &lt; 4</formula>
    </cfRule>
  </conditionalFormatting>
  <conditionalFormatting sqref="F95">
    <cfRule type="expression" dxfId="1522" priority="22">
      <formula>kvartal &lt; 4</formula>
    </cfRule>
  </conditionalFormatting>
  <conditionalFormatting sqref="G95">
    <cfRule type="expression" dxfId="1521" priority="21">
      <formula>kvartal &lt; 4</formula>
    </cfRule>
  </conditionalFormatting>
  <conditionalFormatting sqref="F102">
    <cfRule type="expression" dxfId="1520" priority="20">
      <formula>kvartal &lt; 4</formula>
    </cfRule>
  </conditionalFormatting>
  <conditionalFormatting sqref="G102">
    <cfRule type="expression" dxfId="1519" priority="19">
      <formula>kvartal &lt; 4</formula>
    </cfRule>
  </conditionalFormatting>
  <conditionalFormatting sqref="F105">
    <cfRule type="expression" dxfId="1518" priority="18">
      <formula>kvartal &lt; 4</formula>
    </cfRule>
  </conditionalFormatting>
  <conditionalFormatting sqref="G105">
    <cfRule type="expression" dxfId="1517" priority="17">
      <formula>kvartal &lt; 4</formula>
    </cfRule>
  </conditionalFormatting>
  <conditionalFormatting sqref="F112">
    <cfRule type="expression" dxfId="1516" priority="16">
      <formula>kvartal &lt; 4</formula>
    </cfRule>
  </conditionalFormatting>
  <conditionalFormatting sqref="G112">
    <cfRule type="expression" dxfId="1515" priority="15">
      <formula>kvartal &lt; 4</formula>
    </cfRule>
  </conditionalFormatting>
  <conditionalFormatting sqref="F115">
    <cfRule type="expression" dxfId="1514" priority="14">
      <formula>kvartal &lt; 4</formula>
    </cfRule>
  </conditionalFormatting>
  <conditionalFormatting sqref="G115">
    <cfRule type="expression" dxfId="1513" priority="13">
      <formula>kvartal &lt; 4</formula>
    </cfRule>
  </conditionalFormatting>
  <conditionalFormatting sqref="F122">
    <cfRule type="expression" dxfId="1512" priority="12">
      <formula>kvartal &lt; 4</formula>
    </cfRule>
  </conditionalFormatting>
  <conditionalFormatting sqref="G122">
    <cfRule type="expression" dxfId="1511" priority="11">
      <formula>kvartal &lt; 4</formula>
    </cfRule>
  </conditionalFormatting>
  <conditionalFormatting sqref="F125">
    <cfRule type="expression" dxfId="1510" priority="10">
      <formula>kvartal &lt; 4</formula>
    </cfRule>
  </conditionalFormatting>
  <conditionalFormatting sqref="G125">
    <cfRule type="expression" dxfId="1509" priority="9">
      <formula>kvartal &lt; 4</formula>
    </cfRule>
  </conditionalFormatting>
  <conditionalFormatting sqref="F132">
    <cfRule type="expression" dxfId="1508" priority="8">
      <formula>kvartal &lt; 4</formula>
    </cfRule>
  </conditionalFormatting>
  <conditionalFormatting sqref="G132">
    <cfRule type="expression" dxfId="1507" priority="7">
      <formula>kvartal &lt; 4</formula>
    </cfRule>
  </conditionalFormatting>
  <conditionalFormatting sqref="F135">
    <cfRule type="expression" dxfId="1506" priority="6">
      <formula>kvartal &lt; 4</formula>
    </cfRule>
  </conditionalFormatting>
  <conditionalFormatting sqref="G135">
    <cfRule type="expression" dxfId="1505" priority="5">
      <formula>kvartal &lt; 4</formula>
    </cfRule>
  </conditionalFormatting>
  <conditionalFormatting sqref="F146">
    <cfRule type="expression" dxfId="1504" priority="4">
      <formula>kvartal &lt; 4</formula>
    </cfRule>
  </conditionalFormatting>
  <conditionalFormatting sqref="G146">
    <cfRule type="expression" dxfId="1503" priority="3">
      <formula>kvartal &lt; 4</formula>
    </cfRule>
  </conditionalFormatting>
  <conditionalFormatting sqref="F154">
    <cfRule type="expression" dxfId="1502" priority="2">
      <formula>kvartal &lt; 4</formula>
    </cfRule>
  </conditionalFormatting>
  <conditionalFormatting sqref="G154">
    <cfRule type="expression" dxfId="1501" priority="1">
      <formula>kvartal &lt; 4</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dimension ref="A1:N176"/>
  <sheetViews>
    <sheetView showGridLines="0" zoomScale="90" zoomScaleNormal="90" workbookViewId="0">
      <selection activeCell="A4" sqref="A4"/>
    </sheetView>
  </sheetViews>
  <sheetFormatPr baseColWidth="10" defaultColWidth="11.42578125" defaultRowHeight="12.75" x14ac:dyDescent="0.2"/>
  <cols>
    <col min="1" max="1" width="41.5703125" style="143" customWidth="1"/>
    <col min="2" max="2" width="10.85546875" style="143" customWidth="1"/>
    <col min="3" max="3" width="11" style="143" customWidth="1"/>
    <col min="4" max="5" width="8.7109375" style="143" customWidth="1"/>
    <col min="6" max="7" width="10.85546875" style="143" customWidth="1"/>
    <col min="8" max="9" width="8.7109375" style="143" customWidth="1"/>
    <col min="10" max="11" width="10.85546875" style="143" customWidth="1"/>
    <col min="12" max="13" width="8.7109375" style="143" customWidth="1"/>
    <col min="14" max="14" width="11.42578125" style="143"/>
    <col min="15" max="16384" width="11.42578125" style="1"/>
  </cols>
  <sheetData>
    <row r="1" spans="1:14" x14ac:dyDescent="0.2">
      <c r="A1" s="165" t="s">
        <v>159</v>
      </c>
      <c r="B1" s="401"/>
      <c r="C1" s="245" t="s">
        <v>165</v>
      </c>
      <c r="D1" s="20"/>
      <c r="E1" s="20"/>
      <c r="F1" s="20"/>
      <c r="G1" s="20"/>
      <c r="H1" s="20"/>
      <c r="I1" s="20"/>
      <c r="J1" s="20"/>
      <c r="K1" s="20"/>
      <c r="L1" s="20"/>
      <c r="M1" s="20"/>
    </row>
    <row r="2" spans="1:14" ht="15.75" x14ac:dyDescent="0.25">
      <c r="A2" s="158" t="s">
        <v>36</v>
      </c>
      <c r="B2" s="835"/>
      <c r="C2" s="835"/>
      <c r="D2" s="835"/>
      <c r="E2" s="301"/>
      <c r="F2" s="835"/>
      <c r="G2" s="835"/>
      <c r="H2" s="835"/>
      <c r="I2" s="301"/>
      <c r="J2" s="835"/>
      <c r="K2" s="835"/>
      <c r="L2" s="835"/>
      <c r="M2" s="301"/>
    </row>
    <row r="3" spans="1:14" ht="15.75" x14ac:dyDescent="0.25">
      <c r="A3" s="156"/>
      <c r="B3" s="301"/>
      <c r="C3" s="301"/>
      <c r="D3" s="301"/>
      <c r="E3" s="301"/>
      <c r="F3" s="301"/>
      <c r="G3" s="301"/>
      <c r="H3" s="301"/>
      <c r="I3" s="301"/>
      <c r="J3" s="301"/>
      <c r="K3" s="301"/>
      <c r="L3" s="301"/>
      <c r="M3" s="301"/>
    </row>
    <row r="4" spans="1:14" x14ac:dyDescent="0.2">
      <c r="A4" s="138"/>
      <c r="B4" s="808" t="s">
        <v>0</v>
      </c>
      <c r="C4" s="802"/>
      <c r="D4" s="802"/>
      <c r="E4" s="802"/>
      <c r="F4" s="808" t="s">
        <v>1</v>
      </c>
      <c r="G4" s="802"/>
      <c r="H4" s="802"/>
      <c r="I4" s="803"/>
      <c r="J4" s="801" t="s">
        <v>2</v>
      </c>
      <c r="K4" s="802"/>
      <c r="L4" s="802"/>
      <c r="M4" s="803"/>
    </row>
    <row r="5" spans="1:14" x14ac:dyDescent="0.2">
      <c r="A5" s="151"/>
      <c r="B5" s="145" t="s">
        <v>400</v>
      </c>
      <c r="C5" s="145" t="s">
        <v>401</v>
      </c>
      <c r="D5" s="242" t="s">
        <v>3</v>
      </c>
      <c r="E5" s="307" t="s">
        <v>37</v>
      </c>
      <c r="F5" s="145" t="s">
        <v>400</v>
      </c>
      <c r="G5" s="145" t="s">
        <v>401</v>
      </c>
      <c r="H5" s="242" t="s">
        <v>3</v>
      </c>
      <c r="I5" s="307" t="s">
        <v>37</v>
      </c>
      <c r="J5" s="145" t="s">
        <v>400</v>
      </c>
      <c r="K5" s="145" t="s">
        <v>401</v>
      </c>
      <c r="L5" s="242" t="s">
        <v>3</v>
      </c>
      <c r="M5" s="155" t="s">
        <v>37</v>
      </c>
    </row>
    <row r="6" spans="1:14" x14ac:dyDescent="0.2">
      <c r="A6" s="402"/>
      <c r="B6" s="149"/>
      <c r="C6" s="149"/>
      <c r="D6" s="243" t="s">
        <v>4</v>
      </c>
      <c r="E6" s="149" t="s">
        <v>38</v>
      </c>
      <c r="F6" s="154"/>
      <c r="G6" s="154"/>
      <c r="H6" s="242" t="s">
        <v>4</v>
      </c>
      <c r="I6" s="149" t="s">
        <v>38</v>
      </c>
      <c r="J6" s="154"/>
      <c r="K6" s="154"/>
      <c r="L6" s="242" t="s">
        <v>4</v>
      </c>
      <c r="M6" s="149" t="s">
        <v>38</v>
      </c>
    </row>
    <row r="7" spans="1:14" ht="15.75" x14ac:dyDescent="0.2">
      <c r="A7" s="12" t="s">
        <v>30</v>
      </c>
      <c r="B7" s="308"/>
      <c r="C7" s="309"/>
      <c r="D7" s="251"/>
      <c r="E7" s="170"/>
      <c r="F7" s="308"/>
      <c r="G7" s="309"/>
      <c r="H7" s="251"/>
      <c r="I7" s="170"/>
      <c r="J7" s="310"/>
      <c r="K7" s="311"/>
      <c r="L7" s="255"/>
      <c r="M7" s="170"/>
    </row>
    <row r="8" spans="1:14" ht="15.75" x14ac:dyDescent="0.2">
      <c r="A8" s="18" t="s">
        <v>32</v>
      </c>
      <c r="B8" s="282"/>
      <c r="C8" s="283"/>
      <c r="D8" s="159"/>
      <c r="E8" s="170"/>
      <c r="F8" s="286"/>
      <c r="G8" s="287"/>
      <c r="H8" s="159"/>
      <c r="I8" s="170"/>
      <c r="J8" s="229"/>
      <c r="K8" s="288"/>
      <c r="L8" s="256"/>
      <c r="M8" s="170"/>
    </row>
    <row r="9" spans="1:14" ht="15.75" x14ac:dyDescent="0.2">
      <c r="A9" s="18" t="s">
        <v>31</v>
      </c>
      <c r="B9" s="282"/>
      <c r="C9" s="283"/>
      <c r="D9" s="159"/>
      <c r="E9" s="170"/>
      <c r="F9" s="286"/>
      <c r="G9" s="287"/>
      <c r="H9" s="159"/>
      <c r="I9" s="170"/>
      <c r="J9" s="229"/>
      <c r="K9" s="288"/>
      <c r="L9" s="256"/>
      <c r="M9" s="170"/>
    </row>
    <row r="10" spans="1:14" ht="15.75" x14ac:dyDescent="0.2">
      <c r="A10" s="11" t="s">
        <v>29</v>
      </c>
      <c r="B10" s="312"/>
      <c r="C10" s="313"/>
      <c r="D10" s="159"/>
      <c r="E10" s="170"/>
      <c r="F10" s="312"/>
      <c r="G10" s="313"/>
      <c r="H10" s="159"/>
      <c r="I10" s="170"/>
      <c r="J10" s="310"/>
      <c r="K10" s="311"/>
      <c r="L10" s="256"/>
      <c r="M10" s="170"/>
    </row>
    <row r="11" spans="1:14" ht="15.75" x14ac:dyDescent="0.2">
      <c r="A11" s="18" t="s">
        <v>32</v>
      </c>
      <c r="B11" s="282"/>
      <c r="C11" s="283"/>
      <c r="D11" s="159"/>
      <c r="E11" s="170"/>
      <c r="F11" s="286"/>
      <c r="G11" s="287"/>
      <c r="H11" s="159"/>
      <c r="I11" s="170"/>
      <c r="J11" s="229"/>
      <c r="K11" s="288"/>
      <c r="L11" s="256"/>
      <c r="M11" s="170"/>
    </row>
    <row r="12" spans="1:14" ht="15.75" x14ac:dyDescent="0.2">
      <c r="A12" s="18" t="s">
        <v>31</v>
      </c>
      <c r="B12" s="282"/>
      <c r="C12" s="283"/>
      <c r="D12" s="159"/>
      <c r="E12" s="170"/>
      <c r="F12" s="286"/>
      <c r="G12" s="287"/>
      <c r="H12" s="159"/>
      <c r="I12" s="170"/>
      <c r="J12" s="229"/>
      <c r="K12" s="288"/>
      <c r="L12" s="256"/>
      <c r="M12" s="170"/>
    </row>
    <row r="13" spans="1:14" ht="15.75" x14ac:dyDescent="0.2">
      <c r="A13" s="11" t="s">
        <v>28</v>
      </c>
      <c r="B13" s="312"/>
      <c r="C13" s="313"/>
      <c r="D13" s="159"/>
      <c r="E13" s="170"/>
      <c r="F13" s="312"/>
      <c r="G13" s="313"/>
      <c r="H13" s="159"/>
      <c r="I13" s="170"/>
      <c r="J13" s="310"/>
      <c r="K13" s="311"/>
      <c r="L13" s="256"/>
      <c r="M13" s="170"/>
    </row>
    <row r="14" spans="1:14" s="36" customFormat="1" ht="15.75" x14ac:dyDescent="0.2">
      <c r="A14" s="11" t="s">
        <v>27</v>
      </c>
      <c r="B14" s="312"/>
      <c r="C14" s="313"/>
      <c r="D14" s="159"/>
      <c r="E14" s="170"/>
      <c r="F14" s="312"/>
      <c r="G14" s="313"/>
      <c r="H14" s="159"/>
      <c r="I14" s="170"/>
      <c r="J14" s="310"/>
      <c r="K14" s="311"/>
      <c r="L14" s="256"/>
      <c r="M14" s="170"/>
      <c r="N14" s="137"/>
    </row>
    <row r="15" spans="1:14" s="36" customFormat="1" ht="15.75" x14ac:dyDescent="0.2">
      <c r="A15" s="34" t="s">
        <v>26</v>
      </c>
      <c r="B15" s="314"/>
      <c r="C15" s="315"/>
      <c r="D15" s="160"/>
      <c r="E15" s="160"/>
      <c r="F15" s="314"/>
      <c r="G15" s="315"/>
      <c r="H15" s="160"/>
      <c r="I15" s="160"/>
      <c r="J15" s="316"/>
      <c r="K15" s="317"/>
      <c r="L15" s="257"/>
      <c r="M15" s="160"/>
      <c r="N15" s="137"/>
    </row>
    <row r="16" spans="1:14" s="36" customFormat="1" x14ac:dyDescent="0.2">
      <c r="A16" s="161"/>
      <c r="B16" s="139"/>
      <c r="C16" s="27"/>
      <c r="D16" s="152"/>
      <c r="E16" s="152"/>
      <c r="F16" s="139"/>
      <c r="G16" s="27"/>
      <c r="H16" s="152"/>
      <c r="I16" s="152"/>
      <c r="J16" s="41"/>
      <c r="K16" s="41"/>
      <c r="L16" s="152"/>
      <c r="M16" s="152"/>
      <c r="N16" s="137"/>
    </row>
    <row r="17" spans="1:14" x14ac:dyDescent="0.2">
      <c r="A17" s="146" t="s">
        <v>307</v>
      </c>
      <c r="B17" s="20"/>
    </row>
    <row r="18" spans="1:14" x14ac:dyDescent="0.2">
      <c r="F18" s="140"/>
      <c r="G18" s="140"/>
      <c r="H18" s="140"/>
      <c r="I18" s="140"/>
      <c r="J18" s="140"/>
      <c r="K18" s="140"/>
      <c r="L18" s="140"/>
      <c r="M18" s="140"/>
    </row>
    <row r="19" spans="1:14" s="3" customFormat="1" ht="15.75" x14ac:dyDescent="0.25">
      <c r="A19" s="157"/>
      <c r="B19" s="142"/>
      <c r="C19" s="147"/>
      <c r="D19" s="147"/>
      <c r="E19" s="147"/>
      <c r="F19" s="147"/>
      <c r="G19" s="147"/>
      <c r="H19" s="147"/>
      <c r="I19" s="147"/>
      <c r="J19" s="147"/>
      <c r="K19" s="147"/>
      <c r="L19" s="147"/>
      <c r="M19" s="147"/>
      <c r="N19" s="142"/>
    </row>
    <row r="20" spans="1:14" ht="15.75" x14ac:dyDescent="0.25">
      <c r="A20" s="141" t="s">
        <v>304</v>
      </c>
      <c r="B20" s="150"/>
      <c r="C20" s="150"/>
      <c r="D20" s="144"/>
      <c r="E20" s="144"/>
      <c r="F20" s="150"/>
      <c r="G20" s="150"/>
      <c r="H20" s="150"/>
      <c r="I20" s="150"/>
      <c r="J20" s="150"/>
      <c r="K20" s="150"/>
      <c r="L20" s="150"/>
      <c r="M20" s="150"/>
    </row>
    <row r="21" spans="1:14" ht="15.75" x14ac:dyDescent="0.25">
      <c r="B21" s="832"/>
      <c r="C21" s="832"/>
      <c r="D21" s="832"/>
      <c r="E21" s="301"/>
      <c r="F21" s="832"/>
      <c r="G21" s="832"/>
      <c r="H21" s="832"/>
      <c r="I21" s="301"/>
      <c r="J21" s="832"/>
      <c r="K21" s="832"/>
      <c r="L21" s="832"/>
      <c r="M21" s="301"/>
    </row>
    <row r="22" spans="1:14" x14ac:dyDescent="0.2">
      <c r="A22" s="138"/>
      <c r="B22" s="833" t="s">
        <v>0</v>
      </c>
      <c r="C22" s="834"/>
      <c r="D22" s="834"/>
      <c r="E22" s="303"/>
      <c r="F22" s="833" t="s">
        <v>1</v>
      </c>
      <c r="G22" s="834"/>
      <c r="H22" s="834"/>
      <c r="I22" s="306"/>
      <c r="J22" s="833" t="s">
        <v>2</v>
      </c>
      <c r="K22" s="834"/>
      <c r="L22" s="834"/>
      <c r="M22" s="306"/>
    </row>
    <row r="23" spans="1:14" x14ac:dyDescent="0.2">
      <c r="A23" s="134" t="s">
        <v>5</v>
      </c>
      <c r="B23" s="145" t="s">
        <v>400</v>
      </c>
      <c r="C23" s="145" t="s">
        <v>401</v>
      </c>
      <c r="D23" s="242" t="s">
        <v>3</v>
      </c>
      <c r="E23" s="307" t="s">
        <v>37</v>
      </c>
      <c r="F23" s="145" t="s">
        <v>400</v>
      </c>
      <c r="G23" s="145" t="s">
        <v>401</v>
      </c>
      <c r="H23" s="242" t="s">
        <v>3</v>
      </c>
      <c r="I23" s="307" t="s">
        <v>37</v>
      </c>
      <c r="J23" s="145" t="s">
        <v>400</v>
      </c>
      <c r="K23" s="145" t="s">
        <v>401</v>
      </c>
      <c r="L23" s="242" t="s">
        <v>3</v>
      </c>
      <c r="M23" s="155" t="s">
        <v>37</v>
      </c>
    </row>
    <row r="24" spans="1:14" x14ac:dyDescent="0.2">
      <c r="A24" s="403"/>
      <c r="B24" s="149"/>
      <c r="C24" s="149"/>
      <c r="D24" s="243" t="s">
        <v>4</v>
      </c>
      <c r="E24" s="149" t="s">
        <v>38</v>
      </c>
      <c r="F24" s="154"/>
      <c r="G24" s="154"/>
      <c r="H24" s="242" t="s">
        <v>4</v>
      </c>
      <c r="I24" s="149" t="s">
        <v>38</v>
      </c>
      <c r="J24" s="154"/>
      <c r="K24" s="154"/>
      <c r="L24" s="242" t="s">
        <v>4</v>
      </c>
      <c r="M24" s="149" t="s">
        <v>38</v>
      </c>
    </row>
    <row r="25" spans="1:14" ht="15.75" x14ac:dyDescent="0.2">
      <c r="A25" s="12" t="s">
        <v>30</v>
      </c>
      <c r="B25" s="318"/>
      <c r="C25" s="319"/>
      <c r="D25" s="251"/>
      <c r="E25" s="170"/>
      <c r="F25" s="320"/>
      <c r="G25" s="319"/>
      <c r="H25" s="251"/>
      <c r="I25" s="170"/>
      <c r="J25" s="318"/>
      <c r="K25" s="318"/>
      <c r="L25" s="255"/>
      <c r="M25" s="159"/>
    </row>
    <row r="26" spans="1:14" ht="15.75" x14ac:dyDescent="0.2">
      <c r="A26" s="298" t="s">
        <v>318</v>
      </c>
      <c r="B26" s="291"/>
      <c r="C26" s="291"/>
      <c r="D26" s="159"/>
      <c r="E26" s="237"/>
      <c r="F26" s="291"/>
      <c r="G26" s="291"/>
      <c r="H26" s="159"/>
      <c r="I26" s="237"/>
      <c r="J26" s="291"/>
      <c r="K26" s="291"/>
      <c r="L26" s="159"/>
      <c r="M26" s="159"/>
    </row>
    <row r="27" spans="1:14" ht="15.75" x14ac:dyDescent="0.2">
      <c r="A27" s="298" t="s">
        <v>319</v>
      </c>
      <c r="B27" s="291"/>
      <c r="C27" s="291"/>
      <c r="D27" s="159"/>
      <c r="E27" s="237"/>
      <c r="F27" s="291"/>
      <c r="G27" s="291"/>
      <c r="H27" s="159"/>
      <c r="I27" s="237"/>
      <c r="J27" s="291"/>
      <c r="K27" s="291"/>
      <c r="L27" s="159"/>
      <c r="M27" s="159"/>
    </row>
    <row r="28" spans="1:14" ht="15.75" x14ac:dyDescent="0.2">
      <c r="A28" s="298" t="s">
        <v>320</v>
      </c>
      <c r="B28" s="291"/>
      <c r="C28" s="291"/>
      <c r="D28" s="159"/>
      <c r="E28" s="237"/>
      <c r="F28" s="291"/>
      <c r="G28" s="291"/>
      <c r="H28" s="159"/>
      <c r="I28" s="237"/>
      <c r="J28" s="291"/>
      <c r="K28" s="291"/>
      <c r="L28" s="159"/>
      <c r="M28" s="159"/>
    </row>
    <row r="29" spans="1:14" x14ac:dyDescent="0.2">
      <c r="A29" s="298" t="s">
        <v>11</v>
      </c>
      <c r="B29" s="291"/>
      <c r="C29" s="291"/>
      <c r="D29" s="159"/>
      <c r="E29" s="237"/>
      <c r="F29" s="291"/>
      <c r="G29" s="291"/>
      <c r="H29" s="159"/>
      <c r="I29" s="237"/>
      <c r="J29" s="291"/>
      <c r="K29" s="291"/>
      <c r="L29" s="159"/>
      <c r="M29" s="159"/>
    </row>
    <row r="30" spans="1:14" ht="15.75" x14ac:dyDescent="0.2">
      <c r="A30" s="42" t="s">
        <v>308</v>
      </c>
      <c r="B30" s="37"/>
      <c r="C30" s="288"/>
      <c r="D30" s="159"/>
      <c r="E30" s="170"/>
      <c r="F30" s="229"/>
      <c r="G30" s="288"/>
      <c r="H30" s="159"/>
      <c r="I30" s="170"/>
      <c r="J30" s="37"/>
      <c r="K30" s="37"/>
      <c r="L30" s="256"/>
      <c r="M30" s="159"/>
    </row>
    <row r="31" spans="1:14" ht="15.75" x14ac:dyDescent="0.2">
      <c r="A31" s="11" t="s">
        <v>29</v>
      </c>
      <c r="B31" s="231"/>
      <c r="C31" s="231"/>
      <c r="D31" s="159"/>
      <c r="E31" s="170"/>
      <c r="F31" s="310"/>
      <c r="G31" s="310"/>
      <c r="H31" s="159"/>
      <c r="I31" s="170"/>
      <c r="J31" s="231"/>
      <c r="K31" s="231"/>
      <c r="L31" s="256"/>
      <c r="M31" s="159"/>
    </row>
    <row r="32" spans="1:14" ht="15.75" x14ac:dyDescent="0.2">
      <c r="A32" s="298" t="s">
        <v>318</v>
      </c>
      <c r="B32" s="291"/>
      <c r="C32" s="291"/>
      <c r="D32" s="159"/>
      <c r="E32" s="237"/>
      <c r="F32" s="291"/>
      <c r="G32" s="291"/>
      <c r="H32" s="159"/>
      <c r="I32" s="237"/>
      <c r="J32" s="291"/>
      <c r="K32" s="291"/>
      <c r="L32" s="159"/>
      <c r="M32" s="159"/>
    </row>
    <row r="33" spans="1:14" ht="15.75" x14ac:dyDescent="0.2">
      <c r="A33" s="298" t="s">
        <v>320</v>
      </c>
      <c r="B33" s="291"/>
      <c r="C33" s="291"/>
      <c r="D33" s="159"/>
      <c r="E33" s="237"/>
      <c r="F33" s="291"/>
      <c r="G33" s="291"/>
      <c r="H33" s="159"/>
      <c r="I33" s="237"/>
      <c r="J33" s="291"/>
      <c r="K33" s="291"/>
      <c r="L33" s="159"/>
      <c r="M33" s="159"/>
    </row>
    <row r="34" spans="1:14" s="21" customFormat="1" x14ac:dyDescent="0.2">
      <c r="A34" s="298" t="s">
        <v>16</v>
      </c>
      <c r="B34" s="291"/>
      <c r="C34" s="291"/>
      <c r="D34" s="159"/>
      <c r="E34" s="237"/>
      <c r="F34" s="291"/>
      <c r="G34" s="291"/>
      <c r="H34" s="159"/>
      <c r="I34" s="237"/>
      <c r="J34" s="291"/>
      <c r="K34" s="291"/>
      <c r="L34" s="159"/>
      <c r="M34" s="159"/>
      <c r="N34" s="166"/>
    </row>
    <row r="35" spans="1:14" ht="15.75" x14ac:dyDescent="0.2">
      <c r="A35" s="42" t="s">
        <v>308</v>
      </c>
      <c r="B35" s="37"/>
      <c r="C35" s="288"/>
      <c r="D35" s="159"/>
      <c r="E35" s="170"/>
      <c r="F35" s="229"/>
      <c r="G35" s="288"/>
      <c r="H35" s="159"/>
      <c r="I35" s="170"/>
      <c r="J35" s="37"/>
      <c r="K35" s="37"/>
      <c r="L35" s="256"/>
      <c r="M35" s="159"/>
    </row>
    <row r="36" spans="1:14" s="3" customFormat="1" ht="15.75" x14ac:dyDescent="0.2">
      <c r="A36" s="11" t="s">
        <v>28</v>
      </c>
      <c r="B36" s="231"/>
      <c r="C36" s="311"/>
      <c r="D36" s="159"/>
      <c r="E36" s="170"/>
      <c r="F36" s="310"/>
      <c r="G36" s="311"/>
      <c r="H36" s="159"/>
      <c r="I36" s="170"/>
      <c r="J36" s="231"/>
      <c r="K36" s="231"/>
      <c r="L36" s="256"/>
      <c r="M36" s="159"/>
      <c r="N36" s="142"/>
    </row>
    <row r="37" spans="1:14" s="3" customFormat="1" ht="15.75" x14ac:dyDescent="0.2">
      <c r="A37" s="298" t="s">
        <v>318</v>
      </c>
      <c r="B37" s="291"/>
      <c r="C37" s="291"/>
      <c r="D37" s="159"/>
      <c r="E37" s="237"/>
      <c r="F37" s="291"/>
      <c r="G37" s="291"/>
      <c r="H37" s="159"/>
      <c r="I37" s="237"/>
      <c r="J37" s="291"/>
      <c r="K37" s="291"/>
      <c r="L37" s="159"/>
      <c r="M37" s="159"/>
      <c r="N37" s="142"/>
    </row>
    <row r="38" spans="1:14" s="3" customFormat="1" ht="15.75" x14ac:dyDescent="0.2">
      <c r="A38" s="298" t="s">
        <v>319</v>
      </c>
      <c r="B38" s="291"/>
      <c r="C38" s="291"/>
      <c r="D38" s="159"/>
      <c r="E38" s="237"/>
      <c r="F38" s="291"/>
      <c r="G38" s="291"/>
      <c r="H38" s="159"/>
      <c r="I38" s="237"/>
      <c r="J38" s="291"/>
      <c r="K38" s="291"/>
      <c r="L38" s="159"/>
      <c r="M38" s="159"/>
      <c r="N38" s="142"/>
    </row>
    <row r="39" spans="1:14" ht="15.75" x14ac:dyDescent="0.2">
      <c r="A39" s="298" t="s">
        <v>320</v>
      </c>
      <c r="B39" s="291"/>
      <c r="C39" s="291"/>
      <c r="D39" s="159"/>
      <c r="E39" s="237"/>
      <c r="F39" s="291"/>
      <c r="G39" s="291"/>
      <c r="H39" s="159"/>
      <c r="I39" s="237"/>
      <c r="J39" s="291"/>
      <c r="K39" s="291"/>
      <c r="L39" s="159"/>
      <c r="M39" s="159"/>
    </row>
    <row r="40" spans="1:14" ht="15.75" x14ac:dyDescent="0.2">
      <c r="A40" s="11" t="s">
        <v>27</v>
      </c>
      <c r="B40" s="231"/>
      <c r="C40" s="311"/>
      <c r="D40" s="159"/>
      <c r="E40" s="170"/>
      <c r="F40" s="310"/>
      <c r="G40" s="311"/>
      <c r="H40" s="159"/>
      <c r="I40" s="170"/>
      <c r="J40" s="231"/>
      <c r="K40" s="231"/>
      <c r="L40" s="256"/>
      <c r="M40" s="159"/>
    </row>
    <row r="41" spans="1:14" ht="15.75" x14ac:dyDescent="0.2">
      <c r="A41" s="11" t="s">
        <v>26</v>
      </c>
      <c r="B41" s="231"/>
      <c r="C41" s="311"/>
      <c r="D41" s="159"/>
      <c r="E41" s="170"/>
      <c r="F41" s="310"/>
      <c r="G41" s="311"/>
      <c r="H41" s="159"/>
      <c r="I41" s="170"/>
      <c r="J41" s="231"/>
      <c r="K41" s="231"/>
      <c r="L41" s="256"/>
      <c r="M41" s="159"/>
    </row>
    <row r="42" spans="1:14" ht="15.75" x14ac:dyDescent="0.2">
      <c r="A42" s="10" t="s">
        <v>321</v>
      </c>
      <c r="B42" s="231"/>
      <c r="C42" s="311"/>
      <c r="D42" s="159"/>
      <c r="E42" s="170"/>
      <c r="F42" s="321"/>
      <c r="G42" s="322"/>
      <c r="H42" s="159"/>
      <c r="I42" s="237"/>
      <c r="J42" s="231"/>
      <c r="K42" s="231"/>
      <c r="L42" s="256"/>
      <c r="M42" s="159"/>
    </row>
    <row r="43" spans="1:14" ht="15.75" x14ac:dyDescent="0.2">
      <c r="A43" s="10" t="s">
        <v>322</v>
      </c>
      <c r="B43" s="231"/>
      <c r="C43" s="311"/>
      <c r="D43" s="159"/>
      <c r="E43" s="170"/>
      <c r="F43" s="321"/>
      <c r="G43" s="322"/>
      <c r="H43" s="159"/>
      <c r="I43" s="237"/>
      <c r="J43" s="231"/>
      <c r="K43" s="231"/>
      <c r="L43" s="256"/>
      <c r="M43" s="159"/>
    </row>
    <row r="44" spans="1:14" ht="15.75" x14ac:dyDescent="0.2">
      <c r="A44" s="10" t="s">
        <v>323</v>
      </c>
      <c r="B44" s="231"/>
      <c r="C44" s="311"/>
      <c r="D44" s="159"/>
      <c r="E44" s="170"/>
      <c r="F44" s="321"/>
      <c r="G44" s="323"/>
      <c r="H44" s="159"/>
      <c r="I44" s="237"/>
      <c r="J44" s="231"/>
      <c r="K44" s="231"/>
      <c r="L44" s="256"/>
      <c r="M44" s="159"/>
    </row>
    <row r="45" spans="1:14" ht="15.75" x14ac:dyDescent="0.2">
      <c r="A45" s="10" t="s">
        <v>324</v>
      </c>
      <c r="B45" s="231"/>
      <c r="C45" s="311"/>
      <c r="D45" s="159"/>
      <c r="E45" s="170"/>
      <c r="F45" s="321"/>
      <c r="G45" s="322"/>
      <c r="H45" s="159"/>
      <c r="I45" s="237"/>
      <c r="J45" s="231"/>
      <c r="K45" s="231"/>
      <c r="L45" s="256"/>
      <c r="M45" s="159"/>
    </row>
    <row r="46" spans="1:14" ht="15.75" x14ac:dyDescent="0.2">
      <c r="A46" s="16" t="s">
        <v>325</v>
      </c>
      <c r="B46" s="277"/>
      <c r="C46" s="317"/>
      <c r="D46" s="160"/>
      <c r="E46" s="201"/>
      <c r="F46" s="324"/>
      <c r="G46" s="325"/>
      <c r="H46" s="160"/>
      <c r="I46" s="160"/>
      <c r="J46" s="231"/>
      <c r="K46" s="231"/>
      <c r="L46" s="257"/>
      <c r="M46" s="160"/>
    </row>
    <row r="47" spans="1:14" ht="15.75" x14ac:dyDescent="0.25">
      <c r="A47" s="40"/>
      <c r="B47" s="254"/>
      <c r="C47" s="254"/>
      <c r="D47" s="836"/>
      <c r="E47" s="836"/>
      <c r="F47" s="836"/>
      <c r="G47" s="836"/>
      <c r="H47" s="836"/>
      <c r="I47" s="836"/>
      <c r="J47" s="836"/>
      <c r="K47" s="836"/>
      <c r="L47" s="836"/>
      <c r="M47" s="304"/>
    </row>
    <row r="48" spans="1:14" x14ac:dyDescent="0.2">
      <c r="A48" s="148"/>
    </row>
    <row r="49" spans="1:14" ht="15.75" x14ac:dyDescent="0.25">
      <c r="A49" s="141" t="s">
        <v>305</v>
      </c>
      <c r="B49" s="835"/>
      <c r="C49" s="835"/>
      <c r="D49" s="835"/>
      <c r="E49" s="301"/>
      <c r="F49" s="837"/>
      <c r="G49" s="837"/>
      <c r="H49" s="837"/>
      <c r="I49" s="304"/>
      <c r="J49" s="837"/>
      <c r="K49" s="837"/>
      <c r="L49" s="837"/>
      <c r="M49" s="304"/>
    </row>
    <row r="50" spans="1:14" ht="15.75" x14ac:dyDescent="0.25">
      <c r="A50" s="156"/>
      <c r="B50" s="305"/>
      <c r="C50" s="305"/>
      <c r="D50" s="305"/>
      <c r="E50" s="305"/>
      <c r="F50" s="304"/>
      <c r="G50" s="304"/>
      <c r="H50" s="304"/>
      <c r="I50" s="304"/>
      <c r="J50" s="304"/>
      <c r="K50" s="304"/>
      <c r="L50" s="304"/>
      <c r="M50" s="304"/>
    </row>
    <row r="51" spans="1:14" ht="15.75" x14ac:dyDescent="0.25">
      <c r="A51" s="244"/>
      <c r="B51" s="833" t="s">
        <v>0</v>
      </c>
      <c r="C51" s="834"/>
      <c r="D51" s="834"/>
      <c r="E51" s="240"/>
      <c r="F51" s="304"/>
      <c r="G51" s="304"/>
      <c r="H51" s="304"/>
      <c r="I51" s="304"/>
      <c r="J51" s="304"/>
      <c r="K51" s="304"/>
      <c r="L51" s="304"/>
      <c r="M51" s="304"/>
    </row>
    <row r="52" spans="1:14" s="3" customFormat="1" x14ac:dyDescent="0.2">
      <c r="A52" s="134"/>
      <c r="B52" s="167" t="s">
        <v>400</v>
      </c>
      <c r="C52" s="167" t="s">
        <v>401</v>
      </c>
      <c r="D52" s="155" t="s">
        <v>3</v>
      </c>
      <c r="E52" s="155" t="s">
        <v>37</v>
      </c>
      <c r="F52" s="169"/>
      <c r="G52" s="169"/>
      <c r="H52" s="168"/>
      <c r="I52" s="168"/>
      <c r="J52" s="169"/>
      <c r="K52" s="169"/>
      <c r="L52" s="168"/>
      <c r="M52" s="168"/>
      <c r="N52" s="142"/>
    </row>
    <row r="53" spans="1:14" s="3" customFormat="1" x14ac:dyDescent="0.2">
      <c r="A53" s="403"/>
      <c r="B53" s="241"/>
      <c r="C53" s="241"/>
      <c r="D53" s="242" t="s">
        <v>4</v>
      </c>
      <c r="E53" s="149" t="s">
        <v>38</v>
      </c>
      <c r="F53" s="168"/>
      <c r="G53" s="168"/>
      <c r="H53" s="168"/>
      <c r="I53" s="168"/>
      <c r="J53" s="168"/>
      <c r="K53" s="168"/>
      <c r="L53" s="168"/>
      <c r="M53" s="168"/>
      <c r="N53" s="142"/>
    </row>
    <row r="54" spans="1:14" s="3" customFormat="1" ht="15.75" x14ac:dyDescent="0.2">
      <c r="A54" s="12" t="s">
        <v>30</v>
      </c>
      <c r="B54" s="312">
        <v>3992.3185400000002</v>
      </c>
      <c r="C54" s="313">
        <v>3498.63</v>
      </c>
      <c r="D54" s="255">
        <v>-12.4</v>
      </c>
      <c r="E54" s="170">
        <v>9.1353659549907748E-2</v>
      </c>
      <c r="F54" s="139"/>
      <c r="G54" s="27"/>
      <c r="H54" s="152"/>
      <c r="I54" s="152"/>
      <c r="J54" s="30"/>
      <c r="K54" s="30"/>
      <c r="L54" s="152"/>
      <c r="M54" s="152"/>
      <c r="N54" s="142"/>
    </row>
    <row r="55" spans="1:14" s="3" customFormat="1" ht="15.75" x14ac:dyDescent="0.2">
      <c r="A55" s="31" t="s">
        <v>326</v>
      </c>
      <c r="B55" s="282">
        <v>525.83712000000003</v>
      </c>
      <c r="C55" s="283">
        <v>586.58541000000002</v>
      </c>
      <c r="D55" s="256">
        <v>11.6</v>
      </c>
      <c r="E55" s="170">
        <v>2.881636222989872E-2</v>
      </c>
      <c r="F55" s="139"/>
      <c r="G55" s="27"/>
      <c r="H55" s="139"/>
      <c r="I55" s="139"/>
      <c r="J55" s="27"/>
      <c r="K55" s="27"/>
      <c r="L55" s="152"/>
      <c r="M55" s="152"/>
      <c r="N55" s="142"/>
    </row>
    <row r="56" spans="1:14" s="3" customFormat="1" ht="15.75" x14ac:dyDescent="0.2">
      <c r="A56" s="31" t="s">
        <v>327</v>
      </c>
      <c r="B56" s="37">
        <v>3466.4814200000001</v>
      </c>
      <c r="C56" s="288">
        <v>2912.04459</v>
      </c>
      <c r="D56" s="256">
        <v>-16</v>
      </c>
      <c r="E56" s="170">
        <v>0.16230630147224437</v>
      </c>
      <c r="F56" s="139"/>
      <c r="G56" s="27"/>
      <c r="H56" s="139"/>
      <c r="I56" s="139"/>
      <c r="J56" s="30"/>
      <c r="K56" s="30"/>
      <c r="L56" s="152"/>
      <c r="M56" s="152"/>
      <c r="N56" s="142"/>
    </row>
    <row r="57" spans="1:14" s="3" customFormat="1" x14ac:dyDescent="0.2">
      <c r="A57" s="298" t="s">
        <v>6</v>
      </c>
      <c r="B57" s="291">
        <v>3466.4814200000001</v>
      </c>
      <c r="C57" s="292">
        <v>2912.04459</v>
      </c>
      <c r="D57" s="256">
        <v>-16</v>
      </c>
      <c r="E57" s="170">
        <v>0</v>
      </c>
      <c r="F57" s="139"/>
      <c r="G57" s="27"/>
      <c r="H57" s="139"/>
      <c r="I57" s="139"/>
      <c r="J57" s="27"/>
      <c r="K57" s="27"/>
      <c r="L57" s="152"/>
      <c r="M57" s="152"/>
      <c r="N57" s="142"/>
    </row>
    <row r="58" spans="1:14" s="3" customFormat="1" x14ac:dyDescent="0.2">
      <c r="A58" s="298" t="s">
        <v>7</v>
      </c>
      <c r="B58" s="291"/>
      <c r="C58" s="292"/>
      <c r="D58" s="256"/>
      <c r="E58" s="159"/>
      <c r="F58" s="139"/>
      <c r="G58" s="27"/>
      <c r="H58" s="139"/>
      <c r="I58" s="139"/>
      <c r="J58" s="27"/>
      <c r="K58" s="27"/>
      <c r="L58" s="152"/>
      <c r="M58" s="152"/>
      <c r="N58" s="142"/>
    </row>
    <row r="59" spans="1:14" s="3" customFormat="1" x14ac:dyDescent="0.2">
      <c r="A59" s="298" t="s">
        <v>8</v>
      </c>
      <c r="B59" s="291"/>
      <c r="C59" s="292"/>
      <c r="D59" s="256"/>
      <c r="E59" s="159"/>
      <c r="F59" s="139"/>
      <c r="G59" s="27"/>
      <c r="H59" s="139"/>
      <c r="I59" s="139"/>
      <c r="J59" s="27"/>
      <c r="K59" s="27"/>
      <c r="L59" s="152"/>
      <c r="M59" s="152"/>
      <c r="N59" s="142"/>
    </row>
    <row r="60" spans="1:14" s="3" customFormat="1" ht="15.75" x14ac:dyDescent="0.2">
      <c r="A60" s="11" t="s">
        <v>29</v>
      </c>
      <c r="B60" s="312"/>
      <c r="C60" s="313"/>
      <c r="D60" s="256"/>
      <c r="E60" s="170"/>
      <c r="F60" s="139"/>
      <c r="G60" s="27"/>
      <c r="H60" s="139"/>
      <c r="I60" s="139"/>
      <c r="J60" s="27"/>
      <c r="K60" s="27"/>
      <c r="L60" s="152"/>
      <c r="M60" s="152"/>
      <c r="N60" s="142"/>
    </row>
    <row r="61" spans="1:14" s="3" customFormat="1" ht="15.75" x14ac:dyDescent="0.2">
      <c r="A61" s="31" t="s">
        <v>326</v>
      </c>
      <c r="B61" s="282"/>
      <c r="C61" s="283"/>
      <c r="D61" s="256"/>
      <c r="E61" s="170"/>
      <c r="F61" s="139"/>
      <c r="G61" s="27"/>
      <c r="H61" s="139"/>
      <c r="I61" s="139"/>
      <c r="J61" s="27"/>
      <c r="K61" s="27"/>
      <c r="L61" s="152"/>
      <c r="M61" s="152"/>
      <c r="N61" s="142"/>
    </row>
    <row r="62" spans="1:14" s="3" customFormat="1" ht="15.75" x14ac:dyDescent="0.2">
      <c r="A62" s="31" t="s">
        <v>327</v>
      </c>
      <c r="B62" s="37"/>
      <c r="C62" s="288"/>
      <c r="D62" s="256"/>
      <c r="E62" s="170"/>
      <c r="F62" s="139"/>
      <c r="G62" s="27"/>
      <c r="H62" s="139"/>
      <c r="I62" s="139"/>
      <c r="J62" s="27"/>
      <c r="K62" s="27"/>
      <c r="L62" s="152"/>
      <c r="M62" s="152"/>
      <c r="N62" s="142"/>
    </row>
    <row r="63" spans="1:14" s="3" customFormat="1" x14ac:dyDescent="0.2">
      <c r="A63" s="298" t="s">
        <v>6</v>
      </c>
      <c r="B63" s="282"/>
      <c r="C63" s="283"/>
      <c r="D63" s="256"/>
      <c r="E63" s="159"/>
      <c r="F63" s="139"/>
      <c r="G63" s="27"/>
      <c r="H63" s="139"/>
      <c r="I63" s="139"/>
      <c r="J63" s="27"/>
      <c r="K63" s="27"/>
      <c r="L63" s="152"/>
      <c r="M63" s="152"/>
      <c r="N63" s="142"/>
    </row>
    <row r="64" spans="1:14" s="3" customFormat="1" x14ac:dyDescent="0.2">
      <c r="A64" s="298" t="s">
        <v>7</v>
      </c>
      <c r="B64" s="282"/>
      <c r="C64" s="283"/>
      <c r="D64" s="256"/>
      <c r="E64" s="159"/>
      <c r="F64" s="139"/>
      <c r="G64" s="27"/>
      <c r="H64" s="139"/>
      <c r="I64" s="139"/>
      <c r="J64" s="27"/>
      <c r="K64" s="27"/>
      <c r="L64" s="152"/>
      <c r="M64" s="152"/>
      <c r="N64" s="142"/>
    </row>
    <row r="65" spans="1:14" s="3" customFormat="1" x14ac:dyDescent="0.2">
      <c r="A65" s="298" t="s">
        <v>8</v>
      </c>
      <c r="B65" s="282"/>
      <c r="C65" s="283"/>
      <c r="D65" s="256"/>
      <c r="E65" s="159"/>
      <c r="F65" s="139"/>
      <c r="G65" s="27"/>
      <c r="H65" s="139"/>
      <c r="I65" s="139"/>
      <c r="J65" s="27"/>
      <c r="K65" s="27"/>
      <c r="L65" s="152"/>
      <c r="M65" s="152"/>
      <c r="N65" s="142"/>
    </row>
    <row r="66" spans="1:14" s="3" customFormat="1" ht="15.75" x14ac:dyDescent="0.2">
      <c r="A66" s="32" t="s">
        <v>328</v>
      </c>
      <c r="B66" s="312"/>
      <c r="C66" s="313"/>
      <c r="D66" s="256"/>
      <c r="E66" s="170"/>
      <c r="F66" s="139"/>
      <c r="G66" s="27"/>
      <c r="H66" s="139"/>
      <c r="I66" s="139"/>
      <c r="J66" s="27"/>
      <c r="K66" s="27"/>
      <c r="L66" s="152"/>
      <c r="M66" s="152"/>
      <c r="N66" s="142"/>
    </row>
    <row r="67" spans="1:14" s="3" customFormat="1" ht="15.75" x14ac:dyDescent="0.2">
      <c r="A67" s="31" t="s">
        <v>326</v>
      </c>
      <c r="B67" s="282"/>
      <c r="C67" s="283"/>
      <c r="D67" s="256"/>
      <c r="E67" s="170"/>
      <c r="F67" s="139"/>
      <c r="G67" s="27"/>
      <c r="H67" s="139"/>
      <c r="I67" s="139"/>
      <c r="J67" s="27"/>
      <c r="K67" s="27"/>
      <c r="L67" s="152"/>
      <c r="M67" s="152"/>
      <c r="N67" s="142"/>
    </row>
    <row r="68" spans="1:14" s="3" customFormat="1" ht="15.75" x14ac:dyDescent="0.2">
      <c r="A68" s="31" t="s">
        <v>327</v>
      </c>
      <c r="B68" s="282"/>
      <c r="C68" s="283"/>
      <c r="D68" s="256"/>
      <c r="E68" s="170"/>
      <c r="F68" s="139"/>
      <c r="G68" s="27"/>
      <c r="H68" s="139"/>
      <c r="I68" s="139"/>
      <c r="J68" s="27"/>
      <c r="K68" s="27"/>
      <c r="L68" s="152"/>
      <c r="M68" s="152"/>
      <c r="N68" s="142"/>
    </row>
    <row r="69" spans="1:14" s="3" customFormat="1" ht="15.75" x14ac:dyDescent="0.2">
      <c r="A69" s="32" t="s">
        <v>329</v>
      </c>
      <c r="B69" s="312"/>
      <c r="C69" s="313"/>
      <c r="D69" s="256"/>
      <c r="E69" s="170"/>
      <c r="F69" s="139"/>
      <c r="G69" s="27"/>
      <c r="H69" s="139"/>
      <c r="I69" s="139"/>
      <c r="J69" s="27"/>
      <c r="K69" s="27"/>
      <c r="L69" s="152"/>
      <c r="M69" s="152"/>
      <c r="N69" s="142"/>
    </row>
    <row r="70" spans="1:14" s="3" customFormat="1" ht="15.75" x14ac:dyDescent="0.2">
      <c r="A70" s="31" t="s">
        <v>326</v>
      </c>
      <c r="B70" s="282"/>
      <c r="C70" s="283"/>
      <c r="D70" s="256"/>
      <c r="E70" s="170"/>
      <c r="F70" s="139"/>
      <c r="G70" s="27"/>
      <c r="H70" s="139"/>
      <c r="I70" s="139"/>
      <c r="J70" s="27"/>
      <c r="K70" s="27"/>
      <c r="L70" s="152"/>
      <c r="M70" s="152"/>
      <c r="N70" s="142"/>
    </row>
    <row r="71" spans="1:14" s="3" customFormat="1" ht="15.75" x14ac:dyDescent="0.2">
      <c r="A71" s="39" t="s">
        <v>327</v>
      </c>
      <c r="B71" s="284"/>
      <c r="C71" s="285"/>
      <c r="D71" s="257"/>
      <c r="E71" s="160"/>
      <c r="F71" s="139"/>
      <c r="G71" s="27"/>
      <c r="H71" s="139"/>
      <c r="I71" s="139"/>
      <c r="J71" s="27"/>
      <c r="K71" s="27"/>
      <c r="L71" s="152"/>
      <c r="M71" s="152"/>
      <c r="N71" s="142"/>
    </row>
    <row r="72" spans="1:14" s="3" customFormat="1" ht="15.75" x14ac:dyDescent="0.25">
      <c r="A72" s="157"/>
      <c r="B72" s="147"/>
      <c r="C72" s="147"/>
      <c r="D72" s="147"/>
      <c r="E72" s="147"/>
      <c r="F72" s="136"/>
      <c r="G72" s="136"/>
      <c r="H72" s="136"/>
      <c r="I72" s="136"/>
      <c r="J72" s="136"/>
      <c r="K72" s="136"/>
      <c r="L72" s="136"/>
      <c r="M72" s="136"/>
      <c r="N72" s="142"/>
    </row>
    <row r="73" spans="1:14" x14ac:dyDescent="0.2">
      <c r="A73" s="148"/>
    </row>
    <row r="74" spans="1:14" ht="15.75" x14ac:dyDescent="0.25">
      <c r="A74" s="141" t="s">
        <v>306</v>
      </c>
      <c r="C74" s="20"/>
      <c r="D74" s="20"/>
      <c r="E74" s="20"/>
      <c r="F74" s="20"/>
      <c r="G74" s="20"/>
      <c r="H74" s="20"/>
      <c r="I74" s="20"/>
      <c r="J74" s="20"/>
      <c r="K74" s="20"/>
      <c r="L74" s="20"/>
      <c r="M74" s="20"/>
    </row>
    <row r="75" spans="1:14" ht="15.75" x14ac:dyDescent="0.25">
      <c r="B75" s="832"/>
      <c r="C75" s="832"/>
      <c r="D75" s="832"/>
      <c r="E75" s="301"/>
      <c r="F75" s="832"/>
      <c r="G75" s="832"/>
      <c r="H75" s="832"/>
      <c r="I75" s="301"/>
      <c r="J75" s="832"/>
      <c r="K75" s="832"/>
      <c r="L75" s="832"/>
      <c r="M75" s="301"/>
    </row>
    <row r="76" spans="1:14" x14ac:dyDescent="0.2">
      <c r="A76" s="138"/>
      <c r="B76" s="833" t="s">
        <v>0</v>
      </c>
      <c r="C76" s="834"/>
      <c r="D76" s="838"/>
      <c r="E76" s="302"/>
      <c r="F76" s="834" t="s">
        <v>1</v>
      </c>
      <c r="G76" s="834"/>
      <c r="H76" s="834"/>
      <c r="I76" s="306"/>
      <c r="J76" s="833" t="s">
        <v>2</v>
      </c>
      <c r="K76" s="834"/>
      <c r="L76" s="834"/>
      <c r="M76" s="306"/>
    </row>
    <row r="77" spans="1:14" x14ac:dyDescent="0.2">
      <c r="A77" s="134"/>
      <c r="B77" s="145" t="s">
        <v>400</v>
      </c>
      <c r="C77" s="145" t="s">
        <v>401</v>
      </c>
      <c r="D77" s="242" t="s">
        <v>3</v>
      </c>
      <c r="E77" s="307" t="s">
        <v>37</v>
      </c>
      <c r="F77" s="145" t="s">
        <v>400</v>
      </c>
      <c r="G77" s="145" t="s">
        <v>401</v>
      </c>
      <c r="H77" s="242" t="s">
        <v>3</v>
      </c>
      <c r="I77" s="307" t="s">
        <v>37</v>
      </c>
      <c r="J77" s="145" t="s">
        <v>400</v>
      </c>
      <c r="K77" s="145" t="s">
        <v>401</v>
      </c>
      <c r="L77" s="242" t="s">
        <v>3</v>
      </c>
      <c r="M77" s="155" t="s">
        <v>37</v>
      </c>
    </row>
    <row r="78" spans="1:14" x14ac:dyDescent="0.2">
      <c r="A78" s="403"/>
      <c r="B78" s="149"/>
      <c r="C78" s="149"/>
      <c r="D78" s="243" t="s">
        <v>4</v>
      </c>
      <c r="E78" s="149" t="s">
        <v>38</v>
      </c>
      <c r="F78" s="154"/>
      <c r="G78" s="154"/>
      <c r="H78" s="242" t="s">
        <v>4</v>
      </c>
      <c r="I78" s="149" t="s">
        <v>38</v>
      </c>
      <c r="J78" s="154"/>
      <c r="K78" s="154"/>
      <c r="L78" s="242" t="s">
        <v>4</v>
      </c>
      <c r="M78" s="149" t="s">
        <v>38</v>
      </c>
    </row>
    <row r="79" spans="1:14" ht="15.75" x14ac:dyDescent="0.2">
      <c r="A79" s="12" t="s">
        <v>30</v>
      </c>
      <c r="B79" s="355"/>
      <c r="C79" s="355"/>
      <c r="D79" s="251"/>
      <c r="E79" s="251"/>
      <c r="F79" s="355"/>
      <c r="G79" s="355"/>
      <c r="H79" s="251"/>
      <c r="I79" s="170"/>
      <c r="J79" s="311"/>
      <c r="K79" s="318"/>
      <c r="L79" s="255"/>
      <c r="M79" s="170"/>
    </row>
    <row r="80" spans="1:14" x14ac:dyDescent="0.2">
      <c r="A80" s="18" t="s">
        <v>9</v>
      </c>
      <c r="B80" s="37"/>
      <c r="C80" s="139"/>
      <c r="D80" s="159"/>
      <c r="E80" s="159"/>
      <c r="F80" s="37"/>
      <c r="G80" s="139"/>
      <c r="H80" s="159"/>
      <c r="I80" s="170"/>
      <c r="J80" s="288"/>
      <c r="K80" s="37"/>
      <c r="L80" s="256"/>
      <c r="M80" s="170"/>
    </row>
    <row r="81" spans="1:14" x14ac:dyDescent="0.2">
      <c r="A81" s="18" t="s">
        <v>10</v>
      </c>
      <c r="B81" s="293"/>
      <c r="C81" s="294"/>
      <c r="D81" s="159"/>
      <c r="E81" s="159"/>
      <c r="F81" s="293"/>
      <c r="G81" s="294"/>
      <c r="H81" s="159"/>
      <c r="I81" s="170"/>
      <c r="J81" s="288"/>
      <c r="K81" s="37"/>
      <c r="L81" s="256"/>
      <c r="M81" s="170"/>
    </row>
    <row r="82" spans="1:14" ht="15.75" x14ac:dyDescent="0.2">
      <c r="A82" s="298" t="s">
        <v>330</v>
      </c>
      <c r="B82" s="282"/>
      <c r="C82" s="282"/>
      <c r="D82" s="159"/>
      <c r="E82" s="159"/>
      <c r="F82" s="805"/>
      <c r="G82" s="282"/>
      <c r="H82" s="159"/>
      <c r="I82" s="237"/>
      <c r="J82" s="291"/>
      <c r="K82" s="291"/>
      <c r="L82" s="159"/>
      <c r="M82" s="159"/>
    </row>
    <row r="83" spans="1:14" x14ac:dyDescent="0.2">
      <c r="A83" s="298" t="s">
        <v>12</v>
      </c>
      <c r="B83" s="295"/>
      <c r="C83" s="296"/>
      <c r="D83" s="159"/>
      <c r="E83" s="159"/>
      <c r="F83" s="806"/>
      <c r="G83" s="41"/>
      <c r="H83" s="159"/>
      <c r="I83" s="237"/>
      <c r="J83" s="291"/>
      <c r="K83" s="291"/>
      <c r="L83" s="159"/>
      <c r="M83" s="159"/>
    </row>
    <row r="84" spans="1:14" x14ac:dyDescent="0.2">
      <c r="A84" s="298" t="s">
        <v>13</v>
      </c>
      <c r="B84" s="230"/>
      <c r="C84" s="290"/>
      <c r="D84" s="159"/>
      <c r="E84" s="159"/>
      <c r="F84" s="229"/>
      <c r="G84" s="139"/>
      <c r="H84" s="159"/>
      <c r="I84" s="237"/>
      <c r="J84" s="291"/>
      <c r="K84" s="291"/>
      <c r="L84" s="159"/>
      <c r="M84" s="159"/>
    </row>
    <row r="85" spans="1:14" ht="15.75" x14ac:dyDescent="0.2">
      <c r="A85" s="298" t="s">
        <v>331</v>
      </c>
      <c r="B85" s="282"/>
      <c r="C85" s="282"/>
      <c r="D85" s="159"/>
      <c r="E85" s="159"/>
      <c r="F85" s="805"/>
      <c r="G85" s="282"/>
      <c r="H85" s="159"/>
      <c r="I85" s="237"/>
      <c r="J85" s="291"/>
      <c r="K85" s="291"/>
      <c r="L85" s="159"/>
      <c r="M85" s="159"/>
    </row>
    <row r="86" spans="1:14" x14ac:dyDescent="0.2">
      <c r="A86" s="298" t="s">
        <v>12</v>
      </c>
      <c r="B86" s="230"/>
      <c r="C86" s="290"/>
      <c r="D86" s="159"/>
      <c r="E86" s="159"/>
      <c r="F86" s="229"/>
      <c r="G86" s="139"/>
      <c r="H86" s="159"/>
      <c r="I86" s="237"/>
      <c r="J86" s="291"/>
      <c r="K86" s="291"/>
      <c r="L86" s="159"/>
      <c r="M86" s="159"/>
    </row>
    <row r="87" spans="1:14" s="3" customFormat="1" x14ac:dyDescent="0.2">
      <c r="A87" s="298" t="s">
        <v>13</v>
      </c>
      <c r="B87" s="230"/>
      <c r="C87" s="290"/>
      <c r="D87" s="159"/>
      <c r="E87" s="159"/>
      <c r="F87" s="229"/>
      <c r="G87" s="139"/>
      <c r="H87" s="159"/>
      <c r="I87" s="237"/>
      <c r="J87" s="291"/>
      <c r="K87" s="291"/>
      <c r="L87" s="159"/>
      <c r="M87" s="159"/>
      <c r="N87" s="142"/>
    </row>
    <row r="88" spans="1:14" s="3" customFormat="1" x14ac:dyDescent="0.2">
      <c r="A88" s="18" t="s">
        <v>33</v>
      </c>
      <c r="B88" s="229"/>
      <c r="C88" s="139"/>
      <c r="D88" s="159"/>
      <c r="E88" s="159"/>
      <c r="F88" s="229"/>
      <c r="G88" s="139"/>
      <c r="H88" s="159"/>
      <c r="I88" s="170"/>
      <c r="J88" s="288"/>
      <c r="K88" s="37"/>
      <c r="L88" s="256"/>
      <c r="M88" s="170"/>
      <c r="N88" s="142"/>
    </row>
    <row r="89" spans="1:14" ht="15.75" x14ac:dyDescent="0.2">
      <c r="A89" s="18" t="s">
        <v>332</v>
      </c>
      <c r="B89" s="229"/>
      <c r="C89" s="229"/>
      <c r="D89" s="159"/>
      <c r="E89" s="159"/>
      <c r="F89" s="229"/>
      <c r="G89" s="229"/>
      <c r="H89" s="159"/>
      <c r="I89" s="170"/>
      <c r="J89" s="288"/>
      <c r="K89" s="37"/>
      <c r="L89" s="256"/>
      <c r="M89" s="170"/>
    </row>
    <row r="90" spans="1:14" x14ac:dyDescent="0.2">
      <c r="A90" s="18" t="s">
        <v>9</v>
      </c>
      <c r="B90" s="229"/>
      <c r="C90" s="139"/>
      <c r="D90" s="159"/>
      <c r="E90" s="159"/>
      <c r="F90" s="229"/>
      <c r="G90" s="139"/>
      <c r="H90" s="159"/>
      <c r="I90" s="170"/>
      <c r="J90" s="288"/>
      <c r="K90" s="37"/>
      <c r="L90" s="256"/>
      <c r="M90" s="170"/>
    </row>
    <row r="91" spans="1:14" x14ac:dyDescent="0.2">
      <c r="A91" s="18" t="s">
        <v>10</v>
      </c>
      <c r="B91" s="293"/>
      <c r="C91" s="294"/>
      <c r="D91" s="159"/>
      <c r="E91" s="159"/>
      <c r="F91" s="293"/>
      <c r="G91" s="294"/>
      <c r="H91" s="159"/>
      <c r="I91" s="170"/>
      <c r="J91" s="288"/>
      <c r="K91" s="37"/>
      <c r="L91" s="256"/>
      <c r="M91" s="170"/>
    </row>
    <row r="92" spans="1:14" ht="15.75" x14ac:dyDescent="0.2">
      <c r="A92" s="298" t="s">
        <v>330</v>
      </c>
      <c r="B92" s="282"/>
      <c r="C92" s="282"/>
      <c r="D92" s="159"/>
      <c r="E92" s="159"/>
      <c r="F92" s="805"/>
      <c r="G92" s="282"/>
      <c r="H92" s="159"/>
      <c r="I92" s="237"/>
      <c r="J92" s="291"/>
      <c r="K92" s="291"/>
      <c r="L92" s="159"/>
      <c r="M92" s="159"/>
    </row>
    <row r="93" spans="1:14" x14ac:dyDescent="0.2">
      <c r="A93" s="298" t="s">
        <v>12</v>
      </c>
      <c r="B93" s="230"/>
      <c r="C93" s="290"/>
      <c r="D93" s="159"/>
      <c r="E93" s="159"/>
      <c r="F93" s="229"/>
      <c r="G93" s="139"/>
      <c r="H93" s="159"/>
      <c r="I93" s="237"/>
      <c r="J93" s="291"/>
      <c r="K93" s="291"/>
      <c r="L93" s="159"/>
      <c r="M93" s="159"/>
    </row>
    <row r="94" spans="1:14" x14ac:dyDescent="0.2">
      <c r="A94" s="298" t="s">
        <v>13</v>
      </c>
      <c r="B94" s="230"/>
      <c r="C94" s="290"/>
      <c r="D94" s="159"/>
      <c r="E94" s="159"/>
      <c r="F94" s="229"/>
      <c r="G94" s="139"/>
      <c r="H94" s="159"/>
      <c r="I94" s="237"/>
      <c r="J94" s="291"/>
      <c r="K94" s="291"/>
      <c r="L94" s="159"/>
      <c r="M94" s="159"/>
    </row>
    <row r="95" spans="1:14" ht="15.75" x14ac:dyDescent="0.2">
      <c r="A95" s="298" t="s">
        <v>331</v>
      </c>
      <c r="B95" s="282"/>
      <c r="C95" s="282"/>
      <c r="D95" s="159"/>
      <c r="E95" s="159"/>
      <c r="F95" s="805"/>
      <c r="G95" s="282"/>
      <c r="H95" s="159"/>
      <c r="I95" s="237"/>
      <c r="J95" s="291"/>
      <c r="K95" s="291"/>
      <c r="L95" s="159"/>
      <c r="M95" s="159"/>
    </row>
    <row r="96" spans="1:14" x14ac:dyDescent="0.2">
      <c r="A96" s="298" t="s">
        <v>12</v>
      </c>
      <c r="B96" s="230"/>
      <c r="C96" s="290"/>
      <c r="D96" s="159"/>
      <c r="E96" s="159"/>
      <c r="F96" s="229"/>
      <c r="G96" s="139"/>
      <c r="H96" s="159"/>
      <c r="I96" s="237"/>
      <c r="J96" s="291"/>
      <c r="K96" s="291"/>
      <c r="L96" s="159"/>
      <c r="M96" s="159"/>
    </row>
    <row r="97" spans="1:13" x14ac:dyDescent="0.2">
      <c r="A97" s="298" t="s">
        <v>13</v>
      </c>
      <c r="B97" s="230"/>
      <c r="C97" s="290"/>
      <c r="D97" s="159"/>
      <c r="E97" s="159"/>
      <c r="F97" s="229"/>
      <c r="G97" s="139"/>
      <c r="H97" s="159"/>
      <c r="I97" s="237"/>
      <c r="J97" s="291"/>
      <c r="K97" s="291"/>
      <c r="L97" s="159"/>
      <c r="M97" s="159"/>
    </row>
    <row r="98" spans="1:13" ht="15.75" x14ac:dyDescent="0.2">
      <c r="A98" s="18" t="s">
        <v>342</v>
      </c>
      <c r="B98" s="229"/>
      <c r="C98" s="139"/>
      <c r="D98" s="159"/>
      <c r="E98" s="159"/>
      <c r="F98" s="229"/>
      <c r="G98" s="139"/>
      <c r="H98" s="159"/>
      <c r="I98" s="170"/>
      <c r="J98" s="288"/>
      <c r="K98" s="37"/>
      <c r="L98" s="256"/>
      <c r="M98" s="170"/>
    </row>
    <row r="99" spans="1:13" ht="15.75" x14ac:dyDescent="0.2">
      <c r="A99" s="11" t="s">
        <v>29</v>
      </c>
      <c r="B99" s="310"/>
      <c r="C99" s="310"/>
      <c r="D99" s="159"/>
      <c r="E99" s="159"/>
      <c r="F99" s="310"/>
      <c r="G99" s="310"/>
      <c r="H99" s="159"/>
      <c r="I99" s="170"/>
      <c r="J99" s="311"/>
      <c r="K99" s="231"/>
      <c r="L99" s="256"/>
      <c r="M99" s="170"/>
    </row>
    <row r="100" spans="1:13" x14ac:dyDescent="0.2">
      <c r="A100" s="18" t="s">
        <v>9</v>
      </c>
      <c r="B100" s="229"/>
      <c r="C100" s="139"/>
      <c r="D100" s="159"/>
      <c r="E100" s="159"/>
      <c r="F100" s="229"/>
      <c r="G100" s="139"/>
      <c r="H100" s="159"/>
      <c r="I100" s="170"/>
      <c r="J100" s="288"/>
      <c r="K100" s="37"/>
      <c r="L100" s="256"/>
      <c r="M100" s="170"/>
    </row>
    <row r="101" spans="1:13" x14ac:dyDescent="0.2">
      <c r="A101" s="18" t="s">
        <v>10</v>
      </c>
      <c r="B101" s="229"/>
      <c r="C101" s="139"/>
      <c r="D101" s="159"/>
      <c r="E101" s="159"/>
      <c r="F101" s="229"/>
      <c r="G101" s="139"/>
      <c r="H101" s="159"/>
      <c r="I101" s="170"/>
      <c r="J101" s="288"/>
      <c r="K101" s="37"/>
      <c r="L101" s="256"/>
      <c r="M101" s="170"/>
    </row>
    <row r="102" spans="1:13" ht="15.75" x14ac:dyDescent="0.2">
      <c r="A102" s="298" t="s">
        <v>330</v>
      </c>
      <c r="B102" s="282"/>
      <c r="C102" s="282"/>
      <c r="D102" s="159"/>
      <c r="E102" s="159"/>
      <c r="F102" s="805"/>
      <c r="G102" s="282"/>
      <c r="H102" s="159"/>
      <c r="I102" s="237"/>
      <c r="J102" s="291"/>
      <c r="K102" s="291"/>
      <c r="L102" s="159"/>
      <c r="M102" s="159"/>
    </row>
    <row r="103" spans="1:13" x14ac:dyDescent="0.2">
      <c r="A103" s="298" t="s">
        <v>12</v>
      </c>
      <c r="B103" s="230"/>
      <c r="C103" s="290"/>
      <c r="D103" s="159"/>
      <c r="E103" s="159"/>
      <c r="F103" s="229"/>
      <c r="G103" s="139"/>
      <c r="H103" s="159"/>
      <c r="I103" s="237"/>
      <c r="J103" s="291"/>
      <c r="K103" s="291"/>
      <c r="L103" s="159"/>
      <c r="M103" s="159"/>
    </row>
    <row r="104" spans="1:13" x14ac:dyDescent="0.2">
      <c r="A104" s="298" t="s">
        <v>13</v>
      </c>
      <c r="B104" s="230"/>
      <c r="C104" s="290"/>
      <c r="D104" s="159"/>
      <c r="E104" s="159"/>
      <c r="F104" s="229"/>
      <c r="G104" s="139"/>
      <c r="H104" s="159"/>
      <c r="I104" s="237"/>
      <c r="J104" s="291"/>
      <c r="K104" s="291"/>
      <c r="L104" s="159"/>
      <c r="M104" s="159"/>
    </row>
    <row r="105" spans="1:13" ht="15.75" x14ac:dyDescent="0.2">
      <c r="A105" s="298" t="s">
        <v>331</v>
      </c>
      <c r="B105" s="282"/>
      <c r="C105" s="282"/>
      <c r="D105" s="159"/>
      <c r="E105" s="159"/>
      <c r="F105" s="805"/>
      <c r="G105" s="282"/>
      <c r="H105" s="159"/>
      <c r="I105" s="237"/>
      <c r="J105" s="291"/>
      <c r="K105" s="291"/>
      <c r="L105" s="159"/>
      <c r="M105" s="159"/>
    </row>
    <row r="106" spans="1:13" x14ac:dyDescent="0.2">
      <c r="A106" s="298" t="s">
        <v>12</v>
      </c>
      <c r="B106" s="230"/>
      <c r="C106" s="290"/>
      <c r="D106" s="159"/>
      <c r="E106" s="159"/>
      <c r="F106" s="229"/>
      <c r="G106" s="139"/>
      <c r="H106" s="159"/>
      <c r="I106" s="237"/>
      <c r="J106" s="291"/>
      <c r="K106" s="291"/>
      <c r="L106" s="159"/>
      <c r="M106" s="159"/>
    </row>
    <row r="107" spans="1:13" x14ac:dyDescent="0.2">
      <c r="A107" s="298" t="s">
        <v>13</v>
      </c>
      <c r="B107" s="230"/>
      <c r="C107" s="290"/>
      <c r="D107" s="159"/>
      <c r="E107" s="159"/>
      <c r="F107" s="229"/>
      <c r="G107" s="139"/>
      <c r="H107" s="159"/>
      <c r="I107" s="237"/>
      <c r="J107" s="291"/>
      <c r="K107" s="291"/>
      <c r="L107" s="159"/>
      <c r="M107" s="159"/>
    </row>
    <row r="108" spans="1:13" x14ac:dyDescent="0.2">
      <c r="A108" s="18" t="s">
        <v>33</v>
      </c>
      <c r="B108" s="229"/>
      <c r="C108" s="139"/>
      <c r="D108" s="159"/>
      <c r="E108" s="159"/>
      <c r="F108" s="229"/>
      <c r="G108" s="139"/>
      <c r="H108" s="159"/>
      <c r="I108" s="170"/>
      <c r="J108" s="288"/>
      <c r="K108" s="37"/>
      <c r="L108" s="256"/>
      <c r="M108" s="170"/>
    </row>
    <row r="109" spans="1:13" ht="15.75" x14ac:dyDescent="0.2">
      <c r="A109" s="18" t="s">
        <v>332</v>
      </c>
      <c r="B109" s="229"/>
      <c r="C109" s="139"/>
      <c r="D109" s="159"/>
      <c r="E109" s="159"/>
      <c r="F109" s="229"/>
      <c r="G109" s="139"/>
      <c r="H109" s="159"/>
      <c r="I109" s="170"/>
      <c r="J109" s="288"/>
      <c r="K109" s="37"/>
      <c r="L109" s="256"/>
      <c r="M109" s="170"/>
    </row>
    <row r="110" spans="1:13" x14ac:dyDescent="0.2">
      <c r="A110" s="18" t="s">
        <v>9</v>
      </c>
      <c r="B110" s="229"/>
      <c r="C110" s="139"/>
      <c r="D110" s="159"/>
      <c r="E110" s="159"/>
      <c r="F110" s="229"/>
      <c r="G110" s="139"/>
      <c r="H110" s="159"/>
      <c r="I110" s="170"/>
      <c r="J110" s="288"/>
      <c r="K110" s="37"/>
      <c r="L110" s="256"/>
      <c r="M110" s="170"/>
    </row>
    <row r="111" spans="1:13" x14ac:dyDescent="0.2">
      <c r="A111" s="18" t="s">
        <v>10</v>
      </c>
      <c r="B111" s="293"/>
      <c r="C111" s="294"/>
      <c r="D111" s="159"/>
      <c r="E111" s="159"/>
      <c r="F111" s="293"/>
      <c r="G111" s="294"/>
      <c r="H111" s="159"/>
      <c r="I111" s="170"/>
      <c r="J111" s="288"/>
      <c r="K111" s="37"/>
      <c r="L111" s="256"/>
      <c r="M111" s="170"/>
    </row>
    <row r="112" spans="1:13" ht="15.75" x14ac:dyDescent="0.2">
      <c r="A112" s="298" t="s">
        <v>330</v>
      </c>
      <c r="B112" s="282"/>
      <c r="C112" s="282"/>
      <c r="D112" s="159"/>
      <c r="E112" s="159"/>
      <c r="F112" s="805"/>
      <c r="G112" s="282"/>
      <c r="H112" s="159"/>
      <c r="I112" s="237"/>
      <c r="J112" s="291"/>
      <c r="K112" s="291"/>
      <c r="L112" s="159"/>
      <c r="M112" s="159"/>
    </row>
    <row r="113" spans="1:13" x14ac:dyDescent="0.2">
      <c r="A113" s="298" t="s">
        <v>12</v>
      </c>
      <c r="B113" s="230"/>
      <c r="C113" s="290"/>
      <c r="D113" s="159"/>
      <c r="E113" s="159"/>
      <c r="F113" s="229"/>
      <c r="G113" s="139"/>
      <c r="H113" s="159"/>
      <c r="I113" s="237"/>
      <c r="J113" s="291"/>
      <c r="K113" s="291"/>
      <c r="L113" s="159"/>
      <c r="M113" s="159"/>
    </row>
    <row r="114" spans="1:13" x14ac:dyDescent="0.2">
      <c r="A114" s="298" t="s">
        <v>13</v>
      </c>
      <c r="B114" s="230"/>
      <c r="C114" s="290"/>
      <c r="D114" s="159"/>
      <c r="E114" s="159"/>
      <c r="F114" s="229"/>
      <c r="G114" s="139"/>
      <c r="H114" s="159"/>
      <c r="I114" s="237"/>
      <c r="J114" s="291"/>
      <c r="K114" s="291"/>
      <c r="L114" s="159"/>
      <c r="M114" s="159"/>
    </row>
    <row r="115" spans="1:13" ht="15.75" x14ac:dyDescent="0.2">
      <c r="A115" s="298" t="s">
        <v>331</v>
      </c>
      <c r="B115" s="282"/>
      <c r="C115" s="282"/>
      <c r="D115" s="159"/>
      <c r="E115" s="159"/>
      <c r="F115" s="805"/>
      <c r="G115" s="282"/>
      <c r="H115" s="159"/>
      <c r="I115" s="237"/>
      <c r="J115" s="291"/>
      <c r="K115" s="291"/>
      <c r="L115" s="159"/>
      <c r="M115" s="159"/>
    </row>
    <row r="116" spans="1:13" x14ac:dyDescent="0.2">
      <c r="A116" s="298" t="s">
        <v>12</v>
      </c>
      <c r="B116" s="230"/>
      <c r="C116" s="290"/>
      <c r="D116" s="159"/>
      <c r="E116" s="159"/>
      <c r="F116" s="229"/>
      <c r="G116" s="139"/>
      <c r="H116" s="159"/>
      <c r="I116" s="237"/>
      <c r="J116" s="291"/>
      <c r="K116" s="291"/>
      <c r="L116" s="159"/>
      <c r="M116" s="159"/>
    </row>
    <row r="117" spans="1:13" x14ac:dyDescent="0.2">
      <c r="A117" s="298" t="s">
        <v>13</v>
      </c>
      <c r="B117" s="232"/>
      <c r="C117" s="297"/>
      <c r="D117" s="159"/>
      <c r="E117" s="159"/>
      <c r="F117" s="233"/>
      <c r="G117" s="807"/>
      <c r="H117" s="159"/>
      <c r="I117" s="237"/>
      <c r="J117" s="291"/>
      <c r="K117" s="291"/>
      <c r="L117" s="159"/>
      <c r="M117" s="159"/>
    </row>
    <row r="118" spans="1:13" ht="15.75" x14ac:dyDescent="0.2">
      <c r="A118" s="18" t="s">
        <v>342</v>
      </c>
      <c r="B118" s="229"/>
      <c r="C118" s="139"/>
      <c r="D118" s="159"/>
      <c r="E118" s="159"/>
      <c r="F118" s="229"/>
      <c r="G118" s="139"/>
      <c r="H118" s="159"/>
      <c r="I118" s="170"/>
      <c r="J118" s="288"/>
      <c r="K118" s="37"/>
      <c r="L118" s="256"/>
      <c r="M118" s="170"/>
    </row>
    <row r="119" spans="1:13" ht="15.75" x14ac:dyDescent="0.2">
      <c r="A119" s="11" t="s">
        <v>28</v>
      </c>
      <c r="B119" s="355"/>
      <c r="C119" s="355"/>
      <c r="D119" s="159"/>
      <c r="E119" s="159"/>
      <c r="F119" s="355"/>
      <c r="G119" s="355"/>
      <c r="H119" s="159"/>
      <c r="I119" s="170"/>
      <c r="J119" s="311"/>
      <c r="K119" s="231"/>
      <c r="L119" s="256"/>
      <c r="M119" s="170"/>
    </row>
    <row r="120" spans="1:13" x14ac:dyDescent="0.2">
      <c r="A120" s="18" t="s">
        <v>9</v>
      </c>
      <c r="B120" s="229"/>
      <c r="C120" s="139"/>
      <c r="D120" s="159"/>
      <c r="E120" s="159"/>
      <c r="F120" s="229"/>
      <c r="G120" s="139"/>
      <c r="H120" s="159"/>
      <c r="I120" s="170"/>
      <c r="J120" s="288"/>
      <c r="K120" s="37"/>
      <c r="L120" s="256"/>
      <c r="M120" s="170"/>
    </row>
    <row r="121" spans="1:13" x14ac:dyDescent="0.2">
      <c r="A121" s="18" t="s">
        <v>10</v>
      </c>
      <c r="B121" s="229"/>
      <c r="C121" s="139"/>
      <c r="D121" s="159"/>
      <c r="E121" s="159"/>
      <c r="F121" s="229"/>
      <c r="G121" s="139"/>
      <c r="H121" s="159"/>
      <c r="I121" s="170"/>
      <c r="J121" s="288"/>
      <c r="K121" s="37"/>
      <c r="L121" s="256"/>
      <c r="M121" s="170"/>
    </row>
    <row r="122" spans="1:13" ht="15.75" x14ac:dyDescent="0.2">
      <c r="A122" s="298" t="s">
        <v>330</v>
      </c>
      <c r="B122" s="282"/>
      <c r="C122" s="282"/>
      <c r="D122" s="159"/>
      <c r="E122" s="159"/>
      <c r="F122" s="805"/>
      <c r="G122" s="282"/>
      <c r="H122" s="159"/>
      <c r="I122" s="237"/>
      <c r="J122" s="291"/>
      <c r="K122" s="291"/>
      <c r="L122" s="159"/>
      <c r="M122" s="159"/>
    </row>
    <row r="123" spans="1:13" x14ac:dyDescent="0.2">
      <c r="A123" s="298" t="s">
        <v>12</v>
      </c>
      <c r="B123" s="230"/>
      <c r="C123" s="290"/>
      <c r="D123" s="159"/>
      <c r="E123" s="159"/>
      <c r="F123" s="229"/>
      <c r="G123" s="139"/>
      <c r="H123" s="159"/>
      <c r="I123" s="237"/>
      <c r="J123" s="291"/>
      <c r="K123" s="291"/>
      <c r="L123" s="159"/>
      <c r="M123" s="159"/>
    </row>
    <row r="124" spans="1:13" x14ac:dyDescent="0.2">
      <c r="A124" s="298" t="s">
        <v>13</v>
      </c>
      <c r="B124" s="230"/>
      <c r="C124" s="290"/>
      <c r="D124" s="159"/>
      <c r="E124" s="159"/>
      <c r="F124" s="229"/>
      <c r="G124" s="139"/>
      <c r="H124" s="159"/>
      <c r="I124" s="237"/>
      <c r="J124" s="291"/>
      <c r="K124" s="291"/>
      <c r="L124" s="159"/>
      <c r="M124" s="159"/>
    </row>
    <row r="125" spans="1:13" ht="15.75" x14ac:dyDescent="0.2">
      <c r="A125" s="298" t="s">
        <v>331</v>
      </c>
      <c r="B125" s="282"/>
      <c r="C125" s="282"/>
      <c r="D125" s="159"/>
      <c r="E125" s="159"/>
      <c r="F125" s="805"/>
      <c r="G125" s="282"/>
      <c r="H125" s="159"/>
      <c r="I125" s="237"/>
      <c r="J125" s="291"/>
      <c r="K125" s="291"/>
      <c r="L125" s="159"/>
      <c r="M125" s="159"/>
    </row>
    <row r="126" spans="1:13" x14ac:dyDescent="0.2">
      <c r="A126" s="298" t="s">
        <v>12</v>
      </c>
      <c r="B126" s="230"/>
      <c r="C126" s="290"/>
      <c r="D126" s="159"/>
      <c r="E126" s="159"/>
      <c r="F126" s="229"/>
      <c r="G126" s="139"/>
      <c r="H126" s="159"/>
      <c r="I126" s="237"/>
      <c r="J126" s="291"/>
      <c r="K126" s="291"/>
      <c r="L126" s="159"/>
      <c r="M126" s="159"/>
    </row>
    <row r="127" spans="1:13" x14ac:dyDescent="0.2">
      <c r="A127" s="298" t="s">
        <v>13</v>
      </c>
      <c r="B127" s="230"/>
      <c r="C127" s="290"/>
      <c r="D127" s="159"/>
      <c r="E127" s="159"/>
      <c r="F127" s="229"/>
      <c r="G127" s="139"/>
      <c r="H127" s="159"/>
      <c r="I127" s="237"/>
      <c r="J127" s="291"/>
      <c r="K127" s="291"/>
      <c r="L127" s="159"/>
      <c r="M127" s="159"/>
    </row>
    <row r="128" spans="1:13" x14ac:dyDescent="0.2">
      <c r="A128" s="18" t="s">
        <v>34</v>
      </c>
      <c r="B128" s="229"/>
      <c r="C128" s="139"/>
      <c r="D128" s="159"/>
      <c r="E128" s="159"/>
      <c r="F128" s="229"/>
      <c r="G128" s="139"/>
      <c r="H128" s="159"/>
      <c r="I128" s="170"/>
      <c r="J128" s="288"/>
      <c r="K128" s="37"/>
      <c r="L128" s="256"/>
      <c r="M128" s="170"/>
    </row>
    <row r="129" spans="1:13" ht="15.75" x14ac:dyDescent="0.2">
      <c r="A129" s="18" t="s">
        <v>332</v>
      </c>
      <c r="B129" s="229"/>
      <c r="C129" s="229"/>
      <c r="D129" s="159"/>
      <c r="E129" s="159"/>
      <c r="F129" s="229"/>
      <c r="G129" s="229"/>
      <c r="H129" s="159"/>
      <c r="I129" s="170"/>
      <c r="J129" s="288"/>
      <c r="K129" s="37"/>
      <c r="L129" s="256"/>
      <c r="M129" s="170"/>
    </row>
    <row r="130" spans="1:13" x14ac:dyDescent="0.2">
      <c r="A130" s="18" t="s">
        <v>9</v>
      </c>
      <c r="B130" s="293"/>
      <c r="C130" s="294"/>
      <c r="D130" s="159"/>
      <c r="E130" s="159"/>
      <c r="F130" s="293"/>
      <c r="G130" s="294"/>
      <c r="H130" s="159"/>
      <c r="I130" s="170"/>
      <c r="J130" s="288"/>
      <c r="K130" s="37"/>
      <c r="L130" s="256"/>
      <c r="M130" s="170"/>
    </row>
    <row r="131" spans="1:13" x14ac:dyDescent="0.2">
      <c r="A131" s="18" t="s">
        <v>10</v>
      </c>
      <c r="B131" s="293"/>
      <c r="C131" s="294"/>
      <c r="D131" s="159"/>
      <c r="E131" s="159"/>
      <c r="F131" s="293"/>
      <c r="G131" s="294"/>
      <c r="H131" s="159"/>
      <c r="I131" s="170"/>
      <c r="J131" s="288"/>
      <c r="K131" s="37"/>
      <c r="L131" s="256"/>
      <c r="M131" s="170"/>
    </row>
    <row r="132" spans="1:13" ht="15.75" x14ac:dyDescent="0.2">
      <c r="A132" s="298" t="s">
        <v>330</v>
      </c>
      <c r="B132" s="282"/>
      <c r="C132" s="282"/>
      <c r="D132" s="159"/>
      <c r="E132" s="159"/>
      <c r="F132" s="805"/>
      <c r="G132" s="282"/>
      <c r="H132" s="159"/>
      <c r="I132" s="237"/>
      <c r="J132" s="291"/>
      <c r="K132" s="291"/>
      <c r="L132" s="159"/>
      <c r="M132" s="159"/>
    </row>
    <row r="133" spans="1:13" x14ac:dyDescent="0.2">
      <c r="A133" s="298" t="s">
        <v>12</v>
      </c>
      <c r="B133" s="230"/>
      <c r="C133" s="290"/>
      <c r="D133" s="159"/>
      <c r="E133" s="159"/>
      <c r="F133" s="229"/>
      <c r="G133" s="139"/>
      <c r="H133" s="159"/>
      <c r="I133" s="237"/>
      <c r="J133" s="291"/>
      <c r="K133" s="291"/>
      <c r="L133" s="159"/>
      <c r="M133" s="159"/>
    </row>
    <row r="134" spans="1:13" x14ac:dyDescent="0.2">
      <c r="A134" s="298" t="s">
        <v>13</v>
      </c>
      <c r="B134" s="230"/>
      <c r="C134" s="290"/>
      <c r="D134" s="159"/>
      <c r="E134" s="159"/>
      <c r="F134" s="229"/>
      <c r="G134" s="139"/>
      <c r="H134" s="159"/>
      <c r="I134" s="237"/>
      <c r="J134" s="291"/>
      <c r="K134" s="291"/>
      <c r="L134" s="159"/>
      <c r="M134" s="159"/>
    </row>
    <row r="135" spans="1:13" ht="15.75" x14ac:dyDescent="0.2">
      <c r="A135" s="298" t="s">
        <v>331</v>
      </c>
      <c r="B135" s="282"/>
      <c r="C135" s="282"/>
      <c r="D135" s="159"/>
      <c r="E135" s="159"/>
      <c r="F135" s="805"/>
      <c r="G135" s="282"/>
      <c r="H135" s="159"/>
      <c r="I135" s="237"/>
      <c r="J135" s="291"/>
      <c r="K135" s="291"/>
      <c r="L135" s="159"/>
      <c r="M135" s="159"/>
    </row>
    <row r="136" spans="1:13" x14ac:dyDescent="0.2">
      <c r="A136" s="298" t="s">
        <v>12</v>
      </c>
      <c r="B136" s="230"/>
      <c r="C136" s="290"/>
      <c r="D136" s="159"/>
      <c r="E136" s="159"/>
      <c r="F136" s="229"/>
      <c r="G136" s="139"/>
      <c r="H136" s="159"/>
      <c r="I136" s="237"/>
      <c r="J136" s="291"/>
      <c r="K136" s="291"/>
      <c r="L136" s="159"/>
      <c r="M136" s="159"/>
    </row>
    <row r="137" spans="1:13" x14ac:dyDescent="0.2">
      <c r="A137" s="298" t="s">
        <v>13</v>
      </c>
      <c r="B137" s="230"/>
      <c r="C137" s="290"/>
      <c r="D137" s="159"/>
      <c r="E137" s="159"/>
      <c r="F137" s="229"/>
      <c r="G137" s="139"/>
      <c r="H137" s="159"/>
      <c r="I137" s="237"/>
      <c r="J137" s="291"/>
      <c r="K137" s="291"/>
      <c r="L137" s="159"/>
      <c r="M137" s="159"/>
    </row>
    <row r="138" spans="1:13" ht="15.75" x14ac:dyDescent="0.2">
      <c r="A138" s="18" t="s">
        <v>342</v>
      </c>
      <c r="B138" s="229"/>
      <c r="C138" s="139"/>
      <c r="D138" s="159"/>
      <c r="E138" s="159"/>
      <c r="F138" s="229"/>
      <c r="G138" s="139"/>
      <c r="H138" s="159"/>
      <c r="I138" s="170"/>
      <c r="J138" s="288"/>
      <c r="K138" s="37"/>
      <c r="L138" s="256"/>
      <c r="M138" s="170"/>
    </row>
    <row r="139" spans="1:13" ht="15.75" x14ac:dyDescent="0.2">
      <c r="A139" s="18" t="s">
        <v>343</v>
      </c>
      <c r="B139" s="229"/>
      <c r="C139" s="229"/>
      <c r="D139" s="159"/>
      <c r="E139" s="159"/>
      <c r="F139" s="229"/>
      <c r="G139" s="229"/>
      <c r="H139" s="159"/>
      <c r="I139" s="170"/>
      <c r="J139" s="288"/>
      <c r="K139" s="37"/>
      <c r="L139" s="256"/>
      <c r="M139" s="170"/>
    </row>
    <row r="140" spans="1:13" ht="15.75" x14ac:dyDescent="0.2">
      <c r="A140" s="18" t="s">
        <v>334</v>
      </c>
      <c r="B140" s="229"/>
      <c r="C140" s="229"/>
      <c r="D140" s="159"/>
      <c r="E140" s="159"/>
      <c r="F140" s="229"/>
      <c r="G140" s="229"/>
      <c r="H140" s="159"/>
      <c r="I140" s="170"/>
      <c r="J140" s="288"/>
      <c r="K140" s="37"/>
      <c r="L140" s="256"/>
      <c r="M140" s="170"/>
    </row>
    <row r="141" spans="1:13" ht="15.75" x14ac:dyDescent="0.2">
      <c r="A141" s="18" t="s">
        <v>335</v>
      </c>
      <c r="B141" s="229"/>
      <c r="C141" s="229"/>
      <c r="D141" s="159"/>
      <c r="E141" s="159"/>
      <c r="F141" s="229"/>
      <c r="G141" s="229"/>
      <c r="H141" s="159"/>
      <c r="I141" s="170"/>
      <c r="J141" s="288"/>
      <c r="K141" s="37"/>
      <c r="L141" s="256"/>
      <c r="M141" s="170"/>
    </row>
    <row r="142" spans="1:13" ht="15.75" x14ac:dyDescent="0.2">
      <c r="A142" s="11" t="s">
        <v>27</v>
      </c>
      <c r="B142" s="310"/>
      <c r="C142" s="152"/>
      <c r="D142" s="159"/>
      <c r="E142" s="159"/>
      <c r="F142" s="310"/>
      <c r="G142" s="152"/>
      <c r="H142" s="159"/>
      <c r="I142" s="170"/>
      <c r="J142" s="311"/>
      <c r="K142" s="231"/>
      <c r="L142" s="256"/>
      <c r="M142" s="170"/>
    </row>
    <row r="143" spans="1:13" x14ac:dyDescent="0.2">
      <c r="A143" s="18" t="s">
        <v>9</v>
      </c>
      <c r="B143" s="229"/>
      <c r="C143" s="139"/>
      <c r="D143" s="159"/>
      <c r="E143" s="159"/>
      <c r="F143" s="229"/>
      <c r="G143" s="139"/>
      <c r="H143" s="159"/>
      <c r="I143" s="170"/>
      <c r="J143" s="288"/>
      <c r="K143" s="37"/>
      <c r="L143" s="256"/>
      <c r="M143" s="170"/>
    </row>
    <row r="144" spans="1:13" x14ac:dyDescent="0.2">
      <c r="A144" s="18" t="s">
        <v>10</v>
      </c>
      <c r="B144" s="229"/>
      <c r="C144" s="139"/>
      <c r="D144" s="159"/>
      <c r="E144" s="159"/>
      <c r="F144" s="229"/>
      <c r="G144" s="139"/>
      <c r="H144" s="159"/>
      <c r="I144" s="170"/>
      <c r="J144" s="288"/>
      <c r="K144" s="37"/>
      <c r="L144" s="256"/>
      <c r="M144" s="170"/>
    </row>
    <row r="145" spans="1:14" x14ac:dyDescent="0.2">
      <c r="A145" s="18" t="s">
        <v>34</v>
      </c>
      <c r="B145" s="229"/>
      <c r="C145" s="139"/>
      <c r="D145" s="159"/>
      <c r="E145" s="159"/>
      <c r="F145" s="229"/>
      <c r="G145" s="139"/>
      <c r="H145" s="159"/>
      <c r="I145" s="170"/>
      <c r="J145" s="288"/>
      <c r="K145" s="37"/>
      <c r="L145" s="256"/>
      <c r="M145" s="170"/>
    </row>
    <row r="146" spans="1:14" x14ac:dyDescent="0.2">
      <c r="A146" s="298" t="s">
        <v>15</v>
      </c>
      <c r="B146" s="282"/>
      <c r="C146" s="282"/>
      <c r="D146" s="159"/>
      <c r="E146" s="159"/>
      <c r="F146" s="805"/>
      <c r="G146" s="282"/>
      <c r="H146" s="159"/>
      <c r="I146" s="237"/>
      <c r="J146" s="291"/>
      <c r="K146" s="291"/>
      <c r="L146" s="159"/>
      <c r="M146" s="159"/>
    </row>
    <row r="147" spans="1:14" ht="15.75" x14ac:dyDescent="0.2">
      <c r="A147" s="18" t="s">
        <v>344</v>
      </c>
      <c r="B147" s="229"/>
      <c r="C147" s="229"/>
      <c r="D147" s="159"/>
      <c r="E147" s="159"/>
      <c r="F147" s="229"/>
      <c r="G147" s="229"/>
      <c r="H147" s="159"/>
      <c r="I147" s="170"/>
      <c r="J147" s="288"/>
      <c r="K147" s="37"/>
      <c r="L147" s="256"/>
      <c r="M147" s="170"/>
    </row>
    <row r="148" spans="1:14" ht="15.75" x14ac:dyDescent="0.2">
      <c r="A148" s="18" t="s">
        <v>336</v>
      </c>
      <c r="B148" s="229"/>
      <c r="C148" s="229"/>
      <c r="D148" s="159"/>
      <c r="E148" s="159"/>
      <c r="F148" s="229"/>
      <c r="G148" s="229"/>
      <c r="H148" s="159"/>
      <c r="I148" s="170"/>
      <c r="J148" s="288"/>
      <c r="K148" s="37"/>
      <c r="L148" s="256"/>
      <c r="M148" s="170"/>
    </row>
    <row r="149" spans="1:14" ht="15.75" x14ac:dyDescent="0.2">
      <c r="A149" s="18" t="s">
        <v>335</v>
      </c>
      <c r="B149" s="229"/>
      <c r="C149" s="229"/>
      <c r="D149" s="159"/>
      <c r="E149" s="159"/>
      <c r="F149" s="229"/>
      <c r="G149" s="229"/>
      <c r="H149" s="159"/>
      <c r="I149" s="170"/>
      <c r="J149" s="288"/>
      <c r="K149" s="37"/>
      <c r="L149" s="256"/>
      <c r="M149" s="170"/>
    </row>
    <row r="150" spans="1:14" ht="15.75" x14ac:dyDescent="0.2">
      <c r="A150" s="11" t="s">
        <v>26</v>
      </c>
      <c r="B150" s="310"/>
      <c r="C150" s="152"/>
      <c r="D150" s="159"/>
      <c r="E150" s="159"/>
      <c r="F150" s="310"/>
      <c r="G150" s="152"/>
      <c r="H150" s="159"/>
      <c r="I150" s="170"/>
      <c r="J150" s="311"/>
      <c r="K150" s="231"/>
      <c r="L150" s="256"/>
      <c r="M150" s="170"/>
    </row>
    <row r="151" spans="1:14" x14ac:dyDescent="0.2">
      <c r="A151" s="18" t="s">
        <v>9</v>
      </c>
      <c r="B151" s="229"/>
      <c r="C151" s="139"/>
      <c r="D151" s="159"/>
      <c r="E151" s="159"/>
      <c r="F151" s="229"/>
      <c r="G151" s="139"/>
      <c r="H151" s="159"/>
      <c r="I151" s="170"/>
      <c r="J151" s="288"/>
      <c r="K151" s="37"/>
      <c r="L151" s="256"/>
      <c r="M151" s="170"/>
    </row>
    <row r="152" spans="1:14" x14ac:dyDescent="0.2">
      <c r="A152" s="18" t="s">
        <v>10</v>
      </c>
      <c r="B152" s="229"/>
      <c r="C152" s="139"/>
      <c r="D152" s="159"/>
      <c r="E152" s="159"/>
      <c r="F152" s="229"/>
      <c r="G152" s="139"/>
      <c r="H152" s="159"/>
      <c r="I152" s="170"/>
      <c r="J152" s="288"/>
      <c r="K152" s="37"/>
      <c r="L152" s="256"/>
      <c r="M152" s="170"/>
    </row>
    <row r="153" spans="1:14" x14ac:dyDescent="0.2">
      <c r="A153" s="18" t="s">
        <v>34</v>
      </c>
      <c r="B153" s="229"/>
      <c r="C153" s="139"/>
      <c r="D153" s="159"/>
      <c r="E153" s="159"/>
      <c r="F153" s="229"/>
      <c r="G153" s="139"/>
      <c r="H153" s="159"/>
      <c r="I153" s="170"/>
      <c r="J153" s="288"/>
      <c r="K153" s="37"/>
      <c r="L153" s="256"/>
      <c r="M153" s="170"/>
    </row>
    <row r="154" spans="1:14" x14ac:dyDescent="0.2">
      <c r="A154" s="298" t="s">
        <v>14</v>
      </c>
      <c r="B154" s="282"/>
      <c r="C154" s="282"/>
      <c r="D154" s="159"/>
      <c r="E154" s="159"/>
      <c r="F154" s="805"/>
      <c r="G154" s="282"/>
      <c r="H154" s="159"/>
      <c r="I154" s="237"/>
      <c r="J154" s="291"/>
      <c r="K154" s="291"/>
      <c r="L154" s="159"/>
      <c r="M154" s="159"/>
    </row>
    <row r="155" spans="1:14" ht="15.75" x14ac:dyDescent="0.2">
      <c r="A155" s="18" t="s">
        <v>333</v>
      </c>
      <c r="B155" s="229"/>
      <c r="C155" s="229"/>
      <c r="D155" s="159"/>
      <c r="E155" s="159"/>
      <c r="F155" s="229"/>
      <c r="G155" s="229"/>
      <c r="H155" s="159"/>
      <c r="I155" s="170"/>
      <c r="J155" s="288"/>
      <c r="K155" s="37"/>
      <c r="L155" s="256"/>
      <c r="M155" s="170"/>
    </row>
    <row r="156" spans="1:14" ht="15.75" x14ac:dyDescent="0.2">
      <c r="A156" s="18" t="s">
        <v>334</v>
      </c>
      <c r="B156" s="229"/>
      <c r="C156" s="229"/>
      <c r="D156" s="159"/>
      <c r="E156" s="159"/>
      <c r="F156" s="229"/>
      <c r="G156" s="229"/>
      <c r="H156" s="159"/>
      <c r="I156" s="170"/>
      <c r="J156" s="288"/>
      <c r="K156" s="37"/>
      <c r="L156" s="256"/>
      <c r="M156" s="170"/>
    </row>
    <row r="157" spans="1:14" ht="15.75" x14ac:dyDescent="0.2">
      <c r="A157" s="9" t="s">
        <v>335</v>
      </c>
      <c r="B157" s="38"/>
      <c r="C157" s="38"/>
      <c r="D157" s="160"/>
      <c r="E157" s="160"/>
      <c r="F157" s="400"/>
      <c r="G157" s="38"/>
      <c r="H157" s="160"/>
      <c r="I157" s="160"/>
      <c r="J157" s="289"/>
      <c r="K157" s="38"/>
      <c r="L157" s="257"/>
      <c r="M157" s="160"/>
    </row>
    <row r="158" spans="1:14" x14ac:dyDescent="0.2">
      <c r="A158" s="148"/>
      <c r="L158" s="20"/>
      <c r="M158" s="20"/>
      <c r="N158" s="20"/>
    </row>
    <row r="159" spans="1:14" x14ac:dyDescent="0.2">
      <c r="L159" s="20"/>
      <c r="M159" s="20"/>
      <c r="N159" s="20"/>
    </row>
    <row r="160" spans="1:14" ht="15.75" x14ac:dyDescent="0.25">
      <c r="A160" s="158" t="s">
        <v>35</v>
      </c>
    </row>
    <row r="161" spans="1:14" ht="15.75" x14ac:dyDescent="0.25">
      <c r="B161" s="832"/>
      <c r="C161" s="832"/>
      <c r="D161" s="832"/>
      <c r="E161" s="301"/>
      <c r="F161" s="832"/>
      <c r="G161" s="832"/>
      <c r="H161" s="832"/>
      <c r="I161" s="301"/>
      <c r="J161" s="832"/>
      <c r="K161" s="832"/>
      <c r="L161" s="832"/>
      <c r="M161" s="301"/>
    </row>
    <row r="162" spans="1:14" s="3" customFormat="1" x14ac:dyDescent="0.2">
      <c r="A162" s="138"/>
      <c r="B162" s="833" t="s">
        <v>0</v>
      </c>
      <c r="C162" s="834"/>
      <c r="D162" s="834"/>
      <c r="E162" s="303"/>
      <c r="F162" s="833" t="s">
        <v>1</v>
      </c>
      <c r="G162" s="834"/>
      <c r="H162" s="834"/>
      <c r="I162" s="306"/>
      <c r="J162" s="833" t="s">
        <v>2</v>
      </c>
      <c r="K162" s="834"/>
      <c r="L162" s="834"/>
      <c r="M162" s="306"/>
      <c r="N162" s="142"/>
    </row>
    <row r="163" spans="1:14" s="3" customFormat="1" x14ac:dyDescent="0.2">
      <c r="A163" s="134"/>
      <c r="B163" s="145" t="s">
        <v>400</v>
      </c>
      <c r="C163" s="145" t="s">
        <v>401</v>
      </c>
      <c r="D163" s="242" t="s">
        <v>3</v>
      </c>
      <c r="E163" s="307" t="s">
        <v>37</v>
      </c>
      <c r="F163" s="145" t="s">
        <v>400</v>
      </c>
      <c r="G163" s="145" t="s">
        <v>401</v>
      </c>
      <c r="H163" s="242" t="s">
        <v>3</v>
      </c>
      <c r="I163" s="307" t="s">
        <v>37</v>
      </c>
      <c r="J163" s="145" t="s">
        <v>400</v>
      </c>
      <c r="K163" s="145" t="s">
        <v>401</v>
      </c>
      <c r="L163" s="242" t="s">
        <v>3</v>
      </c>
      <c r="M163" s="155" t="s">
        <v>37</v>
      </c>
      <c r="N163" s="142"/>
    </row>
    <row r="164" spans="1:14" s="3" customFormat="1" x14ac:dyDescent="0.2">
      <c r="A164" s="403"/>
      <c r="B164" s="149"/>
      <c r="C164" s="149"/>
      <c r="D164" s="243" t="s">
        <v>4</v>
      </c>
      <c r="E164" s="149" t="s">
        <v>38</v>
      </c>
      <c r="F164" s="154"/>
      <c r="G164" s="154"/>
      <c r="H164" s="242" t="s">
        <v>4</v>
      </c>
      <c r="I164" s="149" t="s">
        <v>38</v>
      </c>
      <c r="J164" s="154"/>
      <c r="K164" s="154"/>
      <c r="L164" s="242" t="s">
        <v>4</v>
      </c>
      <c r="M164" s="149" t="s">
        <v>38</v>
      </c>
      <c r="N164" s="142"/>
    </row>
    <row r="165" spans="1:14" s="3" customFormat="1" ht="15.75" x14ac:dyDescent="0.2">
      <c r="A165" s="12" t="s">
        <v>337</v>
      </c>
      <c r="B165" s="231">
        <v>29430387.069619998</v>
      </c>
      <c r="C165" s="311">
        <v>33469183.758949999</v>
      </c>
      <c r="D165" s="251">
        <f t="shared" ref="D165:D169" si="0">IF(B165=0, "    ---- ", IF(ABS(ROUND(100/B165*C165-100,1))&lt;999,ROUND(100/B165*C165-100,1),IF(ROUND(100/B165*C165-100,1)&gt;999,999,-999)))</f>
        <v>13.7</v>
      </c>
      <c r="E165" s="170">
        <f>IFERROR(100/'Skjema total MA'!C165*C165,0)</f>
        <v>88.750208914904704</v>
      </c>
      <c r="F165" s="318">
        <v>108686.046</v>
      </c>
      <c r="G165" s="319">
        <v>133629.31599999999</v>
      </c>
      <c r="H165" s="252">
        <f t="shared" ref="H165:H168" si="1">IF(F165=0, "    ---- ", IF(ABS(ROUND(100/F165*G165-100,1))&lt;999,ROUND(100/F165*G165-100,1),IF(ROUND(100/F165*G165-100,1)&gt;999,999,-999)))</f>
        <v>22.9</v>
      </c>
      <c r="I165" s="159">
        <f>IFERROR(100/'Skjema total MA'!F165*G165,0)</f>
        <v>100</v>
      </c>
      <c r="J165" s="320">
        <v>29539073.115619998</v>
      </c>
      <c r="K165" s="320">
        <v>33602813.074950002</v>
      </c>
      <c r="L165" s="255">
        <f t="shared" ref="L165:L169" si="2">IF(J165=0, "    ---- ", IF(ABS(ROUND(100/J165*K165-100,1))&lt;999,ROUND(100/J165*K165-100,1),IF(ROUND(100/J165*K165-100,1)&gt;999,999,-999)))</f>
        <v>13.8</v>
      </c>
      <c r="M165" s="170">
        <f>IFERROR(100/'Skjema total MA'!I165*K165,0)</f>
        <v>88.789931205685932</v>
      </c>
      <c r="N165" s="142"/>
    </row>
    <row r="166" spans="1:14" s="3" customFormat="1" ht="15.75" x14ac:dyDescent="0.2">
      <c r="A166" s="11" t="s">
        <v>338</v>
      </c>
      <c r="B166" s="231">
        <v>6252.7</v>
      </c>
      <c r="C166" s="311">
        <v>6182</v>
      </c>
      <c r="D166" s="159">
        <f t="shared" si="0"/>
        <v>-1.1000000000000001</v>
      </c>
      <c r="E166" s="170">
        <f>IFERROR(100/'Skjema total MA'!C166*C166,0)</f>
        <v>100</v>
      </c>
      <c r="F166" s="231"/>
      <c r="G166" s="311"/>
      <c r="H166" s="236"/>
      <c r="I166" s="159"/>
      <c r="J166" s="310">
        <v>6252.7</v>
      </c>
      <c r="K166" s="310">
        <v>6182</v>
      </c>
      <c r="L166" s="256">
        <f t="shared" si="2"/>
        <v>-1.1000000000000001</v>
      </c>
      <c r="M166" s="170">
        <f>IFERROR(100/'Skjema total MA'!I166*K166,0)</f>
        <v>100</v>
      </c>
      <c r="N166" s="142"/>
    </row>
    <row r="167" spans="1:14" s="3" customFormat="1" ht="15.75" x14ac:dyDescent="0.2">
      <c r="A167" s="11" t="s">
        <v>339</v>
      </c>
      <c r="B167" s="231">
        <v>388847836</v>
      </c>
      <c r="C167" s="311">
        <v>421845952.55084002</v>
      </c>
      <c r="D167" s="159">
        <f t="shared" si="0"/>
        <v>8.5</v>
      </c>
      <c r="E167" s="170">
        <f>IFERROR(100/'Skjema total MA'!C167*C167,0)</f>
        <v>86.20234254842812</v>
      </c>
      <c r="F167" s="231">
        <v>2035724</v>
      </c>
      <c r="G167" s="311">
        <v>2181469.20615</v>
      </c>
      <c r="H167" s="236">
        <f t="shared" si="1"/>
        <v>7.2</v>
      </c>
      <c r="I167" s="159">
        <f>IFERROR(100/'Skjema total MA'!F167*G167,0)</f>
        <v>100</v>
      </c>
      <c r="J167" s="310">
        <v>390883560</v>
      </c>
      <c r="K167" s="310">
        <v>424027421.75699002</v>
      </c>
      <c r="L167" s="256">
        <f t="shared" si="2"/>
        <v>8.5</v>
      </c>
      <c r="M167" s="170">
        <f>IFERROR(100/'Skjema total MA'!I167*K167,0)</f>
        <v>86.26357588990156</v>
      </c>
      <c r="N167" s="142"/>
    </row>
    <row r="168" spans="1:14" s="3" customFormat="1" ht="15.75" x14ac:dyDescent="0.2">
      <c r="A168" s="11" t="s">
        <v>340</v>
      </c>
      <c r="B168" s="231">
        <v>9256097.6998800002</v>
      </c>
      <c r="C168" s="311">
        <v>3252225.2170000002</v>
      </c>
      <c r="D168" s="159">
        <f t="shared" si="0"/>
        <v>-64.900000000000006</v>
      </c>
      <c r="E168" s="170">
        <f>IFERROR(100/'Skjema total MA'!C168*C168,0)</f>
        <v>99.996847150483291</v>
      </c>
      <c r="F168" s="231">
        <v>121.548</v>
      </c>
      <c r="G168" s="311">
        <v>-35.832000000000001</v>
      </c>
      <c r="H168" s="236">
        <f t="shared" si="1"/>
        <v>-129.5</v>
      </c>
      <c r="I168" s="159">
        <f>IFERROR(100/'Skjema total MA'!F168*G168,0)</f>
        <v>100</v>
      </c>
      <c r="J168" s="310">
        <v>9256219.2478800006</v>
      </c>
      <c r="K168" s="310">
        <v>3252189.3850000002</v>
      </c>
      <c r="L168" s="256">
        <f t="shared" si="2"/>
        <v>-64.900000000000006</v>
      </c>
      <c r="M168" s="170">
        <f>IFERROR(100/'Skjema total MA'!I168*K168,0)</f>
        <v>99.996847115746888</v>
      </c>
      <c r="N168" s="142"/>
    </row>
    <row r="169" spans="1:14" s="3" customFormat="1" ht="15.75" x14ac:dyDescent="0.2">
      <c r="A169" s="34" t="s">
        <v>341</v>
      </c>
      <c r="B169" s="277">
        <v>147404.84700000001</v>
      </c>
      <c r="C169" s="317">
        <v>123887.451</v>
      </c>
      <c r="D169" s="160">
        <f t="shared" si="0"/>
        <v>-16</v>
      </c>
      <c r="E169" s="201">
        <f>IFERROR(100/'Skjema total MA'!C169*C169,0)</f>
        <v>6.3975376001655908</v>
      </c>
      <c r="F169" s="277"/>
      <c r="G169" s="317"/>
      <c r="H169" s="239"/>
      <c r="I169" s="160"/>
      <c r="J169" s="316">
        <v>147404.84700000001</v>
      </c>
      <c r="K169" s="316">
        <v>123887.451</v>
      </c>
      <c r="L169" s="257">
        <f t="shared" si="2"/>
        <v>-16</v>
      </c>
      <c r="M169" s="160">
        <f>IFERROR(100/'Skjema total MA'!I169*K169,0)</f>
        <v>6.3975376001655908</v>
      </c>
      <c r="N169" s="142"/>
    </row>
    <row r="170" spans="1:14" s="3" customFormat="1" x14ac:dyDescent="0.2">
      <c r="A170" s="161"/>
      <c r="B170" s="27"/>
      <c r="C170" s="27"/>
      <c r="D170" s="152"/>
      <c r="E170" s="152"/>
      <c r="F170" s="27"/>
      <c r="G170" s="27"/>
      <c r="H170" s="152"/>
      <c r="I170" s="152"/>
      <c r="J170" s="27"/>
      <c r="K170" s="27"/>
      <c r="L170" s="152"/>
      <c r="M170" s="152"/>
      <c r="N170" s="142"/>
    </row>
    <row r="171" spans="1:14" x14ac:dyDescent="0.2">
      <c r="A171" s="161"/>
      <c r="B171" s="27"/>
      <c r="C171" s="27"/>
      <c r="D171" s="152"/>
      <c r="E171" s="152"/>
      <c r="F171" s="27"/>
      <c r="G171" s="27"/>
      <c r="H171" s="152"/>
      <c r="I171" s="152"/>
      <c r="J171" s="27"/>
      <c r="K171" s="27"/>
      <c r="L171" s="152"/>
      <c r="M171" s="152"/>
      <c r="N171" s="142"/>
    </row>
    <row r="172" spans="1:14" x14ac:dyDescent="0.2">
      <c r="A172" s="161"/>
      <c r="B172" s="27"/>
      <c r="C172" s="27"/>
      <c r="D172" s="152"/>
      <c r="E172" s="152"/>
      <c r="F172" s="27"/>
      <c r="G172" s="27"/>
      <c r="H172" s="152"/>
      <c r="I172" s="152"/>
      <c r="J172" s="27"/>
      <c r="K172" s="27"/>
      <c r="L172" s="152"/>
      <c r="M172" s="152"/>
      <c r="N172" s="142"/>
    </row>
    <row r="173" spans="1:14" x14ac:dyDescent="0.2">
      <c r="A173" s="140"/>
      <c r="B173" s="140"/>
      <c r="C173" s="140"/>
      <c r="D173" s="140"/>
      <c r="E173" s="140"/>
      <c r="F173" s="140"/>
      <c r="G173" s="140"/>
      <c r="H173" s="140"/>
      <c r="I173" s="140"/>
      <c r="J173" s="140"/>
      <c r="K173" s="140"/>
      <c r="L173" s="140"/>
      <c r="M173" s="140"/>
      <c r="N173" s="140"/>
    </row>
    <row r="174" spans="1:14" ht="15.75" x14ac:dyDescent="0.25">
      <c r="B174" s="136"/>
      <c r="C174" s="136"/>
      <c r="D174" s="136"/>
      <c r="E174" s="136"/>
      <c r="F174" s="136"/>
      <c r="G174" s="136"/>
      <c r="H174" s="136"/>
      <c r="I174" s="136"/>
      <c r="J174" s="136"/>
      <c r="K174" s="136"/>
      <c r="L174" s="136"/>
      <c r="M174" s="136"/>
      <c r="N174" s="136"/>
    </row>
    <row r="175" spans="1:14" ht="15.75" x14ac:dyDescent="0.25">
      <c r="B175" s="150"/>
      <c r="C175" s="150"/>
      <c r="D175" s="150"/>
      <c r="E175" s="150"/>
      <c r="F175" s="150"/>
      <c r="G175" s="150"/>
      <c r="H175" s="150"/>
      <c r="I175" s="150"/>
      <c r="J175" s="150"/>
      <c r="K175" s="150"/>
      <c r="L175" s="150"/>
      <c r="M175" s="150"/>
      <c r="N175" s="150"/>
    </row>
    <row r="176" spans="1:14" ht="15.75" x14ac:dyDescent="0.25">
      <c r="B176" s="150"/>
      <c r="C176" s="150"/>
      <c r="D176" s="150"/>
      <c r="E176" s="150"/>
      <c r="F176" s="150"/>
      <c r="G176" s="150"/>
      <c r="H176" s="150"/>
      <c r="I176" s="150"/>
      <c r="J176" s="150"/>
      <c r="K176" s="150"/>
      <c r="L176" s="150"/>
      <c r="M176" s="150"/>
      <c r="N176" s="150"/>
    </row>
  </sheetData>
  <mergeCells count="28">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22:D22"/>
    <mergeCell ref="F22:H22"/>
    <mergeCell ref="J22:L22"/>
    <mergeCell ref="D47:F47"/>
    <mergeCell ref="G47:I47"/>
    <mergeCell ref="J47:L47"/>
  </mergeCells>
  <conditionalFormatting sqref="B57:C59">
    <cfRule type="expression" dxfId="1500" priority="188">
      <formula>kvartal &lt; 4</formula>
    </cfRule>
  </conditionalFormatting>
  <conditionalFormatting sqref="B63:C65">
    <cfRule type="expression" dxfId="1499" priority="187">
      <formula>kvartal &lt; 4</formula>
    </cfRule>
  </conditionalFormatting>
  <conditionalFormatting sqref="B37">
    <cfRule type="expression" dxfId="1498" priority="186">
      <formula>kvartal &lt; 4</formula>
    </cfRule>
  </conditionalFormatting>
  <conditionalFormatting sqref="B38">
    <cfRule type="expression" dxfId="1497" priority="185">
      <formula>kvartal &lt; 4</formula>
    </cfRule>
  </conditionalFormatting>
  <conditionalFormatting sqref="B39">
    <cfRule type="expression" dxfId="1496" priority="184">
      <formula>kvartal &lt; 4</formula>
    </cfRule>
  </conditionalFormatting>
  <conditionalFormatting sqref="A34">
    <cfRule type="expression" dxfId="1495" priority="57">
      <formula>kvartal &lt; 4</formula>
    </cfRule>
  </conditionalFormatting>
  <conditionalFormatting sqref="C37">
    <cfRule type="expression" dxfId="1494" priority="183">
      <formula>kvartal &lt; 4</formula>
    </cfRule>
  </conditionalFormatting>
  <conditionalFormatting sqref="C38">
    <cfRule type="expression" dxfId="1493" priority="182">
      <formula>kvartal &lt; 4</formula>
    </cfRule>
  </conditionalFormatting>
  <conditionalFormatting sqref="C39">
    <cfRule type="expression" dxfId="1492" priority="181">
      <formula>kvartal &lt; 4</formula>
    </cfRule>
  </conditionalFormatting>
  <conditionalFormatting sqref="B26:C28">
    <cfRule type="expression" dxfId="1491" priority="180">
      <formula>kvartal &lt; 4</formula>
    </cfRule>
  </conditionalFormatting>
  <conditionalFormatting sqref="B32:C33">
    <cfRule type="expression" dxfId="1490" priority="179">
      <formula>kvartal &lt; 4</formula>
    </cfRule>
  </conditionalFormatting>
  <conditionalFormatting sqref="B34">
    <cfRule type="expression" dxfId="1489" priority="178">
      <formula>kvartal &lt; 4</formula>
    </cfRule>
  </conditionalFormatting>
  <conditionalFormatting sqref="C34">
    <cfRule type="expression" dxfId="1488" priority="177">
      <formula>kvartal &lt; 4</formula>
    </cfRule>
  </conditionalFormatting>
  <conditionalFormatting sqref="F26:G28">
    <cfRule type="expression" dxfId="1487" priority="176">
      <formula>kvartal &lt; 4</formula>
    </cfRule>
  </conditionalFormatting>
  <conditionalFormatting sqref="F32">
    <cfRule type="expression" dxfId="1486" priority="175">
      <formula>kvartal &lt; 4</formula>
    </cfRule>
  </conditionalFormatting>
  <conditionalFormatting sqref="G32">
    <cfRule type="expression" dxfId="1485" priority="174">
      <formula>kvartal &lt; 4</formula>
    </cfRule>
  </conditionalFormatting>
  <conditionalFormatting sqref="F33">
    <cfRule type="expression" dxfId="1484" priority="173">
      <formula>kvartal &lt; 4</formula>
    </cfRule>
  </conditionalFormatting>
  <conditionalFormatting sqref="G33">
    <cfRule type="expression" dxfId="1483" priority="172">
      <formula>kvartal &lt; 4</formula>
    </cfRule>
  </conditionalFormatting>
  <conditionalFormatting sqref="F34">
    <cfRule type="expression" dxfId="1482" priority="171">
      <formula>kvartal &lt; 4</formula>
    </cfRule>
  </conditionalFormatting>
  <conditionalFormatting sqref="G34">
    <cfRule type="expression" dxfId="1481" priority="170">
      <formula>kvartal &lt; 4</formula>
    </cfRule>
  </conditionalFormatting>
  <conditionalFormatting sqref="F37">
    <cfRule type="expression" dxfId="1480" priority="169">
      <formula>kvartal &lt; 4</formula>
    </cfRule>
  </conditionalFormatting>
  <conditionalFormatting sqref="F38">
    <cfRule type="expression" dxfId="1479" priority="168">
      <formula>kvartal &lt; 4</formula>
    </cfRule>
  </conditionalFormatting>
  <conditionalFormatting sqref="F39">
    <cfRule type="expression" dxfId="1478" priority="167">
      <formula>kvartal &lt; 4</formula>
    </cfRule>
  </conditionalFormatting>
  <conditionalFormatting sqref="G37">
    <cfRule type="expression" dxfId="1477" priority="166">
      <formula>kvartal &lt; 4</formula>
    </cfRule>
  </conditionalFormatting>
  <conditionalFormatting sqref="G38">
    <cfRule type="expression" dxfId="1476" priority="165">
      <formula>kvartal &lt; 4</formula>
    </cfRule>
  </conditionalFormatting>
  <conditionalFormatting sqref="G39">
    <cfRule type="expression" dxfId="1475" priority="164">
      <formula>kvartal &lt; 4</formula>
    </cfRule>
  </conditionalFormatting>
  <conditionalFormatting sqref="B29">
    <cfRule type="expression" dxfId="1474" priority="163">
      <formula>kvartal &lt; 4</formula>
    </cfRule>
  </conditionalFormatting>
  <conditionalFormatting sqref="C29">
    <cfRule type="expression" dxfId="1473" priority="162">
      <formula>kvartal &lt; 4</formula>
    </cfRule>
  </conditionalFormatting>
  <conditionalFormatting sqref="F29">
    <cfRule type="expression" dxfId="1472" priority="161">
      <formula>kvartal &lt; 4</formula>
    </cfRule>
  </conditionalFormatting>
  <conditionalFormatting sqref="G29">
    <cfRule type="expression" dxfId="1471" priority="160">
      <formula>kvartal &lt; 4</formula>
    </cfRule>
  </conditionalFormatting>
  <conditionalFormatting sqref="J26:K29">
    <cfRule type="expression" dxfId="1470" priority="159">
      <formula>kvartal &lt; 4</formula>
    </cfRule>
  </conditionalFormatting>
  <conditionalFormatting sqref="J32:K34">
    <cfRule type="expression" dxfId="1469" priority="158">
      <formula>kvartal &lt; 4</formula>
    </cfRule>
  </conditionalFormatting>
  <conditionalFormatting sqref="J37:K39">
    <cfRule type="expression" dxfId="1468" priority="157">
      <formula>kvartal &lt; 4</formula>
    </cfRule>
  </conditionalFormatting>
  <conditionalFormatting sqref="J82:K86">
    <cfRule type="expression" dxfId="1467" priority="95">
      <formula>kvartal &lt; 4</formula>
    </cfRule>
  </conditionalFormatting>
  <conditionalFormatting sqref="J87:K87">
    <cfRule type="expression" dxfId="1466" priority="94">
      <formula>kvartal &lt; 4</formula>
    </cfRule>
  </conditionalFormatting>
  <conditionalFormatting sqref="J92:K97">
    <cfRule type="expression" dxfId="1465" priority="93">
      <formula>kvartal &lt; 4</formula>
    </cfRule>
  </conditionalFormatting>
  <conditionalFormatting sqref="J102:K107">
    <cfRule type="expression" dxfId="1464" priority="92">
      <formula>kvartal &lt; 4</formula>
    </cfRule>
  </conditionalFormatting>
  <conditionalFormatting sqref="J112:K117">
    <cfRule type="expression" dxfId="1463" priority="91">
      <formula>kvartal &lt; 4</formula>
    </cfRule>
  </conditionalFormatting>
  <conditionalFormatting sqref="J122:K127">
    <cfRule type="expression" dxfId="1462" priority="90">
      <formula>kvartal &lt; 4</formula>
    </cfRule>
  </conditionalFormatting>
  <conditionalFormatting sqref="J132:K137">
    <cfRule type="expression" dxfId="1461" priority="89">
      <formula>kvartal &lt; 4</formula>
    </cfRule>
  </conditionalFormatting>
  <conditionalFormatting sqref="J146:K146">
    <cfRule type="expression" dxfId="1460" priority="88">
      <formula>kvartal &lt; 4</formula>
    </cfRule>
  </conditionalFormatting>
  <conditionalFormatting sqref="J154:K154">
    <cfRule type="expression" dxfId="1459" priority="87">
      <formula>kvartal &lt; 4</formula>
    </cfRule>
  </conditionalFormatting>
  <conditionalFormatting sqref="A26:A28">
    <cfRule type="expression" dxfId="1458" priority="71">
      <formula>kvartal &lt; 4</formula>
    </cfRule>
  </conditionalFormatting>
  <conditionalFormatting sqref="A32:A33">
    <cfRule type="expression" dxfId="1457" priority="70">
      <formula>kvartal &lt; 4</formula>
    </cfRule>
  </conditionalFormatting>
  <conditionalFormatting sqref="A37:A39">
    <cfRule type="expression" dxfId="1456" priority="69">
      <formula>kvartal &lt; 4</formula>
    </cfRule>
  </conditionalFormatting>
  <conditionalFormatting sqref="A57:A59">
    <cfRule type="expression" dxfId="1455" priority="68">
      <formula>kvartal &lt; 4</formula>
    </cfRule>
  </conditionalFormatting>
  <conditionalFormatting sqref="A63:A65">
    <cfRule type="expression" dxfId="1454" priority="67">
      <formula>kvartal &lt; 4</formula>
    </cfRule>
  </conditionalFormatting>
  <conditionalFormatting sqref="A82:A87">
    <cfRule type="expression" dxfId="1453" priority="66">
      <formula>kvartal &lt; 4</formula>
    </cfRule>
  </conditionalFormatting>
  <conditionalFormatting sqref="A92:A97">
    <cfRule type="expression" dxfId="1452" priority="65">
      <formula>kvartal &lt; 4</formula>
    </cfRule>
  </conditionalFormatting>
  <conditionalFormatting sqref="A102:A107">
    <cfRule type="expression" dxfId="1451" priority="64">
      <formula>kvartal &lt; 4</formula>
    </cfRule>
  </conditionalFormatting>
  <conditionalFormatting sqref="A112:A117">
    <cfRule type="expression" dxfId="1450" priority="63">
      <formula>kvartal &lt; 4</formula>
    </cfRule>
  </conditionalFormatting>
  <conditionalFormatting sqref="A122:A127">
    <cfRule type="expression" dxfId="1449" priority="62">
      <formula>kvartal &lt; 4</formula>
    </cfRule>
  </conditionalFormatting>
  <conditionalFormatting sqref="A132:A137">
    <cfRule type="expression" dxfId="1448" priority="61">
      <formula>kvartal &lt; 4</formula>
    </cfRule>
  </conditionalFormatting>
  <conditionalFormatting sqref="A146">
    <cfRule type="expression" dxfId="1447" priority="60">
      <formula>kvartal &lt; 4</formula>
    </cfRule>
  </conditionalFormatting>
  <conditionalFormatting sqref="A154">
    <cfRule type="expression" dxfId="1446" priority="59">
      <formula>kvartal &lt; 4</formula>
    </cfRule>
  </conditionalFormatting>
  <conditionalFormatting sqref="A29">
    <cfRule type="expression" dxfId="1445" priority="58">
      <formula>kvartal &lt; 4</formula>
    </cfRule>
  </conditionalFormatting>
  <conditionalFormatting sqref="B82">
    <cfRule type="expression" dxfId="1444" priority="56">
      <formula>kvartal &lt; 4</formula>
    </cfRule>
  </conditionalFormatting>
  <conditionalFormatting sqref="C82">
    <cfRule type="expression" dxfId="1443" priority="55">
      <formula>kvartal &lt; 4</formula>
    </cfRule>
  </conditionalFormatting>
  <conditionalFormatting sqref="B85">
    <cfRule type="expression" dxfId="1442" priority="54">
      <formula>kvartal &lt; 4</formula>
    </cfRule>
  </conditionalFormatting>
  <conditionalFormatting sqref="C85">
    <cfRule type="expression" dxfId="1441" priority="53">
      <formula>kvartal &lt; 4</formula>
    </cfRule>
  </conditionalFormatting>
  <conditionalFormatting sqref="B92">
    <cfRule type="expression" dxfId="1440" priority="52">
      <formula>kvartal &lt; 4</formula>
    </cfRule>
  </conditionalFormatting>
  <conditionalFormatting sqref="C92">
    <cfRule type="expression" dxfId="1439" priority="51">
      <formula>kvartal &lt; 4</formula>
    </cfRule>
  </conditionalFormatting>
  <conditionalFormatting sqref="B95">
    <cfRule type="expression" dxfId="1438" priority="50">
      <formula>kvartal &lt; 4</formula>
    </cfRule>
  </conditionalFormatting>
  <conditionalFormatting sqref="C95">
    <cfRule type="expression" dxfId="1437" priority="49">
      <formula>kvartal &lt; 4</formula>
    </cfRule>
  </conditionalFormatting>
  <conditionalFormatting sqref="B102">
    <cfRule type="expression" dxfId="1436" priority="48">
      <formula>kvartal &lt; 4</formula>
    </cfRule>
  </conditionalFormatting>
  <conditionalFormatting sqref="C102">
    <cfRule type="expression" dxfId="1435" priority="47">
      <formula>kvartal &lt; 4</formula>
    </cfRule>
  </conditionalFormatting>
  <conditionalFormatting sqref="B105">
    <cfRule type="expression" dxfId="1434" priority="46">
      <formula>kvartal &lt; 4</formula>
    </cfRule>
  </conditionalFormatting>
  <conditionalFormatting sqref="C105">
    <cfRule type="expression" dxfId="1433" priority="45">
      <formula>kvartal &lt; 4</formula>
    </cfRule>
  </conditionalFormatting>
  <conditionalFormatting sqref="B112">
    <cfRule type="expression" dxfId="1432" priority="44">
      <formula>kvartal &lt; 4</formula>
    </cfRule>
  </conditionalFormatting>
  <conditionalFormatting sqref="C112">
    <cfRule type="expression" dxfId="1431" priority="43">
      <formula>kvartal &lt; 4</formula>
    </cfRule>
  </conditionalFormatting>
  <conditionalFormatting sqref="B115">
    <cfRule type="expression" dxfId="1430" priority="42">
      <formula>kvartal &lt; 4</formula>
    </cfRule>
  </conditionalFormatting>
  <conditionalFormatting sqref="C115">
    <cfRule type="expression" dxfId="1429" priority="41">
      <formula>kvartal &lt; 4</formula>
    </cfRule>
  </conditionalFormatting>
  <conditionalFormatting sqref="B122">
    <cfRule type="expression" dxfId="1428" priority="40">
      <formula>kvartal &lt; 4</formula>
    </cfRule>
  </conditionalFormatting>
  <conditionalFormatting sqref="C122">
    <cfRule type="expression" dxfId="1427" priority="39">
      <formula>kvartal &lt; 4</formula>
    </cfRule>
  </conditionalFormatting>
  <conditionalFormatting sqref="B125">
    <cfRule type="expression" dxfId="1426" priority="38">
      <formula>kvartal &lt; 4</formula>
    </cfRule>
  </conditionalFormatting>
  <conditionalFormatting sqref="C125">
    <cfRule type="expression" dxfId="1425" priority="37">
      <formula>kvartal &lt; 4</formula>
    </cfRule>
  </conditionalFormatting>
  <conditionalFormatting sqref="B132">
    <cfRule type="expression" dxfId="1424" priority="36">
      <formula>kvartal &lt; 4</formula>
    </cfRule>
  </conditionalFormatting>
  <conditionalFormatting sqref="C132">
    <cfRule type="expression" dxfId="1423" priority="35">
      <formula>kvartal &lt; 4</formula>
    </cfRule>
  </conditionalFormatting>
  <conditionalFormatting sqref="B135">
    <cfRule type="expression" dxfId="1422" priority="34">
      <formula>kvartal &lt; 4</formula>
    </cfRule>
  </conditionalFormatting>
  <conditionalFormatting sqref="C135">
    <cfRule type="expression" dxfId="1421" priority="33">
      <formula>kvartal &lt; 4</formula>
    </cfRule>
  </conditionalFormatting>
  <conditionalFormatting sqref="B146">
    <cfRule type="expression" dxfId="1420" priority="32">
      <formula>kvartal &lt; 4</formula>
    </cfRule>
  </conditionalFormatting>
  <conditionalFormatting sqref="C146">
    <cfRule type="expression" dxfId="1419" priority="31">
      <formula>kvartal &lt; 4</formula>
    </cfRule>
  </conditionalFormatting>
  <conditionalFormatting sqref="B154">
    <cfRule type="expression" dxfId="1418" priority="30">
      <formula>kvartal &lt; 4</formula>
    </cfRule>
  </conditionalFormatting>
  <conditionalFormatting sqref="C154">
    <cfRule type="expression" dxfId="1417" priority="29">
      <formula>kvartal &lt; 4</formula>
    </cfRule>
  </conditionalFormatting>
  <conditionalFormatting sqref="F82">
    <cfRule type="expression" dxfId="1416" priority="28">
      <formula>kvartal &lt; 4</formula>
    </cfRule>
  </conditionalFormatting>
  <conditionalFormatting sqref="G82">
    <cfRule type="expression" dxfId="1415" priority="27">
      <formula>kvartal &lt; 4</formula>
    </cfRule>
  </conditionalFormatting>
  <conditionalFormatting sqref="F85">
    <cfRule type="expression" dxfId="1414" priority="26">
      <formula>kvartal &lt; 4</formula>
    </cfRule>
  </conditionalFormatting>
  <conditionalFormatting sqref="G85">
    <cfRule type="expression" dxfId="1413" priority="25">
      <formula>kvartal &lt; 4</formula>
    </cfRule>
  </conditionalFormatting>
  <conditionalFormatting sqref="F92">
    <cfRule type="expression" dxfId="1412" priority="24">
      <formula>kvartal &lt; 4</formula>
    </cfRule>
  </conditionalFormatting>
  <conditionalFormatting sqref="G92">
    <cfRule type="expression" dxfId="1411" priority="23">
      <formula>kvartal &lt; 4</formula>
    </cfRule>
  </conditionalFormatting>
  <conditionalFormatting sqref="F95">
    <cfRule type="expression" dxfId="1410" priority="22">
      <formula>kvartal &lt; 4</formula>
    </cfRule>
  </conditionalFormatting>
  <conditionalFormatting sqref="G95">
    <cfRule type="expression" dxfId="1409" priority="21">
      <formula>kvartal &lt; 4</formula>
    </cfRule>
  </conditionalFormatting>
  <conditionalFormatting sqref="F102">
    <cfRule type="expression" dxfId="1408" priority="20">
      <formula>kvartal &lt; 4</formula>
    </cfRule>
  </conditionalFormatting>
  <conditionalFormatting sqref="G102">
    <cfRule type="expression" dxfId="1407" priority="19">
      <formula>kvartal &lt; 4</formula>
    </cfRule>
  </conditionalFormatting>
  <conditionalFormatting sqref="F105">
    <cfRule type="expression" dxfId="1406" priority="18">
      <formula>kvartal &lt; 4</formula>
    </cfRule>
  </conditionalFormatting>
  <conditionalFormatting sqref="G105">
    <cfRule type="expression" dxfId="1405" priority="17">
      <formula>kvartal &lt; 4</formula>
    </cfRule>
  </conditionalFormatting>
  <conditionalFormatting sqref="F112">
    <cfRule type="expression" dxfId="1404" priority="16">
      <formula>kvartal &lt; 4</formula>
    </cfRule>
  </conditionalFormatting>
  <conditionalFormatting sqref="G112">
    <cfRule type="expression" dxfId="1403" priority="15">
      <formula>kvartal &lt; 4</formula>
    </cfRule>
  </conditionalFormatting>
  <conditionalFormatting sqref="F115">
    <cfRule type="expression" dxfId="1402" priority="14">
      <formula>kvartal &lt; 4</formula>
    </cfRule>
  </conditionalFormatting>
  <conditionalFormatting sqref="G115">
    <cfRule type="expression" dxfId="1401" priority="13">
      <formula>kvartal &lt; 4</formula>
    </cfRule>
  </conditionalFormatting>
  <conditionalFormatting sqref="F122">
    <cfRule type="expression" dxfId="1400" priority="12">
      <formula>kvartal &lt; 4</formula>
    </cfRule>
  </conditionalFormatting>
  <conditionalFormatting sqref="G122">
    <cfRule type="expression" dxfId="1399" priority="11">
      <formula>kvartal &lt; 4</formula>
    </cfRule>
  </conditionalFormatting>
  <conditionalFormatting sqref="F125">
    <cfRule type="expression" dxfId="1398" priority="10">
      <formula>kvartal &lt; 4</formula>
    </cfRule>
  </conditionalFormatting>
  <conditionalFormatting sqref="G125">
    <cfRule type="expression" dxfId="1397" priority="9">
      <formula>kvartal &lt; 4</formula>
    </cfRule>
  </conditionalFormatting>
  <conditionalFormatting sqref="F132">
    <cfRule type="expression" dxfId="1396" priority="8">
      <formula>kvartal &lt; 4</formula>
    </cfRule>
  </conditionalFormatting>
  <conditionalFormatting sqref="G132">
    <cfRule type="expression" dxfId="1395" priority="7">
      <formula>kvartal &lt; 4</formula>
    </cfRule>
  </conditionalFormatting>
  <conditionalFormatting sqref="F135">
    <cfRule type="expression" dxfId="1394" priority="6">
      <formula>kvartal &lt; 4</formula>
    </cfRule>
  </conditionalFormatting>
  <conditionalFormatting sqref="G135">
    <cfRule type="expression" dxfId="1393" priority="5">
      <formula>kvartal &lt; 4</formula>
    </cfRule>
  </conditionalFormatting>
  <conditionalFormatting sqref="F146">
    <cfRule type="expression" dxfId="1392" priority="4">
      <formula>kvartal &lt; 4</formula>
    </cfRule>
  </conditionalFormatting>
  <conditionalFormatting sqref="G146">
    <cfRule type="expression" dxfId="1391" priority="3">
      <formula>kvartal &lt; 4</formula>
    </cfRule>
  </conditionalFormatting>
  <conditionalFormatting sqref="F154">
    <cfRule type="expression" dxfId="1390" priority="2">
      <formula>kvartal &lt; 4</formula>
    </cfRule>
  </conditionalFormatting>
  <conditionalFormatting sqref="G154">
    <cfRule type="expression" dxfId="1389" priority="1">
      <formula>kvartal &lt; 4</formula>
    </cfRule>
  </conditionalFormatting>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dimension ref="A1:N176"/>
  <sheetViews>
    <sheetView showGridLines="0" zoomScale="90" zoomScaleNormal="90" workbookViewId="0">
      <selection activeCell="A4" sqref="A4"/>
    </sheetView>
  </sheetViews>
  <sheetFormatPr baseColWidth="10" defaultColWidth="11.42578125" defaultRowHeight="12.75" x14ac:dyDescent="0.2"/>
  <cols>
    <col min="1" max="1" width="41.5703125" style="143" customWidth="1"/>
    <col min="2" max="2" width="10.85546875" style="143" customWidth="1"/>
    <col min="3" max="3" width="11" style="143" customWidth="1"/>
    <col min="4" max="5" width="8.7109375" style="143" customWidth="1"/>
    <col min="6" max="7" width="10.85546875" style="143" customWidth="1"/>
    <col min="8" max="9" width="8.7109375" style="143" customWidth="1"/>
    <col min="10" max="11" width="10.85546875" style="143" customWidth="1"/>
    <col min="12" max="13" width="8.7109375" style="143" customWidth="1"/>
    <col min="14" max="14" width="11.42578125" style="143"/>
    <col min="15" max="16384" width="11.42578125" style="1"/>
  </cols>
  <sheetData>
    <row r="1" spans="1:14" x14ac:dyDescent="0.2">
      <c r="A1" s="165" t="s">
        <v>159</v>
      </c>
      <c r="B1" s="401"/>
      <c r="C1" s="245" t="s">
        <v>166</v>
      </c>
      <c r="D1" s="20"/>
      <c r="E1" s="20"/>
      <c r="F1" s="20"/>
      <c r="G1" s="20"/>
      <c r="H1" s="20"/>
      <c r="I1" s="20"/>
      <c r="J1" s="20"/>
      <c r="K1" s="20"/>
      <c r="L1" s="20"/>
      <c r="M1" s="20"/>
    </row>
    <row r="2" spans="1:14" ht="15.75" x14ac:dyDescent="0.25">
      <c r="A2" s="158" t="s">
        <v>36</v>
      </c>
      <c r="B2" s="835"/>
      <c r="C2" s="835"/>
      <c r="D2" s="835"/>
      <c r="E2" s="301"/>
      <c r="F2" s="835"/>
      <c r="G2" s="835"/>
      <c r="H2" s="835"/>
      <c r="I2" s="301"/>
      <c r="J2" s="835"/>
      <c r="K2" s="835"/>
      <c r="L2" s="835"/>
      <c r="M2" s="301"/>
    </row>
    <row r="3" spans="1:14" ht="15.75" x14ac:dyDescent="0.25">
      <c r="A3" s="156"/>
      <c r="B3" s="301"/>
      <c r="C3" s="301"/>
      <c r="D3" s="301"/>
      <c r="E3" s="301"/>
      <c r="F3" s="301"/>
      <c r="G3" s="301"/>
      <c r="H3" s="301"/>
      <c r="I3" s="301"/>
      <c r="J3" s="301"/>
      <c r="K3" s="301"/>
      <c r="L3" s="301"/>
      <c r="M3" s="301"/>
    </row>
    <row r="4" spans="1:14" x14ac:dyDescent="0.2">
      <c r="A4" s="138"/>
      <c r="B4" s="808" t="s">
        <v>0</v>
      </c>
      <c r="C4" s="802"/>
      <c r="D4" s="802"/>
      <c r="E4" s="802"/>
      <c r="F4" s="808" t="s">
        <v>1</v>
      </c>
      <c r="G4" s="802"/>
      <c r="H4" s="802"/>
      <c r="I4" s="803"/>
      <c r="J4" s="801" t="s">
        <v>2</v>
      </c>
      <c r="K4" s="802"/>
      <c r="L4" s="802"/>
      <c r="M4" s="803"/>
    </row>
    <row r="5" spans="1:14" x14ac:dyDescent="0.2">
      <c r="A5" s="151"/>
      <c r="B5" s="145" t="s">
        <v>400</v>
      </c>
      <c r="C5" s="145" t="s">
        <v>401</v>
      </c>
      <c r="D5" s="242" t="s">
        <v>3</v>
      </c>
      <c r="E5" s="307" t="s">
        <v>37</v>
      </c>
      <c r="F5" s="145" t="s">
        <v>400</v>
      </c>
      <c r="G5" s="145" t="s">
        <v>401</v>
      </c>
      <c r="H5" s="242" t="s">
        <v>3</v>
      </c>
      <c r="I5" s="307" t="s">
        <v>37</v>
      </c>
      <c r="J5" s="145" t="s">
        <v>400</v>
      </c>
      <c r="K5" s="145" t="s">
        <v>401</v>
      </c>
      <c r="L5" s="242" t="s">
        <v>3</v>
      </c>
      <c r="M5" s="155" t="s">
        <v>37</v>
      </c>
    </row>
    <row r="6" spans="1:14" x14ac:dyDescent="0.2">
      <c r="A6" s="402"/>
      <c r="B6" s="149"/>
      <c r="C6" s="149"/>
      <c r="D6" s="243" t="s">
        <v>4</v>
      </c>
      <c r="E6" s="149" t="s">
        <v>38</v>
      </c>
      <c r="F6" s="154"/>
      <c r="G6" s="154"/>
      <c r="H6" s="242" t="s">
        <v>4</v>
      </c>
      <c r="I6" s="149" t="s">
        <v>38</v>
      </c>
      <c r="J6" s="154"/>
      <c r="K6" s="154"/>
      <c r="L6" s="242" t="s">
        <v>4</v>
      </c>
      <c r="M6" s="149" t="s">
        <v>38</v>
      </c>
    </row>
    <row r="7" spans="1:14" ht="15.75" x14ac:dyDescent="0.2">
      <c r="A7" s="12" t="s">
        <v>30</v>
      </c>
      <c r="B7" s="308"/>
      <c r="C7" s="309"/>
      <c r="D7" s="251"/>
      <c r="E7" s="170"/>
      <c r="F7" s="308"/>
      <c r="G7" s="309"/>
      <c r="H7" s="251"/>
      <c r="I7" s="170"/>
      <c r="J7" s="310"/>
      <c r="K7" s="311"/>
      <c r="L7" s="255"/>
      <c r="M7" s="170"/>
    </row>
    <row r="8" spans="1:14" ht="15.75" x14ac:dyDescent="0.2">
      <c r="A8" s="18" t="s">
        <v>32</v>
      </c>
      <c r="B8" s="282"/>
      <c r="C8" s="283"/>
      <c r="D8" s="159"/>
      <c r="E8" s="170"/>
      <c r="F8" s="286"/>
      <c r="G8" s="287"/>
      <c r="H8" s="159"/>
      <c r="I8" s="170"/>
      <c r="J8" s="229"/>
      <c r="K8" s="288"/>
      <c r="L8" s="256"/>
      <c r="M8" s="170"/>
    </row>
    <row r="9" spans="1:14" ht="15.75" x14ac:dyDescent="0.2">
      <c r="A9" s="18" t="s">
        <v>31</v>
      </c>
      <c r="B9" s="282"/>
      <c r="C9" s="283"/>
      <c r="D9" s="159"/>
      <c r="E9" s="170"/>
      <c r="F9" s="286"/>
      <c r="G9" s="287"/>
      <c r="H9" s="159"/>
      <c r="I9" s="170"/>
      <c r="J9" s="229"/>
      <c r="K9" s="288"/>
      <c r="L9" s="256"/>
      <c r="M9" s="170"/>
    </row>
    <row r="10" spans="1:14" ht="15.75" x14ac:dyDescent="0.2">
      <c r="A10" s="11" t="s">
        <v>29</v>
      </c>
      <c r="B10" s="312"/>
      <c r="C10" s="313"/>
      <c r="D10" s="159"/>
      <c r="E10" s="170"/>
      <c r="F10" s="312"/>
      <c r="G10" s="313"/>
      <c r="H10" s="159"/>
      <c r="I10" s="170"/>
      <c r="J10" s="310"/>
      <c r="K10" s="311"/>
      <c r="L10" s="256"/>
      <c r="M10" s="170"/>
    </row>
    <row r="11" spans="1:14" ht="15.75" x14ac:dyDescent="0.2">
      <c r="A11" s="18" t="s">
        <v>32</v>
      </c>
      <c r="B11" s="282"/>
      <c r="C11" s="283"/>
      <c r="D11" s="159"/>
      <c r="E11" s="170"/>
      <c r="F11" s="286"/>
      <c r="G11" s="287"/>
      <c r="H11" s="159"/>
      <c r="I11" s="170"/>
      <c r="J11" s="229"/>
      <c r="K11" s="288"/>
      <c r="L11" s="256"/>
      <c r="M11" s="170"/>
    </row>
    <row r="12" spans="1:14" ht="15.75" x14ac:dyDescent="0.2">
      <c r="A12" s="18" t="s">
        <v>31</v>
      </c>
      <c r="B12" s="282"/>
      <c r="C12" s="283"/>
      <c r="D12" s="159"/>
      <c r="E12" s="170"/>
      <c r="F12" s="286"/>
      <c r="G12" s="287"/>
      <c r="H12" s="159"/>
      <c r="I12" s="170"/>
      <c r="J12" s="229"/>
      <c r="K12" s="288"/>
      <c r="L12" s="256"/>
      <c r="M12" s="170"/>
    </row>
    <row r="13" spans="1:14" ht="15.75" x14ac:dyDescent="0.2">
      <c r="A13" s="11" t="s">
        <v>28</v>
      </c>
      <c r="B13" s="312"/>
      <c r="C13" s="313"/>
      <c r="D13" s="159"/>
      <c r="E13" s="170"/>
      <c r="F13" s="312"/>
      <c r="G13" s="313"/>
      <c r="H13" s="159"/>
      <c r="I13" s="170"/>
      <c r="J13" s="310"/>
      <c r="K13" s="311"/>
      <c r="L13" s="256"/>
      <c r="M13" s="170"/>
    </row>
    <row r="14" spans="1:14" s="36" customFormat="1" ht="15.75" x14ac:dyDescent="0.2">
      <c r="A14" s="11" t="s">
        <v>27</v>
      </c>
      <c r="B14" s="312"/>
      <c r="C14" s="313"/>
      <c r="D14" s="159"/>
      <c r="E14" s="170"/>
      <c r="F14" s="312"/>
      <c r="G14" s="313"/>
      <c r="H14" s="159"/>
      <c r="I14" s="170"/>
      <c r="J14" s="310"/>
      <c r="K14" s="311"/>
      <c r="L14" s="256"/>
      <c r="M14" s="170"/>
      <c r="N14" s="137"/>
    </row>
    <row r="15" spans="1:14" s="36" customFormat="1" ht="15.75" x14ac:dyDescent="0.2">
      <c r="A15" s="34" t="s">
        <v>26</v>
      </c>
      <c r="B15" s="314"/>
      <c r="C15" s="315"/>
      <c r="D15" s="160"/>
      <c r="E15" s="160"/>
      <c r="F15" s="314"/>
      <c r="G15" s="315"/>
      <c r="H15" s="160"/>
      <c r="I15" s="160"/>
      <c r="J15" s="316"/>
      <c r="K15" s="317"/>
      <c r="L15" s="257"/>
      <c r="M15" s="160"/>
      <c r="N15" s="137"/>
    </row>
    <row r="16" spans="1:14" s="36" customFormat="1" x14ac:dyDescent="0.2">
      <c r="A16" s="161"/>
      <c r="B16" s="139"/>
      <c r="C16" s="27"/>
      <c r="D16" s="152"/>
      <c r="E16" s="152"/>
      <c r="F16" s="139"/>
      <c r="G16" s="27"/>
      <c r="H16" s="152"/>
      <c r="I16" s="152"/>
      <c r="J16" s="41"/>
      <c r="K16" s="41"/>
      <c r="L16" s="152"/>
      <c r="M16" s="152"/>
      <c r="N16" s="137"/>
    </row>
    <row r="17" spans="1:14" x14ac:dyDescent="0.2">
      <c r="A17" s="146" t="s">
        <v>307</v>
      </c>
      <c r="B17" s="20"/>
    </row>
    <row r="18" spans="1:14" x14ac:dyDescent="0.2">
      <c r="F18" s="140"/>
      <c r="G18" s="140"/>
      <c r="H18" s="140"/>
      <c r="I18" s="140"/>
      <c r="J18" s="140"/>
      <c r="K18" s="140"/>
      <c r="L18" s="140"/>
      <c r="M18" s="140"/>
    </row>
    <row r="19" spans="1:14" s="3" customFormat="1" ht="15.75" x14ac:dyDescent="0.25">
      <c r="A19" s="157"/>
      <c r="B19" s="142"/>
      <c r="C19" s="147"/>
      <c r="D19" s="147"/>
      <c r="E19" s="147"/>
      <c r="F19" s="147"/>
      <c r="G19" s="147"/>
      <c r="H19" s="147"/>
      <c r="I19" s="147"/>
      <c r="J19" s="147"/>
      <c r="K19" s="147"/>
      <c r="L19" s="147"/>
      <c r="M19" s="147"/>
      <c r="N19" s="142"/>
    </row>
    <row r="20" spans="1:14" ht="15.75" x14ac:dyDescent="0.25">
      <c r="A20" s="141" t="s">
        <v>304</v>
      </c>
      <c r="B20" s="150"/>
      <c r="C20" s="150"/>
      <c r="D20" s="144"/>
      <c r="E20" s="144"/>
      <c r="F20" s="150"/>
      <c r="G20" s="150"/>
      <c r="H20" s="150"/>
      <c r="I20" s="150"/>
      <c r="J20" s="150"/>
      <c r="K20" s="150"/>
      <c r="L20" s="150"/>
      <c r="M20" s="150"/>
    </row>
    <row r="21" spans="1:14" ht="15.75" x14ac:dyDescent="0.25">
      <c r="B21" s="832"/>
      <c r="C21" s="832"/>
      <c r="D21" s="832"/>
      <c r="E21" s="301"/>
      <c r="F21" s="832"/>
      <c r="G21" s="832"/>
      <c r="H21" s="832"/>
      <c r="I21" s="301"/>
      <c r="J21" s="832"/>
      <c r="K21" s="832"/>
      <c r="L21" s="832"/>
      <c r="M21" s="301"/>
    </row>
    <row r="22" spans="1:14" x14ac:dyDescent="0.2">
      <c r="A22" s="138"/>
      <c r="B22" s="833" t="s">
        <v>0</v>
      </c>
      <c r="C22" s="834"/>
      <c r="D22" s="834"/>
      <c r="E22" s="303"/>
      <c r="F22" s="833" t="s">
        <v>1</v>
      </c>
      <c r="G22" s="834"/>
      <c r="H22" s="834"/>
      <c r="I22" s="306"/>
      <c r="J22" s="833" t="s">
        <v>2</v>
      </c>
      <c r="K22" s="834"/>
      <c r="L22" s="834"/>
      <c r="M22" s="306"/>
    </row>
    <row r="23" spans="1:14" x14ac:dyDescent="0.2">
      <c r="A23" s="134" t="s">
        <v>5</v>
      </c>
      <c r="B23" s="145" t="s">
        <v>400</v>
      </c>
      <c r="C23" s="145" t="s">
        <v>401</v>
      </c>
      <c r="D23" s="242" t="s">
        <v>3</v>
      </c>
      <c r="E23" s="307" t="s">
        <v>37</v>
      </c>
      <c r="F23" s="145" t="s">
        <v>400</v>
      </c>
      <c r="G23" s="145" t="s">
        <v>401</v>
      </c>
      <c r="H23" s="242" t="s">
        <v>3</v>
      </c>
      <c r="I23" s="307" t="s">
        <v>37</v>
      </c>
      <c r="J23" s="145" t="s">
        <v>400</v>
      </c>
      <c r="K23" s="145" t="s">
        <v>401</v>
      </c>
      <c r="L23" s="242" t="s">
        <v>3</v>
      </c>
      <c r="M23" s="155" t="s">
        <v>37</v>
      </c>
    </row>
    <row r="24" spans="1:14" x14ac:dyDescent="0.2">
      <c r="A24" s="403"/>
      <c r="B24" s="149"/>
      <c r="C24" s="149"/>
      <c r="D24" s="243" t="s">
        <v>4</v>
      </c>
      <c r="E24" s="149" t="s">
        <v>38</v>
      </c>
      <c r="F24" s="154"/>
      <c r="G24" s="154"/>
      <c r="H24" s="242" t="s">
        <v>4</v>
      </c>
      <c r="I24" s="149" t="s">
        <v>38</v>
      </c>
      <c r="J24" s="154"/>
      <c r="K24" s="154"/>
      <c r="L24" s="242" t="s">
        <v>4</v>
      </c>
      <c r="M24" s="149" t="s">
        <v>38</v>
      </c>
    </row>
    <row r="25" spans="1:14" ht="15.75" x14ac:dyDescent="0.2">
      <c r="A25" s="12" t="s">
        <v>30</v>
      </c>
      <c r="B25" s="318"/>
      <c r="C25" s="319"/>
      <c r="D25" s="251"/>
      <c r="E25" s="170"/>
      <c r="F25" s="320"/>
      <c r="G25" s="319"/>
      <c r="H25" s="251"/>
      <c r="I25" s="170"/>
      <c r="J25" s="318"/>
      <c r="K25" s="318"/>
      <c r="L25" s="255"/>
      <c r="M25" s="159"/>
    </row>
    <row r="26" spans="1:14" ht="15.75" x14ac:dyDescent="0.2">
      <c r="A26" s="298" t="s">
        <v>318</v>
      </c>
      <c r="B26" s="291"/>
      <c r="C26" s="291"/>
      <c r="D26" s="159"/>
      <c r="E26" s="237"/>
      <c r="F26" s="291"/>
      <c r="G26" s="291"/>
      <c r="H26" s="159"/>
      <c r="I26" s="237"/>
      <c r="J26" s="291"/>
      <c r="K26" s="291"/>
      <c r="L26" s="159"/>
      <c r="M26" s="159"/>
    </row>
    <row r="27" spans="1:14" ht="15.75" x14ac:dyDescent="0.2">
      <c r="A27" s="298" t="s">
        <v>319</v>
      </c>
      <c r="B27" s="291"/>
      <c r="C27" s="291"/>
      <c r="D27" s="159"/>
      <c r="E27" s="237"/>
      <c r="F27" s="291"/>
      <c r="G27" s="291"/>
      <c r="H27" s="159"/>
      <c r="I27" s="237"/>
      <c r="J27" s="291"/>
      <c r="K27" s="291"/>
      <c r="L27" s="159"/>
      <c r="M27" s="159"/>
    </row>
    <row r="28" spans="1:14" ht="15.75" x14ac:dyDescent="0.2">
      <c r="A28" s="298" t="s">
        <v>320</v>
      </c>
      <c r="B28" s="291"/>
      <c r="C28" s="291"/>
      <c r="D28" s="159"/>
      <c r="E28" s="237"/>
      <c r="F28" s="291"/>
      <c r="G28" s="291"/>
      <c r="H28" s="159"/>
      <c r="I28" s="237"/>
      <c r="J28" s="291"/>
      <c r="K28" s="291"/>
      <c r="L28" s="159"/>
      <c r="M28" s="159"/>
    </row>
    <row r="29" spans="1:14" x14ac:dyDescent="0.2">
      <c r="A29" s="298" t="s">
        <v>11</v>
      </c>
      <c r="B29" s="291"/>
      <c r="C29" s="291"/>
      <c r="D29" s="159"/>
      <c r="E29" s="237"/>
      <c r="F29" s="291"/>
      <c r="G29" s="291"/>
      <c r="H29" s="159"/>
      <c r="I29" s="237"/>
      <c r="J29" s="291"/>
      <c r="K29" s="291"/>
      <c r="L29" s="159"/>
      <c r="M29" s="159"/>
    </row>
    <row r="30" spans="1:14" ht="15.75" x14ac:dyDescent="0.2">
      <c r="A30" s="42" t="s">
        <v>308</v>
      </c>
      <c r="B30" s="37"/>
      <c r="C30" s="288"/>
      <c r="D30" s="159"/>
      <c r="E30" s="170"/>
      <c r="F30" s="229"/>
      <c r="G30" s="288"/>
      <c r="H30" s="159"/>
      <c r="I30" s="170"/>
      <c r="J30" s="37"/>
      <c r="K30" s="37"/>
      <c r="L30" s="256"/>
      <c r="M30" s="159"/>
    </row>
    <row r="31" spans="1:14" ht="15.75" x14ac:dyDescent="0.2">
      <c r="A31" s="11" t="s">
        <v>29</v>
      </c>
      <c r="B31" s="231"/>
      <c r="C31" s="231"/>
      <c r="D31" s="159"/>
      <c r="E31" s="170"/>
      <c r="F31" s="310"/>
      <c r="G31" s="310"/>
      <c r="H31" s="159"/>
      <c r="I31" s="170"/>
      <c r="J31" s="231"/>
      <c r="K31" s="231"/>
      <c r="L31" s="256"/>
      <c r="M31" s="159"/>
    </row>
    <row r="32" spans="1:14" ht="15.75" x14ac:dyDescent="0.2">
      <c r="A32" s="298" t="s">
        <v>318</v>
      </c>
      <c r="B32" s="291"/>
      <c r="C32" s="291"/>
      <c r="D32" s="159"/>
      <c r="E32" s="237"/>
      <c r="F32" s="291"/>
      <c r="G32" s="291"/>
      <c r="H32" s="159"/>
      <c r="I32" s="237"/>
      <c r="J32" s="291"/>
      <c r="K32" s="291"/>
      <c r="L32" s="159"/>
      <c r="M32" s="159"/>
    </row>
    <row r="33" spans="1:14" ht="15.75" x14ac:dyDescent="0.2">
      <c r="A33" s="298" t="s">
        <v>320</v>
      </c>
      <c r="B33" s="291"/>
      <c r="C33" s="291"/>
      <c r="D33" s="159"/>
      <c r="E33" s="237"/>
      <c r="F33" s="291"/>
      <c r="G33" s="291"/>
      <c r="H33" s="159"/>
      <c r="I33" s="237"/>
      <c r="J33" s="291"/>
      <c r="K33" s="291"/>
      <c r="L33" s="159"/>
      <c r="M33" s="159"/>
    </row>
    <row r="34" spans="1:14" s="21" customFormat="1" x14ac:dyDescent="0.2">
      <c r="A34" s="298" t="s">
        <v>16</v>
      </c>
      <c r="B34" s="291"/>
      <c r="C34" s="291"/>
      <c r="D34" s="159"/>
      <c r="E34" s="237"/>
      <c r="F34" s="291"/>
      <c r="G34" s="291"/>
      <c r="H34" s="159"/>
      <c r="I34" s="237"/>
      <c r="J34" s="291"/>
      <c r="K34" s="291"/>
      <c r="L34" s="159"/>
      <c r="M34" s="159"/>
      <c r="N34" s="166"/>
    </row>
    <row r="35" spans="1:14" ht="15.75" x14ac:dyDescent="0.2">
      <c r="A35" s="42" t="s">
        <v>308</v>
      </c>
      <c r="B35" s="37"/>
      <c r="C35" s="288"/>
      <c r="D35" s="159"/>
      <c r="E35" s="170"/>
      <c r="F35" s="229"/>
      <c r="G35" s="288"/>
      <c r="H35" s="159"/>
      <c r="I35" s="170"/>
      <c r="J35" s="37"/>
      <c r="K35" s="37"/>
      <c r="L35" s="256"/>
      <c r="M35" s="159"/>
    </row>
    <row r="36" spans="1:14" s="3" customFormat="1" ht="15.75" x14ac:dyDescent="0.2">
      <c r="A36" s="11" t="s">
        <v>28</v>
      </c>
      <c r="B36" s="231"/>
      <c r="C36" s="311"/>
      <c r="D36" s="159"/>
      <c r="E36" s="170"/>
      <c r="F36" s="310"/>
      <c r="G36" s="311"/>
      <c r="H36" s="159"/>
      <c r="I36" s="170"/>
      <c r="J36" s="231"/>
      <c r="K36" s="231"/>
      <c r="L36" s="256"/>
      <c r="M36" s="159"/>
      <c r="N36" s="142"/>
    </row>
    <row r="37" spans="1:14" s="3" customFormat="1" ht="15.75" x14ac:dyDescent="0.2">
      <c r="A37" s="298" t="s">
        <v>318</v>
      </c>
      <c r="B37" s="291"/>
      <c r="C37" s="291"/>
      <c r="D37" s="159"/>
      <c r="E37" s="237"/>
      <c r="F37" s="291"/>
      <c r="G37" s="291"/>
      <c r="H37" s="159"/>
      <c r="I37" s="237"/>
      <c r="J37" s="291"/>
      <c r="K37" s="291"/>
      <c r="L37" s="159"/>
      <c r="M37" s="159"/>
      <c r="N37" s="142"/>
    </row>
    <row r="38" spans="1:14" s="3" customFormat="1" ht="15.75" x14ac:dyDescent="0.2">
      <c r="A38" s="298" t="s">
        <v>319</v>
      </c>
      <c r="B38" s="291"/>
      <c r="C38" s="291"/>
      <c r="D38" s="159"/>
      <c r="E38" s="237"/>
      <c r="F38" s="291"/>
      <c r="G38" s="291"/>
      <c r="H38" s="159"/>
      <c r="I38" s="237"/>
      <c r="J38" s="291"/>
      <c r="K38" s="291"/>
      <c r="L38" s="159"/>
      <c r="M38" s="159"/>
      <c r="N38" s="142"/>
    </row>
    <row r="39" spans="1:14" ht="15.75" x14ac:dyDescent="0.2">
      <c r="A39" s="298" t="s">
        <v>320</v>
      </c>
      <c r="B39" s="291"/>
      <c r="C39" s="291"/>
      <c r="D39" s="159"/>
      <c r="E39" s="237"/>
      <c r="F39" s="291"/>
      <c r="G39" s="291"/>
      <c r="H39" s="159"/>
      <c r="I39" s="237"/>
      <c r="J39" s="291"/>
      <c r="K39" s="291"/>
      <c r="L39" s="159"/>
      <c r="M39" s="159"/>
    </row>
    <row r="40" spans="1:14" ht="15.75" x14ac:dyDescent="0.2">
      <c r="A40" s="11" t="s">
        <v>27</v>
      </c>
      <c r="B40" s="231"/>
      <c r="C40" s="311"/>
      <c r="D40" s="159"/>
      <c r="E40" s="170"/>
      <c r="F40" s="310"/>
      <c r="G40" s="311"/>
      <c r="H40" s="159"/>
      <c r="I40" s="170"/>
      <c r="J40" s="231"/>
      <c r="K40" s="231"/>
      <c r="L40" s="256"/>
      <c r="M40" s="159"/>
    </row>
    <row r="41" spans="1:14" ht="15.75" x14ac:dyDescent="0.2">
      <c r="A41" s="11" t="s">
        <v>26</v>
      </c>
      <c r="B41" s="231"/>
      <c r="C41" s="311"/>
      <c r="D41" s="159"/>
      <c r="E41" s="170"/>
      <c r="F41" s="310"/>
      <c r="G41" s="311"/>
      <c r="H41" s="159"/>
      <c r="I41" s="170"/>
      <c r="J41" s="231"/>
      <c r="K41" s="231"/>
      <c r="L41" s="256"/>
      <c r="M41" s="159"/>
    </row>
    <row r="42" spans="1:14" ht="15.75" x14ac:dyDescent="0.2">
      <c r="A42" s="10" t="s">
        <v>321</v>
      </c>
      <c r="B42" s="231"/>
      <c r="C42" s="311"/>
      <c r="D42" s="159"/>
      <c r="E42" s="170"/>
      <c r="F42" s="321"/>
      <c r="G42" s="322"/>
      <c r="H42" s="159"/>
      <c r="I42" s="237"/>
      <c r="J42" s="231"/>
      <c r="K42" s="231"/>
      <c r="L42" s="256"/>
      <c r="M42" s="159"/>
    </row>
    <row r="43" spans="1:14" ht="15.75" x14ac:dyDescent="0.2">
      <c r="A43" s="10" t="s">
        <v>322</v>
      </c>
      <c r="B43" s="231"/>
      <c r="C43" s="311"/>
      <c r="D43" s="159"/>
      <c r="E43" s="170"/>
      <c r="F43" s="321"/>
      <c r="G43" s="322"/>
      <c r="H43" s="159"/>
      <c r="I43" s="237"/>
      <c r="J43" s="231"/>
      <c r="K43" s="231"/>
      <c r="L43" s="256"/>
      <c r="M43" s="159"/>
    </row>
    <row r="44" spans="1:14" ht="15.75" x14ac:dyDescent="0.2">
      <c r="A44" s="10" t="s">
        <v>323</v>
      </c>
      <c r="B44" s="231"/>
      <c r="C44" s="311"/>
      <c r="D44" s="159"/>
      <c r="E44" s="170"/>
      <c r="F44" s="321"/>
      <c r="G44" s="323"/>
      <c r="H44" s="159"/>
      <c r="I44" s="237"/>
      <c r="J44" s="231"/>
      <c r="K44" s="231"/>
      <c r="L44" s="256"/>
      <c r="M44" s="159"/>
    </row>
    <row r="45" spans="1:14" ht="15.75" x14ac:dyDescent="0.2">
      <c r="A45" s="10" t="s">
        <v>324</v>
      </c>
      <c r="B45" s="231"/>
      <c r="C45" s="311"/>
      <c r="D45" s="159"/>
      <c r="E45" s="170"/>
      <c r="F45" s="321"/>
      <c r="G45" s="322"/>
      <c r="H45" s="159"/>
      <c r="I45" s="237"/>
      <c r="J45" s="231"/>
      <c r="K45" s="231"/>
      <c r="L45" s="256"/>
      <c r="M45" s="159"/>
    </row>
    <row r="46" spans="1:14" ht="15.75" x14ac:dyDescent="0.2">
      <c r="A46" s="16" t="s">
        <v>325</v>
      </c>
      <c r="B46" s="277"/>
      <c r="C46" s="317"/>
      <c r="D46" s="160"/>
      <c r="E46" s="201"/>
      <c r="F46" s="324"/>
      <c r="G46" s="325"/>
      <c r="H46" s="160"/>
      <c r="I46" s="160"/>
      <c r="J46" s="231"/>
      <c r="K46" s="231"/>
      <c r="L46" s="257"/>
      <c r="M46" s="160"/>
    </row>
    <row r="47" spans="1:14" ht="15.75" x14ac:dyDescent="0.25">
      <c r="A47" s="40"/>
      <c r="B47" s="254"/>
      <c r="C47" s="254"/>
      <c r="D47" s="836"/>
      <c r="E47" s="836"/>
      <c r="F47" s="836"/>
      <c r="G47" s="836"/>
      <c r="H47" s="836"/>
      <c r="I47" s="836"/>
      <c r="J47" s="836"/>
      <c r="K47" s="836"/>
      <c r="L47" s="836"/>
      <c r="M47" s="304"/>
    </row>
    <row r="48" spans="1:14" x14ac:dyDescent="0.2">
      <c r="A48" s="148"/>
    </row>
    <row r="49" spans="1:14" ht="15.75" x14ac:dyDescent="0.25">
      <c r="A49" s="141" t="s">
        <v>305</v>
      </c>
      <c r="B49" s="835"/>
      <c r="C49" s="835"/>
      <c r="D49" s="835"/>
      <c r="E49" s="301"/>
      <c r="F49" s="837"/>
      <c r="G49" s="837"/>
      <c r="H49" s="837"/>
      <c r="I49" s="304"/>
      <c r="J49" s="837"/>
      <c r="K49" s="837"/>
      <c r="L49" s="837"/>
      <c r="M49" s="304"/>
    </row>
    <row r="50" spans="1:14" ht="15.75" x14ac:dyDescent="0.25">
      <c r="A50" s="156"/>
      <c r="B50" s="305"/>
      <c r="C50" s="305"/>
      <c r="D50" s="305"/>
      <c r="E50" s="305"/>
      <c r="F50" s="304"/>
      <c r="G50" s="304"/>
      <c r="H50" s="304"/>
      <c r="I50" s="304"/>
      <c r="J50" s="304"/>
      <c r="K50" s="304"/>
      <c r="L50" s="304"/>
      <c r="M50" s="304"/>
    </row>
    <row r="51" spans="1:14" ht="15.75" x14ac:dyDescent="0.25">
      <c r="A51" s="244"/>
      <c r="B51" s="833" t="s">
        <v>0</v>
      </c>
      <c r="C51" s="834"/>
      <c r="D51" s="834"/>
      <c r="E51" s="240"/>
      <c r="F51" s="304"/>
      <c r="G51" s="304"/>
      <c r="H51" s="304"/>
      <c r="I51" s="304"/>
      <c r="J51" s="304"/>
      <c r="K51" s="304"/>
      <c r="L51" s="304"/>
      <c r="M51" s="304"/>
    </row>
    <row r="52" spans="1:14" s="3" customFormat="1" x14ac:dyDescent="0.2">
      <c r="A52" s="134"/>
      <c r="B52" s="167" t="s">
        <v>400</v>
      </c>
      <c r="C52" s="167" t="s">
        <v>401</v>
      </c>
      <c r="D52" s="155" t="s">
        <v>3</v>
      </c>
      <c r="E52" s="155" t="s">
        <v>37</v>
      </c>
      <c r="F52" s="169"/>
      <c r="G52" s="169"/>
      <c r="H52" s="168"/>
      <c r="I52" s="168"/>
      <c r="J52" s="169"/>
      <c r="K52" s="169"/>
      <c r="L52" s="168"/>
      <c r="M52" s="168"/>
      <c r="N52" s="142"/>
    </row>
    <row r="53" spans="1:14" s="3" customFormat="1" x14ac:dyDescent="0.2">
      <c r="A53" s="403"/>
      <c r="B53" s="241"/>
      <c r="C53" s="241"/>
      <c r="D53" s="242" t="s">
        <v>4</v>
      </c>
      <c r="E53" s="149" t="s">
        <v>38</v>
      </c>
      <c r="F53" s="168"/>
      <c r="G53" s="168"/>
      <c r="H53" s="168"/>
      <c r="I53" s="168"/>
      <c r="J53" s="168"/>
      <c r="K53" s="168"/>
      <c r="L53" s="168"/>
      <c r="M53" s="168"/>
      <c r="N53" s="142"/>
    </row>
    <row r="54" spans="1:14" s="3" customFormat="1" ht="15.75" x14ac:dyDescent="0.2">
      <c r="A54" s="12" t="s">
        <v>30</v>
      </c>
      <c r="B54" s="312"/>
      <c r="C54" s="313"/>
      <c r="D54" s="255"/>
      <c r="E54" s="170"/>
      <c r="F54" s="139"/>
      <c r="G54" s="27"/>
      <c r="H54" s="152"/>
      <c r="I54" s="152"/>
      <c r="J54" s="30"/>
      <c r="K54" s="30"/>
      <c r="L54" s="152"/>
      <c r="M54" s="152"/>
      <c r="N54" s="142"/>
    </row>
    <row r="55" spans="1:14" s="3" customFormat="1" ht="15.75" x14ac:dyDescent="0.2">
      <c r="A55" s="31" t="s">
        <v>326</v>
      </c>
      <c r="B55" s="282"/>
      <c r="C55" s="283"/>
      <c r="D55" s="256"/>
      <c r="E55" s="170"/>
      <c r="F55" s="139"/>
      <c r="G55" s="27"/>
      <c r="H55" s="139"/>
      <c r="I55" s="139"/>
      <c r="J55" s="27"/>
      <c r="K55" s="27"/>
      <c r="L55" s="152"/>
      <c r="M55" s="152"/>
      <c r="N55" s="142"/>
    </row>
    <row r="56" spans="1:14" s="3" customFormat="1" ht="15.75" x14ac:dyDescent="0.2">
      <c r="A56" s="31" t="s">
        <v>327</v>
      </c>
      <c r="B56" s="37"/>
      <c r="C56" s="288"/>
      <c r="D56" s="256"/>
      <c r="E56" s="170"/>
      <c r="F56" s="139"/>
      <c r="G56" s="27"/>
      <c r="H56" s="139"/>
      <c r="I56" s="139"/>
      <c r="J56" s="30"/>
      <c r="K56" s="30"/>
      <c r="L56" s="152"/>
      <c r="M56" s="152"/>
      <c r="N56" s="142"/>
    </row>
    <row r="57" spans="1:14" s="3" customFormat="1" x14ac:dyDescent="0.2">
      <c r="A57" s="298" t="s">
        <v>6</v>
      </c>
      <c r="B57" s="291"/>
      <c r="C57" s="292"/>
      <c r="D57" s="256"/>
      <c r="E57" s="159"/>
      <c r="F57" s="139"/>
      <c r="G57" s="27"/>
      <c r="H57" s="139"/>
      <c r="I57" s="139"/>
      <c r="J57" s="27"/>
      <c r="K57" s="27"/>
      <c r="L57" s="152"/>
      <c r="M57" s="152"/>
      <c r="N57" s="142"/>
    </row>
    <row r="58" spans="1:14" s="3" customFormat="1" x14ac:dyDescent="0.2">
      <c r="A58" s="298" t="s">
        <v>7</v>
      </c>
      <c r="B58" s="291"/>
      <c r="C58" s="292"/>
      <c r="D58" s="256"/>
      <c r="E58" s="159"/>
      <c r="F58" s="139"/>
      <c r="G58" s="27"/>
      <c r="H58" s="139"/>
      <c r="I58" s="139"/>
      <c r="J58" s="27"/>
      <c r="K58" s="27"/>
      <c r="L58" s="152"/>
      <c r="M58" s="152"/>
      <c r="N58" s="142"/>
    </row>
    <row r="59" spans="1:14" s="3" customFormat="1" x14ac:dyDescent="0.2">
      <c r="A59" s="298" t="s">
        <v>8</v>
      </c>
      <c r="B59" s="291"/>
      <c r="C59" s="292"/>
      <c r="D59" s="256"/>
      <c r="E59" s="159"/>
      <c r="F59" s="139"/>
      <c r="G59" s="27"/>
      <c r="H59" s="139"/>
      <c r="I59" s="139"/>
      <c r="J59" s="27"/>
      <c r="K59" s="27"/>
      <c r="L59" s="152"/>
      <c r="M59" s="152"/>
      <c r="N59" s="142"/>
    </row>
    <row r="60" spans="1:14" s="3" customFormat="1" ht="15.75" x14ac:dyDescent="0.2">
      <c r="A60" s="11" t="s">
        <v>29</v>
      </c>
      <c r="B60" s="312"/>
      <c r="C60" s="313"/>
      <c r="D60" s="256"/>
      <c r="E60" s="170"/>
      <c r="F60" s="139"/>
      <c r="G60" s="27"/>
      <c r="H60" s="139"/>
      <c r="I60" s="139"/>
      <c r="J60" s="27"/>
      <c r="K60" s="27"/>
      <c r="L60" s="152"/>
      <c r="M60" s="152"/>
      <c r="N60" s="142"/>
    </row>
    <row r="61" spans="1:14" s="3" customFormat="1" ht="15.75" x14ac:dyDescent="0.2">
      <c r="A61" s="31" t="s">
        <v>326</v>
      </c>
      <c r="B61" s="282"/>
      <c r="C61" s="283"/>
      <c r="D61" s="256"/>
      <c r="E61" s="170"/>
      <c r="F61" s="139"/>
      <c r="G61" s="27"/>
      <c r="H61" s="139"/>
      <c r="I61" s="139"/>
      <c r="J61" s="27"/>
      <c r="K61" s="27"/>
      <c r="L61" s="152"/>
      <c r="M61" s="152"/>
      <c r="N61" s="142"/>
    </row>
    <row r="62" spans="1:14" s="3" customFormat="1" ht="15.75" x14ac:dyDescent="0.2">
      <c r="A62" s="31" t="s">
        <v>327</v>
      </c>
      <c r="B62" s="37"/>
      <c r="C62" s="288"/>
      <c r="D62" s="256"/>
      <c r="E62" s="170"/>
      <c r="F62" s="139"/>
      <c r="G62" s="27"/>
      <c r="H62" s="139"/>
      <c r="I62" s="139"/>
      <c r="J62" s="27"/>
      <c r="K62" s="27"/>
      <c r="L62" s="152"/>
      <c r="M62" s="152"/>
      <c r="N62" s="142"/>
    </row>
    <row r="63" spans="1:14" s="3" customFormat="1" x14ac:dyDescent="0.2">
      <c r="A63" s="298" t="s">
        <v>6</v>
      </c>
      <c r="B63" s="282"/>
      <c r="C63" s="283"/>
      <c r="D63" s="256"/>
      <c r="E63" s="159"/>
      <c r="F63" s="139"/>
      <c r="G63" s="27"/>
      <c r="H63" s="139"/>
      <c r="I63" s="139"/>
      <c r="J63" s="27"/>
      <c r="K63" s="27"/>
      <c r="L63" s="152"/>
      <c r="M63" s="152"/>
      <c r="N63" s="142"/>
    </row>
    <row r="64" spans="1:14" s="3" customFormat="1" x14ac:dyDescent="0.2">
      <c r="A64" s="298" t="s">
        <v>7</v>
      </c>
      <c r="B64" s="282"/>
      <c r="C64" s="283"/>
      <c r="D64" s="256"/>
      <c r="E64" s="159"/>
      <c r="F64" s="139"/>
      <c r="G64" s="27"/>
      <c r="H64" s="139"/>
      <c r="I64" s="139"/>
      <c r="J64" s="27"/>
      <c r="K64" s="27"/>
      <c r="L64" s="152"/>
      <c r="M64" s="152"/>
      <c r="N64" s="142"/>
    </row>
    <row r="65" spans="1:14" s="3" customFormat="1" x14ac:dyDescent="0.2">
      <c r="A65" s="298" t="s">
        <v>8</v>
      </c>
      <c r="B65" s="282"/>
      <c r="C65" s="283"/>
      <c r="D65" s="256"/>
      <c r="E65" s="159"/>
      <c r="F65" s="139"/>
      <c r="G65" s="27"/>
      <c r="H65" s="139"/>
      <c r="I65" s="139"/>
      <c r="J65" s="27"/>
      <c r="K65" s="27"/>
      <c r="L65" s="152"/>
      <c r="M65" s="152"/>
      <c r="N65" s="142"/>
    </row>
    <row r="66" spans="1:14" s="3" customFormat="1" ht="15.75" x14ac:dyDescent="0.2">
      <c r="A66" s="32" t="s">
        <v>328</v>
      </c>
      <c r="B66" s="312"/>
      <c r="C66" s="313"/>
      <c r="D66" s="256"/>
      <c r="E66" s="170"/>
      <c r="F66" s="139"/>
      <c r="G66" s="27"/>
      <c r="H66" s="139"/>
      <c r="I66" s="139"/>
      <c r="J66" s="27"/>
      <c r="K66" s="27"/>
      <c r="L66" s="152"/>
      <c r="M66" s="152"/>
      <c r="N66" s="142"/>
    </row>
    <row r="67" spans="1:14" s="3" customFormat="1" ht="15.75" x14ac:dyDescent="0.2">
      <c r="A67" s="31" t="s">
        <v>326</v>
      </c>
      <c r="B67" s="282"/>
      <c r="C67" s="283"/>
      <c r="D67" s="256"/>
      <c r="E67" s="170"/>
      <c r="F67" s="139"/>
      <c r="G67" s="27"/>
      <c r="H67" s="139"/>
      <c r="I67" s="139"/>
      <c r="J67" s="27"/>
      <c r="K67" s="27"/>
      <c r="L67" s="152"/>
      <c r="M67" s="152"/>
      <c r="N67" s="142"/>
    </row>
    <row r="68" spans="1:14" s="3" customFormat="1" ht="15.75" x14ac:dyDescent="0.2">
      <c r="A68" s="31" t="s">
        <v>327</v>
      </c>
      <c r="B68" s="282"/>
      <c r="C68" s="283"/>
      <c r="D68" s="256"/>
      <c r="E68" s="170"/>
      <c r="F68" s="139"/>
      <c r="G68" s="27"/>
      <c r="H68" s="139"/>
      <c r="I68" s="139"/>
      <c r="J68" s="27"/>
      <c r="K68" s="27"/>
      <c r="L68" s="152"/>
      <c r="M68" s="152"/>
      <c r="N68" s="142"/>
    </row>
    <row r="69" spans="1:14" s="3" customFormat="1" ht="15.75" x14ac:dyDescent="0.2">
      <c r="A69" s="32" t="s">
        <v>329</v>
      </c>
      <c r="B69" s="312"/>
      <c r="C69" s="313"/>
      <c r="D69" s="256"/>
      <c r="E69" s="170"/>
      <c r="F69" s="139"/>
      <c r="G69" s="27"/>
      <c r="H69" s="139"/>
      <c r="I69" s="139"/>
      <c r="J69" s="27"/>
      <c r="K69" s="27"/>
      <c r="L69" s="152"/>
      <c r="M69" s="152"/>
      <c r="N69" s="142"/>
    </row>
    <row r="70" spans="1:14" s="3" customFormat="1" ht="15.75" x14ac:dyDescent="0.2">
      <c r="A70" s="31" t="s">
        <v>326</v>
      </c>
      <c r="B70" s="282"/>
      <c r="C70" s="283"/>
      <c r="D70" s="256"/>
      <c r="E70" s="170"/>
      <c r="F70" s="139"/>
      <c r="G70" s="27"/>
      <c r="H70" s="139"/>
      <c r="I70" s="139"/>
      <c r="J70" s="27"/>
      <c r="K70" s="27"/>
      <c r="L70" s="152"/>
      <c r="M70" s="152"/>
      <c r="N70" s="142"/>
    </row>
    <row r="71" spans="1:14" s="3" customFormat="1" ht="15.75" x14ac:dyDescent="0.2">
      <c r="A71" s="39" t="s">
        <v>327</v>
      </c>
      <c r="B71" s="284"/>
      <c r="C71" s="285"/>
      <c r="D71" s="257"/>
      <c r="E71" s="160"/>
      <c r="F71" s="139"/>
      <c r="G71" s="27"/>
      <c r="H71" s="139"/>
      <c r="I71" s="139"/>
      <c r="J71" s="27"/>
      <c r="K71" s="27"/>
      <c r="L71" s="152"/>
      <c r="M71" s="152"/>
      <c r="N71" s="142"/>
    </row>
    <row r="72" spans="1:14" s="3" customFormat="1" ht="15.75" x14ac:dyDescent="0.25">
      <c r="A72" s="157"/>
      <c r="B72" s="147"/>
      <c r="C72" s="147"/>
      <c r="D72" s="147"/>
      <c r="E72" s="147"/>
      <c r="F72" s="136"/>
      <c r="G72" s="136"/>
      <c r="H72" s="136"/>
      <c r="I72" s="136"/>
      <c r="J72" s="136"/>
      <c r="K72" s="136"/>
      <c r="L72" s="136"/>
      <c r="M72" s="136"/>
      <c r="N72" s="142"/>
    </row>
    <row r="73" spans="1:14" x14ac:dyDescent="0.2">
      <c r="A73" s="148"/>
    </row>
    <row r="74" spans="1:14" ht="15.75" x14ac:dyDescent="0.25">
      <c r="A74" s="141" t="s">
        <v>306</v>
      </c>
      <c r="C74" s="20"/>
      <c r="D74" s="20"/>
      <c r="E74" s="20"/>
      <c r="F74" s="20"/>
      <c r="G74" s="20"/>
      <c r="H74" s="20"/>
      <c r="I74" s="20"/>
      <c r="J74" s="20"/>
      <c r="K74" s="20"/>
      <c r="L74" s="20"/>
      <c r="M74" s="20"/>
    </row>
    <row r="75" spans="1:14" ht="15.75" x14ac:dyDescent="0.25">
      <c r="B75" s="832"/>
      <c r="C75" s="832"/>
      <c r="D75" s="832"/>
      <c r="E75" s="301"/>
      <c r="F75" s="832"/>
      <c r="G75" s="832"/>
      <c r="H75" s="832"/>
      <c r="I75" s="301"/>
      <c r="J75" s="832"/>
      <c r="K75" s="832"/>
      <c r="L75" s="832"/>
      <c r="M75" s="301"/>
    </row>
    <row r="76" spans="1:14" x14ac:dyDescent="0.2">
      <c r="A76" s="138"/>
      <c r="B76" s="833" t="s">
        <v>0</v>
      </c>
      <c r="C76" s="834"/>
      <c r="D76" s="838"/>
      <c r="E76" s="302"/>
      <c r="F76" s="834" t="s">
        <v>1</v>
      </c>
      <c r="G76" s="834"/>
      <c r="H76" s="834"/>
      <c r="I76" s="306"/>
      <c r="J76" s="833" t="s">
        <v>2</v>
      </c>
      <c r="K76" s="834"/>
      <c r="L76" s="834"/>
      <c r="M76" s="306"/>
    </row>
    <row r="77" spans="1:14" x14ac:dyDescent="0.2">
      <c r="A77" s="134"/>
      <c r="B77" s="145" t="s">
        <v>400</v>
      </c>
      <c r="C77" s="145" t="s">
        <v>401</v>
      </c>
      <c r="D77" s="242" t="s">
        <v>3</v>
      </c>
      <c r="E77" s="307" t="s">
        <v>37</v>
      </c>
      <c r="F77" s="145" t="s">
        <v>400</v>
      </c>
      <c r="G77" s="145" t="s">
        <v>401</v>
      </c>
      <c r="H77" s="242" t="s">
        <v>3</v>
      </c>
      <c r="I77" s="307" t="s">
        <v>37</v>
      </c>
      <c r="J77" s="145" t="s">
        <v>400</v>
      </c>
      <c r="K77" s="145" t="s">
        <v>401</v>
      </c>
      <c r="L77" s="242" t="s">
        <v>3</v>
      </c>
      <c r="M77" s="155" t="s">
        <v>37</v>
      </c>
    </row>
    <row r="78" spans="1:14" x14ac:dyDescent="0.2">
      <c r="A78" s="403"/>
      <c r="B78" s="149"/>
      <c r="C78" s="149"/>
      <c r="D78" s="243" t="s">
        <v>4</v>
      </c>
      <c r="E78" s="149" t="s">
        <v>38</v>
      </c>
      <c r="F78" s="154"/>
      <c r="G78" s="154"/>
      <c r="H78" s="242" t="s">
        <v>4</v>
      </c>
      <c r="I78" s="149" t="s">
        <v>38</v>
      </c>
      <c r="J78" s="154"/>
      <c r="K78" s="154"/>
      <c r="L78" s="242" t="s">
        <v>4</v>
      </c>
      <c r="M78" s="149" t="s">
        <v>38</v>
      </c>
    </row>
    <row r="79" spans="1:14" ht="15.75" x14ac:dyDescent="0.2">
      <c r="A79" s="12" t="s">
        <v>30</v>
      </c>
      <c r="B79" s="355">
        <v>123611</v>
      </c>
      <c r="C79" s="355">
        <v>115325</v>
      </c>
      <c r="D79" s="251">
        <f t="shared" ref="D79:D142" si="0">IF(B79=0, "    ---- ", IF(ABS(ROUND(100/B79*C79-100,1))&lt;999,ROUND(100/B79*C79-100,1),IF(ROUND(100/B79*C79-100,1)&gt;999,999,-999)))</f>
        <v>-6.7</v>
      </c>
      <c r="E79" s="170">
        <f>IFERROR(100/'Skjema total MA'!C79*C79,0)</f>
        <v>0.98789575848779176</v>
      </c>
      <c r="F79" s="354">
        <v>212431</v>
      </c>
      <c r="G79" s="354">
        <v>274248</v>
      </c>
      <c r="H79" s="251">
        <f t="shared" ref="H79:H142" si="1">IF(F79=0, "    ---- ", IF(ABS(ROUND(100/F79*G79-100,1))&lt;999,ROUND(100/F79*G79-100,1),IF(ROUND(100/F79*G79-100,1)&gt;999,999,-999)))</f>
        <v>29.1</v>
      </c>
      <c r="I79" s="170">
        <f>IFERROR(100/'Skjema total MA'!F79*G79,0)</f>
        <v>1.1869405336083851</v>
      </c>
      <c r="J79" s="311">
        <v>336042</v>
      </c>
      <c r="K79" s="318">
        <v>389573</v>
      </c>
      <c r="L79" s="255">
        <f t="shared" ref="L79:L142" si="2">IF(J79=0, "    ---- ", IF(ABS(ROUND(100/J79*K79-100,1))&lt;999,ROUND(100/J79*K79-100,1),IF(ROUND(100/J79*K79-100,1)&gt;999,999,-999)))</f>
        <v>15.9</v>
      </c>
      <c r="M79" s="170">
        <f>IFERROR(100/'Skjema total MA'!I79*K79,0)</f>
        <v>1.1201303247383263</v>
      </c>
    </row>
    <row r="80" spans="1:14" x14ac:dyDescent="0.2">
      <c r="A80" s="18" t="s">
        <v>9</v>
      </c>
      <c r="B80" s="37">
        <v>123611</v>
      </c>
      <c r="C80" s="139">
        <v>115325</v>
      </c>
      <c r="D80" s="159">
        <f t="shared" si="0"/>
        <v>-6.7</v>
      </c>
      <c r="E80" s="170">
        <f>IFERROR(100/'Skjema total MA'!C80*C80,0)</f>
        <v>1.0097297786319357</v>
      </c>
      <c r="F80" s="229"/>
      <c r="G80" s="139"/>
      <c r="H80" s="159"/>
      <c r="I80" s="170"/>
      <c r="J80" s="288">
        <v>123611</v>
      </c>
      <c r="K80" s="37">
        <v>115325</v>
      </c>
      <c r="L80" s="256">
        <f t="shared" si="2"/>
        <v>-6.7</v>
      </c>
      <c r="M80" s="170">
        <f>IFERROR(100/'Skjema total MA'!I80*K80,0)</f>
        <v>1.0097297786319357</v>
      </c>
    </row>
    <row r="81" spans="1:14" x14ac:dyDescent="0.2">
      <c r="A81" s="18" t="s">
        <v>10</v>
      </c>
      <c r="B81" s="293"/>
      <c r="C81" s="294"/>
      <c r="D81" s="159"/>
      <c r="E81" s="170"/>
      <c r="F81" s="293">
        <v>212431</v>
      </c>
      <c r="G81" s="294">
        <v>274248</v>
      </c>
      <c r="H81" s="159">
        <f t="shared" si="1"/>
        <v>29.1</v>
      </c>
      <c r="I81" s="170">
        <f>IFERROR(100/'Skjema total MA'!F81*G81,0)</f>
        <v>1.1977549755642054</v>
      </c>
      <c r="J81" s="288">
        <v>212431</v>
      </c>
      <c r="K81" s="37">
        <v>274248</v>
      </c>
      <c r="L81" s="256">
        <f t="shared" si="2"/>
        <v>29.1</v>
      </c>
      <c r="M81" s="170">
        <f>IFERROR(100/'Skjema total MA'!I81*K81,0)</f>
        <v>1.1888145570530475</v>
      </c>
    </row>
    <row r="82" spans="1:14" ht="15.75" x14ac:dyDescent="0.2">
      <c r="A82" s="298" t="s">
        <v>330</v>
      </c>
      <c r="B82" s="282"/>
      <c r="C82" s="282"/>
      <c r="D82" s="159"/>
      <c r="E82" s="237"/>
      <c r="F82" s="282"/>
      <c r="G82" s="282"/>
      <c r="H82" s="159"/>
      <c r="I82" s="237"/>
      <c r="J82" s="291"/>
      <c r="K82" s="291"/>
      <c r="L82" s="159"/>
      <c r="M82" s="159"/>
    </row>
    <row r="83" spans="1:14" x14ac:dyDescent="0.2">
      <c r="A83" s="298" t="s">
        <v>12</v>
      </c>
      <c r="B83" s="295"/>
      <c r="C83" s="296"/>
      <c r="D83" s="159"/>
      <c r="E83" s="237"/>
      <c r="F83" s="282"/>
      <c r="G83" s="282"/>
      <c r="H83" s="159"/>
      <c r="I83" s="237"/>
      <c r="J83" s="291"/>
      <c r="K83" s="291"/>
      <c r="L83" s="159"/>
      <c r="M83" s="159"/>
    </row>
    <row r="84" spans="1:14" x14ac:dyDescent="0.2">
      <c r="A84" s="298" t="s">
        <v>13</v>
      </c>
      <c r="B84" s="230"/>
      <c r="C84" s="290"/>
      <c r="D84" s="159"/>
      <c r="E84" s="237"/>
      <c r="F84" s="282"/>
      <c r="G84" s="282"/>
      <c r="H84" s="159"/>
      <c r="I84" s="237"/>
      <c r="J84" s="291"/>
      <c r="K84" s="291"/>
      <c r="L84" s="159"/>
      <c r="M84" s="159"/>
    </row>
    <row r="85" spans="1:14" ht="15.75" x14ac:dyDescent="0.2">
      <c r="A85" s="298" t="s">
        <v>331</v>
      </c>
      <c r="B85" s="282"/>
      <c r="C85" s="282"/>
      <c r="D85" s="159"/>
      <c r="E85" s="237"/>
      <c r="F85" s="282">
        <v>212431</v>
      </c>
      <c r="G85" s="282">
        <v>274248</v>
      </c>
      <c r="H85" s="159">
        <f t="shared" si="1"/>
        <v>29.1</v>
      </c>
      <c r="I85" s="237">
        <f>IFERROR(100/'Skjema total MA'!F85*G85,0)</f>
        <v>0</v>
      </c>
      <c r="J85" s="291">
        <v>212431</v>
      </c>
      <c r="K85" s="291">
        <v>274248</v>
      </c>
      <c r="L85" s="159">
        <f t="shared" ref="L85:L86" si="3">IF(J85=0, "    ---- ", IF(ABS(ROUND(100/J85*K85-100,1))&lt;999,ROUND(100/J85*K85-100,1),IF(ROUND(100/J85*K85-100,1)&gt;999,999,-999)))</f>
        <v>29.1</v>
      </c>
      <c r="M85" s="159">
        <f>IFERROR(100/'Skjema total MA'!I85*K85,0)</f>
        <v>0</v>
      </c>
    </row>
    <row r="86" spans="1:14" x14ac:dyDescent="0.2">
      <c r="A86" s="298" t="s">
        <v>12</v>
      </c>
      <c r="B86" s="230"/>
      <c r="C86" s="290"/>
      <c r="D86" s="159"/>
      <c r="E86" s="237"/>
      <c r="F86" s="282">
        <v>212431</v>
      </c>
      <c r="G86" s="282">
        <v>274248</v>
      </c>
      <c r="H86" s="159">
        <f t="shared" si="1"/>
        <v>29.1</v>
      </c>
      <c r="I86" s="237">
        <f>IFERROR(100/'Skjema total MA'!F86*G86,0)</f>
        <v>0</v>
      </c>
      <c r="J86" s="291">
        <v>212431</v>
      </c>
      <c r="K86" s="291">
        <v>274248</v>
      </c>
      <c r="L86" s="159">
        <f t="shared" si="3"/>
        <v>29.1</v>
      </c>
      <c r="M86" s="159">
        <f>IFERROR(100/'Skjema total MA'!I86*K86,0)</f>
        <v>0</v>
      </c>
    </row>
    <row r="87" spans="1:14" s="3" customFormat="1" x14ac:dyDescent="0.2">
      <c r="A87" s="298" t="s">
        <v>13</v>
      </c>
      <c r="B87" s="230"/>
      <c r="C87" s="290"/>
      <c r="D87" s="159"/>
      <c r="E87" s="237"/>
      <c r="F87" s="282"/>
      <c r="G87" s="282"/>
      <c r="H87" s="159"/>
      <c r="I87" s="237"/>
      <c r="J87" s="291"/>
      <c r="K87" s="291"/>
      <c r="L87" s="159"/>
      <c r="M87" s="159"/>
      <c r="N87" s="142"/>
    </row>
    <row r="88" spans="1:14" s="3" customFormat="1" x14ac:dyDescent="0.2">
      <c r="A88" s="18" t="s">
        <v>33</v>
      </c>
      <c r="B88" s="229"/>
      <c r="C88" s="139"/>
      <c r="D88" s="159"/>
      <c r="E88" s="170"/>
      <c r="F88" s="229"/>
      <c r="G88" s="139"/>
      <c r="H88" s="159"/>
      <c r="I88" s="170"/>
      <c r="J88" s="288"/>
      <c r="K88" s="37"/>
      <c r="L88" s="256"/>
      <c r="M88" s="170"/>
      <c r="N88" s="142"/>
    </row>
    <row r="89" spans="1:14" ht="15.75" x14ac:dyDescent="0.2">
      <c r="A89" s="18" t="s">
        <v>332</v>
      </c>
      <c r="B89" s="229">
        <v>123611</v>
      </c>
      <c r="C89" s="229">
        <v>115325</v>
      </c>
      <c r="D89" s="159">
        <f t="shared" si="0"/>
        <v>-6.7</v>
      </c>
      <c r="E89" s="170">
        <f>IFERROR(100/'Skjema total MA'!C89*C89,0)</f>
        <v>1.0242237199319584</v>
      </c>
      <c r="F89" s="229">
        <v>212431</v>
      </c>
      <c r="G89" s="139">
        <v>274248</v>
      </c>
      <c r="H89" s="159">
        <f t="shared" si="1"/>
        <v>29.1</v>
      </c>
      <c r="I89" s="170">
        <f>IFERROR(100/'Skjema total MA'!F89*G89,0)</f>
        <v>1.1984554335633553</v>
      </c>
      <c r="J89" s="288">
        <v>336042</v>
      </c>
      <c r="K89" s="37">
        <v>389573</v>
      </c>
      <c r="L89" s="256">
        <f t="shared" si="2"/>
        <v>15.9</v>
      </c>
      <c r="M89" s="170">
        <f>IFERROR(100/'Skjema total MA'!I89*K89,0)</f>
        <v>1.1409972881081136</v>
      </c>
    </row>
    <row r="90" spans="1:14" x14ac:dyDescent="0.2">
      <c r="A90" s="18" t="s">
        <v>9</v>
      </c>
      <c r="B90" s="229">
        <v>123611</v>
      </c>
      <c r="C90" s="139">
        <v>115325</v>
      </c>
      <c r="D90" s="159">
        <f t="shared" si="0"/>
        <v>-6.7</v>
      </c>
      <c r="E90" s="170">
        <f>IFERROR(100/'Skjema total MA'!C90*C90,0)</f>
        <v>1.039803165193423</v>
      </c>
      <c r="F90" s="229"/>
      <c r="G90" s="139"/>
      <c r="H90" s="159"/>
      <c r="I90" s="170"/>
      <c r="J90" s="288">
        <v>123611</v>
      </c>
      <c r="K90" s="37">
        <v>115325</v>
      </c>
      <c r="L90" s="256">
        <f t="shared" si="2"/>
        <v>-6.7</v>
      </c>
      <c r="M90" s="170">
        <f>IFERROR(100/'Skjema total MA'!I90*K90,0)</f>
        <v>1.0398030714418058</v>
      </c>
    </row>
    <row r="91" spans="1:14" x14ac:dyDescent="0.2">
      <c r="A91" s="18" t="s">
        <v>10</v>
      </c>
      <c r="B91" s="293"/>
      <c r="C91" s="294"/>
      <c r="D91" s="159"/>
      <c r="E91" s="170"/>
      <c r="F91" s="293">
        <v>212431</v>
      </c>
      <c r="G91" s="294">
        <v>274248</v>
      </c>
      <c r="H91" s="159">
        <f t="shared" si="1"/>
        <v>29.1</v>
      </c>
      <c r="I91" s="170">
        <f>IFERROR(100/'Skjema total MA'!F91*G91,0)</f>
        <v>1.1984554335633553</v>
      </c>
      <c r="J91" s="288">
        <v>212431</v>
      </c>
      <c r="K91" s="37">
        <v>274248</v>
      </c>
      <c r="L91" s="256">
        <f t="shared" si="2"/>
        <v>29.1</v>
      </c>
      <c r="M91" s="170">
        <f>IFERROR(100/'Skjema total MA'!I91*K91,0)</f>
        <v>1.1896846224920772</v>
      </c>
    </row>
    <row r="92" spans="1:14" ht="15.75" x14ac:dyDescent="0.2">
      <c r="A92" s="298" t="s">
        <v>330</v>
      </c>
      <c r="B92" s="282"/>
      <c r="C92" s="282"/>
      <c r="D92" s="159"/>
      <c r="E92" s="237"/>
      <c r="F92" s="282"/>
      <c r="G92" s="282"/>
      <c r="H92" s="159"/>
      <c r="I92" s="237"/>
      <c r="J92" s="291"/>
      <c r="K92" s="291"/>
      <c r="L92" s="159"/>
      <c r="M92" s="159"/>
    </row>
    <row r="93" spans="1:14" x14ac:dyDescent="0.2">
      <c r="A93" s="298" t="s">
        <v>12</v>
      </c>
      <c r="B93" s="230"/>
      <c r="C93" s="290"/>
      <c r="D93" s="159"/>
      <c r="E93" s="237"/>
      <c r="F93" s="282"/>
      <c r="G93" s="282"/>
      <c r="H93" s="159"/>
      <c r="I93" s="237"/>
      <c r="J93" s="291"/>
      <c r="K93" s="291"/>
      <c r="L93" s="159"/>
      <c r="M93" s="159"/>
    </row>
    <row r="94" spans="1:14" x14ac:dyDescent="0.2">
      <c r="A94" s="298" t="s">
        <v>13</v>
      </c>
      <c r="B94" s="230"/>
      <c r="C94" s="290"/>
      <c r="D94" s="159"/>
      <c r="E94" s="237"/>
      <c r="F94" s="282"/>
      <c r="G94" s="282"/>
      <c r="H94" s="159"/>
      <c r="I94" s="237"/>
      <c r="J94" s="291"/>
      <c r="K94" s="291"/>
      <c r="L94" s="159"/>
      <c r="M94" s="159"/>
    </row>
    <row r="95" spans="1:14" ht="15.75" x14ac:dyDescent="0.2">
      <c r="A95" s="298" t="s">
        <v>331</v>
      </c>
      <c r="B95" s="282"/>
      <c r="C95" s="282"/>
      <c r="D95" s="159"/>
      <c r="E95" s="237"/>
      <c r="F95" s="282">
        <v>212431</v>
      </c>
      <c r="G95" s="282">
        <v>274248</v>
      </c>
      <c r="H95" s="159">
        <f t="shared" si="1"/>
        <v>29.1</v>
      </c>
      <c r="I95" s="237">
        <f>IFERROR(100/'Skjema total MA'!F95*G95,0)</f>
        <v>0</v>
      </c>
      <c r="J95" s="291">
        <v>212431</v>
      </c>
      <c r="K95" s="291">
        <v>274248</v>
      </c>
      <c r="L95" s="159">
        <f t="shared" ref="L95:L96" si="4">IF(J95=0, "    ---- ", IF(ABS(ROUND(100/J95*K95-100,1))&lt;999,ROUND(100/J95*K95-100,1),IF(ROUND(100/J95*K95-100,1)&gt;999,999,-999)))</f>
        <v>29.1</v>
      </c>
      <c r="M95" s="159">
        <f>IFERROR(100/'Skjema total MA'!I95*K95,0)</f>
        <v>0</v>
      </c>
    </row>
    <row r="96" spans="1:14" x14ac:dyDescent="0.2">
      <c r="A96" s="298" t="s">
        <v>12</v>
      </c>
      <c r="B96" s="230"/>
      <c r="C96" s="290"/>
      <c r="D96" s="159"/>
      <c r="E96" s="237"/>
      <c r="F96" s="282">
        <v>212431</v>
      </c>
      <c r="G96" s="282">
        <v>274248</v>
      </c>
      <c r="H96" s="159">
        <f t="shared" si="1"/>
        <v>29.1</v>
      </c>
      <c r="I96" s="237">
        <f>IFERROR(100/'Skjema total MA'!F96*G96,0)</f>
        <v>0</v>
      </c>
      <c r="J96" s="291">
        <v>212431</v>
      </c>
      <c r="K96" s="291">
        <v>274248</v>
      </c>
      <c r="L96" s="159">
        <f t="shared" si="4"/>
        <v>29.1</v>
      </c>
      <c r="M96" s="159">
        <f>IFERROR(100/'Skjema total MA'!I96*K96,0)</f>
        <v>0</v>
      </c>
    </row>
    <row r="97" spans="1:13" x14ac:dyDescent="0.2">
      <c r="A97" s="298" t="s">
        <v>13</v>
      </c>
      <c r="B97" s="230"/>
      <c r="C97" s="290"/>
      <c r="D97" s="159"/>
      <c r="E97" s="237"/>
      <c r="F97" s="282"/>
      <c r="G97" s="282"/>
      <c r="H97" s="159"/>
      <c r="I97" s="237"/>
      <c r="J97" s="291"/>
      <c r="K97" s="291"/>
      <c r="L97" s="159"/>
      <c r="M97" s="159"/>
    </row>
    <row r="98" spans="1:13" ht="15.75" x14ac:dyDescent="0.2">
      <c r="A98" s="18" t="s">
        <v>342</v>
      </c>
      <c r="B98" s="229"/>
      <c r="C98" s="139"/>
      <c r="D98" s="159"/>
      <c r="E98" s="170"/>
      <c r="F98" s="229"/>
      <c r="G98" s="139"/>
      <c r="H98" s="159"/>
      <c r="I98" s="170"/>
      <c r="J98" s="288"/>
      <c r="K98" s="37"/>
      <c r="L98" s="256"/>
      <c r="M98" s="170"/>
    </row>
    <row r="99" spans="1:13" ht="15.75" x14ac:dyDescent="0.2">
      <c r="A99" s="11" t="s">
        <v>29</v>
      </c>
      <c r="B99" s="229"/>
      <c r="C99" s="139"/>
      <c r="D99" s="159"/>
      <c r="E99" s="170"/>
      <c r="F99" s="310">
        <v>62123</v>
      </c>
      <c r="G99" s="310">
        <v>80082</v>
      </c>
      <c r="H99" s="159">
        <f t="shared" si="1"/>
        <v>28.9</v>
      </c>
      <c r="I99" s="170">
        <f>IFERROR(100/'Skjema total MA'!F99*G99,0)</f>
        <v>6.5630334708183478</v>
      </c>
      <c r="J99" s="311">
        <v>62123</v>
      </c>
      <c r="K99" s="231">
        <v>80082</v>
      </c>
      <c r="L99" s="256">
        <f t="shared" si="2"/>
        <v>28.9</v>
      </c>
      <c r="M99" s="170">
        <f>IFERROR(100/'Skjema total MA'!I99*K99,0)</f>
        <v>5.1898563136544311</v>
      </c>
    </row>
    <row r="100" spans="1:13" x14ac:dyDescent="0.2">
      <c r="A100" s="18" t="s">
        <v>9</v>
      </c>
      <c r="B100" s="229"/>
      <c r="C100" s="139"/>
      <c r="D100" s="159"/>
      <c r="E100" s="170"/>
      <c r="F100" s="229"/>
      <c r="G100" s="139"/>
      <c r="H100" s="159"/>
      <c r="I100" s="170"/>
      <c r="J100" s="288"/>
      <c r="K100" s="37"/>
      <c r="L100" s="256"/>
      <c r="M100" s="170"/>
    </row>
    <row r="101" spans="1:13" x14ac:dyDescent="0.2">
      <c r="A101" s="18" t="s">
        <v>10</v>
      </c>
      <c r="B101" s="293"/>
      <c r="C101" s="294"/>
      <c r="D101" s="159"/>
      <c r="E101" s="170"/>
      <c r="F101" s="293">
        <v>62123</v>
      </c>
      <c r="G101" s="293">
        <v>80082</v>
      </c>
      <c r="H101" s="159">
        <f t="shared" si="1"/>
        <v>28.9</v>
      </c>
      <c r="I101" s="170">
        <f>IFERROR(100/'Skjema total MA'!F101*G101,0)</f>
        <v>7.9760903658748443</v>
      </c>
      <c r="J101" s="288">
        <v>62123</v>
      </c>
      <c r="K101" s="37">
        <v>80082</v>
      </c>
      <c r="L101" s="256">
        <f t="shared" si="2"/>
        <v>28.9</v>
      </c>
      <c r="M101" s="170">
        <f>IFERROR(100/'Skjema total MA'!I101*K101,0)</f>
        <v>7.9212818653103625</v>
      </c>
    </row>
    <row r="102" spans="1:13" ht="15.75" x14ac:dyDescent="0.2">
      <c r="A102" s="298" t="s">
        <v>330</v>
      </c>
      <c r="B102" s="282"/>
      <c r="C102" s="282"/>
      <c r="D102" s="159"/>
      <c r="E102" s="237"/>
      <c r="F102" s="282"/>
      <c r="G102" s="282"/>
      <c r="H102" s="159"/>
      <c r="I102" s="237"/>
      <c r="J102" s="291"/>
      <c r="K102" s="291"/>
      <c r="L102" s="159"/>
      <c r="M102" s="159"/>
    </row>
    <row r="103" spans="1:13" x14ac:dyDescent="0.2">
      <c r="A103" s="298" t="s">
        <v>12</v>
      </c>
      <c r="B103" s="230"/>
      <c r="C103" s="290"/>
      <c r="D103" s="159"/>
      <c r="E103" s="237"/>
      <c r="F103" s="282"/>
      <c r="G103" s="282"/>
      <c r="H103" s="159"/>
      <c r="I103" s="237"/>
      <c r="J103" s="291"/>
      <c r="K103" s="291"/>
      <c r="L103" s="159"/>
      <c r="M103" s="159"/>
    </row>
    <row r="104" spans="1:13" x14ac:dyDescent="0.2">
      <c r="A104" s="298" t="s">
        <v>13</v>
      </c>
      <c r="B104" s="230"/>
      <c r="C104" s="290"/>
      <c r="D104" s="159"/>
      <c r="E104" s="237"/>
      <c r="F104" s="282"/>
      <c r="G104" s="282"/>
      <c r="H104" s="159"/>
      <c r="I104" s="237"/>
      <c r="J104" s="291"/>
      <c r="K104" s="291"/>
      <c r="L104" s="159"/>
      <c r="M104" s="159"/>
    </row>
    <row r="105" spans="1:13" ht="15.75" x14ac:dyDescent="0.2">
      <c r="A105" s="298" t="s">
        <v>331</v>
      </c>
      <c r="B105" s="282"/>
      <c r="C105" s="282"/>
      <c r="D105" s="159"/>
      <c r="E105" s="237"/>
      <c r="F105" s="282">
        <v>62123</v>
      </c>
      <c r="G105" s="282">
        <v>80082</v>
      </c>
      <c r="H105" s="159">
        <f t="shared" si="1"/>
        <v>28.9</v>
      </c>
      <c r="I105" s="237">
        <f>IFERROR(100/'Skjema total MA'!F105*G105,0)</f>
        <v>0</v>
      </c>
      <c r="J105" s="291">
        <v>62123</v>
      </c>
      <c r="K105" s="291">
        <v>80082</v>
      </c>
      <c r="L105" s="159">
        <f t="shared" ref="L105:L106" si="5">IF(J105=0, "    ---- ", IF(ABS(ROUND(100/J105*K105-100,1))&lt;999,ROUND(100/J105*K105-100,1),IF(ROUND(100/J105*K105-100,1)&gt;999,999,-999)))</f>
        <v>28.9</v>
      </c>
      <c r="M105" s="159">
        <f>IFERROR(100/'Skjema total MA'!I105*K105,0)</f>
        <v>0</v>
      </c>
    </row>
    <row r="106" spans="1:13" x14ac:dyDescent="0.2">
      <c r="A106" s="298" t="s">
        <v>12</v>
      </c>
      <c r="B106" s="230"/>
      <c r="C106" s="290"/>
      <c r="D106" s="159"/>
      <c r="E106" s="237"/>
      <c r="F106" s="282">
        <v>62123</v>
      </c>
      <c r="G106" s="282">
        <v>80082</v>
      </c>
      <c r="H106" s="159">
        <f t="shared" si="1"/>
        <v>28.9</v>
      </c>
      <c r="I106" s="237">
        <f>IFERROR(100/'Skjema total MA'!F106*G106,0)</f>
        <v>0</v>
      </c>
      <c r="J106" s="291">
        <v>62123</v>
      </c>
      <c r="K106" s="291">
        <v>80082</v>
      </c>
      <c r="L106" s="159">
        <f t="shared" si="5"/>
        <v>28.9</v>
      </c>
      <c r="M106" s="159">
        <f>IFERROR(100/'Skjema total MA'!I106*K106,0)</f>
        <v>0</v>
      </c>
    </row>
    <row r="107" spans="1:13" x14ac:dyDescent="0.2">
      <c r="A107" s="298" t="s">
        <v>13</v>
      </c>
      <c r="B107" s="232"/>
      <c r="C107" s="297"/>
      <c r="D107" s="159"/>
      <c r="E107" s="237"/>
      <c r="F107" s="282"/>
      <c r="G107" s="282"/>
      <c r="H107" s="159"/>
      <c r="I107" s="237"/>
      <c r="J107" s="291"/>
      <c r="K107" s="291"/>
      <c r="L107" s="159"/>
      <c r="M107" s="159"/>
    </row>
    <row r="108" spans="1:13" x14ac:dyDescent="0.2">
      <c r="A108" s="18" t="s">
        <v>33</v>
      </c>
      <c r="B108" s="229"/>
      <c r="C108" s="139"/>
      <c r="D108" s="159"/>
      <c r="E108" s="170"/>
      <c r="F108" s="229"/>
      <c r="G108" s="139"/>
      <c r="H108" s="159"/>
      <c r="I108" s="170"/>
      <c r="J108" s="288"/>
      <c r="K108" s="37"/>
      <c r="L108" s="256"/>
      <c r="M108" s="170"/>
    </row>
    <row r="109" spans="1:13" ht="15.75" x14ac:dyDescent="0.2">
      <c r="A109" s="18" t="s">
        <v>332</v>
      </c>
      <c r="B109" s="355"/>
      <c r="C109" s="355"/>
      <c r="D109" s="159"/>
      <c r="E109" s="170"/>
      <c r="F109" s="293">
        <v>62123</v>
      </c>
      <c r="G109" s="293">
        <v>80082</v>
      </c>
      <c r="H109" s="159">
        <f t="shared" si="1"/>
        <v>28.9</v>
      </c>
      <c r="I109" s="170">
        <f>IFERROR(100/'Skjema total MA'!F109*G109,0)</f>
        <v>7.9760903658748443</v>
      </c>
      <c r="J109" s="288">
        <v>62123</v>
      </c>
      <c r="K109" s="37">
        <v>80082</v>
      </c>
      <c r="L109" s="256">
        <f t="shared" si="2"/>
        <v>28.9</v>
      </c>
      <c r="M109" s="170">
        <f>IFERROR(100/'Skjema total MA'!I109*K109,0)</f>
        <v>6.3907271110340425</v>
      </c>
    </row>
    <row r="110" spans="1:13" x14ac:dyDescent="0.2">
      <c r="A110" s="18" t="s">
        <v>9</v>
      </c>
      <c r="B110" s="229"/>
      <c r="C110" s="139"/>
      <c r="D110" s="159"/>
      <c r="E110" s="170"/>
      <c r="F110" s="293"/>
      <c r="G110" s="294"/>
      <c r="H110" s="159"/>
      <c r="I110" s="170"/>
      <c r="J110" s="288"/>
      <c r="K110" s="37"/>
      <c r="L110" s="256"/>
      <c r="M110" s="170"/>
    </row>
    <row r="111" spans="1:13" x14ac:dyDescent="0.2">
      <c r="A111" s="18" t="s">
        <v>10</v>
      </c>
      <c r="B111" s="229"/>
      <c r="C111" s="139"/>
      <c r="D111" s="159"/>
      <c r="E111" s="170"/>
      <c r="F111" s="293">
        <v>62123</v>
      </c>
      <c r="G111" s="294">
        <v>80082</v>
      </c>
      <c r="H111" s="159">
        <f t="shared" si="1"/>
        <v>28.9</v>
      </c>
      <c r="I111" s="170">
        <f>IFERROR(100/'Skjema total MA'!F111*G111,0)</f>
        <v>7.9760903658748443</v>
      </c>
      <c r="J111" s="288">
        <v>62123</v>
      </c>
      <c r="K111" s="37">
        <v>80082</v>
      </c>
      <c r="L111" s="256">
        <f t="shared" si="2"/>
        <v>28.9</v>
      </c>
      <c r="M111" s="170">
        <f>IFERROR(100/'Skjema total MA'!I111*K111,0)</f>
        <v>7.9212818653103625</v>
      </c>
    </row>
    <row r="112" spans="1:13" ht="15.75" x14ac:dyDescent="0.2">
      <c r="A112" s="298" t="s">
        <v>330</v>
      </c>
      <c r="B112" s="282"/>
      <c r="C112" s="282"/>
      <c r="D112" s="159"/>
      <c r="E112" s="237"/>
      <c r="F112" s="282"/>
      <c r="G112" s="282"/>
      <c r="H112" s="159"/>
      <c r="I112" s="237"/>
      <c r="J112" s="291"/>
      <c r="K112" s="291"/>
      <c r="L112" s="159"/>
      <c r="M112" s="159"/>
    </row>
    <row r="113" spans="1:13" x14ac:dyDescent="0.2">
      <c r="A113" s="298" t="s">
        <v>12</v>
      </c>
      <c r="B113" s="230"/>
      <c r="C113" s="290"/>
      <c r="D113" s="159"/>
      <c r="E113" s="237"/>
      <c r="F113" s="282"/>
      <c r="G113" s="282"/>
      <c r="H113" s="159"/>
      <c r="I113" s="237"/>
      <c r="J113" s="291"/>
      <c r="K113" s="291"/>
      <c r="L113" s="159"/>
      <c r="M113" s="159"/>
    </row>
    <row r="114" spans="1:13" x14ac:dyDescent="0.2">
      <c r="A114" s="298" t="s">
        <v>13</v>
      </c>
      <c r="B114" s="230"/>
      <c r="C114" s="290"/>
      <c r="D114" s="159"/>
      <c r="E114" s="237"/>
      <c r="F114" s="282"/>
      <c r="G114" s="282"/>
      <c r="H114" s="159"/>
      <c r="I114" s="237"/>
      <c r="J114" s="291"/>
      <c r="K114" s="291"/>
      <c r="L114" s="159"/>
      <c r="M114" s="159"/>
    </row>
    <row r="115" spans="1:13" ht="15.75" x14ac:dyDescent="0.2">
      <c r="A115" s="298" t="s">
        <v>331</v>
      </c>
      <c r="B115" s="282"/>
      <c r="C115" s="282"/>
      <c r="D115" s="159"/>
      <c r="E115" s="237"/>
      <c r="F115" s="282">
        <v>62123</v>
      </c>
      <c r="G115" s="282">
        <v>80082</v>
      </c>
      <c r="H115" s="159">
        <f t="shared" si="1"/>
        <v>28.9</v>
      </c>
      <c r="I115" s="237">
        <f>IFERROR(100/'Skjema total MA'!F115*G115,0)</f>
        <v>0</v>
      </c>
      <c r="J115" s="291">
        <v>62123</v>
      </c>
      <c r="K115" s="291">
        <v>80082</v>
      </c>
      <c r="L115" s="159">
        <f t="shared" ref="L115" si="6">IF(J115=0, "    ---- ", IF(ABS(ROUND(100/J115*K115-100,1))&lt;999,ROUND(100/J115*K115-100,1),IF(ROUND(100/J115*K115-100,1)&gt;999,999,-999)))</f>
        <v>28.9</v>
      </c>
      <c r="M115" s="159">
        <f>IFERROR(100/'Skjema total MA'!I115*K115,0)</f>
        <v>0</v>
      </c>
    </row>
    <row r="116" spans="1:13" x14ac:dyDescent="0.2">
      <c r="A116" s="298" t="s">
        <v>12</v>
      </c>
      <c r="B116" s="230"/>
      <c r="C116" s="290"/>
      <c r="D116" s="159"/>
      <c r="E116" s="237"/>
      <c r="F116" s="282">
        <v>62123</v>
      </c>
      <c r="G116" s="282">
        <v>80082</v>
      </c>
      <c r="H116" s="159">
        <f t="shared" si="1"/>
        <v>28.9</v>
      </c>
      <c r="I116" s="237">
        <f>IFERROR(100/'Skjema total MA'!F116*G116,0)</f>
        <v>0</v>
      </c>
      <c r="J116" s="291">
        <v>62123</v>
      </c>
      <c r="K116" s="291">
        <v>80082</v>
      </c>
      <c r="L116" s="159">
        <f t="shared" ref="L116" si="7">IF(J116=0, "    ---- ", IF(ABS(ROUND(100/J116*K116-100,1))&lt;999,ROUND(100/J116*K116-100,1),IF(ROUND(100/J116*K116-100,1)&gt;999,999,-999)))</f>
        <v>28.9</v>
      </c>
      <c r="M116" s="159">
        <f>IFERROR(100/'Skjema total MA'!I116*K116,0)</f>
        <v>0</v>
      </c>
    </row>
    <row r="117" spans="1:13" x14ac:dyDescent="0.2">
      <c r="A117" s="298" t="s">
        <v>13</v>
      </c>
      <c r="B117" s="230"/>
      <c r="C117" s="290"/>
      <c r="D117" s="159"/>
      <c r="E117" s="237"/>
      <c r="F117" s="282"/>
      <c r="G117" s="282"/>
      <c r="H117" s="159"/>
      <c r="I117" s="237"/>
      <c r="J117" s="291"/>
      <c r="K117" s="291"/>
      <c r="L117" s="159"/>
      <c r="M117" s="159"/>
    </row>
    <row r="118" spans="1:13" ht="15.75" x14ac:dyDescent="0.2">
      <c r="A118" s="18" t="s">
        <v>342</v>
      </c>
      <c r="B118" s="229"/>
      <c r="C118" s="139"/>
      <c r="D118" s="159"/>
      <c r="E118" s="170"/>
      <c r="F118" s="229"/>
      <c r="G118" s="139"/>
      <c r="H118" s="159"/>
      <c r="I118" s="170"/>
      <c r="J118" s="288"/>
      <c r="K118" s="37"/>
      <c r="L118" s="256"/>
      <c r="M118" s="170"/>
    </row>
    <row r="119" spans="1:13" ht="15.75" x14ac:dyDescent="0.2">
      <c r="A119" s="11" t="s">
        <v>28</v>
      </c>
      <c r="B119" s="355">
        <v>1379522</v>
      </c>
      <c r="C119" s="355">
        <v>1500502</v>
      </c>
      <c r="D119" s="159">
        <f t="shared" si="0"/>
        <v>8.8000000000000007</v>
      </c>
      <c r="E119" s="170">
        <f>IFERROR(100/'Skjema total MA'!C119*C119,0)</f>
        <v>0.40229855242685353</v>
      </c>
      <c r="F119" s="354">
        <v>1182480</v>
      </c>
      <c r="G119" s="354">
        <v>1673718</v>
      </c>
      <c r="H119" s="159">
        <f t="shared" si="1"/>
        <v>41.5</v>
      </c>
      <c r="I119" s="170">
        <f>IFERROR(100/'Skjema total MA'!F119*G119,0)</f>
        <v>0.94171116219630113</v>
      </c>
      <c r="J119" s="311">
        <v>2562002</v>
      </c>
      <c r="K119" s="231">
        <v>3174220</v>
      </c>
      <c r="L119" s="256">
        <f t="shared" si="2"/>
        <v>23.9</v>
      </c>
      <c r="M119" s="170">
        <f>IFERROR(100/'Skjema total MA'!I119*K119,0)</f>
        <v>0.57638290180358376</v>
      </c>
    </row>
    <row r="120" spans="1:13" x14ac:dyDescent="0.2">
      <c r="A120" s="18" t="s">
        <v>9</v>
      </c>
      <c r="B120" s="229">
        <v>1379522</v>
      </c>
      <c r="C120" s="139">
        <v>1500502</v>
      </c>
      <c r="D120" s="159">
        <f t="shared" si="0"/>
        <v>8.8000000000000007</v>
      </c>
      <c r="E120" s="170">
        <f>IFERROR(100/'Skjema total MA'!C120*C120,0)</f>
        <v>0.40487411285782232</v>
      </c>
      <c r="F120" s="229"/>
      <c r="G120" s="139"/>
      <c r="H120" s="159"/>
      <c r="I120" s="170"/>
      <c r="J120" s="288">
        <v>1379522</v>
      </c>
      <c r="K120" s="37">
        <v>1500502</v>
      </c>
      <c r="L120" s="256">
        <f t="shared" si="2"/>
        <v>8.8000000000000007</v>
      </c>
      <c r="M120" s="170">
        <f>IFERROR(100/'Skjema total MA'!I120*K120,0)</f>
        <v>0.40487411285782232</v>
      </c>
    </row>
    <row r="121" spans="1:13" x14ac:dyDescent="0.2">
      <c r="A121" s="18" t="s">
        <v>10</v>
      </c>
      <c r="B121" s="229"/>
      <c r="C121" s="139"/>
      <c r="D121" s="159"/>
      <c r="E121" s="170"/>
      <c r="F121" s="229">
        <v>1182480</v>
      </c>
      <c r="G121" s="139">
        <v>1673718</v>
      </c>
      <c r="H121" s="159">
        <f t="shared" si="1"/>
        <v>41.5</v>
      </c>
      <c r="I121" s="170">
        <f>IFERROR(100/'Skjema total MA'!F121*G121,0)</f>
        <v>0.94285241264754815</v>
      </c>
      <c r="J121" s="288">
        <v>1182480</v>
      </c>
      <c r="K121" s="37">
        <v>1673718</v>
      </c>
      <c r="L121" s="256">
        <f t="shared" si="2"/>
        <v>41.5</v>
      </c>
      <c r="M121" s="170">
        <f>IFERROR(100/'Skjema total MA'!I121*K121,0)</f>
        <v>0.9309314596222652</v>
      </c>
    </row>
    <row r="122" spans="1:13" ht="15.75" x14ac:dyDescent="0.2">
      <c r="A122" s="298" t="s">
        <v>330</v>
      </c>
      <c r="B122" s="282"/>
      <c r="C122" s="282"/>
      <c r="D122" s="159"/>
      <c r="E122" s="237"/>
      <c r="F122" s="282"/>
      <c r="G122" s="282"/>
      <c r="H122" s="159"/>
      <c r="I122" s="237"/>
      <c r="J122" s="291"/>
      <c r="K122" s="291"/>
      <c r="L122" s="159"/>
      <c r="M122" s="159"/>
    </row>
    <row r="123" spans="1:13" x14ac:dyDescent="0.2">
      <c r="A123" s="298" t="s">
        <v>12</v>
      </c>
      <c r="B123" s="230"/>
      <c r="C123" s="290"/>
      <c r="D123" s="159"/>
      <c r="E123" s="237"/>
      <c r="F123" s="282"/>
      <c r="G123" s="282"/>
      <c r="H123" s="159"/>
      <c r="I123" s="237"/>
      <c r="J123" s="291"/>
      <c r="K123" s="291"/>
      <c r="L123" s="159"/>
      <c r="M123" s="159"/>
    </row>
    <row r="124" spans="1:13" x14ac:dyDescent="0.2">
      <c r="A124" s="298" t="s">
        <v>13</v>
      </c>
      <c r="B124" s="230"/>
      <c r="C124" s="290"/>
      <c r="D124" s="159"/>
      <c r="E124" s="237"/>
      <c r="F124" s="282"/>
      <c r="G124" s="282"/>
      <c r="H124" s="159"/>
      <c r="I124" s="237"/>
      <c r="J124" s="291"/>
      <c r="K124" s="291"/>
      <c r="L124" s="159"/>
      <c r="M124" s="159"/>
    </row>
    <row r="125" spans="1:13" ht="15.75" x14ac:dyDescent="0.2">
      <c r="A125" s="298" t="s">
        <v>331</v>
      </c>
      <c r="B125" s="282"/>
      <c r="C125" s="282"/>
      <c r="D125" s="159"/>
      <c r="E125" s="237"/>
      <c r="F125" s="282">
        <v>1182480</v>
      </c>
      <c r="G125" s="282">
        <v>1673718</v>
      </c>
      <c r="H125" s="159">
        <f t="shared" si="1"/>
        <v>41.5</v>
      </c>
      <c r="I125" s="237">
        <f>IFERROR(100/'Skjema total MA'!F125*G125,0)</f>
        <v>0</v>
      </c>
      <c r="J125" s="291">
        <v>1182480</v>
      </c>
      <c r="K125" s="291">
        <v>1673718</v>
      </c>
      <c r="L125" s="159">
        <f t="shared" ref="L125" si="8">IF(J125=0, "    ---- ", IF(ABS(ROUND(100/J125*K125-100,1))&lt;999,ROUND(100/J125*K125-100,1),IF(ROUND(100/J125*K125-100,1)&gt;999,999,-999)))</f>
        <v>41.5</v>
      </c>
      <c r="M125" s="159">
        <f>IFERROR(100/'Skjema total MA'!I125*K125,0)</f>
        <v>0</v>
      </c>
    </row>
    <row r="126" spans="1:13" x14ac:dyDescent="0.2">
      <c r="A126" s="298" t="s">
        <v>12</v>
      </c>
      <c r="B126" s="230"/>
      <c r="C126" s="290"/>
      <c r="D126" s="159"/>
      <c r="E126" s="237"/>
      <c r="F126" s="282">
        <v>1182480</v>
      </c>
      <c r="G126" s="282">
        <v>1673718</v>
      </c>
      <c r="H126" s="159">
        <f t="shared" si="1"/>
        <v>41.5</v>
      </c>
      <c r="I126" s="237">
        <f>IFERROR(100/'Skjema total MA'!F126*G126,0)</f>
        <v>0</v>
      </c>
      <c r="J126" s="291">
        <v>1182480</v>
      </c>
      <c r="K126" s="291">
        <v>1673718</v>
      </c>
      <c r="L126" s="159">
        <f t="shared" ref="L126" si="9">IF(J126=0, "    ---- ", IF(ABS(ROUND(100/J126*K126-100,1))&lt;999,ROUND(100/J126*K126-100,1),IF(ROUND(100/J126*K126-100,1)&gt;999,999,-999)))</f>
        <v>41.5</v>
      </c>
      <c r="M126" s="159">
        <f>IFERROR(100/'Skjema total MA'!I126*K126,0)</f>
        <v>0</v>
      </c>
    </row>
    <row r="127" spans="1:13" x14ac:dyDescent="0.2">
      <c r="A127" s="298" t="s">
        <v>13</v>
      </c>
      <c r="B127" s="230"/>
      <c r="C127" s="290"/>
      <c r="D127" s="159"/>
      <c r="E127" s="237"/>
      <c r="F127" s="282"/>
      <c r="G127" s="282"/>
      <c r="H127" s="159"/>
      <c r="I127" s="237"/>
      <c r="J127" s="291"/>
      <c r="K127" s="291"/>
      <c r="L127" s="159"/>
      <c r="M127" s="159"/>
    </row>
    <row r="128" spans="1:13" x14ac:dyDescent="0.2">
      <c r="A128" s="18" t="s">
        <v>34</v>
      </c>
      <c r="B128" s="229"/>
      <c r="C128" s="139"/>
      <c r="D128" s="159"/>
      <c r="E128" s="170"/>
      <c r="F128" s="229"/>
      <c r="G128" s="139"/>
      <c r="H128" s="159"/>
      <c r="I128" s="170"/>
      <c r="J128" s="288"/>
      <c r="K128" s="37"/>
      <c r="L128" s="256"/>
      <c r="M128" s="170"/>
    </row>
    <row r="129" spans="1:13" ht="15.75" x14ac:dyDescent="0.2">
      <c r="A129" s="18" t="s">
        <v>332</v>
      </c>
      <c r="B129" s="229">
        <v>1379522</v>
      </c>
      <c r="C129" s="229">
        <v>1500502</v>
      </c>
      <c r="D129" s="159">
        <f t="shared" si="0"/>
        <v>8.8000000000000007</v>
      </c>
      <c r="E129" s="170">
        <f>IFERROR(100/'Skjema total MA'!C129*C129,0)</f>
        <v>0.40769124829707482</v>
      </c>
      <c r="F129" s="293">
        <v>1182480</v>
      </c>
      <c r="G129" s="293">
        <v>1673718</v>
      </c>
      <c r="H129" s="159">
        <f t="shared" si="1"/>
        <v>41.5</v>
      </c>
      <c r="I129" s="170">
        <f>IFERROR(100/'Skjema total MA'!F129*G129,0)</f>
        <v>0.94490301329994297</v>
      </c>
      <c r="J129" s="288">
        <v>2562002</v>
      </c>
      <c r="K129" s="37">
        <v>3174220</v>
      </c>
      <c r="L129" s="256">
        <f t="shared" si="2"/>
        <v>23.9</v>
      </c>
      <c r="M129" s="170">
        <f>IFERROR(100/'Skjema total MA'!I129*K129,0)</f>
        <v>0.58223359173547118</v>
      </c>
    </row>
    <row r="130" spans="1:13" x14ac:dyDescent="0.2">
      <c r="A130" s="18" t="s">
        <v>9</v>
      </c>
      <c r="B130" s="293">
        <v>1379522</v>
      </c>
      <c r="C130" s="294">
        <v>1500502</v>
      </c>
      <c r="D130" s="159">
        <f t="shared" si="0"/>
        <v>8.8000000000000007</v>
      </c>
      <c r="E130" s="170">
        <f>IFERROR(100/'Skjema total MA'!C130*C130,0)</f>
        <v>0.41022491011941986</v>
      </c>
      <c r="F130" s="229"/>
      <c r="G130" s="139"/>
      <c r="H130" s="159"/>
      <c r="I130" s="170"/>
      <c r="J130" s="288">
        <v>1379522</v>
      </c>
      <c r="K130" s="37">
        <v>1500502</v>
      </c>
      <c r="L130" s="256">
        <f t="shared" si="2"/>
        <v>8.8000000000000007</v>
      </c>
      <c r="M130" s="170">
        <f>IFERROR(100/'Skjema total MA'!I130*K130,0)</f>
        <v>0.41022491011941986</v>
      </c>
    </row>
    <row r="131" spans="1:13" x14ac:dyDescent="0.2">
      <c r="A131" s="18" t="s">
        <v>10</v>
      </c>
      <c r="B131" s="293"/>
      <c r="C131" s="294"/>
      <c r="D131" s="159"/>
      <c r="E131" s="170"/>
      <c r="F131" s="229">
        <v>1182480</v>
      </c>
      <c r="G131" s="229">
        <v>1673718</v>
      </c>
      <c r="H131" s="159">
        <f t="shared" si="1"/>
        <v>41.5</v>
      </c>
      <c r="I131" s="170">
        <f>IFERROR(100/'Skjema total MA'!F131*G131,0)</f>
        <v>0.94490301329994297</v>
      </c>
      <c r="J131" s="288">
        <v>1182480</v>
      </c>
      <c r="K131" s="37">
        <v>1673718</v>
      </c>
      <c r="L131" s="256">
        <f t="shared" si="2"/>
        <v>41.5</v>
      </c>
      <c r="M131" s="170">
        <f>IFERROR(100/'Skjema total MA'!I131*K131,0)</f>
        <v>0.93293048042024374</v>
      </c>
    </row>
    <row r="132" spans="1:13" ht="15.75" x14ac:dyDescent="0.2">
      <c r="A132" s="298" t="s">
        <v>330</v>
      </c>
      <c r="B132" s="282"/>
      <c r="C132" s="282"/>
      <c r="D132" s="159"/>
      <c r="E132" s="237"/>
      <c r="F132" s="282"/>
      <c r="G132" s="282"/>
      <c r="H132" s="159"/>
      <c r="I132" s="237"/>
      <c r="J132" s="291"/>
      <c r="K132" s="291"/>
      <c r="L132" s="159"/>
      <c r="M132" s="159"/>
    </row>
    <row r="133" spans="1:13" x14ac:dyDescent="0.2">
      <c r="A133" s="298" t="s">
        <v>12</v>
      </c>
      <c r="B133" s="230"/>
      <c r="C133" s="290"/>
      <c r="D133" s="159"/>
      <c r="E133" s="237"/>
      <c r="F133" s="282"/>
      <c r="G133" s="282"/>
      <c r="H133" s="159"/>
      <c r="I133" s="237"/>
      <c r="J133" s="291"/>
      <c r="K133" s="291"/>
      <c r="L133" s="159"/>
      <c r="M133" s="159"/>
    </row>
    <row r="134" spans="1:13" x14ac:dyDescent="0.2">
      <c r="A134" s="298" t="s">
        <v>13</v>
      </c>
      <c r="B134" s="230"/>
      <c r="C134" s="290"/>
      <c r="D134" s="159"/>
      <c r="E134" s="237"/>
      <c r="F134" s="282"/>
      <c r="G134" s="282"/>
      <c r="H134" s="159"/>
      <c r="I134" s="237"/>
      <c r="J134" s="291"/>
      <c r="K134" s="291"/>
      <c r="L134" s="159"/>
      <c r="M134" s="159"/>
    </row>
    <row r="135" spans="1:13" ht="15.75" x14ac:dyDescent="0.2">
      <c r="A135" s="298" t="s">
        <v>331</v>
      </c>
      <c r="B135" s="282"/>
      <c r="C135" s="282"/>
      <c r="D135" s="159"/>
      <c r="E135" s="237"/>
      <c r="F135" s="282">
        <v>1182480</v>
      </c>
      <c r="G135" s="282">
        <v>1673718</v>
      </c>
      <c r="H135" s="159">
        <f t="shared" si="1"/>
        <v>41.5</v>
      </c>
      <c r="I135" s="237">
        <f>IFERROR(100/'Skjema total MA'!F135*G135,0)</f>
        <v>0</v>
      </c>
      <c r="J135" s="291">
        <v>1182480</v>
      </c>
      <c r="K135" s="291">
        <v>1673718</v>
      </c>
      <c r="L135" s="159">
        <f t="shared" ref="L135" si="10">IF(J135=0, "    ---- ", IF(ABS(ROUND(100/J135*K135-100,1))&lt;999,ROUND(100/J135*K135-100,1),IF(ROUND(100/J135*K135-100,1)&gt;999,999,-999)))</f>
        <v>41.5</v>
      </c>
      <c r="M135" s="159">
        <f>IFERROR(100/'Skjema total MA'!I135*K135,0)</f>
        <v>0</v>
      </c>
    </row>
    <row r="136" spans="1:13" x14ac:dyDescent="0.2">
      <c r="A136" s="298" t="s">
        <v>12</v>
      </c>
      <c r="B136" s="230"/>
      <c r="C136" s="290"/>
      <c r="D136" s="159"/>
      <c r="E136" s="237"/>
      <c r="F136" s="282">
        <v>1182480</v>
      </c>
      <c r="G136" s="282">
        <v>1673718</v>
      </c>
      <c r="H136" s="159">
        <f t="shared" si="1"/>
        <v>41.5</v>
      </c>
      <c r="I136" s="237">
        <f>IFERROR(100/'Skjema total MA'!F136*G136,0)</f>
        <v>0</v>
      </c>
      <c r="J136" s="291">
        <v>1182480</v>
      </c>
      <c r="K136" s="291">
        <v>1673718</v>
      </c>
      <c r="L136" s="159">
        <f t="shared" ref="L136" si="11">IF(J136=0, "    ---- ", IF(ABS(ROUND(100/J136*K136-100,1))&lt;999,ROUND(100/J136*K136-100,1),IF(ROUND(100/J136*K136-100,1)&gt;999,999,-999)))</f>
        <v>41.5</v>
      </c>
      <c r="M136" s="159">
        <f>IFERROR(100/'Skjema total MA'!I136*K136,0)</f>
        <v>0</v>
      </c>
    </row>
    <row r="137" spans="1:13" x14ac:dyDescent="0.2">
      <c r="A137" s="298" t="s">
        <v>13</v>
      </c>
      <c r="B137" s="230"/>
      <c r="C137" s="290"/>
      <c r="D137" s="159"/>
      <c r="E137" s="237"/>
      <c r="F137" s="282"/>
      <c r="G137" s="282"/>
      <c r="H137" s="159"/>
      <c r="I137" s="237"/>
      <c r="J137" s="291"/>
      <c r="K137" s="291"/>
      <c r="L137" s="159"/>
      <c r="M137" s="159"/>
    </row>
    <row r="138" spans="1:13" ht="15.75" x14ac:dyDescent="0.2">
      <c r="A138" s="18" t="s">
        <v>342</v>
      </c>
      <c r="B138" s="229"/>
      <c r="C138" s="139"/>
      <c r="D138" s="159"/>
      <c r="E138" s="170"/>
      <c r="F138" s="229"/>
      <c r="G138" s="139"/>
      <c r="H138" s="159"/>
      <c r="I138" s="170"/>
      <c r="J138" s="288"/>
      <c r="K138" s="37"/>
      <c r="L138" s="256"/>
      <c r="M138" s="170"/>
    </row>
    <row r="139" spans="1:13" ht="15.75" x14ac:dyDescent="0.2">
      <c r="A139" s="18" t="s">
        <v>343</v>
      </c>
      <c r="B139" s="229">
        <v>389000</v>
      </c>
      <c r="C139" s="229">
        <v>750404</v>
      </c>
      <c r="D139" s="159">
        <f t="shared" si="0"/>
        <v>92.9</v>
      </c>
      <c r="E139" s="170">
        <f>IFERROR(100/'Skjema total MA'!C139*C139,0)</f>
        <v>0.27848824503353514</v>
      </c>
      <c r="F139" s="229"/>
      <c r="G139" s="229"/>
      <c r="H139" s="159"/>
      <c r="I139" s="170"/>
      <c r="J139" s="288">
        <v>389000</v>
      </c>
      <c r="K139" s="37">
        <v>750404</v>
      </c>
      <c r="L139" s="256">
        <f t="shared" si="2"/>
        <v>92.9</v>
      </c>
      <c r="M139" s="170">
        <f>IFERROR(100/'Skjema total MA'!I139*K139,0)</f>
        <v>0.27260063575256871</v>
      </c>
    </row>
    <row r="140" spans="1:13" ht="15.75" x14ac:dyDescent="0.2">
      <c r="A140" s="18" t="s">
        <v>334</v>
      </c>
      <c r="B140" s="229"/>
      <c r="C140" s="229"/>
      <c r="D140" s="159"/>
      <c r="E140" s="170"/>
      <c r="F140" s="229">
        <v>282593</v>
      </c>
      <c r="G140" s="229">
        <v>486917</v>
      </c>
      <c r="H140" s="159">
        <f t="shared" si="1"/>
        <v>72.3</v>
      </c>
      <c r="I140" s="170">
        <f>IFERROR(100/'Skjema total MA'!F140*G140,0)</f>
        <v>0.87289946437778443</v>
      </c>
      <c r="J140" s="288">
        <v>282593</v>
      </c>
      <c r="K140" s="37">
        <v>486917</v>
      </c>
      <c r="L140" s="256">
        <f t="shared" si="2"/>
        <v>72.3</v>
      </c>
      <c r="M140" s="170">
        <f>IFERROR(100/'Skjema total MA'!I140*K140,0)</f>
        <v>0.86136840900862155</v>
      </c>
    </row>
    <row r="141" spans="1:13" ht="15.75" x14ac:dyDescent="0.2">
      <c r="A141" s="18" t="s">
        <v>335</v>
      </c>
      <c r="B141" s="229"/>
      <c r="C141" s="229"/>
      <c r="D141" s="159"/>
      <c r="E141" s="170"/>
      <c r="F141" s="229"/>
      <c r="G141" s="229"/>
      <c r="H141" s="159"/>
      <c r="I141" s="170"/>
      <c r="J141" s="288"/>
      <c r="K141" s="37"/>
      <c r="L141" s="256"/>
      <c r="M141" s="170"/>
    </row>
    <row r="142" spans="1:13" ht="15.75" x14ac:dyDescent="0.2">
      <c r="A142" s="11" t="s">
        <v>27</v>
      </c>
      <c r="B142" s="310">
        <v>3879</v>
      </c>
      <c r="C142" s="152">
        <v>5534</v>
      </c>
      <c r="D142" s="159">
        <f t="shared" si="0"/>
        <v>42.7</v>
      </c>
      <c r="E142" s="170">
        <f>IFERROR(100/'Skjema total MA'!C142*C142,0)</f>
        <v>0.44669193060796303</v>
      </c>
      <c r="F142" s="310">
        <v>149730</v>
      </c>
      <c r="G142" s="152">
        <v>179436</v>
      </c>
      <c r="H142" s="159">
        <f t="shared" si="1"/>
        <v>19.8</v>
      </c>
      <c r="I142" s="170">
        <f>IFERROR(100/'Skjema total MA'!F142*G142,0)</f>
        <v>2.9579961770711218</v>
      </c>
      <c r="J142" s="311">
        <v>153609</v>
      </c>
      <c r="K142" s="231">
        <v>184970</v>
      </c>
      <c r="L142" s="256">
        <f t="shared" si="2"/>
        <v>20.399999999999999</v>
      </c>
      <c r="M142" s="170">
        <f>IFERROR(100/'Skjema total MA'!I142*K142,0)</f>
        <v>2.53209480065243</v>
      </c>
    </row>
    <row r="143" spans="1:13" x14ac:dyDescent="0.2">
      <c r="A143" s="18" t="s">
        <v>9</v>
      </c>
      <c r="B143" s="229">
        <v>3879</v>
      </c>
      <c r="C143" s="139">
        <v>5534</v>
      </c>
      <c r="D143" s="159">
        <f t="shared" ref="D143:D151" si="12">IF(B143=0, "    ---- ", IF(ABS(ROUND(100/B143*C143-100,1))&lt;999,ROUND(100/B143*C143-100,1),IF(ROUND(100/B143*C143-100,1)&gt;999,999,-999)))</f>
        <v>42.7</v>
      </c>
      <c r="E143" s="170">
        <f>IFERROR(100/'Skjema total MA'!C143*C143,0)</f>
        <v>0.44821304015378699</v>
      </c>
      <c r="F143" s="229"/>
      <c r="G143" s="139"/>
      <c r="H143" s="159"/>
      <c r="I143" s="170"/>
      <c r="J143" s="288">
        <v>3879</v>
      </c>
      <c r="K143" s="37">
        <v>5534</v>
      </c>
      <c r="L143" s="256">
        <f t="shared" ref="L143:L156" si="13">IF(J143=0, "    ---- ", IF(ABS(ROUND(100/J143*K143-100,1))&lt;999,ROUND(100/J143*K143-100,1),IF(ROUND(100/J143*K143-100,1)&gt;999,999,-999)))</f>
        <v>42.7</v>
      </c>
      <c r="M143" s="170">
        <f>IFERROR(100/'Skjema total MA'!I143*K143,0)</f>
        <v>0.44821304015378699</v>
      </c>
    </row>
    <row r="144" spans="1:13" x14ac:dyDescent="0.2">
      <c r="A144" s="18" t="s">
        <v>10</v>
      </c>
      <c r="B144" s="229"/>
      <c r="C144" s="139"/>
      <c r="D144" s="159"/>
      <c r="E144" s="170"/>
      <c r="F144" s="229">
        <v>149730</v>
      </c>
      <c r="G144" s="139">
        <v>179436</v>
      </c>
      <c r="H144" s="159">
        <f t="shared" ref="H144:H156" si="14">IF(F144=0, "    ---- ", IF(ABS(ROUND(100/F144*G144-100,1))&lt;999,ROUND(100/F144*G144-100,1),IF(ROUND(100/F144*G144-100,1)&gt;999,999,-999)))</f>
        <v>19.8</v>
      </c>
      <c r="I144" s="170">
        <f>IFERROR(100/'Skjema total MA'!F144*G144,0)</f>
        <v>2.9579961770711218</v>
      </c>
      <c r="J144" s="288">
        <v>149730</v>
      </c>
      <c r="K144" s="37">
        <v>179436</v>
      </c>
      <c r="L144" s="256">
        <f t="shared" si="13"/>
        <v>19.8</v>
      </c>
      <c r="M144" s="170">
        <f>IFERROR(100/'Skjema total MA'!I144*K144,0)</f>
        <v>2.9559474137772308</v>
      </c>
    </row>
    <row r="145" spans="1:14" x14ac:dyDescent="0.2">
      <c r="A145" s="18" t="s">
        <v>34</v>
      </c>
      <c r="B145" s="229"/>
      <c r="C145" s="139"/>
      <c r="D145" s="159"/>
      <c r="E145" s="170"/>
      <c r="F145" s="229"/>
      <c r="G145" s="139"/>
      <c r="H145" s="159"/>
      <c r="I145" s="170"/>
      <c r="J145" s="288"/>
      <c r="K145" s="37"/>
      <c r="L145" s="256"/>
      <c r="M145" s="170"/>
    </row>
    <row r="146" spans="1:14" x14ac:dyDescent="0.2">
      <c r="A146" s="298" t="s">
        <v>15</v>
      </c>
      <c r="B146" s="282"/>
      <c r="C146" s="282"/>
      <c r="D146" s="159"/>
      <c r="E146" s="237"/>
      <c r="F146" s="282">
        <v>149730</v>
      </c>
      <c r="G146" s="282">
        <v>179436</v>
      </c>
      <c r="H146" s="159">
        <f t="shared" ref="H146" si="15">IF(F146=0, "    ---- ", IF(ABS(ROUND(100/F146*G146-100,1))&lt;999,ROUND(100/F146*G146-100,1),IF(ROUND(100/F146*G146-100,1)&gt;999,999,-999)))</f>
        <v>19.8</v>
      </c>
      <c r="I146" s="237">
        <f>IFERROR(100/'Skjema total MA'!F146*G146,0)</f>
        <v>100</v>
      </c>
      <c r="J146" s="291">
        <v>149730</v>
      </c>
      <c r="K146" s="291">
        <v>179436</v>
      </c>
      <c r="L146" s="159">
        <f t="shared" ref="L146" si="16">IF(J146=0, "    ---- ", IF(ABS(ROUND(100/J146*K146-100,1))&lt;999,ROUND(100/J146*K146-100,1),IF(ROUND(100/J146*K146-100,1)&gt;999,999,-999)))</f>
        <v>19.8</v>
      </c>
      <c r="M146" s="159">
        <f>IFERROR(100/'Skjema total MA'!I146*K146,0)</f>
        <v>99.014260275059527</v>
      </c>
    </row>
    <row r="147" spans="1:14" ht="15.75" x14ac:dyDescent="0.2">
      <c r="A147" s="18" t="s">
        <v>344</v>
      </c>
      <c r="B147" s="229"/>
      <c r="C147" s="229"/>
      <c r="D147" s="159"/>
      <c r="E147" s="170"/>
      <c r="F147" s="229"/>
      <c r="G147" s="229"/>
      <c r="H147" s="159"/>
      <c r="I147" s="170"/>
      <c r="J147" s="288"/>
      <c r="K147" s="37"/>
      <c r="L147" s="256"/>
      <c r="M147" s="170"/>
    </row>
    <row r="148" spans="1:14" ht="15.75" x14ac:dyDescent="0.2">
      <c r="A148" s="18" t="s">
        <v>336</v>
      </c>
      <c r="B148" s="229"/>
      <c r="C148" s="229"/>
      <c r="D148" s="159"/>
      <c r="E148" s="170"/>
      <c r="F148" s="229">
        <v>63153</v>
      </c>
      <c r="G148" s="229">
        <v>99338</v>
      </c>
      <c r="H148" s="159">
        <f t="shared" si="14"/>
        <v>57.3</v>
      </c>
      <c r="I148" s="170">
        <f>IFERROR(100/'Skjema total MA'!F148*G148,0)</f>
        <v>8.8163048978929162</v>
      </c>
      <c r="J148" s="288">
        <v>63153</v>
      </c>
      <c r="K148" s="37">
        <v>99338</v>
      </c>
      <c r="L148" s="256">
        <f t="shared" si="13"/>
        <v>57.3</v>
      </c>
      <c r="M148" s="170">
        <f>IFERROR(100/'Skjema total MA'!I148*K148,0)</f>
        <v>8.816196161858219</v>
      </c>
    </row>
    <row r="149" spans="1:14" ht="15.75" x14ac:dyDescent="0.2">
      <c r="A149" s="18" t="s">
        <v>335</v>
      </c>
      <c r="B149" s="229"/>
      <c r="C149" s="229"/>
      <c r="D149" s="159"/>
      <c r="E149" s="170"/>
      <c r="F149" s="229"/>
      <c r="G149" s="229"/>
      <c r="H149" s="159"/>
      <c r="I149" s="170"/>
      <c r="J149" s="288"/>
      <c r="K149" s="37"/>
      <c r="L149" s="256"/>
      <c r="M149" s="170"/>
    </row>
    <row r="150" spans="1:14" ht="15.75" x14ac:dyDescent="0.2">
      <c r="A150" s="11" t="s">
        <v>26</v>
      </c>
      <c r="B150" s="310">
        <v>1072</v>
      </c>
      <c r="C150" s="152">
        <v>4393</v>
      </c>
      <c r="D150" s="159">
        <f t="shared" si="12"/>
        <v>309.8</v>
      </c>
      <c r="E150" s="170">
        <f>IFERROR(100/'Skjema total MA'!C150*C150,0)</f>
        <v>0.50322086087593598</v>
      </c>
      <c r="F150" s="310">
        <v>19028</v>
      </c>
      <c r="G150" s="152">
        <v>43801</v>
      </c>
      <c r="H150" s="159">
        <f t="shared" si="14"/>
        <v>130.19999999999999</v>
      </c>
      <c r="I150" s="170">
        <f>IFERROR(100/'Skjema total MA'!F150*G150,0)</f>
        <v>0.7061215722444526</v>
      </c>
      <c r="J150" s="311">
        <v>20100</v>
      </c>
      <c r="K150" s="231">
        <v>48194</v>
      </c>
      <c r="L150" s="256">
        <f t="shared" si="13"/>
        <v>139.80000000000001</v>
      </c>
      <c r="M150" s="170">
        <f>IFERROR(100/'Skjema total MA'!I150*K150,0)</f>
        <v>0.68108946971457052</v>
      </c>
    </row>
    <row r="151" spans="1:14" x14ac:dyDescent="0.2">
      <c r="A151" s="18" t="s">
        <v>9</v>
      </c>
      <c r="B151" s="229">
        <v>1072</v>
      </c>
      <c r="C151" s="139">
        <v>4393</v>
      </c>
      <c r="D151" s="159">
        <f t="shared" si="12"/>
        <v>309.8</v>
      </c>
      <c r="E151" s="170">
        <f>IFERROR(100/'Skjema total MA'!C151*C151,0)</f>
        <v>0.53138871530150533</v>
      </c>
      <c r="F151" s="229"/>
      <c r="G151" s="139"/>
      <c r="H151" s="159"/>
      <c r="I151" s="170"/>
      <c r="J151" s="288">
        <v>1072</v>
      </c>
      <c r="K151" s="37">
        <v>4393</v>
      </c>
      <c r="L151" s="256">
        <f t="shared" si="13"/>
        <v>309.8</v>
      </c>
      <c r="M151" s="170">
        <f>IFERROR(100/'Skjema total MA'!I151*K151,0)</f>
        <v>0.53138871530150533</v>
      </c>
    </row>
    <row r="152" spans="1:14" x14ac:dyDescent="0.2">
      <c r="A152" s="18" t="s">
        <v>10</v>
      </c>
      <c r="B152" s="229"/>
      <c r="C152" s="139"/>
      <c r="D152" s="159"/>
      <c r="E152" s="170"/>
      <c r="F152" s="229">
        <v>19028</v>
      </c>
      <c r="G152" s="139">
        <v>43801</v>
      </c>
      <c r="H152" s="159">
        <f t="shared" si="14"/>
        <v>130.19999999999999</v>
      </c>
      <c r="I152" s="170">
        <f>IFERROR(100/'Skjema total MA'!F152*G152,0)</f>
        <v>0.7061215722444526</v>
      </c>
      <c r="J152" s="288">
        <v>19028</v>
      </c>
      <c r="K152" s="37">
        <v>43801</v>
      </c>
      <c r="L152" s="256">
        <f t="shared" si="13"/>
        <v>130.19999999999999</v>
      </c>
      <c r="M152" s="170">
        <f>IFERROR(100/'Skjema total MA'!I152*K152,0)</f>
        <v>0.7008929035584428</v>
      </c>
    </row>
    <row r="153" spans="1:14" x14ac:dyDescent="0.2">
      <c r="A153" s="18" t="s">
        <v>34</v>
      </c>
      <c r="B153" s="229"/>
      <c r="C153" s="139"/>
      <c r="D153" s="159"/>
      <c r="E153" s="170"/>
      <c r="F153" s="229"/>
      <c r="G153" s="139"/>
      <c r="H153" s="159"/>
      <c r="I153" s="170"/>
      <c r="J153" s="288"/>
      <c r="K153" s="37"/>
      <c r="L153" s="256"/>
      <c r="M153" s="170"/>
    </row>
    <row r="154" spans="1:14" x14ac:dyDescent="0.2">
      <c r="A154" s="298" t="s">
        <v>14</v>
      </c>
      <c r="B154" s="282"/>
      <c r="C154" s="282"/>
      <c r="D154" s="159"/>
      <c r="E154" s="237"/>
      <c r="F154" s="282"/>
      <c r="G154" s="282"/>
      <c r="H154" s="159"/>
      <c r="I154" s="237"/>
      <c r="J154" s="291"/>
      <c r="K154" s="291"/>
      <c r="L154" s="159"/>
      <c r="M154" s="159"/>
    </row>
    <row r="155" spans="1:14" ht="15.75" x14ac:dyDescent="0.2">
      <c r="A155" s="18" t="s">
        <v>333</v>
      </c>
      <c r="B155" s="229"/>
      <c r="C155" s="229"/>
      <c r="D155" s="159"/>
      <c r="E155" s="170"/>
      <c r="F155" s="229"/>
      <c r="G155" s="229"/>
      <c r="H155" s="159"/>
      <c r="I155" s="170"/>
      <c r="J155" s="288"/>
      <c r="K155" s="37"/>
      <c r="L155" s="256"/>
      <c r="M155" s="170"/>
    </row>
    <row r="156" spans="1:14" ht="15.75" x14ac:dyDescent="0.2">
      <c r="A156" s="18" t="s">
        <v>334</v>
      </c>
      <c r="B156" s="229"/>
      <c r="C156" s="229"/>
      <c r="D156" s="159"/>
      <c r="E156" s="170"/>
      <c r="F156" s="229">
        <v>2325</v>
      </c>
      <c r="G156" s="229">
        <v>8731</v>
      </c>
      <c r="H156" s="159">
        <f t="shared" si="14"/>
        <v>275.5</v>
      </c>
      <c r="I156" s="170">
        <f>IFERROR(100/'Skjema total MA'!F156*G156,0)</f>
        <v>0.96354216286542904</v>
      </c>
      <c r="J156" s="288">
        <v>2325</v>
      </c>
      <c r="K156" s="37">
        <v>8731</v>
      </c>
      <c r="L156" s="256">
        <f t="shared" si="13"/>
        <v>275.5</v>
      </c>
      <c r="M156" s="170">
        <f>IFERROR(100/'Skjema total MA'!I156*K156,0)</f>
        <v>0.95964921410100856</v>
      </c>
    </row>
    <row r="157" spans="1:14" ht="15.75" x14ac:dyDescent="0.2">
      <c r="A157" s="9" t="s">
        <v>335</v>
      </c>
      <c r="B157" s="38"/>
      <c r="C157" s="38"/>
      <c r="D157" s="160"/>
      <c r="E157" s="201"/>
      <c r="F157" s="38"/>
      <c r="G157" s="38"/>
      <c r="H157" s="160"/>
      <c r="I157" s="160"/>
      <c r="J157" s="289"/>
      <c r="K157" s="38"/>
      <c r="L157" s="257"/>
      <c r="M157" s="160"/>
    </row>
    <row r="158" spans="1:14" x14ac:dyDescent="0.2">
      <c r="A158" s="148"/>
      <c r="L158" s="20"/>
      <c r="M158" s="20"/>
      <c r="N158" s="20"/>
    </row>
    <row r="159" spans="1:14" x14ac:dyDescent="0.2">
      <c r="L159" s="20"/>
      <c r="M159" s="20"/>
      <c r="N159" s="20"/>
    </row>
    <row r="160" spans="1:14" ht="15.75" x14ac:dyDescent="0.25">
      <c r="A160" s="158" t="s">
        <v>35</v>
      </c>
    </row>
    <row r="161" spans="1:14" ht="15.75" x14ac:dyDescent="0.25">
      <c r="B161" s="832"/>
      <c r="C161" s="832"/>
      <c r="D161" s="832"/>
      <c r="E161" s="301"/>
      <c r="F161" s="832"/>
      <c r="G161" s="832"/>
      <c r="H161" s="832"/>
      <c r="I161" s="301"/>
      <c r="J161" s="832"/>
      <c r="K161" s="832"/>
      <c r="L161" s="832"/>
      <c r="M161" s="301"/>
    </row>
    <row r="162" spans="1:14" s="3" customFormat="1" x14ac:dyDescent="0.2">
      <c r="A162" s="138"/>
      <c r="B162" s="833" t="s">
        <v>0</v>
      </c>
      <c r="C162" s="834"/>
      <c r="D162" s="834"/>
      <c r="E162" s="303"/>
      <c r="F162" s="833" t="s">
        <v>1</v>
      </c>
      <c r="G162" s="834"/>
      <c r="H162" s="834"/>
      <c r="I162" s="306"/>
      <c r="J162" s="833" t="s">
        <v>2</v>
      </c>
      <c r="K162" s="834"/>
      <c r="L162" s="834"/>
      <c r="M162" s="306"/>
      <c r="N162" s="142"/>
    </row>
    <row r="163" spans="1:14" s="3" customFormat="1" x14ac:dyDescent="0.2">
      <c r="A163" s="134"/>
      <c r="B163" s="145" t="s">
        <v>400</v>
      </c>
      <c r="C163" s="145" t="s">
        <v>401</v>
      </c>
      <c r="D163" s="242" t="s">
        <v>3</v>
      </c>
      <c r="E163" s="307" t="s">
        <v>37</v>
      </c>
      <c r="F163" s="145" t="s">
        <v>400</v>
      </c>
      <c r="G163" s="145" t="s">
        <v>401</v>
      </c>
      <c r="H163" s="242" t="s">
        <v>3</v>
      </c>
      <c r="I163" s="307" t="s">
        <v>37</v>
      </c>
      <c r="J163" s="145" t="s">
        <v>400</v>
      </c>
      <c r="K163" s="145" t="s">
        <v>401</v>
      </c>
      <c r="L163" s="242" t="s">
        <v>3</v>
      </c>
      <c r="M163" s="155" t="s">
        <v>37</v>
      </c>
      <c r="N163" s="142"/>
    </row>
    <row r="164" spans="1:14" s="3" customFormat="1" x14ac:dyDescent="0.2">
      <c r="A164" s="403"/>
      <c r="B164" s="149"/>
      <c r="C164" s="149"/>
      <c r="D164" s="243" t="s">
        <v>4</v>
      </c>
      <c r="E164" s="149" t="s">
        <v>38</v>
      </c>
      <c r="F164" s="154"/>
      <c r="G164" s="154"/>
      <c r="H164" s="242" t="s">
        <v>4</v>
      </c>
      <c r="I164" s="149" t="s">
        <v>38</v>
      </c>
      <c r="J164" s="154"/>
      <c r="K164" s="154"/>
      <c r="L164" s="242" t="s">
        <v>4</v>
      </c>
      <c r="M164" s="149" t="s">
        <v>38</v>
      </c>
      <c r="N164" s="142"/>
    </row>
    <row r="165" spans="1:14" s="3" customFormat="1" ht="15.75" x14ac:dyDescent="0.2">
      <c r="A165" s="12" t="s">
        <v>337</v>
      </c>
      <c r="B165" s="231"/>
      <c r="C165" s="311"/>
      <c r="D165" s="251"/>
      <c r="E165" s="170"/>
      <c r="F165" s="318"/>
      <c r="G165" s="319"/>
      <c r="H165" s="252"/>
      <c r="I165" s="159"/>
      <c r="J165" s="320"/>
      <c r="K165" s="320"/>
      <c r="L165" s="255"/>
      <c r="M165" s="170"/>
      <c r="N165" s="142"/>
    </row>
    <row r="166" spans="1:14" s="3" customFormat="1" ht="15.75" x14ac:dyDescent="0.2">
      <c r="A166" s="11" t="s">
        <v>338</v>
      </c>
      <c r="B166" s="231"/>
      <c r="C166" s="311"/>
      <c r="D166" s="159"/>
      <c r="E166" s="170"/>
      <c r="F166" s="231"/>
      <c r="G166" s="311"/>
      <c r="H166" s="236"/>
      <c r="I166" s="159"/>
      <c r="J166" s="310"/>
      <c r="K166" s="310"/>
      <c r="L166" s="256"/>
      <c r="M166" s="170"/>
      <c r="N166" s="142"/>
    </row>
    <row r="167" spans="1:14" s="3" customFormat="1" ht="15.75" x14ac:dyDescent="0.2">
      <c r="A167" s="11" t="s">
        <v>339</v>
      </c>
      <c r="B167" s="231"/>
      <c r="C167" s="311"/>
      <c r="D167" s="159"/>
      <c r="E167" s="170"/>
      <c r="F167" s="231"/>
      <c r="G167" s="311"/>
      <c r="H167" s="236"/>
      <c r="I167" s="159"/>
      <c r="J167" s="310"/>
      <c r="K167" s="310"/>
      <c r="L167" s="256"/>
      <c r="M167" s="170"/>
      <c r="N167" s="142"/>
    </row>
    <row r="168" spans="1:14" s="3" customFormat="1" ht="15.75" x14ac:dyDescent="0.2">
      <c r="A168" s="11" t="s">
        <v>340</v>
      </c>
      <c r="B168" s="231"/>
      <c r="C168" s="311"/>
      <c r="D168" s="159"/>
      <c r="E168" s="170"/>
      <c r="F168" s="231"/>
      <c r="G168" s="311"/>
      <c r="H168" s="236"/>
      <c r="I168" s="159"/>
      <c r="J168" s="310"/>
      <c r="K168" s="310"/>
      <c r="L168" s="256"/>
      <c r="M168" s="170"/>
      <c r="N168" s="142"/>
    </row>
    <row r="169" spans="1:14" s="3" customFormat="1" ht="15.75" x14ac:dyDescent="0.2">
      <c r="A169" s="34" t="s">
        <v>341</v>
      </c>
      <c r="B169" s="277"/>
      <c r="C169" s="317"/>
      <c r="D169" s="160"/>
      <c r="E169" s="201"/>
      <c r="F169" s="277"/>
      <c r="G169" s="317"/>
      <c r="H169" s="239"/>
      <c r="I169" s="160"/>
      <c r="J169" s="316"/>
      <c r="K169" s="316"/>
      <c r="L169" s="257"/>
      <c r="M169" s="160"/>
      <c r="N169" s="142"/>
    </row>
    <row r="170" spans="1:14" s="3" customFormat="1" x14ac:dyDescent="0.2">
      <c r="A170" s="161"/>
      <c r="B170" s="27"/>
      <c r="C170" s="27"/>
      <c r="D170" s="152"/>
      <c r="E170" s="152"/>
      <c r="F170" s="27"/>
      <c r="G170" s="27"/>
      <c r="H170" s="152"/>
      <c r="I170" s="152"/>
      <c r="J170" s="27"/>
      <c r="K170" s="27"/>
      <c r="L170" s="152"/>
      <c r="M170" s="152"/>
      <c r="N170" s="142"/>
    </row>
    <row r="171" spans="1:14" x14ac:dyDescent="0.2">
      <c r="A171" s="161"/>
      <c r="B171" s="27"/>
      <c r="C171" s="27"/>
      <c r="D171" s="152"/>
      <c r="E171" s="152"/>
      <c r="F171" s="27"/>
      <c r="G171" s="27"/>
      <c r="H171" s="152"/>
      <c r="I171" s="152"/>
      <c r="J171" s="27"/>
      <c r="K171" s="27"/>
      <c r="L171" s="152"/>
      <c r="M171" s="152"/>
      <c r="N171" s="142"/>
    </row>
    <row r="172" spans="1:14" x14ac:dyDescent="0.2">
      <c r="A172" s="161"/>
      <c r="B172" s="27"/>
      <c r="C172" s="27"/>
      <c r="D172" s="152"/>
      <c r="E172" s="152"/>
      <c r="F172" s="27"/>
      <c r="G172" s="27"/>
      <c r="H172" s="152"/>
      <c r="I172" s="152"/>
      <c r="J172" s="27"/>
      <c r="K172" s="27"/>
      <c r="L172" s="152"/>
      <c r="M172" s="152"/>
      <c r="N172" s="142"/>
    </row>
    <row r="173" spans="1:14" x14ac:dyDescent="0.2">
      <c r="A173" s="140"/>
      <c r="B173" s="140"/>
      <c r="C173" s="140"/>
      <c r="D173" s="140"/>
      <c r="E173" s="140"/>
      <c r="F173" s="140"/>
      <c r="G173" s="140"/>
      <c r="H173" s="140"/>
      <c r="I173" s="140"/>
      <c r="J173" s="140"/>
      <c r="K173" s="140"/>
      <c r="L173" s="140"/>
      <c r="M173" s="140"/>
      <c r="N173" s="140"/>
    </row>
    <row r="174" spans="1:14" ht="15.75" x14ac:dyDescent="0.25">
      <c r="B174" s="136"/>
      <c r="C174" s="136"/>
      <c r="D174" s="136"/>
      <c r="E174" s="136"/>
      <c r="F174" s="136"/>
      <c r="G174" s="136"/>
      <c r="H174" s="136"/>
      <c r="I174" s="136"/>
      <c r="J174" s="136"/>
      <c r="K174" s="136"/>
      <c r="L174" s="136"/>
      <c r="M174" s="136"/>
      <c r="N174" s="136"/>
    </row>
    <row r="175" spans="1:14" ht="15.75" x14ac:dyDescent="0.25">
      <c r="B175" s="150"/>
      <c r="C175" s="150"/>
      <c r="D175" s="150"/>
      <c r="E175" s="150"/>
      <c r="F175" s="150"/>
      <c r="G175" s="150"/>
      <c r="H175" s="150"/>
      <c r="I175" s="150"/>
      <c r="J175" s="150"/>
      <c r="K175" s="150"/>
      <c r="L175" s="150"/>
      <c r="M175" s="150"/>
      <c r="N175" s="150"/>
    </row>
    <row r="176" spans="1:14" ht="15.75" x14ac:dyDescent="0.25">
      <c r="B176" s="150"/>
      <c r="C176" s="150"/>
      <c r="D176" s="150"/>
      <c r="E176" s="150"/>
      <c r="F176" s="150"/>
      <c r="G176" s="150"/>
      <c r="H176" s="150"/>
      <c r="I176" s="150"/>
      <c r="J176" s="150"/>
      <c r="K176" s="150"/>
      <c r="L176" s="150"/>
      <c r="M176" s="150"/>
      <c r="N176" s="150"/>
    </row>
  </sheetData>
  <mergeCells count="28">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22:D22"/>
    <mergeCell ref="F22:H22"/>
    <mergeCell ref="J22:L22"/>
    <mergeCell ref="D47:F47"/>
    <mergeCell ref="G47:I47"/>
    <mergeCell ref="J47:L47"/>
  </mergeCells>
  <conditionalFormatting sqref="B57:C59">
    <cfRule type="expression" dxfId="1388" priority="144">
      <formula>kvartal &lt; 4</formula>
    </cfRule>
  </conditionalFormatting>
  <conditionalFormatting sqref="B63:C65">
    <cfRule type="expression" dxfId="1387" priority="143">
      <formula>kvartal &lt; 4</formula>
    </cfRule>
  </conditionalFormatting>
  <conditionalFormatting sqref="B37">
    <cfRule type="expression" dxfId="1386" priority="142">
      <formula>kvartal &lt; 4</formula>
    </cfRule>
  </conditionalFormatting>
  <conditionalFormatting sqref="B38">
    <cfRule type="expression" dxfId="1385" priority="141">
      <formula>kvartal &lt; 4</formula>
    </cfRule>
  </conditionalFormatting>
  <conditionalFormatting sqref="B39">
    <cfRule type="expression" dxfId="1384" priority="140">
      <formula>kvartal &lt; 4</formula>
    </cfRule>
  </conditionalFormatting>
  <conditionalFormatting sqref="A34">
    <cfRule type="expression" dxfId="1383" priority="13">
      <formula>kvartal &lt; 4</formula>
    </cfRule>
  </conditionalFormatting>
  <conditionalFormatting sqref="C37">
    <cfRule type="expression" dxfId="1382" priority="139">
      <formula>kvartal &lt; 4</formula>
    </cfRule>
  </conditionalFormatting>
  <conditionalFormatting sqref="C38">
    <cfRule type="expression" dxfId="1381" priority="138">
      <formula>kvartal &lt; 4</formula>
    </cfRule>
  </conditionalFormatting>
  <conditionalFormatting sqref="C39">
    <cfRule type="expression" dxfId="1380" priority="137">
      <formula>kvartal &lt; 4</formula>
    </cfRule>
  </conditionalFormatting>
  <conditionalFormatting sqref="B26:C28">
    <cfRule type="expression" dxfId="1379" priority="136">
      <formula>kvartal &lt; 4</formula>
    </cfRule>
  </conditionalFormatting>
  <conditionalFormatting sqref="B32:C33">
    <cfRule type="expression" dxfId="1378" priority="135">
      <formula>kvartal &lt; 4</formula>
    </cfRule>
  </conditionalFormatting>
  <conditionalFormatting sqref="B34">
    <cfRule type="expression" dxfId="1377" priority="134">
      <formula>kvartal &lt; 4</formula>
    </cfRule>
  </conditionalFormatting>
  <conditionalFormatting sqref="C34">
    <cfRule type="expression" dxfId="1376" priority="133">
      <formula>kvartal &lt; 4</formula>
    </cfRule>
  </conditionalFormatting>
  <conditionalFormatting sqref="F26:G28">
    <cfRule type="expression" dxfId="1375" priority="132">
      <formula>kvartal &lt; 4</formula>
    </cfRule>
  </conditionalFormatting>
  <conditionalFormatting sqref="F32">
    <cfRule type="expression" dxfId="1374" priority="131">
      <formula>kvartal &lt; 4</formula>
    </cfRule>
  </conditionalFormatting>
  <conditionalFormatting sqref="G32">
    <cfRule type="expression" dxfId="1373" priority="130">
      <formula>kvartal &lt; 4</formula>
    </cfRule>
  </conditionalFormatting>
  <conditionalFormatting sqref="F33">
    <cfRule type="expression" dxfId="1372" priority="129">
      <formula>kvartal &lt; 4</formula>
    </cfRule>
  </conditionalFormatting>
  <conditionalFormatting sqref="G33">
    <cfRule type="expression" dxfId="1371" priority="128">
      <formula>kvartal &lt; 4</formula>
    </cfRule>
  </conditionalFormatting>
  <conditionalFormatting sqref="F34">
    <cfRule type="expression" dxfId="1370" priority="127">
      <formula>kvartal &lt; 4</formula>
    </cfRule>
  </conditionalFormatting>
  <conditionalFormatting sqref="G34">
    <cfRule type="expression" dxfId="1369" priority="126">
      <formula>kvartal &lt; 4</formula>
    </cfRule>
  </conditionalFormatting>
  <conditionalFormatting sqref="F37">
    <cfRule type="expression" dxfId="1368" priority="125">
      <formula>kvartal &lt; 4</formula>
    </cfRule>
  </conditionalFormatting>
  <conditionalFormatting sqref="F38">
    <cfRule type="expression" dxfId="1367" priority="124">
      <formula>kvartal &lt; 4</formula>
    </cfRule>
  </conditionalFormatting>
  <conditionalFormatting sqref="F39">
    <cfRule type="expression" dxfId="1366" priority="123">
      <formula>kvartal &lt; 4</formula>
    </cfRule>
  </conditionalFormatting>
  <conditionalFormatting sqref="G37">
    <cfRule type="expression" dxfId="1365" priority="122">
      <formula>kvartal &lt; 4</formula>
    </cfRule>
  </conditionalFormatting>
  <conditionalFormatting sqref="G38">
    <cfRule type="expression" dxfId="1364" priority="121">
      <formula>kvartal &lt; 4</formula>
    </cfRule>
  </conditionalFormatting>
  <conditionalFormatting sqref="G39">
    <cfRule type="expression" dxfId="1363" priority="120">
      <formula>kvartal &lt; 4</formula>
    </cfRule>
  </conditionalFormatting>
  <conditionalFormatting sqref="B29">
    <cfRule type="expression" dxfId="1362" priority="119">
      <formula>kvartal &lt; 4</formula>
    </cfRule>
  </conditionalFormatting>
  <conditionalFormatting sqref="C29">
    <cfRule type="expression" dxfId="1361" priority="118">
      <formula>kvartal &lt; 4</formula>
    </cfRule>
  </conditionalFormatting>
  <conditionalFormatting sqref="F29">
    <cfRule type="expression" dxfId="1360" priority="117">
      <formula>kvartal &lt; 4</formula>
    </cfRule>
  </conditionalFormatting>
  <conditionalFormatting sqref="G29">
    <cfRule type="expression" dxfId="1359" priority="116">
      <formula>kvartal &lt; 4</formula>
    </cfRule>
  </conditionalFormatting>
  <conditionalFormatting sqref="J26:K29">
    <cfRule type="expression" dxfId="1358" priority="115">
      <formula>kvartal &lt; 4</formula>
    </cfRule>
  </conditionalFormatting>
  <conditionalFormatting sqref="J32:K34">
    <cfRule type="expression" dxfId="1357" priority="114">
      <formula>kvartal &lt; 4</formula>
    </cfRule>
  </conditionalFormatting>
  <conditionalFormatting sqref="J37:K39">
    <cfRule type="expression" dxfId="1356" priority="113">
      <formula>kvartal &lt; 4</formula>
    </cfRule>
  </conditionalFormatting>
  <conditionalFormatting sqref="B82">
    <cfRule type="expression" dxfId="1355" priority="112">
      <formula>kvartal &lt; 4</formula>
    </cfRule>
  </conditionalFormatting>
  <conditionalFormatting sqref="C82">
    <cfRule type="expression" dxfId="1354" priority="111">
      <formula>kvartal &lt; 4</formula>
    </cfRule>
  </conditionalFormatting>
  <conditionalFormatting sqref="B85">
    <cfRule type="expression" dxfId="1353" priority="110">
      <formula>kvartal &lt; 4</formula>
    </cfRule>
  </conditionalFormatting>
  <conditionalFormatting sqref="C85">
    <cfRule type="expression" dxfId="1352" priority="109">
      <formula>kvartal &lt; 4</formula>
    </cfRule>
  </conditionalFormatting>
  <conditionalFormatting sqref="B122">
    <cfRule type="expression" dxfId="1351" priority="96">
      <formula>kvartal &lt; 4</formula>
    </cfRule>
  </conditionalFormatting>
  <conditionalFormatting sqref="C122">
    <cfRule type="expression" dxfId="1350" priority="95">
      <formula>kvartal &lt; 4</formula>
    </cfRule>
  </conditionalFormatting>
  <conditionalFormatting sqref="B125">
    <cfRule type="expression" dxfId="1349" priority="94">
      <formula>kvartal &lt; 4</formula>
    </cfRule>
  </conditionalFormatting>
  <conditionalFormatting sqref="C125">
    <cfRule type="expression" dxfId="1348" priority="93">
      <formula>kvartal &lt; 4</formula>
    </cfRule>
  </conditionalFormatting>
  <conditionalFormatting sqref="B132">
    <cfRule type="expression" dxfId="1347" priority="92">
      <formula>kvartal &lt; 4</formula>
    </cfRule>
  </conditionalFormatting>
  <conditionalFormatting sqref="C132">
    <cfRule type="expression" dxfId="1346" priority="91">
      <formula>kvartal &lt; 4</formula>
    </cfRule>
  </conditionalFormatting>
  <conditionalFormatting sqref="B135">
    <cfRule type="expression" dxfId="1345" priority="90">
      <formula>kvartal &lt; 4</formula>
    </cfRule>
  </conditionalFormatting>
  <conditionalFormatting sqref="C135">
    <cfRule type="expression" dxfId="1344" priority="89">
      <formula>kvartal &lt; 4</formula>
    </cfRule>
  </conditionalFormatting>
  <conditionalFormatting sqref="B146">
    <cfRule type="expression" dxfId="1343" priority="88">
      <formula>kvartal &lt; 4</formula>
    </cfRule>
  </conditionalFormatting>
  <conditionalFormatting sqref="C146">
    <cfRule type="expression" dxfId="1342" priority="87">
      <formula>kvartal &lt; 4</formula>
    </cfRule>
  </conditionalFormatting>
  <conditionalFormatting sqref="B154">
    <cfRule type="expression" dxfId="1341" priority="86">
      <formula>kvartal &lt; 4</formula>
    </cfRule>
  </conditionalFormatting>
  <conditionalFormatting sqref="C154">
    <cfRule type="expression" dxfId="1340" priority="85">
      <formula>kvartal &lt; 4</formula>
    </cfRule>
  </conditionalFormatting>
  <conditionalFormatting sqref="F83">
    <cfRule type="expression" dxfId="1339" priority="84">
      <formula>kvartal &lt; 4</formula>
    </cfRule>
  </conditionalFormatting>
  <conditionalFormatting sqref="G83">
    <cfRule type="expression" dxfId="1338" priority="83">
      <formula>kvartal &lt; 4</formula>
    </cfRule>
  </conditionalFormatting>
  <conditionalFormatting sqref="F84:G84">
    <cfRule type="expression" dxfId="1337" priority="82">
      <formula>kvartal &lt; 4</formula>
    </cfRule>
  </conditionalFormatting>
  <conditionalFormatting sqref="F86:G87">
    <cfRule type="expression" dxfId="1336" priority="81">
      <formula>kvartal &lt; 4</formula>
    </cfRule>
  </conditionalFormatting>
  <conditionalFormatting sqref="F93:G94">
    <cfRule type="expression" dxfId="1335" priority="80">
      <formula>kvartal &lt; 4</formula>
    </cfRule>
  </conditionalFormatting>
  <conditionalFormatting sqref="F96:G97">
    <cfRule type="expression" dxfId="1334" priority="79">
      <formula>kvartal &lt; 4</formula>
    </cfRule>
  </conditionalFormatting>
  <conditionalFormatting sqref="F103:G104">
    <cfRule type="expression" dxfId="1333" priority="78">
      <formula>kvartal &lt; 4</formula>
    </cfRule>
  </conditionalFormatting>
  <conditionalFormatting sqref="F106:G107">
    <cfRule type="expression" dxfId="1332" priority="77">
      <formula>kvartal &lt; 4</formula>
    </cfRule>
  </conditionalFormatting>
  <conditionalFormatting sqref="F113:G114">
    <cfRule type="expression" dxfId="1331" priority="76">
      <formula>kvartal &lt; 4</formula>
    </cfRule>
  </conditionalFormatting>
  <conditionalFormatting sqref="F116:G117">
    <cfRule type="expression" dxfId="1330" priority="75">
      <formula>kvartal &lt; 4</formula>
    </cfRule>
  </conditionalFormatting>
  <conditionalFormatting sqref="F123:G124">
    <cfRule type="expression" dxfId="1329" priority="74">
      <formula>kvartal &lt; 4</formula>
    </cfRule>
  </conditionalFormatting>
  <conditionalFormatting sqref="F126:G127">
    <cfRule type="expression" dxfId="1328" priority="73">
      <formula>kvartal &lt; 4</formula>
    </cfRule>
  </conditionalFormatting>
  <conditionalFormatting sqref="F133:G134">
    <cfRule type="expression" dxfId="1327" priority="72">
      <formula>kvartal &lt; 4</formula>
    </cfRule>
  </conditionalFormatting>
  <conditionalFormatting sqref="F136:G137">
    <cfRule type="expression" dxfId="1326" priority="71">
      <formula>kvartal &lt; 4</formula>
    </cfRule>
  </conditionalFormatting>
  <conditionalFormatting sqref="F146">
    <cfRule type="expression" dxfId="1325" priority="70">
      <formula>kvartal &lt; 4</formula>
    </cfRule>
  </conditionalFormatting>
  <conditionalFormatting sqref="G146">
    <cfRule type="expression" dxfId="1324" priority="69">
      <formula>kvartal &lt; 4</formula>
    </cfRule>
  </conditionalFormatting>
  <conditionalFormatting sqref="F154:G154">
    <cfRule type="expression" dxfId="1323" priority="68">
      <formula>kvartal &lt; 4</formula>
    </cfRule>
  </conditionalFormatting>
  <conditionalFormatting sqref="F82:G82">
    <cfRule type="expression" dxfId="1322" priority="67">
      <formula>kvartal &lt; 4</formula>
    </cfRule>
  </conditionalFormatting>
  <conditionalFormatting sqref="F85:G85">
    <cfRule type="expression" dxfId="1321" priority="66">
      <formula>kvartal &lt; 4</formula>
    </cfRule>
  </conditionalFormatting>
  <conditionalFormatting sqref="F92:G92">
    <cfRule type="expression" dxfId="1320" priority="65">
      <formula>kvartal &lt; 4</formula>
    </cfRule>
  </conditionalFormatting>
  <conditionalFormatting sqref="F95:G95">
    <cfRule type="expression" dxfId="1319" priority="64">
      <formula>kvartal &lt; 4</formula>
    </cfRule>
  </conditionalFormatting>
  <conditionalFormatting sqref="F102:G102">
    <cfRule type="expression" dxfId="1318" priority="63">
      <formula>kvartal &lt; 4</formula>
    </cfRule>
  </conditionalFormatting>
  <conditionalFormatting sqref="F105:G105">
    <cfRule type="expression" dxfId="1317" priority="62">
      <formula>kvartal &lt; 4</formula>
    </cfRule>
  </conditionalFormatting>
  <conditionalFormatting sqref="F112:G112">
    <cfRule type="expression" dxfId="1316" priority="61">
      <formula>kvartal &lt; 4</formula>
    </cfRule>
  </conditionalFormatting>
  <conditionalFormatting sqref="F115">
    <cfRule type="expression" dxfId="1315" priority="60">
      <formula>kvartal &lt; 4</formula>
    </cfRule>
  </conditionalFormatting>
  <conditionalFormatting sqref="G115">
    <cfRule type="expression" dxfId="1314" priority="59">
      <formula>kvartal &lt; 4</formula>
    </cfRule>
  </conditionalFormatting>
  <conditionalFormatting sqref="F122:G122">
    <cfRule type="expression" dxfId="1313" priority="58">
      <formula>kvartal &lt; 4</formula>
    </cfRule>
  </conditionalFormatting>
  <conditionalFormatting sqref="F125">
    <cfRule type="expression" dxfId="1312" priority="57">
      <formula>kvartal &lt; 4</formula>
    </cfRule>
  </conditionalFormatting>
  <conditionalFormatting sqref="G125">
    <cfRule type="expression" dxfId="1311" priority="56">
      <formula>kvartal &lt; 4</formula>
    </cfRule>
  </conditionalFormatting>
  <conditionalFormatting sqref="F132">
    <cfRule type="expression" dxfId="1310" priority="55">
      <formula>kvartal &lt; 4</formula>
    </cfRule>
  </conditionalFormatting>
  <conditionalFormatting sqref="G132">
    <cfRule type="expression" dxfId="1309" priority="54">
      <formula>kvartal &lt; 4</formula>
    </cfRule>
  </conditionalFormatting>
  <conditionalFormatting sqref="G135">
    <cfRule type="expression" dxfId="1308" priority="53">
      <formula>kvartal &lt; 4</formula>
    </cfRule>
  </conditionalFormatting>
  <conditionalFormatting sqref="F135">
    <cfRule type="expression" dxfId="1307" priority="52">
      <formula>kvartal &lt; 4</formula>
    </cfRule>
  </conditionalFormatting>
  <conditionalFormatting sqref="J82:K86">
    <cfRule type="expression" dxfId="1306" priority="51">
      <formula>kvartal &lt; 4</formula>
    </cfRule>
  </conditionalFormatting>
  <conditionalFormatting sqref="J87:K87">
    <cfRule type="expression" dxfId="1305" priority="50">
      <formula>kvartal &lt; 4</formula>
    </cfRule>
  </conditionalFormatting>
  <conditionalFormatting sqref="J92:K97">
    <cfRule type="expression" dxfId="1304" priority="49">
      <formula>kvartal &lt; 4</formula>
    </cfRule>
  </conditionalFormatting>
  <conditionalFormatting sqref="J102:K107">
    <cfRule type="expression" dxfId="1303" priority="48">
      <formula>kvartal &lt; 4</formula>
    </cfRule>
  </conditionalFormatting>
  <conditionalFormatting sqref="J112:K117">
    <cfRule type="expression" dxfId="1302" priority="47">
      <formula>kvartal &lt; 4</formula>
    </cfRule>
  </conditionalFormatting>
  <conditionalFormatting sqref="J122:K127">
    <cfRule type="expression" dxfId="1301" priority="46">
      <formula>kvartal &lt; 4</formula>
    </cfRule>
  </conditionalFormatting>
  <conditionalFormatting sqref="J132:K137">
    <cfRule type="expression" dxfId="1300" priority="45">
      <formula>kvartal &lt; 4</formula>
    </cfRule>
  </conditionalFormatting>
  <conditionalFormatting sqref="J146:K146">
    <cfRule type="expression" dxfId="1299" priority="44">
      <formula>kvartal &lt; 4</formula>
    </cfRule>
  </conditionalFormatting>
  <conditionalFormatting sqref="J154:K154">
    <cfRule type="expression" dxfId="1298" priority="43">
      <formula>kvartal &lt; 4</formula>
    </cfRule>
  </conditionalFormatting>
  <conditionalFormatting sqref="A26:A28">
    <cfRule type="expression" dxfId="1297" priority="27">
      <formula>kvartal &lt; 4</formula>
    </cfRule>
  </conditionalFormatting>
  <conditionalFormatting sqref="A32:A33">
    <cfRule type="expression" dxfId="1296" priority="26">
      <formula>kvartal &lt; 4</formula>
    </cfRule>
  </conditionalFormatting>
  <conditionalFormatting sqref="A37:A39">
    <cfRule type="expression" dxfId="1295" priority="25">
      <formula>kvartal &lt; 4</formula>
    </cfRule>
  </conditionalFormatting>
  <conditionalFormatting sqref="A57:A59">
    <cfRule type="expression" dxfId="1294" priority="24">
      <formula>kvartal &lt; 4</formula>
    </cfRule>
  </conditionalFormatting>
  <conditionalFormatting sqref="A63:A65">
    <cfRule type="expression" dxfId="1293" priority="23">
      <formula>kvartal &lt; 4</formula>
    </cfRule>
  </conditionalFormatting>
  <conditionalFormatting sqref="A82:A87">
    <cfRule type="expression" dxfId="1292" priority="22">
      <formula>kvartal &lt; 4</formula>
    </cfRule>
  </conditionalFormatting>
  <conditionalFormatting sqref="A92:A97">
    <cfRule type="expression" dxfId="1291" priority="21">
      <formula>kvartal &lt; 4</formula>
    </cfRule>
  </conditionalFormatting>
  <conditionalFormatting sqref="A102:A107">
    <cfRule type="expression" dxfId="1290" priority="20">
      <formula>kvartal &lt; 4</formula>
    </cfRule>
  </conditionalFormatting>
  <conditionalFormatting sqref="A112:A117">
    <cfRule type="expression" dxfId="1289" priority="19">
      <formula>kvartal &lt; 4</formula>
    </cfRule>
  </conditionalFormatting>
  <conditionalFormatting sqref="A122:A127">
    <cfRule type="expression" dxfId="1288" priority="18">
      <formula>kvartal &lt; 4</formula>
    </cfRule>
  </conditionalFormatting>
  <conditionalFormatting sqref="A132:A137">
    <cfRule type="expression" dxfId="1287" priority="17">
      <formula>kvartal &lt; 4</formula>
    </cfRule>
  </conditionalFormatting>
  <conditionalFormatting sqref="A146">
    <cfRule type="expression" dxfId="1286" priority="16">
      <formula>kvartal &lt; 4</formula>
    </cfRule>
  </conditionalFormatting>
  <conditionalFormatting sqref="A154">
    <cfRule type="expression" dxfId="1285" priority="15">
      <formula>kvartal &lt; 4</formula>
    </cfRule>
  </conditionalFormatting>
  <conditionalFormatting sqref="A29">
    <cfRule type="expression" dxfId="1284" priority="14">
      <formula>kvartal &lt; 4</formula>
    </cfRule>
  </conditionalFormatting>
  <conditionalFormatting sqref="B92">
    <cfRule type="expression" dxfId="1283" priority="12">
      <formula>kvartal &lt; 4</formula>
    </cfRule>
  </conditionalFormatting>
  <conditionalFormatting sqref="C92">
    <cfRule type="expression" dxfId="1282" priority="11">
      <formula>kvartal &lt; 4</formula>
    </cfRule>
  </conditionalFormatting>
  <conditionalFormatting sqref="B95">
    <cfRule type="expression" dxfId="1281" priority="10">
      <formula>kvartal &lt; 4</formula>
    </cfRule>
  </conditionalFormatting>
  <conditionalFormatting sqref="C95">
    <cfRule type="expression" dxfId="1280" priority="9">
      <formula>kvartal &lt; 4</formula>
    </cfRule>
  </conditionalFormatting>
  <conditionalFormatting sqref="B102">
    <cfRule type="expression" dxfId="1279" priority="8">
      <formula>kvartal &lt; 4</formula>
    </cfRule>
  </conditionalFormatting>
  <conditionalFormatting sqref="C102">
    <cfRule type="expression" dxfId="1278" priority="7">
      <formula>kvartal &lt; 4</formula>
    </cfRule>
  </conditionalFormatting>
  <conditionalFormatting sqref="B105">
    <cfRule type="expression" dxfId="1277" priority="6">
      <formula>kvartal &lt; 4</formula>
    </cfRule>
  </conditionalFormatting>
  <conditionalFormatting sqref="C105">
    <cfRule type="expression" dxfId="1276" priority="5">
      <formula>kvartal &lt; 4</formula>
    </cfRule>
  </conditionalFormatting>
  <conditionalFormatting sqref="B112">
    <cfRule type="expression" dxfId="1275" priority="4">
      <formula>kvartal &lt; 4</formula>
    </cfRule>
  </conditionalFormatting>
  <conditionalFormatting sqref="C112">
    <cfRule type="expression" dxfId="1274" priority="3">
      <formula>kvartal &lt; 4</formula>
    </cfRule>
  </conditionalFormatting>
  <conditionalFormatting sqref="B115">
    <cfRule type="expression" dxfId="1273" priority="2">
      <formula>kvartal &lt; 4</formula>
    </cfRule>
  </conditionalFormatting>
  <conditionalFormatting sqref="C115">
    <cfRule type="expression" dxfId="1272" priority="1">
      <formula>kvartal &lt; 4</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N60"/>
  <sheetViews>
    <sheetView showGridLines="0" tabSelected="1" topLeftCell="A2" zoomScale="70" zoomScaleNormal="70" workbookViewId="0">
      <selection activeCell="C1" sqref="C1"/>
    </sheetView>
  </sheetViews>
  <sheetFormatPr baseColWidth="10" defaultColWidth="11.42578125" defaultRowHeight="25.5" x14ac:dyDescent="0.35"/>
  <cols>
    <col min="1" max="1" width="11.42578125" style="60"/>
    <col min="2" max="2" width="25" style="60" customWidth="1"/>
    <col min="3" max="3" width="141.7109375" style="60" customWidth="1"/>
    <col min="4" max="16384" width="11.42578125" style="60"/>
  </cols>
  <sheetData>
    <row r="1" spans="1:14" ht="20.100000000000001" customHeight="1" x14ac:dyDescent="0.35">
      <c r="C1" s="61"/>
      <c r="D1" s="62"/>
      <c r="E1" s="62"/>
      <c r="F1" s="62"/>
      <c r="G1" s="62"/>
      <c r="H1" s="62"/>
      <c r="I1" s="62"/>
      <c r="J1" s="62"/>
      <c r="K1" s="62"/>
      <c r="L1" s="62"/>
      <c r="M1" s="62"/>
      <c r="N1" s="62"/>
    </row>
    <row r="2" spans="1:14" ht="20.100000000000001" customHeight="1" x14ac:dyDescent="0.35">
      <c r="C2" s="276" t="s">
        <v>39</v>
      </c>
      <c r="D2" s="62"/>
      <c r="E2" s="62"/>
      <c r="F2" s="62"/>
      <c r="G2" s="62"/>
      <c r="H2" s="62"/>
      <c r="I2" s="62"/>
      <c r="J2" s="62"/>
      <c r="K2" s="62"/>
      <c r="L2" s="62"/>
      <c r="M2" s="62"/>
      <c r="N2" s="62"/>
    </row>
    <row r="3" spans="1:14" ht="20.100000000000001" customHeight="1" x14ac:dyDescent="0.35">
      <c r="C3" s="63"/>
      <c r="D3" s="62"/>
      <c r="E3" s="62"/>
      <c r="F3" s="62"/>
      <c r="G3" s="62"/>
      <c r="H3" s="62"/>
      <c r="I3" s="62"/>
      <c r="J3" s="62"/>
      <c r="K3" s="62"/>
      <c r="L3" s="62"/>
      <c r="M3" s="62"/>
      <c r="N3" s="62"/>
    </row>
    <row r="4" spans="1:14" ht="20.100000000000001" customHeight="1" x14ac:dyDescent="0.35">
      <c r="C4" s="63"/>
      <c r="D4" s="62"/>
      <c r="E4" s="62"/>
      <c r="F4" s="62"/>
      <c r="G4" s="62"/>
      <c r="H4" s="62"/>
      <c r="I4" s="62"/>
      <c r="J4" s="62"/>
      <c r="K4" s="62"/>
      <c r="L4" s="62"/>
      <c r="M4" s="62"/>
      <c r="N4" s="62"/>
    </row>
    <row r="5" spans="1:14" ht="20.100000000000001" customHeight="1" x14ac:dyDescent="0.35">
      <c r="A5" s="63"/>
      <c r="B5" s="63"/>
      <c r="C5" s="63"/>
      <c r="D5" s="62"/>
      <c r="E5" s="62"/>
      <c r="F5" s="62"/>
      <c r="G5" s="62"/>
      <c r="H5" s="62"/>
      <c r="I5" s="62"/>
      <c r="J5" s="62"/>
      <c r="K5" s="62"/>
      <c r="L5" s="62"/>
      <c r="M5" s="62"/>
      <c r="N5" s="62"/>
    </row>
    <row r="6" spans="1:14" ht="20.100000000000001" customHeight="1" x14ac:dyDescent="0.35">
      <c r="A6" s="64" t="s">
        <v>40</v>
      </c>
      <c r="B6" s="64"/>
      <c r="C6" s="63"/>
      <c r="D6" s="62"/>
      <c r="E6" s="62"/>
      <c r="F6" s="62"/>
      <c r="G6" s="62"/>
      <c r="H6" s="62"/>
      <c r="I6" s="62"/>
      <c r="J6" s="62"/>
      <c r="K6" s="62"/>
      <c r="L6" s="62"/>
      <c r="M6" s="62"/>
      <c r="N6" s="62"/>
    </row>
    <row r="7" spans="1:14" ht="20.100000000000001" customHeight="1" x14ac:dyDescent="0.35">
      <c r="A7" s="63"/>
      <c r="B7" s="63" t="s">
        <v>41</v>
      </c>
      <c r="C7" s="63" t="s">
        <v>42</v>
      </c>
      <c r="D7" s="62"/>
      <c r="E7" s="62"/>
      <c r="F7" s="62"/>
      <c r="G7" s="62"/>
      <c r="H7" s="62"/>
      <c r="I7" s="62"/>
      <c r="J7" s="62"/>
      <c r="K7" s="62"/>
      <c r="L7" s="62"/>
      <c r="M7" s="62"/>
      <c r="N7" s="62"/>
    </row>
    <row r="8" spans="1:14" ht="20.100000000000001" customHeight="1" x14ac:dyDescent="0.35">
      <c r="A8" s="63"/>
      <c r="B8" s="63" t="s">
        <v>43</v>
      </c>
      <c r="C8" s="63" t="s">
        <v>44</v>
      </c>
      <c r="D8" s="62"/>
      <c r="E8" s="62"/>
      <c r="F8" s="62"/>
      <c r="G8" s="62"/>
      <c r="H8" s="62"/>
      <c r="I8" s="62"/>
      <c r="J8" s="62"/>
      <c r="K8" s="62"/>
      <c r="L8" s="62"/>
      <c r="M8" s="62"/>
      <c r="N8" s="62"/>
    </row>
    <row r="9" spans="1:14" ht="20.100000000000001" customHeight="1" x14ac:dyDescent="0.35">
      <c r="A9" s="63"/>
      <c r="B9" s="63" t="s">
        <v>45</v>
      </c>
      <c r="C9" s="63" t="s">
        <v>46</v>
      </c>
      <c r="D9" s="62"/>
      <c r="E9" s="62"/>
      <c r="F9" s="62"/>
      <c r="G9" s="62"/>
      <c r="H9" s="62"/>
      <c r="I9" s="62"/>
      <c r="J9" s="62"/>
      <c r="K9" s="62"/>
      <c r="L9" s="62"/>
      <c r="M9" s="62"/>
      <c r="N9" s="62"/>
    </row>
    <row r="10" spans="1:14" ht="20.100000000000001" customHeight="1" x14ac:dyDescent="0.35">
      <c r="A10" s="63"/>
      <c r="B10" s="63" t="s">
        <v>47</v>
      </c>
      <c r="C10" s="63" t="s">
        <v>48</v>
      </c>
      <c r="D10" s="62"/>
      <c r="E10" s="62"/>
      <c r="F10" s="62"/>
      <c r="G10" s="62"/>
      <c r="H10" s="62"/>
      <c r="I10" s="62"/>
      <c r="J10" s="62"/>
      <c r="K10" s="62"/>
      <c r="L10" s="62"/>
      <c r="M10" s="62"/>
      <c r="N10" s="62"/>
    </row>
    <row r="11" spans="1:14" ht="20.100000000000001" customHeight="1" x14ac:dyDescent="0.35">
      <c r="A11" s="63"/>
      <c r="B11" s="63" t="s">
        <v>49</v>
      </c>
      <c r="C11" s="63" t="s">
        <v>50</v>
      </c>
      <c r="D11" s="62"/>
      <c r="E11" s="62"/>
      <c r="F11" s="62"/>
      <c r="G11" s="62"/>
      <c r="H11" s="62"/>
      <c r="I11" s="62"/>
      <c r="J11" s="62"/>
      <c r="K11" s="62"/>
      <c r="L11" s="62"/>
      <c r="M11" s="62"/>
      <c r="N11" s="62"/>
    </row>
    <row r="12" spans="1:14" ht="20.100000000000001" customHeight="1" x14ac:dyDescent="0.35">
      <c r="A12" s="63"/>
      <c r="B12" s="63" t="s">
        <v>51</v>
      </c>
      <c r="C12" s="63" t="s">
        <v>52</v>
      </c>
      <c r="D12" s="62"/>
      <c r="E12" s="62"/>
      <c r="F12" s="62"/>
      <c r="G12" s="62"/>
      <c r="H12" s="62"/>
      <c r="I12" s="62"/>
      <c r="J12" s="62"/>
      <c r="K12" s="62"/>
      <c r="L12" s="62"/>
      <c r="M12" s="62"/>
      <c r="N12" s="62"/>
    </row>
    <row r="13" spans="1:14" ht="20.100000000000001" customHeight="1" x14ac:dyDescent="0.35">
      <c r="A13" s="63"/>
      <c r="B13" s="63" t="s">
        <v>53</v>
      </c>
      <c r="C13" s="63" t="s">
        <v>54</v>
      </c>
      <c r="D13" s="62"/>
      <c r="E13" s="62"/>
      <c r="F13" s="62"/>
      <c r="G13" s="62"/>
      <c r="H13" s="62"/>
      <c r="I13" s="62"/>
      <c r="J13" s="62"/>
      <c r="K13" s="62"/>
      <c r="L13" s="62"/>
      <c r="M13" s="62"/>
      <c r="N13" s="62"/>
    </row>
    <row r="14" spans="1:14" ht="20.100000000000001" customHeight="1" x14ac:dyDescent="0.35">
      <c r="A14" s="63"/>
      <c r="B14" s="63" t="s">
        <v>55</v>
      </c>
      <c r="C14" s="63" t="s">
        <v>56</v>
      </c>
      <c r="D14" s="62"/>
      <c r="E14" s="62"/>
      <c r="F14" s="62"/>
      <c r="G14" s="62"/>
      <c r="H14" s="62"/>
      <c r="I14" s="62"/>
      <c r="J14" s="62"/>
      <c r="K14" s="62"/>
      <c r="L14" s="62"/>
      <c r="M14" s="62"/>
      <c r="N14" s="62"/>
    </row>
    <row r="15" spans="1:14" ht="18.75" customHeight="1" x14ac:dyDescent="0.35">
      <c r="A15" s="63"/>
      <c r="B15" s="63"/>
      <c r="C15" s="63"/>
      <c r="D15" s="62"/>
      <c r="E15" s="62"/>
      <c r="F15" s="62"/>
      <c r="G15" s="62"/>
      <c r="H15" s="62"/>
      <c r="I15" s="62"/>
      <c r="J15" s="62"/>
      <c r="K15" s="62"/>
      <c r="L15" s="62"/>
      <c r="M15" s="62"/>
      <c r="N15" s="62"/>
    </row>
    <row r="16" spans="1:14" ht="20.100000000000001" customHeight="1" x14ac:dyDescent="0.35">
      <c r="A16" s="275" t="s">
        <v>57</v>
      </c>
      <c r="B16" s="64"/>
      <c r="C16" s="63"/>
      <c r="D16" s="62"/>
      <c r="E16" s="62"/>
      <c r="F16" s="62"/>
      <c r="G16" s="62"/>
      <c r="H16" s="62"/>
      <c r="I16" s="62"/>
      <c r="J16" s="62"/>
      <c r="K16" s="62"/>
      <c r="L16" s="62"/>
      <c r="M16" s="62"/>
      <c r="N16" s="62"/>
    </row>
    <row r="17" spans="1:14" ht="20.100000000000001" customHeight="1" x14ac:dyDescent="0.35">
      <c r="A17" s="63"/>
      <c r="B17" s="63" t="s">
        <v>58</v>
      </c>
      <c r="C17" s="63"/>
      <c r="D17" s="62"/>
      <c r="E17" s="62"/>
      <c r="F17" s="62"/>
      <c r="G17" s="62"/>
      <c r="H17" s="62"/>
      <c r="I17" s="62"/>
      <c r="J17" s="62"/>
      <c r="K17" s="62"/>
      <c r="L17" s="62"/>
      <c r="M17" s="62"/>
      <c r="N17" s="62"/>
    </row>
    <row r="18" spans="1:14" ht="20.100000000000001" customHeight="1" x14ac:dyDescent="0.35">
      <c r="A18" s="63"/>
      <c r="B18" s="64" t="s">
        <v>59</v>
      </c>
      <c r="C18" s="63" t="s">
        <v>60</v>
      </c>
      <c r="D18" s="62"/>
      <c r="E18" s="62"/>
      <c r="F18" s="62"/>
      <c r="G18" s="62"/>
      <c r="H18" s="62"/>
      <c r="I18" s="62"/>
      <c r="J18" s="62"/>
      <c r="K18" s="62"/>
      <c r="L18" s="62"/>
      <c r="M18" s="62"/>
      <c r="N18" s="62"/>
    </row>
    <row r="19" spans="1:14" ht="20.100000000000001" customHeight="1" x14ac:dyDescent="0.35">
      <c r="A19" s="63"/>
      <c r="B19" s="64" t="s">
        <v>61</v>
      </c>
      <c r="C19" s="63" t="s">
        <v>62</v>
      </c>
      <c r="D19" s="62"/>
      <c r="E19" s="62"/>
      <c r="F19" s="62"/>
      <c r="G19" s="62"/>
      <c r="H19" s="62"/>
      <c r="I19" s="62"/>
      <c r="J19" s="62"/>
      <c r="K19" s="62"/>
      <c r="L19" s="62"/>
      <c r="M19" s="62"/>
      <c r="N19" s="62"/>
    </row>
    <row r="20" spans="1:14" ht="20.100000000000001" customHeight="1" x14ac:dyDescent="0.35">
      <c r="A20" s="63"/>
      <c r="B20" s="64" t="s">
        <v>393</v>
      </c>
      <c r="C20" s="63" t="s">
        <v>394</v>
      </c>
      <c r="D20" s="62"/>
      <c r="E20" s="62"/>
      <c r="F20" s="62"/>
      <c r="G20" s="62"/>
      <c r="H20" s="62"/>
      <c r="I20" s="62"/>
      <c r="J20" s="62"/>
      <c r="K20" s="62"/>
      <c r="L20" s="62"/>
      <c r="M20" s="62"/>
      <c r="N20" s="62"/>
    </row>
    <row r="21" spans="1:14" ht="20.100000000000001" customHeight="1" x14ac:dyDescent="0.35">
      <c r="A21" s="63"/>
      <c r="B21" s="63" t="s">
        <v>395</v>
      </c>
      <c r="C21" s="63" t="s">
        <v>303</v>
      </c>
      <c r="D21" s="62"/>
      <c r="E21" s="62"/>
      <c r="F21" s="62"/>
      <c r="G21" s="62"/>
      <c r="H21" s="62"/>
      <c r="I21" s="62"/>
      <c r="J21" s="62"/>
      <c r="K21" s="62"/>
      <c r="L21" s="62"/>
      <c r="M21" s="62"/>
      <c r="N21" s="62"/>
    </row>
    <row r="22" spans="1:14" s="350" customFormat="1" ht="20.100000000000001" customHeight="1" x14ac:dyDescent="0.35">
      <c r="A22" s="348"/>
      <c r="B22" s="348" t="s">
        <v>397</v>
      </c>
      <c r="C22" s="348" t="s">
        <v>396</v>
      </c>
      <c r="D22" s="349"/>
      <c r="E22" s="349"/>
      <c r="F22" s="349"/>
      <c r="G22" s="349"/>
      <c r="H22" s="349"/>
      <c r="I22" s="349"/>
      <c r="J22" s="349"/>
      <c r="K22" s="349"/>
      <c r="L22" s="349"/>
      <c r="M22" s="349"/>
      <c r="N22" s="349"/>
    </row>
    <row r="23" spans="1:14" ht="20.100000000000001" customHeight="1" x14ac:dyDescent="0.35">
      <c r="A23" s="63"/>
      <c r="B23" s="63"/>
      <c r="C23" s="63"/>
    </row>
    <row r="24" spans="1:14" ht="18.75" customHeight="1" x14ac:dyDescent="0.35">
      <c r="A24" s="63"/>
      <c r="B24" s="348" t="s">
        <v>289</v>
      </c>
      <c r="C24" s="348"/>
    </row>
    <row r="25" spans="1:14" ht="20.100000000000001" customHeight="1" x14ac:dyDescent="0.35">
      <c r="A25" s="63"/>
      <c r="B25" s="351" t="s">
        <v>290</v>
      </c>
      <c r="C25" s="348" t="s">
        <v>291</v>
      </c>
    </row>
    <row r="26" spans="1:14" ht="20.100000000000001" customHeight="1" x14ac:dyDescent="0.35">
      <c r="A26" s="63"/>
      <c r="B26" s="351" t="s">
        <v>292</v>
      </c>
      <c r="C26" s="348" t="s">
        <v>293</v>
      </c>
    </row>
    <row r="27" spans="1:14" ht="20.100000000000001" customHeight="1" x14ac:dyDescent="0.35">
      <c r="A27" s="63"/>
      <c r="B27" s="351" t="s">
        <v>294</v>
      </c>
      <c r="C27" s="348" t="s">
        <v>295</v>
      </c>
    </row>
    <row r="28" spans="1:14" ht="20.100000000000001" customHeight="1" x14ac:dyDescent="0.35">
      <c r="A28" s="63"/>
      <c r="B28" s="351" t="s">
        <v>296</v>
      </c>
      <c r="C28" s="348" t="s">
        <v>297</v>
      </c>
    </row>
    <row r="29" spans="1:14" ht="20.100000000000001" customHeight="1" x14ac:dyDescent="0.35">
      <c r="A29" s="63"/>
      <c r="B29" s="351" t="s">
        <v>207</v>
      </c>
      <c r="C29" s="348" t="s">
        <v>298</v>
      </c>
    </row>
    <row r="30" spans="1:14" ht="20.100000000000001" customHeight="1" x14ac:dyDescent="0.35">
      <c r="A30" s="63"/>
      <c r="B30" s="351" t="s">
        <v>299</v>
      </c>
      <c r="C30" s="348" t="s">
        <v>516</v>
      </c>
    </row>
    <row r="31" spans="1:14" ht="20.100000000000001" customHeight="1" x14ac:dyDescent="0.35">
      <c r="A31" s="63"/>
      <c r="B31" s="351" t="s">
        <v>300</v>
      </c>
      <c r="C31" s="348" t="s">
        <v>517</v>
      </c>
    </row>
    <row r="32" spans="1:14" ht="18.75" customHeight="1" x14ac:dyDescent="0.35">
      <c r="A32" s="63"/>
      <c r="B32" s="351" t="s">
        <v>301</v>
      </c>
      <c r="C32" s="348" t="s">
        <v>302</v>
      </c>
    </row>
    <row r="33" spans="1:14" ht="18.75" customHeight="1" x14ac:dyDescent="0.35">
      <c r="A33" s="63"/>
      <c r="B33" s="351"/>
      <c r="C33" s="348"/>
    </row>
    <row r="34" spans="1:14" ht="20.100000000000001" customHeight="1" x14ac:dyDescent="0.35">
      <c r="A34" s="63"/>
      <c r="B34" s="63"/>
      <c r="C34" s="63"/>
    </row>
    <row r="35" spans="1:14" x14ac:dyDescent="0.35">
      <c r="A35" s="64" t="s">
        <v>63</v>
      </c>
      <c r="B35" s="63"/>
      <c r="C35" s="63"/>
    </row>
    <row r="36" spans="1:14" ht="26.25" hidden="1" customHeight="1" x14ac:dyDescent="0.4">
      <c r="C36" s="65"/>
    </row>
    <row r="37" spans="1:14" ht="26.25" hidden="1" customHeight="1" x14ac:dyDescent="0.4">
      <c r="C37" s="65"/>
    </row>
    <row r="38" spans="1:14" ht="18.75" customHeight="1" x14ac:dyDescent="0.4">
      <c r="C38" s="345"/>
      <c r="D38" s="346"/>
    </row>
    <row r="39" spans="1:14" ht="26.25" x14ac:dyDescent="0.4">
      <c r="C39" s="65"/>
    </row>
    <row r="40" spans="1:14" ht="26.25" x14ac:dyDescent="0.4">
      <c r="C40" s="65"/>
    </row>
    <row r="41" spans="1:14" ht="26.25" x14ac:dyDescent="0.4">
      <c r="C41" s="345"/>
      <c r="D41" s="350"/>
      <c r="E41" s="350"/>
      <c r="F41" s="350"/>
      <c r="G41" s="350"/>
      <c r="H41" s="350"/>
      <c r="I41" s="350"/>
      <c r="J41" s="350"/>
      <c r="K41" s="350"/>
      <c r="L41" s="350"/>
      <c r="M41" s="350"/>
      <c r="N41" s="350"/>
    </row>
    <row r="42" spans="1:14" ht="26.25" x14ac:dyDescent="0.4">
      <c r="C42" s="65"/>
    </row>
    <row r="43" spans="1:14" ht="26.25" x14ac:dyDescent="0.4">
      <c r="C43" s="65"/>
    </row>
    <row r="44" spans="1:14" ht="26.25" x14ac:dyDescent="0.4">
      <c r="C44" s="65"/>
    </row>
    <row r="45" spans="1:14" ht="26.25" x14ac:dyDescent="0.4">
      <c r="C45" s="65"/>
    </row>
    <row r="46" spans="1:14" ht="26.25" x14ac:dyDescent="0.4">
      <c r="C46" s="65"/>
    </row>
    <row r="47" spans="1:14" ht="26.25" x14ac:dyDescent="0.4">
      <c r="C47" s="65"/>
    </row>
    <row r="48" spans="1:14" ht="26.25" x14ac:dyDescent="0.4">
      <c r="C48" s="65"/>
    </row>
    <row r="49" spans="3:3" ht="26.25" x14ac:dyDescent="0.4">
      <c r="C49" s="65"/>
    </row>
    <row r="50" spans="3:3" ht="26.25" x14ac:dyDescent="0.4">
      <c r="C50" s="65"/>
    </row>
    <row r="51" spans="3:3" ht="26.25" x14ac:dyDescent="0.4">
      <c r="C51" s="65"/>
    </row>
    <row r="52" spans="3:3" ht="26.25" x14ac:dyDescent="0.4">
      <c r="C52" s="65"/>
    </row>
    <row r="53" spans="3:3" ht="26.25" x14ac:dyDescent="0.4">
      <c r="C53" s="65"/>
    </row>
    <row r="54" spans="3:3" ht="26.25" x14ac:dyDescent="0.4">
      <c r="C54" s="65"/>
    </row>
    <row r="55" spans="3:3" ht="26.25" x14ac:dyDescent="0.4">
      <c r="C55" s="65"/>
    </row>
    <row r="56" spans="3:3" ht="26.25" x14ac:dyDescent="0.4">
      <c r="C56" s="65"/>
    </row>
    <row r="57" spans="3:3" ht="26.25" x14ac:dyDescent="0.4">
      <c r="C57" s="65"/>
    </row>
    <row r="58" spans="3:3" ht="26.25" x14ac:dyDescent="0.4">
      <c r="C58" s="65"/>
    </row>
    <row r="59" spans="3:3" ht="26.25" x14ac:dyDescent="0.4">
      <c r="C59" s="65"/>
    </row>
    <row r="60" spans="3:3" ht="26.25" x14ac:dyDescent="0.4">
      <c r="C60" s="65"/>
    </row>
  </sheetData>
  <hyperlinks>
    <hyperlink ref="A6" location="Figurer!A1" display="FIGURER"/>
    <hyperlink ref="B19" location="'Tabell 1.2'!A1" display="Tabell 1.2"/>
    <hyperlink ref="A35" location="'Noter og kommentarer'!A1" display="NOTER OG KOMMENTARER"/>
    <hyperlink ref="B25" location="'Tabell 4'!A1" display="Tabell 4"/>
    <hyperlink ref="B29" location="'Tabell 6'!A1" display="Tabell 6"/>
    <hyperlink ref="B32" location="'Tabell 8'!A1" display="Tabell 8"/>
    <hyperlink ref="B26" location="'Tabell 5.1'!A1" display="Tabell 5.1"/>
    <hyperlink ref="B27" location="'Tabell 5.2'!A1" display="Tabell 5.2"/>
    <hyperlink ref="B28" location="'Tabell 5.3'!A1" display="Tabell 5.3"/>
    <hyperlink ref="B30" location="'Tabell 7a'!A1" display="Tabell 7a"/>
    <hyperlink ref="B31" location="'Tabell 7b'!A1" display="Tabell 7b"/>
    <hyperlink ref="B18" location="'Tabell 1.1'!A1" display="Tabell 1.1"/>
    <hyperlink ref="A16" location="'Tabel 1.1'!A1" display="TABELLER"/>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dimension ref="A1:N176"/>
  <sheetViews>
    <sheetView showGridLines="0" zoomScale="90" zoomScaleNormal="90" workbookViewId="0">
      <selection activeCell="A4" sqref="A4"/>
    </sheetView>
  </sheetViews>
  <sheetFormatPr baseColWidth="10" defaultColWidth="11.42578125" defaultRowHeight="12.75" x14ac:dyDescent="0.2"/>
  <cols>
    <col min="1" max="1" width="41.5703125" style="143" customWidth="1"/>
    <col min="2" max="2" width="10.85546875" style="143" customWidth="1"/>
    <col min="3" max="3" width="11" style="143" customWidth="1"/>
    <col min="4" max="5" width="8.7109375" style="143" customWidth="1"/>
    <col min="6" max="7" width="10.85546875" style="143" customWidth="1"/>
    <col min="8" max="9" width="8.7109375" style="143" customWidth="1"/>
    <col min="10" max="11" width="10.85546875" style="143" customWidth="1"/>
    <col min="12" max="13" width="8.7109375" style="143" customWidth="1"/>
    <col min="14" max="14" width="11.42578125" style="143"/>
    <col min="15" max="16384" width="11.42578125" style="1"/>
  </cols>
  <sheetData>
    <row r="1" spans="1:14" x14ac:dyDescent="0.2">
      <c r="A1" s="165" t="s">
        <v>159</v>
      </c>
      <c r="B1" s="401"/>
      <c r="C1" s="245" t="s">
        <v>114</v>
      </c>
      <c r="D1" s="20"/>
      <c r="E1" s="20"/>
      <c r="F1" s="20"/>
      <c r="G1" s="20"/>
      <c r="H1" s="20"/>
      <c r="I1" s="20"/>
      <c r="J1" s="20"/>
      <c r="K1" s="20"/>
      <c r="L1" s="20"/>
      <c r="M1" s="20"/>
    </row>
    <row r="2" spans="1:14" ht="15.75" x14ac:dyDescent="0.25">
      <c r="A2" s="158" t="s">
        <v>36</v>
      </c>
      <c r="B2" s="835"/>
      <c r="C2" s="835"/>
      <c r="D2" s="835"/>
      <c r="E2" s="301"/>
      <c r="F2" s="835"/>
      <c r="G2" s="835"/>
      <c r="H2" s="835"/>
      <c r="I2" s="301"/>
      <c r="J2" s="835"/>
      <c r="K2" s="835"/>
      <c r="L2" s="835"/>
      <c r="M2" s="301"/>
    </row>
    <row r="3" spans="1:14" ht="15.75" x14ac:dyDescent="0.25">
      <c r="A3" s="156"/>
      <c r="B3" s="301"/>
      <c r="C3" s="301"/>
      <c r="D3" s="301"/>
      <c r="E3" s="301"/>
      <c r="F3" s="301"/>
      <c r="G3" s="301"/>
      <c r="H3" s="301"/>
      <c r="I3" s="301"/>
      <c r="J3" s="301"/>
      <c r="K3" s="301"/>
      <c r="L3" s="301"/>
      <c r="M3" s="301"/>
    </row>
    <row r="4" spans="1:14" x14ac:dyDescent="0.2">
      <c r="A4" s="138"/>
      <c r="B4" s="808" t="s">
        <v>0</v>
      </c>
      <c r="C4" s="802"/>
      <c r="D4" s="802"/>
      <c r="E4" s="802"/>
      <c r="F4" s="808" t="s">
        <v>1</v>
      </c>
      <c r="G4" s="802"/>
      <c r="H4" s="802"/>
      <c r="I4" s="803"/>
      <c r="J4" s="801" t="s">
        <v>2</v>
      </c>
      <c r="K4" s="802"/>
      <c r="L4" s="802"/>
      <c r="M4" s="803"/>
    </row>
    <row r="5" spans="1:14" x14ac:dyDescent="0.2">
      <c r="A5" s="151"/>
      <c r="B5" s="145" t="s">
        <v>400</v>
      </c>
      <c r="C5" s="145" t="s">
        <v>401</v>
      </c>
      <c r="D5" s="242" t="s">
        <v>3</v>
      </c>
      <c r="E5" s="307" t="s">
        <v>37</v>
      </c>
      <c r="F5" s="145" t="s">
        <v>400</v>
      </c>
      <c r="G5" s="145" t="s">
        <v>401</v>
      </c>
      <c r="H5" s="242" t="s">
        <v>3</v>
      </c>
      <c r="I5" s="307" t="s">
        <v>37</v>
      </c>
      <c r="J5" s="145" t="s">
        <v>400</v>
      </c>
      <c r="K5" s="145" t="s">
        <v>401</v>
      </c>
      <c r="L5" s="242" t="s">
        <v>3</v>
      </c>
      <c r="M5" s="155" t="s">
        <v>37</v>
      </c>
    </row>
    <row r="6" spans="1:14" x14ac:dyDescent="0.2">
      <c r="A6" s="402"/>
      <c r="B6" s="149"/>
      <c r="C6" s="149"/>
      <c r="D6" s="243" t="s">
        <v>4</v>
      </c>
      <c r="E6" s="149" t="s">
        <v>38</v>
      </c>
      <c r="F6" s="154"/>
      <c r="G6" s="154"/>
      <c r="H6" s="242" t="s">
        <v>4</v>
      </c>
      <c r="I6" s="149" t="s">
        <v>38</v>
      </c>
      <c r="J6" s="154"/>
      <c r="K6" s="154"/>
      <c r="L6" s="242" t="s">
        <v>4</v>
      </c>
      <c r="M6" s="149" t="s">
        <v>38</v>
      </c>
    </row>
    <row r="7" spans="1:14" ht="15.75" x14ac:dyDescent="0.2">
      <c r="A7" s="12" t="s">
        <v>30</v>
      </c>
      <c r="B7" s="308">
        <v>1004</v>
      </c>
      <c r="C7" s="309">
        <v>1577</v>
      </c>
      <c r="D7" s="251">
        <f>IF(B7=0, "    ---- ", IF(ABS(ROUND(100/B7*C7-100,1))&lt;999,ROUND(100/B7*C7-100,1),IF(ROUND(100/B7*C7-100,1)&gt;999,999,-999)))</f>
        <v>57.1</v>
      </c>
      <c r="E7" s="170">
        <f>IFERROR(100/'Skjema total MA'!C7*C7,0)</f>
        <v>3.143543763536067E-2</v>
      </c>
      <c r="F7" s="308"/>
      <c r="G7" s="309"/>
      <c r="H7" s="251"/>
      <c r="I7" s="170"/>
      <c r="J7" s="310">
        <v>1004</v>
      </c>
      <c r="K7" s="311">
        <v>1577</v>
      </c>
      <c r="L7" s="255">
        <f>IF(J7=0, "    ---- ", IF(ABS(ROUND(100/J7*K7-100,1))&lt;999,ROUND(100/J7*K7-100,1),IF(ROUND(100/J7*K7-100,1)&gt;999,999,-999)))</f>
        <v>57.1</v>
      </c>
      <c r="M7" s="170">
        <f>IFERROR(100/'Skjema total MA'!I7*K7,0)</f>
        <v>1.1174166133336197E-2</v>
      </c>
    </row>
    <row r="8" spans="1:14" ht="15.75" x14ac:dyDescent="0.2">
      <c r="A8" s="18" t="s">
        <v>32</v>
      </c>
      <c r="B8" s="282">
        <v>28</v>
      </c>
      <c r="C8" s="283">
        <v>42</v>
      </c>
      <c r="D8" s="159">
        <f t="shared" ref="D8:D13" si="0">IF(B8=0, "    ---- ", IF(ABS(ROUND(100/B8*C8-100,1))&lt;999,ROUND(100/B8*C8-100,1),IF(ROUND(100/B8*C8-100,1)&gt;999,999,-999)))</f>
        <v>50</v>
      </c>
      <c r="E8" s="170">
        <f>IFERROR(100/'Skjema total MA'!C8*C8,0)</f>
        <v>1.7365602303151221E-3</v>
      </c>
      <c r="F8" s="286"/>
      <c r="G8" s="287"/>
      <c r="H8" s="159"/>
      <c r="I8" s="170"/>
      <c r="J8" s="229">
        <v>28</v>
      </c>
      <c r="K8" s="288">
        <v>42</v>
      </c>
      <c r="L8" s="256">
        <f t="shared" ref="L8:L9" si="1">IF(J8=0, "    ---- ", IF(ABS(ROUND(100/J8*K8-100,1))&lt;999,ROUND(100/J8*K8-100,1),IF(ROUND(100/J8*K8-100,1)&gt;999,999,-999)))</f>
        <v>50</v>
      </c>
      <c r="M8" s="170">
        <f>IFERROR(100/'Skjema total MA'!I8*K8,0)</f>
        <v>1.7365602303151221E-3</v>
      </c>
    </row>
    <row r="9" spans="1:14" ht="15.75" x14ac:dyDescent="0.2">
      <c r="A9" s="18" t="s">
        <v>31</v>
      </c>
      <c r="B9" s="282">
        <v>976</v>
      </c>
      <c r="C9" s="283">
        <v>1535</v>
      </c>
      <c r="D9" s="159">
        <f t="shared" si="0"/>
        <v>57.3</v>
      </c>
      <c r="E9" s="170">
        <f>IFERROR(100/'Skjema total MA'!C9*C9,0)</f>
        <v>0.13387120774665068</v>
      </c>
      <c r="F9" s="286"/>
      <c r="G9" s="287"/>
      <c r="H9" s="159"/>
      <c r="I9" s="170"/>
      <c r="J9" s="229">
        <v>976</v>
      </c>
      <c r="K9" s="288">
        <v>1535</v>
      </c>
      <c r="L9" s="256">
        <f t="shared" si="1"/>
        <v>57.3</v>
      </c>
      <c r="M9" s="170">
        <f>IFERROR(100/'Skjema total MA'!I9*K9,0)</f>
        <v>0.13387120774665068</v>
      </c>
    </row>
    <row r="10" spans="1:14" ht="15.75" x14ac:dyDescent="0.2">
      <c r="A10" s="11" t="s">
        <v>29</v>
      </c>
      <c r="B10" s="312">
        <v>1004</v>
      </c>
      <c r="C10" s="313">
        <v>712</v>
      </c>
      <c r="D10" s="159">
        <f t="shared" si="0"/>
        <v>-29.1</v>
      </c>
      <c r="E10" s="170">
        <f>IFERROR(100/'Skjema total MA'!C10*C10,0)</f>
        <v>0.2002135666994122</v>
      </c>
      <c r="F10" s="312"/>
      <c r="G10" s="313"/>
      <c r="H10" s="159"/>
      <c r="I10" s="170"/>
      <c r="J10" s="310">
        <v>1004</v>
      </c>
      <c r="K10" s="311">
        <v>712</v>
      </c>
      <c r="L10" s="256">
        <f t="shared" ref="L10:L13" si="2">IF(J10=0, "    ---- ", IF(ABS(ROUND(100/J10*K10-100,1))&lt;999,ROUND(100/J10*K10-100,1),IF(ROUND(100/J10*K10-100,1)&gt;999,999,-999)))</f>
        <v>-29.1</v>
      </c>
      <c r="M10" s="170">
        <f>IFERROR(100/'Skjema total MA'!I10*K10,0)</f>
        <v>8.8747812498981438E-3</v>
      </c>
    </row>
    <row r="11" spans="1:14" ht="15.75" x14ac:dyDescent="0.2">
      <c r="A11" s="18" t="s">
        <v>32</v>
      </c>
      <c r="B11" s="282">
        <v>28</v>
      </c>
      <c r="C11" s="283">
        <v>19</v>
      </c>
      <c r="D11" s="159">
        <f t="shared" si="0"/>
        <v>-32.1</v>
      </c>
      <c r="E11" s="170">
        <f>IFERROR(100/'Skjema total MA'!C11*C11,0)</f>
        <v>9.9569355272722936E-3</v>
      </c>
      <c r="F11" s="286"/>
      <c r="G11" s="287"/>
      <c r="H11" s="159"/>
      <c r="I11" s="170"/>
      <c r="J11" s="229">
        <v>28</v>
      </c>
      <c r="K11" s="288">
        <v>19</v>
      </c>
      <c r="L11" s="256">
        <f t="shared" ref="L11:L12" si="3">IF(J11=0, "    ---- ", IF(ABS(ROUND(100/J11*K11-100,1))&lt;999,ROUND(100/J11*K11-100,1),IF(ROUND(100/J11*K11-100,1)&gt;999,999,-999)))</f>
        <v>-32.1</v>
      </c>
      <c r="M11" s="170">
        <f>IFERROR(100/'Skjema total MA'!I11*K11,0)</f>
        <v>9.9569355272722936E-3</v>
      </c>
    </row>
    <row r="12" spans="1:14" ht="15.75" x14ac:dyDescent="0.2">
      <c r="A12" s="18" t="s">
        <v>31</v>
      </c>
      <c r="B12" s="282">
        <v>976</v>
      </c>
      <c r="C12" s="283">
        <v>693</v>
      </c>
      <c r="D12" s="159">
        <f t="shared" si="0"/>
        <v>-29</v>
      </c>
      <c r="E12" s="170">
        <f>IFERROR(100/'Skjema total MA'!C12*C12,0)</f>
        <v>1.0941559409547974</v>
      </c>
      <c r="F12" s="286"/>
      <c r="G12" s="287"/>
      <c r="H12" s="159"/>
      <c r="I12" s="170"/>
      <c r="J12" s="229">
        <v>976</v>
      </c>
      <c r="K12" s="288">
        <v>693</v>
      </c>
      <c r="L12" s="256">
        <f t="shared" si="3"/>
        <v>-29</v>
      </c>
      <c r="M12" s="170">
        <f>IFERROR(100/'Skjema total MA'!I12*K12,0)</f>
        <v>1.0941559409547974</v>
      </c>
    </row>
    <row r="13" spans="1:14" ht="15.75" x14ac:dyDescent="0.2">
      <c r="A13" s="11" t="s">
        <v>28</v>
      </c>
      <c r="B13" s="312">
        <v>0</v>
      </c>
      <c r="C13" s="313">
        <v>3590</v>
      </c>
      <c r="D13" s="159" t="str">
        <f t="shared" si="0"/>
        <v xml:space="preserve">    ---- </v>
      </c>
      <c r="E13" s="170">
        <f>IFERROR(100/'Skjema total MA'!C13*C13,0)</f>
        <v>1.3880289311626522E-2</v>
      </c>
      <c r="F13" s="312"/>
      <c r="G13" s="313"/>
      <c r="H13" s="159"/>
      <c r="I13" s="170"/>
      <c r="J13" s="310">
        <v>0</v>
      </c>
      <c r="K13" s="311">
        <v>3590</v>
      </c>
      <c r="L13" s="256" t="str">
        <f t="shared" si="2"/>
        <v xml:space="preserve">    ---- </v>
      </c>
      <c r="M13" s="170">
        <f>IFERROR(100/'Skjema total MA'!I13*K13,0)</f>
        <v>6.0865431393559476E-3</v>
      </c>
    </row>
    <row r="14" spans="1:14" s="36" customFormat="1" ht="15.75" x14ac:dyDescent="0.2">
      <c r="A14" s="11" t="s">
        <v>27</v>
      </c>
      <c r="B14" s="312"/>
      <c r="C14" s="313"/>
      <c r="D14" s="159"/>
      <c r="E14" s="170"/>
      <c r="F14" s="312"/>
      <c r="G14" s="313"/>
      <c r="H14" s="159"/>
      <c r="I14" s="170"/>
      <c r="J14" s="310"/>
      <c r="K14" s="311"/>
      <c r="L14" s="256"/>
      <c r="M14" s="170"/>
      <c r="N14" s="137"/>
    </row>
    <row r="15" spans="1:14" s="36" customFormat="1" ht="15.75" x14ac:dyDescent="0.2">
      <c r="A15" s="34" t="s">
        <v>26</v>
      </c>
      <c r="B15" s="314"/>
      <c r="C15" s="315"/>
      <c r="D15" s="160"/>
      <c r="E15" s="160"/>
      <c r="F15" s="314"/>
      <c r="G15" s="315"/>
      <c r="H15" s="160"/>
      <c r="I15" s="160"/>
      <c r="J15" s="316"/>
      <c r="K15" s="317"/>
      <c r="L15" s="257"/>
      <c r="M15" s="160"/>
      <c r="N15" s="137"/>
    </row>
    <row r="16" spans="1:14" s="36" customFormat="1" x14ac:dyDescent="0.2">
      <c r="A16" s="161"/>
      <c r="B16" s="139"/>
      <c r="C16" s="27"/>
      <c r="D16" s="152"/>
      <c r="E16" s="152"/>
      <c r="F16" s="139"/>
      <c r="G16" s="27"/>
      <c r="H16" s="152"/>
      <c r="I16" s="152"/>
      <c r="J16" s="41"/>
      <c r="K16" s="41"/>
      <c r="L16" s="152"/>
      <c r="M16" s="152"/>
      <c r="N16" s="137"/>
    </row>
    <row r="17" spans="1:14" x14ac:dyDescent="0.2">
      <c r="A17" s="146" t="s">
        <v>307</v>
      </c>
      <c r="B17" s="20"/>
    </row>
    <row r="18" spans="1:14" x14ac:dyDescent="0.2">
      <c r="F18" s="140"/>
      <c r="G18" s="140"/>
      <c r="H18" s="140"/>
      <c r="I18" s="140"/>
      <c r="J18" s="140"/>
      <c r="K18" s="140"/>
      <c r="L18" s="140"/>
      <c r="M18" s="140"/>
    </row>
    <row r="19" spans="1:14" s="3" customFormat="1" ht="15.75" x14ac:dyDescent="0.25">
      <c r="A19" s="157"/>
      <c r="B19" s="142"/>
      <c r="C19" s="147"/>
      <c r="D19" s="147"/>
      <c r="E19" s="147"/>
      <c r="F19" s="147"/>
      <c r="G19" s="147"/>
      <c r="H19" s="147"/>
      <c r="I19" s="147"/>
      <c r="J19" s="147"/>
      <c r="K19" s="147"/>
      <c r="L19" s="147"/>
      <c r="M19" s="147"/>
      <c r="N19" s="142"/>
    </row>
    <row r="20" spans="1:14" ht="15.75" x14ac:dyDescent="0.25">
      <c r="A20" s="141" t="s">
        <v>304</v>
      </c>
      <c r="B20" s="150"/>
      <c r="C20" s="150"/>
      <c r="D20" s="144"/>
      <c r="E20" s="144"/>
      <c r="F20" s="150"/>
      <c r="G20" s="150"/>
      <c r="H20" s="150"/>
      <c r="I20" s="150"/>
      <c r="J20" s="150"/>
      <c r="K20" s="150"/>
      <c r="L20" s="150"/>
      <c r="M20" s="150"/>
    </row>
    <row r="21" spans="1:14" ht="15.75" x14ac:dyDescent="0.25">
      <c r="B21" s="832"/>
      <c r="C21" s="832"/>
      <c r="D21" s="832"/>
      <c r="E21" s="301"/>
      <c r="F21" s="832"/>
      <c r="G21" s="832"/>
      <c r="H21" s="832"/>
      <c r="I21" s="301"/>
      <c r="J21" s="832"/>
      <c r="K21" s="832"/>
      <c r="L21" s="832"/>
      <c r="M21" s="301"/>
    </row>
    <row r="22" spans="1:14" x14ac:dyDescent="0.2">
      <c r="A22" s="138"/>
      <c r="B22" s="833" t="s">
        <v>0</v>
      </c>
      <c r="C22" s="834"/>
      <c r="D22" s="834"/>
      <c r="E22" s="303"/>
      <c r="F22" s="833" t="s">
        <v>1</v>
      </c>
      <c r="G22" s="834"/>
      <c r="H22" s="834"/>
      <c r="I22" s="306"/>
      <c r="J22" s="833" t="s">
        <v>2</v>
      </c>
      <c r="K22" s="834"/>
      <c r="L22" s="834"/>
      <c r="M22" s="306"/>
    </row>
    <row r="23" spans="1:14" x14ac:dyDescent="0.2">
      <c r="A23" s="134" t="s">
        <v>5</v>
      </c>
      <c r="B23" s="145" t="s">
        <v>400</v>
      </c>
      <c r="C23" s="145" t="s">
        <v>401</v>
      </c>
      <c r="D23" s="242" t="s">
        <v>3</v>
      </c>
      <c r="E23" s="307" t="s">
        <v>37</v>
      </c>
      <c r="F23" s="145" t="s">
        <v>400</v>
      </c>
      <c r="G23" s="145" t="s">
        <v>401</v>
      </c>
      <c r="H23" s="242" t="s">
        <v>3</v>
      </c>
      <c r="I23" s="307" t="s">
        <v>37</v>
      </c>
      <c r="J23" s="145" t="s">
        <v>400</v>
      </c>
      <c r="K23" s="145" t="s">
        <v>401</v>
      </c>
      <c r="L23" s="242" t="s">
        <v>3</v>
      </c>
      <c r="M23" s="155" t="s">
        <v>37</v>
      </c>
    </row>
    <row r="24" spans="1:14" x14ac:dyDescent="0.2">
      <c r="A24" s="403"/>
      <c r="B24" s="149"/>
      <c r="C24" s="149"/>
      <c r="D24" s="243" t="s">
        <v>4</v>
      </c>
      <c r="E24" s="149" t="s">
        <v>38</v>
      </c>
      <c r="F24" s="154"/>
      <c r="G24" s="154"/>
      <c r="H24" s="242" t="s">
        <v>4</v>
      </c>
      <c r="I24" s="149" t="s">
        <v>38</v>
      </c>
      <c r="J24" s="154"/>
      <c r="K24" s="154"/>
      <c r="L24" s="242" t="s">
        <v>4</v>
      </c>
      <c r="M24" s="149" t="s">
        <v>38</v>
      </c>
    </row>
    <row r="25" spans="1:14" ht="15.75" x14ac:dyDescent="0.2">
      <c r="A25" s="12" t="s">
        <v>30</v>
      </c>
      <c r="B25" s="318"/>
      <c r="C25" s="319"/>
      <c r="D25" s="251"/>
      <c r="E25" s="170"/>
      <c r="F25" s="320"/>
      <c r="G25" s="319"/>
      <c r="H25" s="251"/>
      <c r="I25" s="170"/>
      <c r="J25" s="318"/>
      <c r="K25" s="318"/>
      <c r="L25" s="255"/>
      <c r="M25" s="159"/>
    </row>
    <row r="26" spans="1:14" ht="15.75" x14ac:dyDescent="0.2">
      <c r="A26" s="298" t="s">
        <v>318</v>
      </c>
      <c r="B26" s="291"/>
      <c r="C26" s="291"/>
      <c r="D26" s="159"/>
      <c r="E26" s="237"/>
      <c r="F26" s="291"/>
      <c r="G26" s="291"/>
      <c r="H26" s="159"/>
      <c r="I26" s="237"/>
      <c r="J26" s="291"/>
      <c r="K26" s="291"/>
      <c r="L26" s="159"/>
      <c r="M26" s="159"/>
    </row>
    <row r="27" spans="1:14" ht="15.75" x14ac:dyDescent="0.2">
      <c r="A27" s="298" t="s">
        <v>319</v>
      </c>
      <c r="B27" s="291"/>
      <c r="C27" s="291"/>
      <c r="D27" s="159"/>
      <c r="E27" s="237"/>
      <c r="F27" s="291"/>
      <c r="G27" s="291"/>
      <c r="H27" s="159"/>
      <c r="I27" s="237"/>
      <c r="J27" s="291"/>
      <c r="K27" s="291"/>
      <c r="L27" s="159"/>
      <c r="M27" s="159"/>
    </row>
    <row r="28" spans="1:14" ht="15.75" x14ac:dyDescent="0.2">
      <c r="A28" s="298" t="s">
        <v>320</v>
      </c>
      <c r="B28" s="291"/>
      <c r="C28" s="291"/>
      <c r="D28" s="159"/>
      <c r="E28" s="237"/>
      <c r="F28" s="291"/>
      <c r="G28" s="291"/>
      <c r="H28" s="159"/>
      <c r="I28" s="237"/>
      <c r="J28" s="291"/>
      <c r="K28" s="291"/>
      <c r="L28" s="159"/>
      <c r="M28" s="159"/>
    </row>
    <row r="29" spans="1:14" x14ac:dyDescent="0.2">
      <c r="A29" s="298" t="s">
        <v>11</v>
      </c>
      <c r="B29" s="291"/>
      <c r="C29" s="291"/>
      <c r="D29" s="159"/>
      <c r="E29" s="237"/>
      <c r="F29" s="291"/>
      <c r="G29" s="291"/>
      <c r="H29" s="159"/>
      <c r="I29" s="237"/>
      <c r="J29" s="291"/>
      <c r="K29" s="291"/>
      <c r="L29" s="159"/>
      <c r="M29" s="159"/>
    </row>
    <row r="30" spans="1:14" ht="15.75" x14ac:dyDescent="0.2">
      <c r="A30" s="42" t="s">
        <v>308</v>
      </c>
      <c r="B30" s="37"/>
      <c r="C30" s="288"/>
      <c r="D30" s="159"/>
      <c r="E30" s="170"/>
      <c r="F30" s="229"/>
      <c r="G30" s="288"/>
      <c r="H30" s="159"/>
      <c r="I30" s="170"/>
      <c r="J30" s="37"/>
      <c r="K30" s="37"/>
      <c r="L30" s="256"/>
      <c r="M30" s="159"/>
    </row>
    <row r="31" spans="1:14" ht="15.75" x14ac:dyDescent="0.2">
      <c r="A31" s="11" t="s">
        <v>29</v>
      </c>
      <c r="B31" s="231"/>
      <c r="C31" s="231"/>
      <c r="D31" s="159"/>
      <c r="E31" s="170"/>
      <c r="F31" s="310"/>
      <c r="G31" s="310"/>
      <c r="H31" s="159"/>
      <c r="I31" s="170"/>
      <c r="J31" s="231"/>
      <c r="K31" s="231"/>
      <c r="L31" s="256"/>
      <c r="M31" s="159"/>
    </row>
    <row r="32" spans="1:14" ht="15.75" x14ac:dyDescent="0.2">
      <c r="A32" s="298" t="s">
        <v>318</v>
      </c>
      <c r="B32" s="291"/>
      <c r="C32" s="291"/>
      <c r="D32" s="159"/>
      <c r="E32" s="237"/>
      <c r="F32" s="291"/>
      <c r="G32" s="291"/>
      <c r="H32" s="159"/>
      <c r="I32" s="237"/>
      <c r="J32" s="291"/>
      <c r="K32" s="291"/>
      <c r="L32" s="159"/>
      <c r="M32" s="159"/>
    </row>
    <row r="33" spans="1:14" ht="15.75" x14ac:dyDescent="0.2">
      <c r="A33" s="298" t="s">
        <v>320</v>
      </c>
      <c r="B33" s="291"/>
      <c r="C33" s="291"/>
      <c r="D33" s="159"/>
      <c r="E33" s="237"/>
      <c r="F33" s="291"/>
      <c r="G33" s="291"/>
      <c r="H33" s="159"/>
      <c r="I33" s="237"/>
      <c r="J33" s="291"/>
      <c r="K33" s="291"/>
      <c r="L33" s="159"/>
      <c r="M33" s="159"/>
    </row>
    <row r="34" spans="1:14" s="21" customFormat="1" x14ac:dyDescent="0.2">
      <c r="A34" s="298" t="s">
        <v>16</v>
      </c>
      <c r="B34" s="291"/>
      <c r="C34" s="291"/>
      <c r="D34" s="159"/>
      <c r="E34" s="237"/>
      <c r="F34" s="291"/>
      <c r="G34" s="291"/>
      <c r="H34" s="159"/>
      <c r="I34" s="237"/>
      <c r="J34" s="291"/>
      <c r="K34" s="291"/>
      <c r="L34" s="159"/>
      <c r="M34" s="159"/>
      <c r="N34" s="166"/>
    </row>
    <row r="35" spans="1:14" ht="15.75" x14ac:dyDescent="0.2">
      <c r="A35" s="42" t="s">
        <v>308</v>
      </c>
      <c r="B35" s="37"/>
      <c r="C35" s="288"/>
      <c r="D35" s="159"/>
      <c r="E35" s="170"/>
      <c r="F35" s="229"/>
      <c r="G35" s="288"/>
      <c r="H35" s="159"/>
      <c r="I35" s="170"/>
      <c r="J35" s="37"/>
      <c r="K35" s="37"/>
      <c r="L35" s="256"/>
      <c r="M35" s="159"/>
    </row>
    <row r="36" spans="1:14" s="3" customFormat="1" ht="15.75" x14ac:dyDescent="0.2">
      <c r="A36" s="11" t="s">
        <v>28</v>
      </c>
      <c r="B36" s="231"/>
      <c r="C36" s="311"/>
      <c r="D36" s="159"/>
      <c r="E36" s="170"/>
      <c r="F36" s="310"/>
      <c r="G36" s="311"/>
      <c r="H36" s="159"/>
      <c r="I36" s="170"/>
      <c r="J36" s="231"/>
      <c r="K36" s="231"/>
      <c r="L36" s="256"/>
      <c r="M36" s="159"/>
      <c r="N36" s="142"/>
    </row>
    <row r="37" spans="1:14" s="3" customFormat="1" ht="15.75" x14ac:dyDescent="0.2">
      <c r="A37" s="298" t="s">
        <v>318</v>
      </c>
      <c r="B37" s="291"/>
      <c r="C37" s="291"/>
      <c r="D37" s="159"/>
      <c r="E37" s="237"/>
      <c r="F37" s="291"/>
      <c r="G37" s="291"/>
      <c r="H37" s="159"/>
      <c r="I37" s="237"/>
      <c r="J37" s="291"/>
      <c r="K37" s="291"/>
      <c r="L37" s="159"/>
      <c r="M37" s="159"/>
      <c r="N37" s="142"/>
    </row>
    <row r="38" spans="1:14" s="3" customFormat="1" ht="15.75" x14ac:dyDescent="0.2">
      <c r="A38" s="298" t="s">
        <v>319</v>
      </c>
      <c r="B38" s="291"/>
      <c r="C38" s="291"/>
      <c r="D38" s="159"/>
      <c r="E38" s="237"/>
      <c r="F38" s="291"/>
      <c r="G38" s="291"/>
      <c r="H38" s="159"/>
      <c r="I38" s="237"/>
      <c r="J38" s="291"/>
      <c r="K38" s="291"/>
      <c r="L38" s="159"/>
      <c r="M38" s="159"/>
      <c r="N38" s="142"/>
    </row>
    <row r="39" spans="1:14" ht="15.75" x14ac:dyDescent="0.2">
      <c r="A39" s="298" t="s">
        <v>320</v>
      </c>
      <c r="B39" s="291"/>
      <c r="C39" s="291"/>
      <c r="D39" s="159"/>
      <c r="E39" s="237"/>
      <c r="F39" s="291"/>
      <c r="G39" s="291"/>
      <c r="H39" s="159"/>
      <c r="I39" s="237"/>
      <c r="J39" s="291"/>
      <c r="K39" s="291"/>
      <c r="L39" s="159"/>
      <c r="M39" s="159"/>
    </row>
    <row r="40" spans="1:14" ht="15.75" x14ac:dyDescent="0.2">
      <c r="A40" s="11" t="s">
        <v>27</v>
      </c>
      <c r="B40" s="231"/>
      <c r="C40" s="311"/>
      <c r="D40" s="159"/>
      <c r="E40" s="170"/>
      <c r="F40" s="310"/>
      <c r="G40" s="311"/>
      <c r="H40" s="159"/>
      <c r="I40" s="170"/>
      <c r="J40" s="231"/>
      <c r="K40" s="231"/>
      <c r="L40" s="256"/>
      <c r="M40" s="159"/>
    </row>
    <row r="41" spans="1:14" ht="15.75" x14ac:dyDescent="0.2">
      <c r="A41" s="11" t="s">
        <v>26</v>
      </c>
      <c r="B41" s="231"/>
      <c r="C41" s="311"/>
      <c r="D41" s="159"/>
      <c r="E41" s="170"/>
      <c r="F41" s="310"/>
      <c r="G41" s="311"/>
      <c r="H41" s="159"/>
      <c r="I41" s="170"/>
      <c r="J41" s="231"/>
      <c r="K41" s="231"/>
      <c r="L41" s="256"/>
      <c r="M41" s="159"/>
    </row>
    <row r="42" spans="1:14" ht="15.75" x14ac:dyDescent="0.2">
      <c r="A42" s="10" t="s">
        <v>321</v>
      </c>
      <c r="B42" s="231"/>
      <c r="C42" s="311"/>
      <c r="D42" s="159"/>
      <c r="E42" s="170"/>
      <c r="F42" s="321"/>
      <c r="G42" s="322"/>
      <c r="H42" s="159"/>
      <c r="I42" s="237"/>
      <c r="J42" s="231"/>
      <c r="K42" s="231"/>
      <c r="L42" s="256"/>
      <c r="M42" s="159"/>
    </row>
    <row r="43" spans="1:14" ht="15.75" x14ac:dyDescent="0.2">
      <c r="A43" s="10" t="s">
        <v>322</v>
      </c>
      <c r="B43" s="231"/>
      <c r="C43" s="311"/>
      <c r="D43" s="159"/>
      <c r="E43" s="170"/>
      <c r="F43" s="321"/>
      <c r="G43" s="322"/>
      <c r="H43" s="159"/>
      <c r="I43" s="237"/>
      <c r="J43" s="231"/>
      <c r="K43" s="231"/>
      <c r="L43" s="256"/>
      <c r="M43" s="159"/>
    </row>
    <row r="44" spans="1:14" ht="15.75" x14ac:dyDescent="0.2">
      <c r="A44" s="10" t="s">
        <v>323</v>
      </c>
      <c r="B44" s="231"/>
      <c r="C44" s="311"/>
      <c r="D44" s="159"/>
      <c r="E44" s="170"/>
      <c r="F44" s="321"/>
      <c r="G44" s="323"/>
      <c r="H44" s="159"/>
      <c r="I44" s="237"/>
      <c r="J44" s="231"/>
      <c r="K44" s="231"/>
      <c r="L44" s="256"/>
      <c r="M44" s="159"/>
    </row>
    <row r="45" spans="1:14" ht="15.75" x14ac:dyDescent="0.2">
      <c r="A45" s="10" t="s">
        <v>324</v>
      </c>
      <c r="B45" s="231"/>
      <c r="C45" s="311"/>
      <c r="D45" s="159"/>
      <c r="E45" s="170"/>
      <c r="F45" s="321"/>
      <c r="G45" s="322"/>
      <c r="H45" s="159"/>
      <c r="I45" s="237"/>
      <c r="J45" s="231"/>
      <c r="K45" s="231"/>
      <c r="L45" s="256"/>
      <c r="M45" s="159"/>
    </row>
    <row r="46" spans="1:14" ht="15.75" x14ac:dyDescent="0.2">
      <c r="A46" s="16" t="s">
        <v>325</v>
      </c>
      <c r="B46" s="277"/>
      <c r="C46" s="317"/>
      <c r="D46" s="160"/>
      <c r="E46" s="201"/>
      <c r="F46" s="324"/>
      <c r="G46" s="325"/>
      <c r="H46" s="160"/>
      <c r="I46" s="160"/>
      <c r="J46" s="231"/>
      <c r="K46" s="231"/>
      <c r="L46" s="257"/>
      <c r="M46" s="160"/>
    </row>
    <row r="47" spans="1:14" ht="15.75" x14ac:dyDescent="0.25">
      <c r="A47" s="40"/>
      <c r="B47" s="254"/>
      <c r="C47" s="254"/>
      <c r="D47" s="836"/>
      <c r="E47" s="836"/>
      <c r="F47" s="836"/>
      <c r="G47" s="836"/>
      <c r="H47" s="836"/>
      <c r="I47" s="836"/>
      <c r="J47" s="836"/>
      <c r="K47" s="836"/>
      <c r="L47" s="836"/>
      <c r="M47" s="304"/>
    </row>
    <row r="48" spans="1:14" x14ac:dyDescent="0.2">
      <c r="A48" s="148"/>
    </row>
    <row r="49" spans="1:14" ht="15.75" x14ac:dyDescent="0.25">
      <c r="A49" s="141" t="s">
        <v>305</v>
      </c>
      <c r="B49" s="835"/>
      <c r="C49" s="835"/>
      <c r="D49" s="835"/>
      <c r="E49" s="301"/>
      <c r="F49" s="837"/>
      <c r="G49" s="837"/>
      <c r="H49" s="837"/>
      <c r="I49" s="304"/>
      <c r="J49" s="837"/>
      <c r="K49" s="837"/>
      <c r="L49" s="837"/>
      <c r="M49" s="304"/>
    </row>
    <row r="50" spans="1:14" ht="15.75" x14ac:dyDescent="0.25">
      <c r="A50" s="156"/>
      <c r="B50" s="305"/>
      <c r="C50" s="305"/>
      <c r="D50" s="305"/>
      <c r="E50" s="305"/>
      <c r="F50" s="304"/>
      <c r="G50" s="304"/>
      <c r="H50" s="304"/>
      <c r="I50" s="304"/>
      <c r="J50" s="304"/>
      <c r="K50" s="304"/>
      <c r="L50" s="304"/>
      <c r="M50" s="304"/>
    </row>
    <row r="51" spans="1:14" ht="15.75" x14ac:dyDescent="0.25">
      <c r="A51" s="244"/>
      <c r="B51" s="833" t="s">
        <v>0</v>
      </c>
      <c r="C51" s="834"/>
      <c r="D51" s="834"/>
      <c r="E51" s="240"/>
      <c r="F51" s="304"/>
      <c r="G51" s="304"/>
      <c r="H51" s="304"/>
      <c r="I51" s="304"/>
      <c r="J51" s="304"/>
      <c r="K51" s="304"/>
      <c r="L51" s="304"/>
      <c r="M51" s="304"/>
    </row>
    <row r="52" spans="1:14" s="3" customFormat="1" x14ac:dyDescent="0.2">
      <c r="A52" s="134"/>
      <c r="B52" s="167" t="s">
        <v>400</v>
      </c>
      <c r="C52" s="167" t="s">
        <v>401</v>
      </c>
      <c r="D52" s="155" t="s">
        <v>3</v>
      </c>
      <c r="E52" s="155" t="s">
        <v>37</v>
      </c>
      <c r="F52" s="169"/>
      <c r="G52" s="169"/>
      <c r="H52" s="168"/>
      <c r="I52" s="168"/>
      <c r="J52" s="169"/>
      <c r="K52" s="169"/>
      <c r="L52" s="168"/>
      <c r="M52" s="168"/>
      <c r="N52" s="142"/>
    </row>
    <row r="53" spans="1:14" s="3" customFormat="1" x14ac:dyDescent="0.2">
      <c r="A53" s="403"/>
      <c r="B53" s="241"/>
      <c r="C53" s="241"/>
      <c r="D53" s="242" t="s">
        <v>4</v>
      </c>
      <c r="E53" s="149" t="s">
        <v>38</v>
      </c>
      <c r="F53" s="168"/>
      <c r="G53" s="168"/>
      <c r="H53" s="168"/>
      <c r="I53" s="168"/>
      <c r="J53" s="168"/>
      <c r="K53" s="168"/>
      <c r="L53" s="168"/>
      <c r="M53" s="168"/>
      <c r="N53" s="142"/>
    </row>
    <row r="54" spans="1:14" s="3" customFormat="1" ht="15.75" x14ac:dyDescent="0.2">
      <c r="A54" s="12" t="s">
        <v>30</v>
      </c>
      <c r="B54" s="312">
        <v>114946</v>
      </c>
      <c r="C54" s="313">
        <v>133767</v>
      </c>
      <c r="D54" s="255">
        <f t="shared" ref="D54:D61" si="4">IF(B54=0, "    ---- ", IF(ABS(ROUND(100/B54*C54-100,1))&lt;999,ROUND(100/B54*C54-100,1),IF(ROUND(100/B54*C54-100,1)&gt;999,999,-999)))</f>
        <v>16.399999999999999</v>
      </c>
      <c r="E54" s="170">
        <f>IFERROR(100/'Skjema total MA'!C54*C54,0)</f>
        <v>3.5827648525364189</v>
      </c>
      <c r="F54" s="139"/>
      <c r="G54" s="27"/>
      <c r="H54" s="152"/>
      <c r="I54" s="152"/>
      <c r="J54" s="30"/>
      <c r="K54" s="30"/>
      <c r="L54" s="152"/>
      <c r="M54" s="152"/>
      <c r="N54" s="142"/>
    </row>
    <row r="55" spans="1:14" s="3" customFormat="1" ht="15.75" x14ac:dyDescent="0.2">
      <c r="A55" s="31" t="s">
        <v>326</v>
      </c>
      <c r="B55" s="282">
        <v>114946</v>
      </c>
      <c r="C55" s="283">
        <v>133767</v>
      </c>
      <c r="D55" s="256">
        <f t="shared" si="4"/>
        <v>16.399999999999999</v>
      </c>
      <c r="E55" s="170">
        <f>IFERROR(100/'Skjema total MA'!C55*C55,0)</f>
        <v>6.5713845941153934</v>
      </c>
      <c r="F55" s="139"/>
      <c r="G55" s="27"/>
      <c r="H55" s="139"/>
      <c r="I55" s="139"/>
      <c r="J55" s="27"/>
      <c r="K55" s="27"/>
      <c r="L55" s="152"/>
      <c r="M55" s="152"/>
      <c r="N55" s="142"/>
    </row>
    <row r="56" spans="1:14" s="3" customFormat="1" ht="15.75" x14ac:dyDescent="0.2">
      <c r="A56" s="31" t="s">
        <v>327</v>
      </c>
      <c r="B56" s="37"/>
      <c r="C56" s="288"/>
      <c r="D56" s="256"/>
      <c r="E56" s="170"/>
      <c r="F56" s="139"/>
      <c r="G56" s="27"/>
      <c r="H56" s="139"/>
      <c r="I56" s="139"/>
      <c r="J56" s="30"/>
      <c r="K56" s="30"/>
      <c r="L56" s="152"/>
      <c r="M56" s="152"/>
      <c r="N56" s="142"/>
    </row>
    <row r="57" spans="1:14" s="3" customFormat="1" x14ac:dyDescent="0.2">
      <c r="A57" s="298" t="s">
        <v>6</v>
      </c>
      <c r="B57" s="291"/>
      <c r="C57" s="292"/>
      <c r="D57" s="256"/>
      <c r="E57" s="159"/>
      <c r="F57" s="139"/>
      <c r="G57" s="27"/>
      <c r="H57" s="139"/>
      <c r="I57" s="139"/>
      <c r="J57" s="27"/>
      <c r="K57" s="27"/>
      <c r="L57" s="152"/>
      <c r="M57" s="152"/>
      <c r="N57" s="142"/>
    </row>
    <row r="58" spans="1:14" s="3" customFormat="1" x14ac:dyDescent="0.2">
      <c r="A58" s="298" t="s">
        <v>7</v>
      </c>
      <c r="B58" s="291"/>
      <c r="C58" s="292"/>
      <c r="D58" s="256"/>
      <c r="E58" s="159"/>
      <c r="F58" s="139"/>
      <c r="G58" s="27"/>
      <c r="H58" s="139"/>
      <c r="I58" s="139"/>
      <c r="J58" s="27"/>
      <c r="K58" s="27"/>
      <c r="L58" s="152"/>
      <c r="M58" s="152"/>
      <c r="N58" s="142"/>
    </row>
    <row r="59" spans="1:14" s="3" customFormat="1" x14ac:dyDescent="0.2">
      <c r="A59" s="298" t="s">
        <v>8</v>
      </c>
      <c r="B59" s="291"/>
      <c r="C59" s="292"/>
      <c r="D59" s="256"/>
      <c r="E59" s="159"/>
      <c r="F59" s="139"/>
      <c r="G59" s="27"/>
      <c r="H59" s="139"/>
      <c r="I59" s="139"/>
      <c r="J59" s="27"/>
      <c r="K59" s="27"/>
      <c r="L59" s="152"/>
      <c r="M59" s="152"/>
      <c r="N59" s="142"/>
    </row>
    <row r="60" spans="1:14" s="3" customFormat="1" ht="15.75" x14ac:dyDescent="0.2">
      <c r="A60" s="11" t="s">
        <v>29</v>
      </c>
      <c r="B60" s="312">
        <v>5481</v>
      </c>
      <c r="C60" s="313">
        <v>6974</v>
      </c>
      <c r="D60" s="256">
        <f t="shared" si="4"/>
        <v>27.2</v>
      </c>
      <c r="E60" s="170">
        <f>IFERROR(100/'Skjema total MA'!C60*C60,0)</f>
        <v>7.8958926888630385</v>
      </c>
      <c r="F60" s="139"/>
      <c r="G60" s="27"/>
      <c r="H60" s="139"/>
      <c r="I60" s="139"/>
      <c r="J60" s="27"/>
      <c r="K60" s="27"/>
      <c r="L60" s="152"/>
      <c r="M60" s="152"/>
      <c r="N60" s="142"/>
    </row>
    <row r="61" spans="1:14" s="3" customFormat="1" ht="15.75" x14ac:dyDescent="0.2">
      <c r="A61" s="31" t="s">
        <v>326</v>
      </c>
      <c r="B61" s="282">
        <v>5481</v>
      </c>
      <c r="C61" s="283">
        <v>6974</v>
      </c>
      <c r="D61" s="256">
        <f t="shared" si="4"/>
        <v>27.2</v>
      </c>
      <c r="E61" s="170">
        <f>IFERROR(100/'Skjema total MA'!C61*C61,0)</f>
        <v>17.975001860260626</v>
      </c>
      <c r="F61" s="139"/>
      <c r="G61" s="27"/>
      <c r="H61" s="139"/>
      <c r="I61" s="139"/>
      <c r="J61" s="27"/>
      <c r="K61" s="27"/>
      <c r="L61" s="152"/>
      <c r="M61" s="152"/>
      <c r="N61" s="142"/>
    </row>
    <row r="62" spans="1:14" s="3" customFormat="1" ht="15.75" x14ac:dyDescent="0.2">
      <c r="A62" s="31" t="s">
        <v>327</v>
      </c>
      <c r="B62" s="37"/>
      <c r="C62" s="288"/>
      <c r="D62" s="256"/>
      <c r="E62" s="170"/>
      <c r="F62" s="139"/>
      <c r="G62" s="27"/>
      <c r="H62" s="139"/>
      <c r="I62" s="139"/>
      <c r="J62" s="27"/>
      <c r="K62" s="27"/>
      <c r="L62" s="152"/>
      <c r="M62" s="152"/>
      <c r="N62" s="142"/>
    </row>
    <row r="63" spans="1:14" s="3" customFormat="1" x14ac:dyDescent="0.2">
      <c r="A63" s="298" t="s">
        <v>6</v>
      </c>
      <c r="B63" s="282"/>
      <c r="C63" s="283"/>
      <c r="D63" s="256"/>
      <c r="E63" s="159"/>
      <c r="F63" s="139"/>
      <c r="G63" s="27"/>
      <c r="H63" s="139"/>
      <c r="I63" s="139"/>
      <c r="J63" s="27"/>
      <c r="K63" s="27"/>
      <c r="L63" s="152"/>
      <c r="M63" s="152"/>
      <c r="N63" s="142"/>
    </row>
    <row r="64" spans="1:14" s="3" customFormat="1" x14ac:dyDescent="0.2">
      <c r="A64" s="298" t="s">
        <v>7</v>
      </c>
      <c r="B64" s="282"/>
      <c r="C64" s="283"/>
      <c r="D64" s="256"/>
      <c r="E64" s="159"/>
      <c r="F64" s="139"/>
      <c r="G64" s="27"/>
      <c r="H64" s="139"/>
      <c r="I64" s="139"/>
      <c r="J64" s="27"/>
      <c r="K64" s="27"/>
      <c r="L64" s="152"/>
      <c r="M64" s="152"/>
      <c r="N64" s="142"/>
    </row>
    <row r="65" spans="1:14" s="3" customFormat="1" x14ac:dyDescent="0.2">
      <c r="A65" s="298" t="s">
        <v>8</v>
      </c>
      <c r="B65" s="282"/>
      <c r="C65" s="283"/>
      <c r="D65" s="256"/>
      <c r="E65" s="159"/>
      <c r="F65" s="139"/>
      <c r="G65" s="27"/>
      <c r="H65" s="139"/>
      <c r="I65" s="139"/>
      <c r="J65" s="27"/>
      <c r="K65" s="27"/>
      <c r="L65" s="152"/>
      <c r="M65" s="152"/>
      <c r="N65" s="142"/>
    </row>
    <row r="66" spans="1:14" s="3" customFormat="1" ht="15.75" x14ac:dyDescent="0.2">
      <c r="A66" s="32" t="s">
        <v>328</v>
      </c>
      <c r="B66" s="312"/>
      <c r="C66" s="313"/>
      <c r="D66" s="256"/>
      <c r="E66" s="170"/>
      <c r="F66" s="139"/>
      <c r="G66" s="27"/>
      <c r="H66" s="139"/>
      <c r="I66" s="139"/>
      <c r="J66" s="27"/>
      <c r="K66" s="27"/>
      <c r="L66" s="152"/>
      <c r="M66" s="152"/>
      <c r="N66" s="142"/>
    </row>
    <row r="67" spans="1:14" s="3" customFormat="1" ht="15.75" x14ac:dyDescent="0.2">
      <c r="A67" s="31" t="s">
        <v>326</v>
      </c>
      <c r="B67" s="282"/>
      <c r="C67" s="283"/>
      <c r="D67" s="256"/>
      <c r="E67" s="170"/>
      <c r="F67" s="139"/>
      <c r="G67" s="27"/>
      <c r="H67" s="139"/>
      <c r="I67" s="139"/>
      <c r="J67" s="27"/>
      <c r="K67" s="27"/>
      <c r="L67" s="152"/>
      <c r="M67" s="152"/>
      <c r="N67" s="142"/>
    </row>
    <row r="68" spans="1:14" s="3" customFormat="1" ht="15.75" x14ac:dyDescent="0.2">
      <c r="A68" s="31" t="s">
        <v>327</v>
      </c>
      <c r="B68" s="282"/>
      <c r="C68" s="283"/>
      <c r="D68" s="256"/>
      <c r="E68" s="170"/>
      <c r="F68" s="139"/>
      <c r="G68" s="27"/>
      <c r="H68" s="139"/>
      <c r="I68" s="139"/>
      <c r="J68" s="27"/>
      <c r="K68" s="27"/>
      <c r="L68" s="152"/>
      <c r="M68" s="152"/>
      <c r="N68" s="142"/>
    </row>
    <row r="69" spans="1:14" s="3" customFormat="1" ht="15.75" x14ac:dyDescent="0.2">
      <c r="A69" s="32" t="s">
        <v>329</v>
      </c>
      <c r="B69" s="312"/>
      <c r="C69" s="313"/>
      <c r="D69" s="256"/>
      <c r="E69" s="170"/>
      <c r="F69" s="139"/>
      <c r="G69" s="27"/>
      <c r="H69" s="139"/>
      <c r="I69" s="139"/>
      <c r="J69" s="27"/>
      <c r="K69" s="27"/>
      <c r="L69" s="152"/>
      <c r="M69" s="152"/>
      <c r="N69" s="142"/>
    </row>
    <row r="70" spans="1:14" s="3" customFormat="1" ht="15.75" x14ac:dyDescent="0.2">
      <c r="A70" s="31" t="s">
        <v>326</v>
      </c>
      <c r="B70" s="282"/>
      <c r="C70" s="283"/>
      <c r="D70" s="256"/>
      <c r="E70" s="170"/>
      <c r="F70" s="139"/>
      <c r="G70" s="27"/>
      <c r="H70" s="139"/>
      <c r="I70" s="139"/>
      <c r="J70" s="27"/>
      <c r="K70" s="27"/>
      <c r="L70" s="152"/>
      <c r="M70" s="152"/>
      <c r="N70" s="142"/>
    </row>
    <row r="71" spans="1:14" s="3" customFormat="1" ht="15.75" x14ac:dyDescent="0.2">
      <c r="A71" s="39" t="s">
        <v>327</v>
      </c>
      <c r="B71" s="284"/>
      <c r="C71" s="285"/>
      <c r="D71" s="257"/>
      <c r="E71" s="160"/>
      <c r="F71" s="139"/>
      <c r="G71" s="27"/>
      <c r="H71" s="139"/>
      <c r="I71" s="139"/>
      <c r="J71" s="27"/>
      <c r="K71" s="27"/>
      <c r="L71" s="152"/>
      <c r="M71" s="152"/>
      <c r="N71" s="142"/>
    </row>
    <row r="72" spans="1:14" s="3" customFormat="1" ht="15.75" x14ac:dyDescent="0.25">
      <c r="A72" s="157"/>
      <c r="B72" s="147"/>
      <c r="C72" s="147"/>
      <c r="D72" s="147"/>
      <c r="E72" s="147"/>
      <c r="F72" s="136"/>
      <c r="G72" s="136"/>
      <c r="H72" s="136"/>
      <c r="I72" s="136"/>
      <c r="J72" s="136"/>
      <c r="K72" s="136"/>
      <c r="L72" s="136"/>
      <c r="M72" s="136"/>
      <c r="N72" s="142"/>
    </row>
    <row r="73" spans="1:14" x14ac:dyDescent="0.2">
      <c r="A73" s="148"/>
    </row>
    <row r="74" spans="1:14" ht="15.75" x14ac:dyDescent="0.25">
      <c r="A74" s="141" t="s">
        <v>306</v>
      </c>
      <c r="C74" s="20"/>
      <c r="D74" s="20"/>
      <c r="E74" s="20"/>
      <c r="F74" s="20"/>
      <c r="G74" s="20"/>
      <c r="H74" s="20"/>
      <c r="I74" s="20"/>
      <c r="J74" s="20"/>
      <c r="K74" s="20"/>
      <c r="L74" s="20"/>
      <c r="M74" s="20"/>
    </row>
    <row r="75" spans="1:14" ht="15.75" x14ac:dyDescent="0.25">
      <c r="B75" s="832"/>
      <c r="C75" s="832"/>
      <c r="D75" s="832"/>
      <c r="E75" s="301"/>
      <c r="F75" s="832"/>
      <c r="G75" s="832"/>
      <c r="H75" s="832"/>
      <c r="I75" s="301"/>
      <c r="J75" s="832"/>
      <c r="K75" s="832"/>
      <c r="L75" s="832"/>
      <c r="M75" s="301"/>
    </row>
    <row r="76" spans="1:14" x14ac:dyDescent="0.2">
      <c r="A76" s="138"/>
      <c r="B76" s="833" t="s">
        <v>0</v>
      </c>
      <c r="C76" s="834"/>
      <c r="D76" s="838"/>
      <c r="E76" s="302"/>
      <c r="F76" s="834" t="s">
        <v>1</v>
      </c>
      <c r="G76" s="834"/>
      <c r="H76" s="834"/>
      <c r="I76" s="306"/>
      <c r="J76" s="833" t="s">
        <v>2</v>
      </c>
      <c r="K76" s="834"/>
      <c r="L76" s="834"/>
      <c r="M76" s="306"/>
    </row>
    <row r="77" spans="1:14" x14ac:dyDescent="0.2">
      <c r="A77" s="134"/>
      <c r="B77" s="145" t="s">
        <v>400</v>
      </c>
      <c r="C77" s="145" t="s">
        <v>401</v>
      </c>
      <c r="D77" s="242" t="s">
        <v>3</v>
      </c>
      <c r="E77" s="307" t="s">
        <v>37</v>
      </c>
      <c r="F77" s="145" t="s">
        <v>400</v>
      </c>
      <c r="G77" s="145" t="s">
        <v>401</v>
      </c>
      <c r="H77" s="242" t="s">
        <v>3</v>
      </c>
      <c r="I77" s="307" t="s">
        <v>37</v>
      </c>
      <c r="J77" s="145" t="s">
        <v>400</v>
      </c>
      <c r="K77" s="145" t="s">
        <v>401</v>
      </c>
      <c r="L77" s="242" t="s">
        <v>3</v>
      </c>
      <c r="M77" s="155" t="s">
        <v>37</v>
      </c>
    </row>
    <row r="78" spans="1:14" x14ac:dyDescent="0.2">
      <c r="A78" s="403"/>
      <c r="B78" s="149"/>
      <c r="C78" s="149"/>
      <c r="D78" s="243" t="s">
        <v>4</v>
      </c>
      <c r="E78" s="149" t="s">
        <v>38</v>
      </c>
      <c r="F78" s="154"/>
      <c r="G78" s="154"/>
      <c r="H78" s="242" t="s">
        <v>4</v>
      </c>
      <c r="I78" s="149" t="s">
        <v>38</v>
      </c>
      <c r="J78" s="154"/>
      <c r="K78" s="154"/>
      <c r="L78" s="242" t="s">
        <v>4</v>
      </c>
      <c r="M78" s="149" t="s">
        <v>38</v>
      </c>
    </row>
    <row r="79" spans="1:14" ht="15.75" x14ac:dyDescent="0.2">
      <c r="A79" s="12" t="s">
        <v>30</v>
      </c>
      <c r="B79" s="355"/>
      <c r="C79" s="355"/>
      <c r="D79" s="251"/>
      <c r="E79" s="251"/>
      <c r="F79" s="355"/>
      <c r="G79" s="355"/>
      <c r="H79" s="251"/>
      <c r="I79" s="170"/>
      <c r="J79" s="311"/>
      <c r="K79" s="318"/>
      <c r="L79" s="255"/>
      <c r="M79" s="170"/>
    </row>
    <row r="80" spans="1:14" x14ac:dyDescent="0.2">
      <c r="A80" s="18" t="s">
        <v>9</v>
      </c>
      <c r="B80" s="37"/>
      <c r="C80" s="139"/>
      <c r="D80" s="159"/>
      <c r="E80" s="159"/>
      <c r="F80" s="37"/>
      <c r="G80" s="139"/>
      <c r="H80" s="159"/>
      <c r="I80" s="170"/>
      <c r="J80" s="288"/>
      <c r="K80" s="37"/>
      <c r="L80" s="256"/>
      <c r="M80" s="170"/>
    </row>
    <row r="81" spans="1:14" x14ac:dyDescent="0.2">
      <c r="A81" s="18" t="s">
        <v>10</v>
      </c>
      <c r="B81" s="293"/>
      <c r="C81" s="294"/>
      <c r="D81" s="159"/>
      <c r="E81" s="159"/>
      <c r="F81" s="293"/>
      <c r="G81" s="294"/>
      <c r="H81" s="159"/>
      <c r="I81" s="170"/>
      <c r="J81" s="288"/>
      <c r="K81" s="37"/>
      <c r="L81" s="256"/>
      <c r="M81" s="170"/>
    </row>
    <row r="82" spans="1:14" ht="15.75" x14ac:dyDescent="0.2">
      <c r="A82" s="298" t="s">
        <v>330</v>
      </c>
      <c r="B82" s="282"/>
      <c r="C82" s="282"/>
      <c r="D82" s="159"/>
      <c r="E82" s="159"/>
      <c r="F82" s="805"/>
      <c r="G82" s="282"/>
      <c r="H82" s="159"/>
      <c r="I82" s="237"/>
      <c r="J82" s="291"/>
      <c r="K82" s="291"/>
      <c r="L82" s="159"/>
      <c r="M82" s="159"/>
    </row>
    <row r="83" spans="1:14" x14ac:dyDescent="0.2">
      <c r="A83" s="298" t="s">
        <v>12</v>
      </c>
      <c r="B83" s="295"/>
      <c r="C83" s="296"/>
      <c r="D83" s="159"/>
      <c r="E83" s="159"/>
      <c r="F83" s="806"/>
      <c r="G83" s="41"/>
      <c r="H83" s="159"/>
      <c r="I83" s="237"/>
      <c r="J83" s="291"/>
      <c r="K83" s="291"/>
      <c r="L83" s="159"/>
      <c r="M83" s="159"/>
    </row>
    <row r="84" spans="1:14" x14ac:dyDescent="0.2">
      <c r="A84" s="298" t="s">
        <v>13</v>
      </c>
      <c r="B84" s="230"/>
      <c r="C84" s="290"/>
      <c r="D84" s="159"/>
      <c r="E84" s="159"/>
      <c r="F84" s="229"/>
      <c r="G84" s="139"/>
      <c r="H84" s="159"/>
      <c r="I84" s="237"/>
      <c r="J84" s="291"/>
      <c r="K84" s="291"/>
      <c r="L84" s="159"/>
      <c r="M84" s="159"/>
    </row>
    <row r="85" spans="1:14" ht="15.75" x14ac:dyDescent="0.2">
      <c r="A85" s="298" t="s">
        <v>331</v>
      </c>
      <c r="B85" s="282"/>
      <c r="C85" s="282"/>
      <c r="D85" s="159"/>
      <c r="E85" s="159"/>
      <c r="F85" s="805"/>
      <c r="G85" s="282"/>
      <c r="H85" s="159"/>
      <c r="I85" s="237"/>
      <c r="J85" s="291"/>
      <c r="K85" s="291"/>
      <c r="L85" s="159"/>
      <c r="M85" s="159"/>
    </row>
    <row r="86" spans="1:14" x14ac:dyDescent="0.2">
      <c r="A86" s="298" t="s">
        <v>12</v>
      </c>
      <c r="B86" s="230"/>
      <c r="C86" s="290"/>
      <c r="D86" s="159"/>
      <c r="E86" s="159"/>
      <c r="F86" s="229"/>
      <c r="G86" s="139"/>
      <c r="H86" s="159"/>
      <c r="I86" s="237"/>
      <c r="J86" s="291"/>
      <c r="K86" s="291"/>
      <c r="L86" s="159"/>
      <c r="M86" s="159"/>
    </row>
    <row r="87" spans="1:14" s="3" customFormat="1" x14ac:dyDescent="0.2">
      <c r="A87" s="298" t="s">
        <v>13</v>
      </c>
      <c r="B87" s="230"/>
      <c r="C87" s="290"/>
      <c r="D87" s="159"/>
      <c r="E87" s="159"/>
      <c r="F87" s="229"/>
      <c r="G87" s="139"/>
      <c r="H87" s="159"/>
      <c r="I87" s="237"/>
      <c r="J87" s="291"/>
      <c r="K87" s="291"/>
      <c r="L87" s="159"/>
      <c r="M87" s="159"/>
      <c r="N87" s="142"/>
    </row>
    <row r="88" spans="1:14" s="3" customFormat="1" x14ac:dyDescent="0.2">
      <c r="A88" s="18" t="s">
        <v>33</v>
      </c>
      <c r="B88" s="229"/>
      <c r="C88" s="139"/>
      <c r="D88" s="159"/>
      <c r="E88" s="159"/>
      <c r="F88" s="229"/>
      <c r="G88" s="139"/>
      <c r="H88" s="159"/>
      <c r="I88" s="170"/>
      <c r="J88" s="288"/>
      <c r="K88" s="37"/>
      <c r="L88" s="256"/>
      <c r="M88" s="170"/>
      <c r="N88" s="142"/>
    </row>
    <row r="89" spans="1:14" ht="15.75" x14ac:dyDescent="0.2">
      <c r="A89" s="18" t="s">
        <v>332</v>
      </c>
      <c r="B89" s="229"/>
      <c r="C89" s="229"/>
      <c r="D89" s="159"/>
      <c r="E89" s="159"/>
      <c r="F89" s="229"/>
      <c r="G89" s="229"/>
      <c r="H89" s="159"/>
      <c r="I89" s="170"/>
      <c r="J89" s="288"/>
      <c r="K89" s="37"/>
      <c r="L89" s="256"/>
      <c r="M89" s="170"/>
    </row>
    <row r="90" spans="1:14" x14ac:dyDescent="0.2">
      <c r="A90" s="18" t="s">
        <v>9</v>
      </c>
      <c r="B90" s="229"/>
      <c r="C90" s="139"/>
      <c r="D90" s="159"/>
      <c r="E90" s="159"/>
      <c r="F90" s="229"/>
      <c r="G90" s="139"/>
      <c r="H90" s="159"/>
      <c r="I90" s="170"/>
      <c r="J90" s="288"/>
      <c r="K90" s="37"/>
      <c r="L90" s="256"/>
      <c r="M90" s="170"/>
    </row>
    <row r="91" spans="1:14" x14ac:dyDescent="0.2">
      <c r="A91" s="18" t="s">
        <v>10</v>
      </c>
      <c r="B91" s="293"/>
      <c r="C91" s="294"/>
      <c r="D91" s="159"/>
      <c r="E91" s="159"/>
      <c r="F91" s="293"/>
      <c r="G91" s="294"/>
      <c r="H91" s="159"/>
      <c r="I91" s="170"/>
      <c r="J91" s="288"/>
      <c r="K91" s="37"/>
      <c r="L91" s="256"/>
      <c r="M91" s="170"/>
    </row>
    <row r="92" spans="1:14" ht="15.75" x14ac:dyDescent="0.2">
      <c r="A92" s="298" t="s">
        <v>330</v>
      </c>
      <c r="B92" s="282"/>
      <c r="C92" s="282"/>
      <c r="D92" s="159"/>
      <c r="E92" s="159"/>
      <c r="F92" s="805"/>
      <c r="G92" s="282"/>
      <c r="H92" s="159"/>
      <c r="I92" s="237"/>
      <c r="J92" s="291"/>
      <c r="K92" s="291"/>
      <c r="L92" s="159"/>
      <c r="M92" s="159"/>
    </row>
    <row r="93" spans="1:14" x14ac:dyDescent="0.2">
      <c r="A93" s="298" t="s">
        <v>12</v>
      </c>
      <c r="B93" s="230"/>
      <c r="C93" s="290"/>
      <c r="D93" s="159"/>
      <c r="E93" s="159"/>
      <c r="F93" s="229"/>
      <c r="G93" s="139"/>
      <c r="H93" s="159"/>
      <c r="I93" s="237"/>
      <c r="J93" s="291"/>
      <c r="K93" s="291"/>
      <c r="L93" s="159"/>
      <c r="M93" s="159"/>
    </row>
    <row r="94" spans="1:14" x14ac:dyDescent="0.2">
      <c r="A94" s="298" t="s">
        <v>13</v>
      </c>
      <c r="B94" s="230"/>
      <c r="C94" s="290"/>
      <c r="D94" s="159"/>
      <c r="E94" s="159"/>
      <c r="F94" s="229"/>
      <c r="G94" s="139"/>
      <c r="H94" s="159"/>
      <c r="I94" s="237"/>
      <c r="J94" s="291"/>
      <c r="K94" s="291"/>
      <c r="L94" s="159"/>
      <c r="M94" s="159"/>
    </row>
    <row r="95" spans="1:14" ht="15.75" x14ac:dyDescent="0.2">
      <c r="A95" s="298" t="s">
        <v>331</v>
      </c>
      <c r="B95" s="282"/>
      <c r="C95" s="282"/>
      <c r="D95" s="159"/>
      <c r="E95" s="159"/>
      <c r="F95" s="805"/>
      <c r="G95" s="282"/>
      <c r="H95" s="159"/>
      <c r="I95" s="237"/>
      <c r="J95" s="291"/>
      <c r="K95" s="291"/>
      <c r="L95" s="159"/>
      <c r="M95" s="159"/>
    </row>
    <row r="96" spans="1:14" x14ac:dyDescent="0.2">
      <c r="A96" s="298" t="s">
        <v>12</v>
      </c>
      <c r="B96" s="230"/>
      <c r="C96" s="290"/>
      <c r="D96" s="159"/>
      <c r="E96" s="159"/>
      <c r="F96" s="229"/>
      <c r="G96" s="139"/>
      <c r="H96" s="159"/>
      <c r="I96" s="237"/>
      <c r="J96" s="291"/>
      <c r="K96" s="291"/>
      <c r="L96" s="159"/>
      <c r="M96" s="159"/>
    </row>
    <row r="97" spans="1:13" x14ac:dyDescent="0.2">
      <c r="A97" s="298" t="s">
        <v>13</v>
      </c>
      <c r="B97" s="230"/>
      <c r="C97" s="290"/>
      <c r="D97" s="159"/>
      <c r="E97" s="159"/>
      <c r="F97" s="229"/>
      <c r="G97" s="139"/>
      <c r="H97" s="159"/>
      <c r="I97" s="237"/>
      <c r="J97" s="291"/>
      <c r="K97" s="291"/>
      <c r="L97" s="159"/>
      <c r="M97" s="159"/>
    </row>
    <row r="98" spans="1:13" ht="15.75" x14ac:dyDescent="0.2">
      <c r="A98" s="18" t="s">
        <v>342</v>
      </c>
      <c r="B98" s="229"/>
      <c r="C98" s="139"/>
      <c r="D98" s="159"/>
      <c r="E98" s="159"/>
      <c r="F98" s="229"/>
      <c r="G98" s="139"/>
      <c r="H98" s="159"/>
      <c r="I98" s="170"/>
      <c r="J98" s="288"/>
      <c r="K98" s="37"/>
      <c r="L98" s="256"/>
      <c r="M98" s="170"/>
    </row>
    <row r="99" spans="1:13" ht="15.75" x14ac:dyDescent="0.2">
      <c r="A99" s="11" t="s">
        <v>29</v>
      </c>
      <c r="B99" s="310"/>
      <c r="C99" s="310"/>
      <c r="D99" s="159"/>
      <c r="E99" s="159"/>
      <c r="F99" s="310"/>
      <c r="G99" s="310"/>
      <c r="H99" s="159"/>
      <c r="I99" s="170"/>
      <c r="J99" s="311"/>
      <c r="K99" s="231"/>
      <c r="L99" s="256"/>
      <c r="M99" s="170"/>
    </row>
    <row r="100" spans="1:13" x14ac:dyDescent="0.2">
      <c r="A100" s="18" t="s">
        <v>9</v>
      </c>
      <c r="B100" s="229"/>
      <c r="C100" s="139"/>
      <c r="D100" s="159"/>
      <c r="E100" s="159"/>
      <c r="F100" s="229"/>
      <c r="G100" s="139"/>
      <c r="H100" s="159"/>
      <c r="I100" s="170"/>
      <c r="J100" s="288"/>
      <c r="K100" s="37"/>
      <c r="L100" s="256"/>
      <c r="M100" s="170"/>
    </row>
    <row r="101" spans="1:13" x14ac:dyDescent="0.2">
      <c r="A101" s="18" t="s">
        <v>10</v>
      </c>
      <c r="B101" s="229"/>
      <c r="C101" s="139"/>
      <c r="D101" s="159"/>
      <c r="E101" s="159"/>
      <c r="F101" s="229"/>
      <c r="G101" s="139"/>
      <c r="H101" s="159"/>
      <c r="I101" s="170"/>
      <c r="J101" s="288"/>
      <c r="K101" s="37"/>
      <c r="L101" s="256"/>
      <c r="M101" s="170"/>
    </row>
    <row r="102" spans="1:13" ht="15.75" x14ac:dyDescent="0.2">
      <c r="A102" s="298" t="s">
        <v>330</v>
      </c>
      <c r="B102" s="282"/>
      <c r="C102" s="282"/>
      <c r="D102" s="159"/>
      <c r="E102" s="159"/>
      <c r="F102" s="805"/>
      <c r="G102" s="282"/>
      <c r="H102" s="159"/>
      <c r="I102" s="237"/>
      <c r="J102" s="291"/>
      <c r="K102" s="291"/>
      <c r="L102" s="159"/>
      <c r="M102" s="159"/>
    </row>
    <row r="103" spans="1:13" x14ac:dyDescent="0.2">
      <c r="A103" s="298" t="s">
        <v>12</v>
      </c>
      <c r="B103" s="230"/>
      <c r="C103" s="290"/>
      <c r="D103" s="159"/>
      <c r="E103" s="159"/>
      <c r="F103" s="229"/>
      <c r="G103" s="139"/>
      <c r="H103" s="159"/>
      <c r="I103" s="237"/>
      <c r="J103" s="291"/>
      <c r="K103" s="291"/>
      <c r="L103" s="159"/>
      <c r="M103" s="159"/>
    </row>
    <row r="104" spans="1:13" x14ac:dyDescent="0.2">
      <c r="A104" s="298" t="s">
        <v>13</v>
      </c>
      <c r="B104" s="230"/>
      <c r="C104" s="290"/>
      <c r="D104" s="159"/>
      <c r="E104" s="159"/>
      <c r="F104" s="229"/>
      <c r="G104" s="139"/>
      <c r="H104" s="159"/>
      <c r="I104" s="237"/>
      <c r="J104" s="291"/>
      <c r="K104" s="291"/>
      <c r="L104" s="159"/>
      <c r="M104" s="159"/>
    </row>
    <row r="105" spans="1:13" ht="15.75" x14ac:dyDescent="0.2">
      <c r="A105" s="298" t="s">
        <v>331</v>
      </c>
      <c r="B105" s="282"/>
      <c r="C105" s="282"/>
      <c r="D105" s="159"/>
      <c r="E105" s="159"/>
      <c r="F105" s="805"/>
      <c r="G105" s="282"/>
      <c r="H105" s="159"/>
      <c r="I105" s="237"/>
      <c r="J105" s="291"/>
      <c r="K105" s="291"/>
      <c r="L105" s="159"/>
      <c r="M105" s="159"/>
    </row>
    <row r="106" spans="1:13" x14ac:dyDescent="0.2">
      <c r="A106" s="298" t="s">
        <v>12</v>
      </c>
      <c r="B106" s="230"/>
      <c r="C106" s="290"/>
      <c r="D106" s="159"/>
      <c r="E106" s="159"/>
      <c r="F106" s="229"/>
      <c r="G106" s="139"/>
      <c r="H106" s="159"/>
      <c r="I106" s="237"/>
      <c r="J106" s="291"/>
      <c r="K106" s="291"/>
      <c r="L106" s="159"/>
      <c r="M106" s="159"/>
    </row>
    <row r="107" spans="1:13" x14ac:dyDescent="0.2">
      <c r="A107" s="298" t="s">
        <v>13</v>
      </c>
      <c r="B107" s="230"/>
      <c r="C107" s="290"/>
      <c r="D107" s="159"/>
      <c r="E107" s="159"/>
      <c r="F107" s="229"/>
      <c r="G107" s="139"/>
      <c r="H107" s="159"/>
      <c r="I107" s="237"/>
      <c r="J107" s="291"/>
      <c r="K107" s="291"/>
      <c r="L107" s="159"/>
      <c r="M107" s="159"/>
    </row>
    <row r="108" spans="1:13" x14ac:dyDescent="0.2">
      <c r="A108" s="18" t="s">
        <v>33</v>
      </c>
      <c r="B108" s="229"/>
      <c r="C108" s="139"/>
      <c r="D108" s="159"/>
      <c r="E108" s="159"/>
      <c r="F108" s="229"/>
      <c r="G108" s="139"/>
      <c r="H108" s="159"/>
      <c r="I108" s="170"/>
      <c r="J108" s="288"/>
      <c r="K108" s="37"/>
      <c r="L108" s="256"/>
      <c r="M108" s="170"/>
    </row>
    <row r="109" spans="1:13" ht="15.75" x14ac:dyDescent="0.2">
      <c r="A109" s="18" t="s">
        <v>332</v>
      </c>
      <c r="B109" s="229"/>
      <c r="C109" s="139"/>
      <c r="D109" s="159"/>
      <c r="E109" s="159"/>
      <c r="F109" s="229"/>
      <c r="G109" s="139"/>
      <c r="H109" s="159"/>
      <c r="I109" s="170"/>
      <c r="J109" s="288"/>
      <c r="K109" s="37"/>
      <c r="L109" s="256"/>
      <c r="M109" s="170"/>
    </row>
    <row r="110" spans="1:13" x14ac:dyDescent="0.2">
      <c r="A110" s="18" t="s">
        <v>9</v>
      </c>
      <c r="B110" s="229"/>
      <c r="C110" s="139"/>
      <c r="D110" s="159"/>
      <c r="E110" s="159"/>
      <c r="F110" s="229"/>
      <c r="G110" s="139"/>
      <c r="H110" s="159"/>
      <c r="I110" s="170"/>
      <c r="J110" s="288"/>
      <c r="K110" s="37"/>
      <c r="L110" s="256"/>
      <c r="M110" s="170"/>
    </row>
    <row r="111" spans="1:13" x14ac:dyDescent="0.2">
      <c r="A111" s="18" t="s">
        <v>10</v>
      </c>
      <c r="B111" s="293"/>
      <c r="C111" s="294"/>
      <c r="D111" s="159"/>
      <c r="E111" s="159"/>
      <c r="F111" s="293"/>
      <c r="G111" s="294"/>
      <c r="H111" s="159"/>
      <c r="I111" s="170"/>
      <c r="J111" s="288"/>
      <c r="K111" s="37"/>
      <c r="L111" s="256"/>
      <c r="M111" s="170"/>
    </row>
    <row r="112" spans="1:13" ht="15.75" x14ac:dyDescent="0.2">
      <c r="A112" s="298" t="s">
        <v>330</v>
      </c>
      <c r="B112" s="282"/>
      <c r="C112" s="282"/>
      <c r="D112" s="159"/>
      <c r="E112" s="159"/>
      <c r="F112" s="805"/>
      <c r="G112" s="282"/>
      <c r="H112" s="159"/>
      <c r="I112" s="237"/>
      <c r="J112" s="291"/>
      <c r="K112" s="291"/>
      <c r="L112" s="159"/>
      <c r="M112" s="159"/>
    </row>
    <row r="113" spans="1:13" x14ac:dyDescent="0.2">
      <c r="A113" s="298" t="s">
        <v>12</v>
      </c>
      <c r="B113" s="230"/>
      <c r="C113" s="290"/>
      <c r="D113" s="159"/>
      <c r="E113" s="159"/>
      <c r="F113" s="229"/>
      <c r="G113" s="139"/>
      <c r="H113" s="159"/>
      <c r="I113" s="237"/>
      <c r="J113" s="291"/>
      <c r="K113" s="291"/>
      <c r="L113" s="159"/>
      <c r="M113" s="159"/>
    </row>
    <row r="114" spans="1:13" x14ac:dyDescent="0.2">
      <c r="A114" s="298" t="s">
        <v>13</v>
      </c>
      <c r="B114" s="230"/>
      <c r="C114" s="290"/>
      <c r="D114" s="159"/>
      <c r="E114" s="159"/>
      <c r="F114" s="229"/>
      <c r="G114" s="139"/>
      <c r="H114" s="159"/>
      <c r="I114" s="237"/>
      <c r="J114" s="291"/>
      <c r="K114" s="291"/>
      <c r="L114" s="159"/>
      <c r="M114" s="159"/>
    </row>
    <row r="115" spans="1:13" ht="15.75" x14ac:dyDescent="0.2">
      <c r="A115" s="298" t="s">
        <v>331</v>
      </c>
      <c r="B115" s="282"/>
      <c r="C115" s="282"/>
      <c r="D115" s="159"/>
      <c r="E115" s="159"/>
      <c r="F115" s="805"/>
      <c r="G115" s="282"/>
      <c r="H115" s="159"/>
      <c r="I115" s="237"/>
      <c r="J115" s="291"/>
      <c r="K115" s="291"/>
      <c r="L115" s="159"/>
      <c r="M115" s="159"/>
    </row>
    <row r="116" spans="1:13" x14ac:dyDescent="0.2">
      <c r="A116" s="298" t="s">
        <v>12</v>
      </c>
      <c r="B116" s="230"/>
      <c r="C116" s="290"/>
      <c r="D116" s="159"/>
      <c r="E116" s="159"/>
      <c r="F116" s="229"/>
      <c r="G116" s="139"/>
      <c r="H116" s="159"/>
      <c r="I116" s="237"/>
      <c r="J116" s="291"/>
      <c r="K116" s="291"/>
      <c r="L116" s="159"/>
      <c r="M116" s="159"/>
    </row>
    <row r="117" spans="1:13" x14ac:dyDescent="0.2">
      <c r="A117" s="298" t="s">
        <v>13</v>
      </c>
      <c r="B117" s="232"/>
      <c r="C117" s="297"/>
      <c r="D117" s="159"/>
      <c r="E117" s="159"/>
      <c r="F117" s="233"/>
      <c r="G117" s="807"/>
      <c r="H117" s="159"/>
      <c r="I117" s="237"/>
      <c r="J117" s="291"/>
      <c r="K117" s="291"/>
      <c r="L117" s="159"/>
      <c r="M117" s="159"/>
    </row>
    <row r="118" spans="1:13" ht="15.75" x14ac:dyDescent="0.2">
      <c r="A118" s="18" t="s">
        <v>342</v>
      </c>
      <c r="B118" s="229"/>
      <c r="C118" s="139"/>
      <c r="D118" s="159"/>
      <c r="E118" s="159"/>
      <c r="F118" s="229"/>
      <c r="G118" s="139"/>
      <c r="H118" s="159"/>
      <c r="I118" s="170"/>
      <c r="J118" s="288"/>
      <c r="K118" s="37"/>
      <c r="L118" s="256"/>
      <c r="M118" s="170"/>
    </row>
    <row r="119" spans="1:13" ht="15.75" x14ac:dyDescent="0.2">
      <c r="A119" s="11" t="s">
        <v>28</v>
      </c>
      <c r="B119" s="355"/>
      <c r="C119" s="355"/>
      <c r="D119" s="159"/>
      <c r="E119" s="159"/>
      <c r="F119" s="355"/>
      <c r="G119" s="355"/>
      <c r="H119" s="159"/>
      <c r="I119" s="170"/>
      <c r="J119" s="311"/>
      <c r="K119" s="231"/>
      <c r="L119" s="256"/>
      <c r="M119" s="170"/>
    </row>
    <row r="120" spans="1:13" x14ac:dyDescent="0.2">
      <c r="A120" s="18" t="s">
        <v>9</v>
      </c>
      <c r="B120" s="229"/>
      <c r="C120" s="139"/>
      <c r="D120" s="159"/>
      <c r="E120" s="159"/>
      <c r="F120" s="229"/>
      <c r="G120" s="139"/>
      <c r="H120" s="159"/>
      <c r="I120" s="170"/>
      <c r="J120" s="288"/>
      <c r="K120" s="37"/>
      <c r="L120" s="256"/>
      <c r="M120" s="170"/>
    </row>
    <row r="121" spans="1:13" x14ac:dyDescent="0.2">
      <c r="A121" s="18" t="s">
        <v>10</v>
      </c>
      <c r="B121" s="229"/>
      <c r="C121" s="139"/>
      <c r="D121" s="159"/>
      <c r="E121" s="159"/>
      <c r="F121" s="229"/>
      <c r="G121" s="139"/>
      <c r="H121" s="159"/>
      <c r="I121" s="170"/>
      <c r="J121" s="288"/>
      <c r="K121" s="37"/>
      <c r="L121" s="256"/>
      <c r="M121" s="170"/>
    </row>
    <row r="122" spans="1:13" ht="15.75" x14ac:dyDescent="0.2">
      <c r="A122" s="298" t="s">
        <v>330</v>
      </c>
      <c r="B122" s="282"/>
      <c r="C122" s="282"/>
      <c r="D122" s="159"/>
      <c r="E122" s="159"/>
      <c r="F122" s="805"/>
      <c r="G122" s="282"/>
      <c r="H122" s="159"/>
      <c r="I122" s="237"/>
      <c r="J122" s="291"/>
      <c r="K122" s="291"/>
      <c r="L122" s="159"/>
      <c r="M122" s="159"/>
    </row>
    <row r="123" spans="1:13" x14ac:dyDescent="0.2">
      <c r="A123" s="298" t="s">
        <v>12</v>
      </c>
      <c r="B123" s="230"/>
      <c r="C123" s="290"/>
      <c r="D123" s="159"/>
      <c r="E123" s="159"/>
      <c r="F123" s="229"/>
      <c r="G123" s="139"/>
      <c r="H123" s="159"/>
      <c r="I123" s="237"/>
      <c r="J123" s="291"/>
      <c r="K123" s="291"/>
      <c r="L123" s="159"/>
      <c r="M123" s="159"/>
    </row>
    <row r="124" spans="1:13" x14ac:dyDescent="0.2">
      <c r="A124" s="298" t="s">
        <v>13</v>
      </c>
      <c r="B124" s="230"/>
      <c r="C124" s="290"/>
      <c r="D124" s="159"/>
      <c r="E124" s="159"/>
      <c r="F124" s="229"/>
      <c r="G124" s="139"/>
      <c r="H124" s="159"/>
      <c r="I124" s="237"/>
      <c r="J124" s="291"/>
      <c r="K124" s="291"/>
      <c r="L124" s="159"/>
      <c r="M124" s="159"/>
    </row>
    <row r="125" spans="1:13" ht="15.75" x14ac:dyDescent="0.2">
      <c r="A125" s="298" t="s">
        <v>331</v>
      </c>
      <c r="B125" s="282"/>
      <c r="C125" s="282"/>
      <c r="D125" s="159"/>
      <c r="E125" s="159"/>
      <c r="F125" s="805"/>
      <c r="G125" s="282"/>
      <c r="H125" s="159"/>
      <c r="I125" s="237"/>
      <c r="J125" s="291"/>
      <c r="K125" s="291"/>
      <c r="L125" s="159"/>
      <c r="M125" s="159"/>
    </row>
    <row r="126" spans="1:13" x14ac:dyDescent="0.2">
      <c r="A126" s="298" t="s">
        <v>12</v>
      </c>
      <c r="B126" s="230"/>
      <c r="C126" s="290"/>
      <c r="D126" s="159"/>
      <c r="E126" s="159"/>
      <c r="F126" s="229"/>
      <c r="G126" s="139"/>
      <c r="H126" s="159"/>
      <c r="I126" s="237"/>
      <c r="J126" s="291"/>
      <c r="K126" s="291"/>
      <c r="L126" s="159"/>
      <c r="M126" s="159"/>
    </row>
    <row r="127" spans="1:13" x14ac:dyDescent="0.2">
      <c r="A127" s="298" t="s">
        <v>13</v>
      </c>
      <c r="B127" s="230"/>
      <c r="C127" s="290"/>
      <c r="D127" s="159"/>
      <c r="E127" s="159"/>
      <c r="F127" s="229"/>
      <c r="G127" s="139"/>
      <c r="H127" s="159"/>
      <c r="I127" s="237"/>
      <c r="J127" s="291"/>
      <c r="K127" s="291"/>
      <c r="L127" s="159"/>
      <c r="M127" s="159"/>
    </row>
    <row r="128" spans="1:13" x14ac:dyDescent="0.2">
      <c r="A128" s="18" t="s">
        <v>34</v>
      </c>
      <c r="B128" s="229"/>
      <c r="C128" s="139"/>
      <c r="D128" s="159"/>
      <c r="E128" s="159"/>
      <c r="F128" s="229"/>
      <c r="G128" s="139"/>
      <c r="H128" s="159"/>
      <c r="I128" s="170"/>
      <c r="J128" s="288"/>
      <c r="K128" s="37"/>
      <c r="L128" s="256"/>
      <c r="M128" s="170"/>
    </row>
    <row r="129" spans="1:13" ht="15.75" x14ac:dyDescent="0.2">
      <c r="A129" s="18" t="s">
        <v>332</v>
      </c>
      <c r="B129" s="229"/>
      <c r="C129" s="229"/>
      <c r="D129" s="159"/>
      <c r="E129" s="159"/>
      <c r="F129" s="229"/>
      <c r="G129" s="229"/>
      <c r="H129" s="159"/>
      <c r="I129" s="170"/>
      <c r="J129" s="288"/>
      <c r="K129" s="37"/>
      <c r="L129" s="256"/>
      <c r="M129" s="170"/>
    </row>
    <row r="130" spans="1:13" x14ac:dyDescent="0.2">
      <c r="A130" s="18" t="s">
        <v>9</v>
      </c>
      <c r="B130" s="293"/>
      <c r="C130" s="294"/>
      <c r="D130" s="159"/>
      <c r="E130" s="159"/>
      <c r="F130" s="293"/>
      <c r="G130" s="294"/>
      <c r="H130" s="159"/>
      <c r="I130" s="170"/>
      <c r="J130" s="288"/>
      <c r="K130" s="37"/>
      <c r="L130" s="256"/>
      <c r="M130" s="170"/>
    </row>
    <row r="131" spans="1:13" x14ac:dyDescent="0.2">
      <c r="A131" s="18" t="s">
        <v>10</v>
      </c>
      <c r="B131" s="293"/>
      <c r="C131" s="294"/>
      <c r="D131" s="159"/>
      <c r="E131" s="159"/>
      <c r="F131" s="293"/>
      <c r="G131" s="294"/>
      <c r="H131" s="159"/>
      <c r="I131" s="170"/>
      <c r="J131" s="288"/>
      <c r="K131" s="37"/>
      <c r="L131" s="256"/>
      <c r="M131" s="170"/>
    </row>
    <row r="132" spans="1:13" ht="15.75" x14ac:dyDescent="0.2">
      <c r="A132" s="298" t="s">
        <v>330</v>
      </c>
      <c r="B132" s="282"/>
      <c r="C132" s="282"/>
      <c r="D132" s="159"/>
      <c r="E132" s="159"/>
      <c r="F132" s="805"/>
      <c r="G132" s="282"/>
      <c r="H132" s="159"/>
      <c r="I132" s="237"/>
      <c r="J132" s="291"/>
      <c r="K132" s="291"/>
      <c r="L132" s="159"/>
      <c r="M132" s="159"/>
    </row>
    <row r="133" spans="1:13" x14ac:dyDescent="0.2">
      <c r="A133" s="298" t="s">
        <v>12</v>
      </c>
      <c r="B133" s="230"/>
      <c r="C133" s="290"/>
      <c r="D133" s="159"/>
      <c r="E133" s="159"/>
      <c r="F133" s="229"/>
      <c r="G133" s="139"/>
      <c r="H133" s="159"/>
      <c r="I133" s="237"/>
      <c r="J133" s="291"/>
      <c r="K133" s="291"/>
      <c r="L133" s="159"/>
      <c r="M133" s="159"/>
    </row>
    <row r="134" spans="1:13" x14ac:dyDescent="0.2">
      <c r="A134" s="298" t="s">
        <v>13</v>
      </c>
      <c r="B134" s="230"/>
      <c r="C134" s="290"/>
      <c r="D134" s="159"/>
      <c r="E134" s="159"/>
      <c r="F134" s="229"/>
      <c r="G134" s="139"/>
      <c r="H134" s="159"/>
      <c r="I134" s="237"/>
      <c r="J134" s="291"/>
      <c r="K134" s="291"/>
      <c r="L134" s="159"/>
      <c r="M134" s="159"/>
    </row>
    <row r="135" spans="1:13" ht="15.75" x14ac:dyDescent="0.2">
      <c r="A135" s="298" t="s">
        <v>331</v>
      </c>
      <c r="B135" s="282"/>
      <c r="C135" s="282"/>
      <c r="D135" s="159"/>
      <c r="E135" s="159"/>
      <c r="F135" s="805"/>
      <c r="G135" s="282"/>
      <c r="H135" s="159"/>
      <c r="I135" s="237"/>
      <c r="J135" s="291"/>
      <c r="K135" s="291"/>
      <c r="L135" s="159"/>
      <c r="M135" s="159"/>
    </row>
    <row r="136" spans="1:13" x14ac:dyDescent="0.2">
      <c r="A136" s="298" t="s">
        <v>12</v>
      </c>
      <c r="B136" s="230"/>
      <c r="C136" s="290"/>
      <c r="D136" s="159"/>
      <c r="E136" s="159"/>
      <c r="F136" s="229"/>
      <c r="G136" s="139"/>
      <c r="H136" s="159"/>
      <c r="I136" s="237"/>
      <c r="J136" s="291"/>
      <c r="K136" s="291"/>
      <c r="L136" s="159"/>
      <c r="M136" s="159"/>
    </row>
    <row r="137" spans="1:13" x14ac:dyDescent="0.2">
      <c r="A137" s="298" t="s">
        <v>13</v>
      </c>
      <c r="B137" s="230"/>
      <c r="C137" s="290"/>
      <c r="D137" s="159"/>
      <c r="E137" s="159"/>
      <c r="F137" s="229"/>
      <c r="G137" s="139"/>
      <c r="H137" s="159"/>
      <c r="I137" s="237"/>
      <c r="J137" s="291"/>
      <c r="K137" s="291"/>
      <c r="L137" s="159"/>
      <c r="M137" s="159"/>
    </row>
    <row r="138" spans="1:13" ht="15.75" x14ac:dyDescent="0.2">
      <c r="A138" s="18" t="s">
        <v>342</v>
      </c>
      <c r="B138" s="229"/>
      <c r="C138" s="139"/>
      <c r="D138" s="159"/>
      <c r="E138" s="159"/>
      <c r="F138" s="229"/>
      <c r="G138" s="139"/>
      <c r="H138" s="159"/>
      <c r="I138" s="170"/>
      <c r="J138" s="288"/>
      <c r="K138" s="37"/>
      <c r="L138" s="256"/>
      <c r="M138" s="170"/>
    </row>
    <row r="139" spans="1:13" ht="15.75" x14ac:dyDescent="0.2">
      <c r="A139" s="18" t="s">
        <v>343</v>
      </c>
      <c r="B139" s="229"/>
      <c r="C139" s="229"/>
      <c r="D139" s="159"/>
      <c r="E139" s="159"/>
      <c r="F139" s="229"/>
      <c r="G139" s="229"/>
      <c r="H139" s="159"/>
      <c r="I139" s="170"/>
      <c r="J139" s="288"/>
      <c r="K139" s="37"/>
      <c r="L139" s="256"/>
      <c r="M139" s="170"/>
    </row>
    <row r="140" spans="1:13" ht="15.75" x14ac:dyDescent="0.2">
      <c r="A140" s="18" t="s">
        <v>334</v>
      </c>
      <c r="B140" s="229"/>
      <c r="C140" s="229"/>
      <c r="D140" s="159"/>
      <c r="E140" s="159"/>
      <c r="F140" s="229"/>
      <c r="G140" s="229"/>
      <c r="H140" s="159"/>
      <c r="I140" s="170"/>
      <c r="J140" s="288"/>
      <c r="K140" s="37"/>
      <c r="L140" s="256"/>
      <c r="M140" s="170"/>
    </row>
    <row r="141" spans="1:13" ht="15.75" x14ac:dyDescent="0.2">
      <c r="A141" s="18" t="s">
        <v>335</v>
      </c>
      <c r="B141" s="229"/>
      <c r="C141" s="229"/>
      <c r="D141" s="159"/>
      <c r="E141" s="159"/>
      <c r="F141" s="229"/>
      <c r="G141" s="229"/>
      <c r="H141" s="159"/>
      <c r="I141" s="170"/>
      <c r="J141" s="288"/>
      <c r="K141" s="37"/>
      <c r="L141" s="256"/>
      <c r="M141" s="170"/>
    </row>
    <row r="142" spans="1:13" ht="15.75" x14ac:dyDescent="0.2">
      <c r="A142" s="11" t="s">
        <v>27</v>
      </c>
      <c r="B142" s="310"/>
      <c r="C142" s="152"/>
      <c r="D142" s="159"/>
      <c r="E142" s="159"/>
      <c r="F142" s="310"/>
      <c r="G142" s="152"/>
      <c r="H142" s="159"/>
      <c r="I142" s="170"/>
      <c r="J142" s="311"/>
      <c r="K142" s="231"/>
      <c r="L142" s="256"/>
      <c r="M142" s="170"/>
    </row>
    <row r="143" spans="1:13" x14ac:dyDescent="0.2">
      <c r="A143" s="18" t="s">
        <v>9</v>
      </c>
      <c r="B143" s="229"/>
      <c r="C143" s="139"/>
      <c r="D143" s="159"/>
      <c r="E143" s="159"/>
      <c r="F143" s="229"/>
      <c r="G143" s="139"/>
      <c r="H143" s="159"/>
      <c r="I143" s="170"/>
      <c r="J143" s="288"/>
      <c r="K143" s="37"/>
      <c r="L143" s="256"/>
      <c r="M143" s="170"/>
    </row>
    <row r="144" spans="1:13" x14ac:dyDescent="0.2">
      <c r="A144" s="18" t="s">
        <v>10</v>
      </c>
      <c r="B144" s="229"/>
      <c r="C144" s="139"/>
      <c r="D144" s="159"/>
      <c r="E144" s="159"/>
      <c r="F144" s="229"/>
      <c r="G144" s="139"/>
      <c r="H144" s="159"/>
      <c r="I144" s="170"/>
      <c r="J144" s="288"/>
      <c r="K144" s="37"/>
      <c r="L144" s="256"/>
      <c r="M144" s="170"/>
    </row>
    <row r="145" spans="1:14" x14ac:dyDescent="0.2">
      <c r="A145" s="18" t="s">
        <v>34</v>
      </c>
      <c r="B145" s="229"/>
      <c r="C145" s="139"/>
      <c r="D145" s="159"/>
      <c r="E145" s="159"/>
      <c r="F145" s="229"/>
      <c r="G145" s="139"/>
      <c r="H145" s="159"/>
      <c r="I145" s="170"/>
      <c r="J145" s="288"/>
      <c r="K145" s="37"/>
      <c r="L145" s="256"/>
      <c r="M145" s="170"/>
    </row>
    <row r="146" spans="1:14" x14ac:dyDescent="0.2">
      <c r="A146" s="298" t="s">
        <v>15</v>
      </c>
      <c r="B146" s="282"/>
      <c r="C146" s="282"/>
      <c r="D146" s="159"/>
      <c r="E146" s="159"/>
      <c r="F146" s="805"/>
      <c r="G146" s="282"/>
      <c r="H146" s="159"/>
      <c r="I146" s="237"/>
      <c r="J146" s="291"/>
      <c r="K146" s="291"/>
      <c r="L146" s="159"/>
      <c r="M146" s="159"/>
    </row>
    <row r="147" spans="1:14" ht="15.75" x14ac:dyDescent="0.2">
      <c r="A147" s="18" t="s">
        <v>344</v>
      </c>
      <c r="B147" s="229"/>
      <c r="C147" s="229"/>
      <c r="D147" s="159"/>
      <c r="E147" s="159"/>
      <c r="F147" s="229"/>
      <c r="G147" s="229"/>
      <c r="H147" s="159"/>
      <c r="I147" s="170"/>
      <c r="J147" s="288"/>
      <c r="K147" s="37"/>
      <c r="L147" s="256"/>
      <c r="M147" s="170"/>
    </row>
    <row r="148" spans="1:14" ht="15.75" x14ac:dyDescent="0.2">
      <c r="A148" s="18" t="s">
        <v>336</v>
      </c>
      <c r="B148" s="229"/>
      <c r="C148" s="229"/>
      <c r="D148" s="159"/>
      <c r="E148" s="159"/>
      <c r="F148" s="229"/>
      <c r="G148" s="229"/>
      <c r="H148" s="159"/>
      <c r="I148" s="170"/>
      <c r="J148" s="288"/>
      <c r="K148" s="37"/>
      <c r="L148" s="256"/>
      <c r="M148" s="170"/>
    </row>
    <row r="149" spans="1:14" ht="15.75" x14ac:dyDescent="0.2">
      <c r="A149" s="18" t="s">
        <v>335</v>
      </c>
      <c r="B149" s="229"/>
      <c r="C149" s="229"/>
      <c r="D149" s="159"/>
      <c r="E149" s="159"/>
      <c r="F149" s="229"/>
      <c r="G149" s="229"/>
      <c r="H149" s="159"/>
      <c r="I149" s="170"/>
      <c r="J149" s="288"/>
      <c r="K149" s="37"/>
      <c r="L149" s="256"/>
      <c r="M149" s="170"/>
    </row>
    <row r="150" spans="1:14" ht="15.75" x14ac:dyDescent="0.2">
      <c r="A150" s="11" t="s">
        <v>26</v>
      </c>
      <c r="B150" s="310"/>
      <c r="C150" s="152"/>
      <c r="D150" s="159"/>
      <c r="E150" s="159"/>
      <c r="F150" s="310"/>
      <c r="G150" s="152"/>
      <c r="H150" s="159"/>
      <c r="I150" s="170"/>
      <c r="J150" s="311"/>
      <c r="K150" s="231"/>
      <c r="L150" s="256"/>
      <c r="M150" s="170"/>
    </row>
    <row r="151" spans="1:14" x14ac:dyDescent="0.2">
      <c r="A151" s="18" t="s">
        <v>9</v>
      </c>
      <c r="B151" s="229"/>
      <c r="C151" s="139"/>
      <c r="D151" s="159"/>
      <c r="E151" s="159"/>
      <c r="F151" s="229"/>
      <c r="G151" s="139"/>
      <c r="H151" s="159"/>
      <c r="I151" s="170"/>
      <c r="J151" s="288"/>
      <c r="K151" s="37"/>
      <c r="L151" s="256"/>
      <c r="M151" s="170"/>
    </row>
    <row r="152" spans="1:14" x14ac:dyDescent="0.2">
      <c r="A152" s="18" t="s">
        <v>10</v>
      </c>
      <c r="B152" s="229"/>
      <c r="C152" s="139"/>
      <c r="D152" s="159"/>
      <c r="E152" s="159"/>
      <c r="F152" s="229"/>
      <c r="G152" s="139"/>
      <c r="H152" s="159"/>
      <c r="I152" s="170"/>
      <c r="J152" s="288"/>
      <c r="K152" s="37"/>
      <c r="L152" s="256"/>
      <c r="M152" s="170"/>
    </row>
    <row r="153" spans="1:14" x14ac:dyDescent="0.2">
      <c r="A153" s="18" t="s">
        <v>34</v>
      </c>
      <c r="B153" s="229"/>
      <c r="C153" s="139"/>
      <c r="D153" s="159"/>
      <c r="E153" s="159"/>
      <c r="F153" s="229"/>
      <c r="G153" s="139"/>
      <c r="H153" s="159"/>
      <c r="I153" s="170"/>
      <c r="J153" s="288"/>
      <c r="K153" s="37"/>
      <c r="L153" s="256"/>
      <c r="M153" s="170"/>
    </row>
    <row r="154" spans="1:14" x14ac:dyDescent="0.2">
      <c r="A154" s="298" t="s">
        <v>14</v>
      </c>
      <c r="B154" s="282"/>
      <c r="C154" s="282"/>
      <c r="D154" s="159"/>
      <c r="E154" s="159"/>
      <c r="F154" s="805"/>
      <c r="G154" s="282"/>
      <c r="H154" s="159"/>
      <c r="I154" s="237"/>
      <c r="J154" s="291"/>
      <c r="K154" s="291"/>
      <c r="L154" s="159"/>
      <c r="M154" s="159"/>
    </row>
    <row r="155" spans="1:14" ht="15.75" x14ac:dyDescent="0.2">
      <c r="A155" s="18" t="s">
        <v>333</v>
      </c>
      <c r="B155" s="229"/>
      <c r="C155" s="229"/>
      <c r="D155" s="159"/>
      <c r="E155" s="159"/>
      <c r="F155" s="229"/>
      <c r="G155" s="229"/>
      <c r="H155" s="159"/>
      <c r="I155" s="170"/>
      <c r="J155" s="288"/>
      <c r="K155" s="37"/>
      <c r="L155" s="256"/>
      <c r="M155" s="170"/>
    </row>
    <row r="156" spans="1:14" ht="15.75" x14ac:dyDescent="0.2">
      <c r="A156" s="18" t="s">
        <v>334</v>
      </c>
      <c r="B156" s="229"/>
      <c r="C156" s="229"/>
      <c r="D156" s="159"/>
      <c r="E156" s="159"/>
      <c r="F156" s="229"/>
      <c r="G156" s="229"/>
      <c r="H156" s="159"/>
      <c r="I156" s="170"/>
      <c r="J156" s="288"/>
      <c r="K156" s="37"/>
      <c r="L156" s="256"/>
      <c r="M156" s="170"/>
    </row>
    <row r="157" spans="1:14" ht="15.75" x14ac:dyDescent="0.2">
      <c r="A157" s="9" t="s">
        <v>335</v>
      </c>
      <c r="B157" s="38"/>
      <c r="C157" s="38"/>
      <c r="D157" s="160"/>
      <c r="E157" s="160"/>
      <c r="F157" s="400"/>
      <c r="G157" s="38"/>
      <c r="H157" s="160"/>
      <c r="I157" s="160"/>
      <c r="J157" s="289"/>
      <c r="K157" s="38"/>
      <c r="L157" s="257"/>
      <c r="M157" s="160"/>
    </row>
    <row r="158" spans="1:14" x14ac:dyDescent="0.2">
      <c r="A158" s="148"/>
      <c r="L158" s="20"/>
      <c r="M158" s="20"/>
      <c r="N158" s="20"/>
    </row>
    <row r="159" spans="1:14" x14ac:dyDescent="0.2">
      <c r="L159" s="20"/>
      <c r="M159" s="20"/>
      <c r="N159" s="20"/>
    </row>
    <row r="160" spans="1:14" ht="15.75" x14ac:dyDescent="0.25">
      <c r="A160" s="158" t="s">
        <v>35</v>
      </c>
    </row>
    <row r="161" spans="1:14" ht="15.75" x14ac:dyDescent="0.25">
      <c r="B161" s="832"/>
      <c r="C161" s="832"/>
      <c r="D161" s="832"/>
      <c r="E161" s="301"/>
      <c r="F161" s="832"/>
      <c r="G161" s="832"/>
      <c r="H161" s="832"/>
      <c r="I161" s="301"/>
      <c r="J161" s="832"/>
      <c r="K161" s="832"/>
      <c r="L161" s="832"/>
      <c r="M161" s="301"/>
    </row>
    <row r="162" spans="1:14" s="3" customFormat="1" x14ac:dyDescent="0.2">
      <c r="A162" s="138"/>
      <c r="B162" s="833" t="s">
        <v>0</v>
      </c>
      <c r="C162" s="834"/>
      <c r="D162" s="834"/>
      <c r="E162" s="303"/>
      <c r="F162" s="833" t="s">
        <v>1</v>
      </c>
      <c r="G162" s="834"/>
      <c r="H162" s="834"/>
      <c r="I162" s="306"/>
      <c r="J162" s="833" t="s">
        <v>2</v>
      </c>
      <c r="K162" s="834"/>
      <c r="L162" s="834"/>
      <c r="M162" s="306"/>
      <c r="N162" s="142"/>
    </row>
    <row r="163" spans="1:14" s="3" customFormat="1" x14ac:dyDescent="0.2">
      <c r="A163" s="134"/>
      <c r="B163" s="145" t="s">
        <v>400</v>
      </c>
      <c r="C163" s="145" t="s">
        <v>401</v>
      </c>
      <c r="D163" s="242" t="s">
        <v>3</v>
      </c>
      <c r="E163" s="307" t="s">
        <v>37</v>
      </c>
      <c r="F163" s="145" t="s">
        <v>400</v>
      </c>
      <c r="G163" s="145" t="s">
        <v>401</v>
      </c>
      <c r="H163" s="242" t="s">
        <v>3</v>
      </c>
      <c r="I163" s="307" t="s">
        <v>37</v>
      </c>
      <c r="J163" s="145" t="s">
        <v>400</v>
      </c>
      <c r="K163" s="145" t="s">
        <v>401</v>
      </c>
      <c r="L163" s="242" t="s">
        <v>3</v>
      </c>
      <c r="M163" s="155" t="s">
        <v>37</v>
      </c>
      <c r="N163" s="142"/>
    </row>
    <row r="164" spans="1:14" s="3" customFormat="1" x14ac:dyDescent="0.2">
      <c r="A164" s="403"/>
      <c r="B164" s="149"/>
      <c r="C164" s="149"/>
      <c r="D164" s="243" t="s">
        <v>4</v>
      </c>
      <c r="E164" s="149" t="s">
        <v>38</v>
      </c>
      <c r="F164" s="154"/>
      <c r="G164" s="154"/>
      <c r="H164" s="242" t="s">
        <v>4</v>
      </c>
      <c r="I164" s="149" t="s">
        <v>38</v>
      </c>
      <c r="J164" s="154"/>
      <c r="K164" s="154"/>
      <c r="L164" s="242" t="s">
        <v>4</v>
      </c>
      <c r="M164" s="149" t="s">
        <v>38</v>
      </c>
      <c r="N164" s="142"/>
    </row>
    <row r="165" spans="1:14" s="3" customFormat="1" ht="15.75" x14ac:dyDescent="0.2">
      <c r="A165" s="12" t="s">
        <v>337</v>
      </c>
      <c r="B165" s="231"/>
      <c r="C165" s="311"/>
      <c r="D165" s="251"/>
      <c r="E165" s="170"/>
      <c r="F165" s="318"/>
      <c r="G165" s="319"/>
      <c r="H165" s="252"/>
      <c r="I165" s="159"/>
      <c r="J165" s="320"/>
      <c r="K165" s="320"/>
      <c r="L165" s="255"/>
      <c r="M165" s="170"/>
      <c r="N165" s="142"/>
    </row>
    <row r="166" spans="1:14" s="3" customFormat="1" ht="15.75" x14ac:dyDescent="0.2">
      <c r="A166" s="11" t="s">
        <v>338</v>
      </c>
      <c r="B166" s="231"/>
      <c r="C166" s="311"/>
      <c r="D166" s="159"/>
      <c r="E166" s="170"/>
      <c r="F166" s="231"/>
      <c r="G166" s="311"/>
      <c r="H166" s="236"/>
      <c r="I166" s="159"/>
      <c r="J166" s="310"/>
      <c r="K166" s="310"/>
      <c r="L166" s="256"/>
      <c r="M166" s="170"/>
      <c r="N166" s="142"/>
    </row>
    <row r="167" spans="1:14" s="3" customFormat="1" ht="15.75" x14ac:dyDescent="0.2">
      <c r="A167" s="11" t="s">
        <v>339</v>
      </c>
      <c r="B167" s="231"/>
      <c r="C167" s="311"/>
      <c r="D167" s="159"/>
      <c r="E167" s="170"/>
      <c r="F167" s="231"/>
      <c r="G167" s="311"/>
      <c r="H167" s="236"/>
      <c r="I167" s="159"/>
      <c r="J167" s="310"/>
      <c r="K167" s="310"/>
      <c r="L167" s="256"/>
      <c r="M167" s="170"/>
      <c r="N167" s="142"/>
    </row>
    <row r="168" spans="1:14" s="3" customFormat="1" ht="15.75" x14ac:dyDescent="0.2">
      <c r="A168" s="11" t="s">
        <v>340</v>
      </c>
      <c r="B168" s="231"/>
      <c r="C168" s="311"/>
      <c r="D168" s="159"/>
      <c r="E168" s="170"/>
      <c r="F168" s="231"/>
      <c r="G168" s="311"/>
      <c r="H168" s="236"/>
      <c r="I168" s="159"/>
      <c r="J168" s="310"/>
      <c r="K168" s="310"/>
      <c r="L168" s="256"/>
      <c r="M168" s="170"/>
      <c r="N168" s="142"/>
    </row>
    <row r="169" spans="1:14" s="3" customFormat="1" ht="15.75" x14ac:dyDescent="0.2">
      <c r="A169" s="34" t="s">
        <v>341</v>
      </c>
      <c r="B169" s="277"/>
      <c r="C169" s="317"/>
      <c r="D169" s="160"/>
      <c r="E169" s="201"/>
      <c r="F169" s="277"/>
      <c r="G169" s="317"/>
      <c r="H169" s="239"/>
      <c r="I169" s="160"/>
      <c r="J169" s="316"/>
      <c r="K169" s="316"/>
      <c r="L169" s="257"/>
      <c r="M169" s="160"/>
      <c r="N169" s="142"/>
    </row>
    <row r="170" spans="1:14" s="3" customFormat="1" x14ac:dyDescent="0.2">
      <c r="A170" s="161"/>
      <c r="B170" s="27"/>
      <c r="C170" s="27"/>
      <c r="D170" s="152"/>
      <c r="E170" s="152"/>
      <c r="F170" s="27"/>
      <c r="G170" s="27"/>
      <c r="H170" s="152"/>
      <c r="I170" s="152"/>
      <c r="J170" s="27"/>
      <c r="K170" s="27"/>
      <c r="L170" s="152"/>
      <c r="M170" s="152"/>
      <c r="N170" s="142"/>
    </row>
    <row r="171" spans="1:14" x14ac:dyDescent="0.2">
      <c r="A171" s="161"/>
      <c r="B171" s="27"/>
      <c r="C171" s="27"/>
      <c r="D171" s="152"/>
      <c r="E171" s="152"/>
      <c r="F171" s="27"/>
      <c r="G171" s="27"/>
      <c r="H171" s="152"/>
      <c r="I171" s="152"/>
      <c r="J171" s="27"/>
      <c r="K171" s="27"/>
      <c r="L171" s="152"/>
      <c r="M171" s="152"/>
      <c r="N171" s="142"/>
    </row>
    <row r="172" spans="1:14" x14ac:dyDescent="0.2">
      <c r="A172" s="161"/>
      <c r="B172" s="27"/>
      <c r="C172" s="27"/>
      <c r="D172" s="152"/>
      <c r="E172" s="152"/>
      <c r="F172" s="27"/>
      <c r="G172" s="27"/>
      <c r="H172" s="152"/>
      <c r="I172" s="152"/>
      <c r="J172" s="27"/>
      <c r="K172" s="27"/>
      <c r="L172" s="152"/>
      <c r="M172" s="152"/>
      <c r="N172" s="142"/>
    </row>
    <row r="173" spans="1:14" x14ac:dyDescent="0.2">
      <c r="A173" s="140"/>
      <c r="B173" s="140"/>
      <c r="C173" s="140"/>
      <c r="D173" s="140"/>
      <c r="E173" s="140"/>
      <c r="F173" s="140"/>
      <c r="G173" s="140"/>
      <c r="H173" s="140"/>
      <c r="I173" s="140"/>
      <c r="J173" s="140"/>
      <c r="K173" s="140"/>
      <c r="L173" s="140"/>
      <c r="M173" s="140"/>
      <c r="N173" s="140"/>
    </row>
    <row r="174" spans="1:14" ht="15.75" x14ac:dyDescent="0.25">
      <c r="B174" s="136"/>
      <c r="C174" s="136"/>
      <c r="D174" s="136"/>
      <c r="E174" s="136"/>
      <c r="F174" s="136"/>
      <c r="G174" s="136"/>
      <c r="H174" s="136"/>
      <c r="I174" s="136"/>
      <c r="J174" s="136"/>
      <c r="K174" s="136"/>
      <c r="L174" s="136"/>
      <c r="M174" s="136"/>
      <c r="N174" s="136"/>
    </row>
    <row r="175" spans="1:14" ht="15.75" x14ac:dyDescent="0.25">
      <c r="B175" s="150"/>
      <c r="C175" s="150"/>
      <c r="D175" s="150"/>
      <c r="E175" s="150"/>
      <c r="F175" s="150"/>
      <c r="G175" s="150"/>
      <c r="H175" s="150"/>
      <c r="I175" s="150"/>
      <c r="J175" s="150"/>
      <c r="K175" s="150"/>
      <c r="L175" s="150"/>
      <c r="M175" s="150"/>
      <c r="N175" s="150"/>
    </row>
    <row r="176" spans="1:14" ht="15.75" x14ac:dyDescent="0.25">
      <c r="B176" s="150"/>
      <c r="C176" s="150"/>
      <c r="D176" s="150"/>
      <c r="E176" s="150"/>
      <c r="F176" s="150"/>
      <c r="G176" s="150"/>
      <c r="H176" s="150"/>
      <c r="I176" s="150"/>
      <c r="J176" s="150"/>
      <c r="K176" s="150"/>
      <c r="L176" s="150"/>
      <c r="M176" s="150"/>
      <c r="N176" s="150"/>
    </row>
  </sheetData>
  <mergeCells count="28">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22:D22"/>
    <mergeCell ref="F22:H22"/>
    <mergeCell ref="J22:L22"/>
    <mergeCell ref="D47:F47"/>
    <mergeCell ref="G47:I47"/>
    <mergeCell ref="J47:L47"/>
  </mergeCells>
  <conditionalFormatting sqref="B57:C59">
    <cfRule type="expression" dxfId="1271" priority="188">
      <formula>kvartal &lt; 4</formula>
    </cfRule>
  </conditionalFormatting>
  <conditionalFormatting sqref="B63:C65">
    <cfRule type="expression" dxfId="1270" priority="187">
      <formula>kvartal &lt; 4</formula>
    </cfRule>
  </conditionalFormatting>
  <conditionalFormatting sqref="B37">
    <cfRule type="expression" dxfId="1269" priority="186">
      <formula>kvartal &lt; 4</formula>
    </cfRule>
  </conditionalFormatting>
  <conditionalFormatting sqref="B38">
    <cfRule type="expression" dxfId="1268" priority="185">
      <formula>kvartal &lt; 4</formula>
    </cfRule>
  </conditionalFormatting>
  <conditionalFormatting sqref="B39">
    <cfRule type="expression" dxfId="1267" priority="184">
      <formula>kvartal &lt; 4</formula>
    </cfRule>
  </conditionalFormatting>
  <conditionalFormatting sqref="A34">
    <cfRule type="expression" dxfId="1266" priority="57">
      <formula>kvartal &lt; 4</formula>
    </cfRule>
  </conditionalFormatting>
  <conditionalFormatting sqref="C37">
    <cfRule type="expression" dxfId="1265" priority="183">
      <formula>kvartal &lt; 4</formula>
    </cfRule>
  </conditionalFormatting>
  <conditionalFormatting sqref="C38">
    <cfRule type="expression" dxfId="1264" priority="182">
      <formula>kvartal &lt; 4</formula>
    </cfRule>
  </conditionalFormatting>
  <conditionalFormatting sqref="C39">
    <cfRule type="expression" dxfId="1263" priority="181">
      <formula>kvartal &lt; 4</formula>
    </cfRule>
  </conditionalFormatting>
  <conditionalFormatting sqref="B26:C28">
    <cfRule type="expression" dxfId="1262" priority="180">
      <formula>kvartal &lt; 4</formula>
    </cfRule>
  </conditionalFormatting>
  <conditionalFormatting sqref="B32:C33">
    <cfRule type="expression" dxfId="1261" priority="179">
      <formula>kvartal &lt; 4</formula>
    </cfRule>
  </conditionalFormatting>
  <conditionalFormatting sqref="B34">
    <cfRule type="expression" dxfId="1260" priority="178">
      <formula>kvartal &lt; 4</formula>
    </cfRule>
  </conditionalFormatting>
  <conditionalFormatting sqref="C34">
    <cfRule type="expression" dxfId="1259" priority="177">
      <formula>kvartal &lt; 4</formula>
    </cfRule>
  </conditionalFormatting>
  <conditionalFormatting sqref="F26:G28">
    <cfRule type="expression" dxfId="1258" priority="176">
      <formula>kvartal &lt; 4</formula>
    </cfRule>
  </conditionalFormatting>
  <conditionalFormatting sqref="F32">
    <cfRule type="expression" dxfId="1257" priority="175">
      <formula>kvartal &lt; 4</formula>
    </cfRule>
  </conditionalFormatting>
  <conditionalFormatting sqref="G32">
    <cfRule type="expression" dxfId="1256" priority="174">
      <formula>kvartal &lt; 4</formula>
    </cfRule>
  </conditionalFormatting>
  <conditionalFormatting sqref="F33">
    <cfRule type="expression" dxfId="1255" priority="173">
      <formula>kvartal &lt; 4</formula>
    </cfRule>
  </conditionalFormatting>
  <conditionalFormatting sqref="G33">
    <cfRule type="expression" dxfId="1254" priority="172">
      <formula>kvartal &lt; 4</formula>
    </cfRule>
  </conditionalFormatting>
  <conditionalFormatting sqref="F34">
    <cfRule type="expression" dxfId="1253" priority="171">
      <formula>kvartal &lt; 4</formula>
    </cfRule>
  </conditionalFormatting>
  <conditionalFormatting sqref="G34">
    <cfRule type="expression" dxfId="1252" priority="170">
      <formula>kvartal &lt; 4</formula>
    </cfRule>
  </conditionalFormatting>
  <conditionalFormatting sqref="F37">
    <cfRule type="expression" dxfId="1251" priority="169">
      <formula>kvartal &lt; 4</formula>
    </cfRule>
  </conditionalFormatting>
  <conditionalFormatting sqref="F38">
    <cfRule type="expression" dxfId="1250" priority="168">
      <formula>kvartal &lt; 4</formula>
    </cfRule>
  </conditionalFormatting>
  <conditionalFormatting sqref="F39">
    <cfRule type="expression" dxfId="1249" priority="167">
      <formula>kvartal &lt; 4</formula>
    </cfRule>
  </conditionalFormatting>
  <conditionalFormatting sqref="G37">
    <cfRule type="expression" dxfId="1248" priority="166">
      <formula>kvartal &lt; 4</formula>
    </cfRule>
  </conditionalFormatting>
  <conditionalFormatting sqref="G38">
    <cfRule type="expression" dxfId="1247" priority="165">
      <formula>kvartal &lt; 4</formula>
    </cfRule>
  </conditionalFormatting>
  <conditionalFormatting sqref="G39">
    <cfRule type="expression" dxfId="1246" priority="164">
      <formula>kvartal &lt; 4</formula>
    </cfRule>
  </conditionalFormatting>
  <conditionalFormatting sqref="B29">
    <cfRule type="expression" dxfId="1245" priority="163">
      <formula>kvartal &lt; 4</formula>
    </cfRule>
  </conditionalFormatting>
  <conditionalFormatting sqref="C29">
    <cfRule type="expression" dxfId="1244" priority="162">
      <formula>kvartal &lt; 4</formula>
    </cfRule>
  </conditionalFormatting>
  <conditionalFormatting sqref="F29">
    <cfRule type="expression" dxfId="1243" priority="161">
      <formula>kvartal &lt; 4</formula>
    </cfRule>
  </conditionalFormatting>
  <conditionalFormatting sqref="G29">
    <cfRule type="expression" dxfId="1242" priority="160">
      <formula>kvartal &lt; 4</formula>
    </cfRule>
  </conditionalFormatting>
  <conditionalFormatting sqref="J26:K29">
    <cfRule type="expression" dxfId="1241" priority="159">
      <formula>kvartal &lt; 4</formula>
    </cfRule>
  </conditionalFormatting>
  <conditionalFormatting sqref="J32:K34">
    <cfRule type="expression" dxfId="1240" priority="158">
      <formula>kvartal &lt; 4</formula>
    </cfRule>
  </conditionalFormatting>
  <conditionalFormatting sqref="J37:K39">
    <cfRule type="expression" dxfId="1239" priority="157">
      <formula>kvartal &lt; 4</formula>
    </cfRule>
  </conditionalFormatting>
  <conditionalFormatting sqref="J82:K86">
    <cfRule type="expression" dxfId="1238" priority="95">
      <formula>kvartal &lt; 4</formula>
    </cfRule>
  </conditionalFormatting>
  <conditionalFormatting sqref="J87:K87">
    <cfRule type="expression" dxfId="1237" priority="94">
      <formula>kvartal &lt; 4</formula>
    </cfRule>
  </conditionalFormatting>
  <conditionalFormatting sqref="J92:K97">
    <cfRule type="expression" dxfId="1236" priority="93">
      <formula>kvartal &lt; 4</formula>
    </cfRule>
  </conditionalFormatting>
  <conditionalFormatting sqref="J102:K107">
    <cfRule type="expression" dxfId="1235" priority="92">
      <formula>kvartal &lt; 4</formula>
    </cfRule>
  </conditionalFormatting>
  <conditionalFormatting sqref="J112:K117">
    <cfRule type="expression" dxfId="1234" priority="91">
      <formula>kvartal &lt; 4</formula>
    </cfRule>
  </conditionalFormatting>
  <conditionalFormatting sqref="J122:K127">
    <cfRule type="expression" dxfId="1233" priority="90">
      <formula>kvartal &lt; 4</formula>
    </cfRule>
  </conditionalFormatting>
  <conditionalFormatting sqref="J132:K137">
    <cfRule type="expression" dxfId="1232" priority="89">
      <formula>kvartal &lt; 4</formula>
    </cfRule>
  </conditionalFormatting>
  <conditionalFormatting sqref="J146:K146">
    <cfRule type="expression" dxfId="1231" priority="88">
      <formula>kvartal &lt; 4</formula>
    </cfRule>
  </conditionalFormatting>
  <conditionalFormatting sqref="J154:K154">
    <cfRule type="expression" dxfId="1230" priority="87">
      <formula>kvartal &lt; 4</formula>
    </cfRule>
  </conditionalFormatting>
  <conditionalFormatting sqref="A26:A28">
    <cfRule type="expression" dxfId="1229" priority="71">
      <formula>kvartal &lt; 4</formula>
    </cfRule>
  </conditionalFormatting>
  <conditionalFormatting sqref="A32:A33">
    <cfRule type="expression" dxfId="1228" priority="70">
      <formula>kvartal &lt; 4</formula>
    </cfRule>
  </conditionalFormatting>
  <conditionalFormatting sqref="A37:A39">
    <cfRule type="expression" dxfId="1227" priority="69">
      <formula>kvartal &lt; 4</formula>
    </cfRule>
  </conditionalFormatting>
  <conditionalFormatting sqref="A57:A59">
    <cfRule type="expression" dxfId="1226" priority="68">
      <formula>kvartal &lt; 4</formula>
    </cfRule>
  </conditionalFormatting>
  <conditionalFormatting sqref="A63:A65">
    <cfRule type="expression" dxfId="1225" priority="67">
      <formula>kvartal &lt; 4</formula>
    </cfRule>
  </conditionalFormatting>
  <conditionalFormatting sqref="A82:A87">
    <cfRule type="expression" dxfId="1224" priority="66">
      <formula>kvartal &lt; 4</formula>
    </cfRule>
  </conditionalFormatting>
  <conditionalFormatting sqref="A92:A97">
    <cfRule type="expression" dxfId="1223" priority="65">
      <formula>kvartal &lt; 4</formula>
    </cfRule>
  </conditionalFormatting>
  <conditionalFormatting sqref="A102:A107">
    <cfRule type="expression" dxfId="1222" priority="64">
      <formula>kvartal &lt; 4</formula>
    </cfRule>
  </conditionalFormatting>
  <conditionalFormatting sqref="A112:A117">
    <cfRule type="expression" dxfId="1221" priority="63">
      <formula>kvartal &lt; 4</formula>
    </cfRule>
  </conditionalFormatting>
  <conditionalFormatting sqref="A122:A127">
    <cfRule type="expression" dxfId="1220" priority="62">
      <formula>kvartal &lt; 4</formula>
    </cfRule>
  </conditionalFormatting>
  <conditionalFormatting sqref="A132:A137">
    <cfRule type="expression" dxfId="1219" priority="61">
      <formula>kvartal &lt; 4</formula>
    </cfRule>
  </conditionalFormatting>
  <conditionalFormatting sqref="A146">
    <cfRule type="expression" dxfId="1218" priority="60">
      <formula>kvartal &lt; 4</formula>
    </cfRule>
  </conditionalFormatting>
  <conditionalFormatting sqref="A154">
    <cfRule type="expression" dxfId="1217" priority="59">
      <formula>kvartal &lt; 4</formula>
    </cfRule>
  </conditionalFormatting>
  <conditionalFormatting sqref="A29">
    <cfRule type="expression" dxfId="1216" priority="58">
      <formula>kvartal &lt; 4</formula>
    </cfRule>
  </conditionalFormatting>
  <conditionalFormatting sqref="B82">
    <cfRule type="expression" dxfId="1215" priority="56">
      <formula>kvartal &lt; 4</formula>
    </cfRule>
  </conditionalFormatting>
  <conditionalFormatting sqref="C82">
    <cfRule type="expression" dxfId="1214" priority="55">
      <formula>kvartal &lt; 4</formula>
    </cfRule>
  </conditionalFormatting>
  <conditionalFormatting sqref="B85">
    <cfRule type="expression" dxfId="1213" priority="54">
      <formula>kvartal &lt; 4</formula>
    </cfRule>
  </conditionalFormatting>
  <conditionalFormatting sqref="C85">
    <cfRule type="expression" dxfId="1212" priority="53">
      <formula>kvartal &lt; 4</formula>
    </cfRule>
  </conditionalFormatting>
  <conditionalFormatting sqref="B92">
    <cfRule type="expression" dxfId="1211" priority="52">
      <formula>kvartal &lt; 4</formula>
    </cfRule>
  </conditionalFormatting>
  <conditionalFormatting sqref="C92">
    <cfRule type="expression" dxfId="1210" priority="51">
      <formula>kvartal &lt; 4</formula>
    </cfRule>
  </conditionalFormatting>
  <conditionalFormatting sqref="B95">
    <cfRule type="expression" dxfId="1209" priority="50">
      <formula>kvartal &lt; 4</formula>
    </cfRule>
  </conditionalFormatting>
  <conditionalFormatting sqref="C95">
    <cfRule type="expression" dxfId="1208" priority="49">
      <formula>kvartal &lt; 4</formula>
    </cfRule>
  </conditionalFormatting>
  <conditionalFormatting sqref="B102">
    <cfRule type="expression" dxfId="1207" priority="48">
      <formula>kvartal &lt; 4</formula>
    </cfRule>
  </conditionalFormatting>
  <conditionalFormatting sqref="C102">
    <cfRule type="expression" dxfId="1206" priority="47">
      <formula>kvartal &lt; 4</formula>
    </cfRule>
  </conditionalFormatting>
  <conditionalFormatting sqref="B105">
    <cfRule type="expression" dxfId="1205" priority="46">
      <formula>kvartal &lt; 4</formula>
    </cfRule>
  </conditionalFormatting>
  <conditionalFormatting sqref="C105">
    <cfRule type="expression" dxfId="1204" priority="45">
      <formula>kvartal &lt; 4</formula>
    </cfRule>
  </conditionalFormatting>
  <conditionalFormatting sqref="B112">
    <cfRule type="expression" dxfId="1203" priority="44">
      <formula>kvartal &lt; 4</formula>
    </cfRule>
  </conditionalFormatting>
  <conditionalFormatting sqref="C112">
    <cfRule type="expression" dxfId="1202" priority="43">
      <formula>kvartal &lt; 4</formula>
    </cfRule>
  </conditionalFormatting>
  <conditionalFormatting sqref="B115">
    <cfRule type="expression" dxfId="1201" priority="42">
      <formula>kvartal &lt; 4</formula>
    </cfRule>
  </conditionalFormatting>
  <conditionalFormatting sqref="C115">
    <cfRule type="expression" dxfId="1200" priority="41">
      <formula>kvartal &lt; 4</formula>
    </cfRule>
  </conditionalFormatting>
  <conditionalFormatting sqref="B122">
    <cfRule type="expression" dxfId="1199" priority="40">
      <formula>kvartal &lt; 4</formula>
    </cfRule>
  </conditionalFormatting>
  <conditionalFormatting sqref="C122">
    <cfRule type="expression" dxfId="1198" priority="39">
      <formula>kvartal &lt; 4</formula>
    </cfRule>
  </conditionalFormatting>
  <conditionalFormatting sqref="B125">
    <cfRule type="expression" dxfId="1197" priority="38">
      <formula>kvartal &lt; 4</formula>
    </cfRule>
  </conditionalFormatting>
  <conditionalFormatting sqref="C125">
    <cfRule type="expression" dxfId="1196" priority="37">
      <formula>kvartal &lt; 4</formula>
    </cfRule>
  </conditionalFormatting>
  <conditionalFormatting sqref="B132">
    <cfRule type="expression" dxfId="1195" priority="36">
      <formula>kvartal &lt; 4</formula>
    </cfRule>
  </conditionalFormatting>
  <conditionalFormatting sqref="C132">
    <cfRule type="expression" dxfId="1194" priority="35">
      <formula>kvartal &lt; 4</formula>
    </cfRule>
  </conditionalFormatting>
  <conditionalFormatting sqref="B135">
    <cfRule type="expression" dxfId="1193" priority="34">
      <formula>kvartal &lt; 4</formula>
    </cfRule>
  </conditionalFormatting>
  <conditionalFormatting sqref="C135">
    <cfRule type="expression" dxfId="1192" priority="33">
      <formula>kvartal &lt; 4</formula>
    </cfRule>
  </conditionalFormatting>
  <conditionalFormatting sqref="B146">
    <cfRule type="expression" dxfId="1191" priority="32">
      <formula>kvartal &lt; 4</formula>
    </cfRule>
  </conditionalFormatting>
  <conditionalFormatting sqref="C146">
    <cfRule type="expression" dxfId="1190" priority="31">
      <formula>kvartal &lt; 4</formula>
    </cfRule>
  </conditionalFormatting>
  <conditionalFormatting sqref="B154">
    <cfRule type="expression" dxfId="1189" priority="30">
      <formula>kvartal &lt; 4</formula>
    </cfRule>
  </conditionalFormatting>
  <conditionalFormatting sqref="C154">
    <cfRule type="expression" dxfId="1188" priority="29">
      <formula>kvartal &lt; 4</formula>
    </cfRule>
  </conditionalFormatting>
  <conditionalFormatting sqref="F82">
    <cfRule type="expression" dxfId="1187" priority="28">
      <formula>kvartal &lt; 4</formula>
    </cfRule>
  </conditionalFormatting>
  <conditionalFormatting sqref="G82">
    <cfRule type="expression" dxfId="1186" priority="27">
      <formula>kvartal &lt; 4</formula>
    </cfRule>
  </conditionalFormatting>
  <conditionalFormatting sqref="F85">
    <cfRule type="expression" dxfId="1185" priority="26">
      <formula>kvartal &lt; 4</formula>
    </cfRule>
  </conditionalFormatting>
  <conditionalFormatting sqref="G85">
    <cfRule type="expression" dxfId="1184" priority="25">
      <formula>kvartal &lt; 4</formula>
    </cfRule>
  </conditionalFormatting>
  <conditionalFormatting sqref="F92">
    <cfRule type="expression" dxfId="1183" priority="24">
      <formula>kvartal &lt; 4</formula>
    </cfRule>
  </conditionalFormatting>
  <conditionalFormatting sqref="G92">
    <cfRule type="expression" dxfId="1182" priority="23">
      <formula>kvartal &lt; 4</formula>
    </cfRule>
  </conditionalFormatting>
  <conditionalFormatting sqref="F95">
    <cfRule type="expression" dxfId="1181" priority="22">
      <formula>kvartal &lt; 4</formula>
    </cfRule>
  </conditionalFormatting>
  <conditionalFormatting sqref="G95">
    <cfRule type="expression" dxfId="1180" priority="21">
      <formula>kvartal &lt; 4</formula>
    </cfRule>
  </conditionalFormatting>
  <conditionalFormatting sqref="F102">
    <cfRule type="expression" dxfId="1179" priority="20">
      <formula>kvartal &lt; 4</formula>
    </cfRule>
  </conditionalFormatting>
  <conditionalFormatting sqref="G102">
    <cfRule type="expression" dxfId="1178" priority="19">
      <formula>kvartal &lt; 4</formula>
    </cfRule>
  </conditionalFormatting>
  <conditionalFormatting sqref="F105">
    <cfRule type="expression" dxfId="1177" priority="18">
      <formula>kvartal &lt; 4</formula>
    </cfRule>
  </conditionalFormatting>
  <conditionalFormatting sqref="G105">
    <cfRule type="expression" dxfId="1176" priority="17">
      <formula>kvartal &lt; 4</formula>
    </cfRule>
  </conditionalFormatting>
  <conditionalFormatting sqref="F112">
    <cfRule type="expression" dxfId="1175" priority="16">
      <formula>kvartal &lt; 4</formula>
    </cfRule>
  </conditionalFormatting>
  <conditionalFormatting sqref="G112">
    <cfRule type="expression" dxfId="1174" priority="15">
      <formula>kvartal &lt; 4</formula>
    </cfRule>
  </conditionalFormatting>
  <conditionalFormatting sqref="F115">
    <cfRule type="expression" dxfId="1173" priority="14">
      <formula>kvartal &lt; 4</formula>
    </cfRule>
  </conditionalFormatting>
  <conditionalFormatting sqref="G115">
    <cfRule type="expression" dxfId="1172" priority="13">
      <formula>kvartal &lt; 4</formula>
    </cfRule>
  </conditionalFormatting>
  <conditionalFormatting sqref="F122">
    <cfRule type="expression" dxfId="1171" priority="12">
      <formula>kvartal &lt; 4</formula>
    </cfRule>
  </conditionalFormatting>
  <conditionalFormatting sqref="G122">
    <cfRule type="expression" dxfId="1170" priority="11">
      <formula>kvartal &lt; 4</formula>
    </cfRule>
  </conditionalFormatting>
  <conditionalFormatting sqref="F125">
    <cfRule type="expression" dxfId="1169" priority="10">
      <formula>kvartal &lt; 4</formula>
    </cfRule>
  </conditionalFormatting>
  <conditionalFormatting sqref="G125">
    <cfRule type="expression" dxfId="1168" priority="9">
      <formula>kvartal &lt; 4</formula>
    </cfRule>
  </conditionalFormatting>
  <conditionalFormatting sqref="F132">
    <cfRule type="expression" dxfId="1167" priority="8">
      <formula>kvartal &lt; 4</formula>
    </cfRule>
  </conditionalFormatting>
  <conditionalFormatting sqref="G132">
    <cfRule type="expression" dxfId="1166" priority="7">
      <formula>kvartal &lt; 4</formula>
    </cfRule>
  </conditionalFormatting>
  <conditionalFormatting sqref="F135">
    <cfRule type="expression" dxfId="1165" priority="6">
      <formula>kvartal &lt; 4</formula>
    </cfRule>
  </conditionalFormatting>
  <conditionalFormatting sqref="G135">
    <cfRule type="expression" dxfId="1164" priority="5">
      <formula>kvartal &lt; 4</formula>
    </cfRule>
  </conditionalFormatting>
  <conditionalFormatting sqref="F146">
    <cfRule type="expression" dxfId="1163" priority="4">
      <formula>kvartal &lt; 4</formula>
    </cfRule>
  </conditionalFormatting>
  <conditionalFormatting sqref="G146">
    <cfRule type="expression" dxfId="1162" priority="3">
      <formula>kvartal &lt; 4</formula>
    </cfRule>
  </conditionalFormatting>
  <conditionalFormatting sqref="F154">
    <cfRule type="expression" dxfId="1161" priority="2">
      <formula>kvartal &lt; 4</formula>
    </cfRule>
  </conditionalFormatting>
  <conditionalFormatting sqref="G154">
    <cfRule type="expression" dxfId="1160" priority="1">
      <formula>kvartal &lt; 4</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3"/>
  <dimension ref="A1:N176"/>
  <sheetViews>
    <sheetView showGridLines="0" zoomScale="90" zoomScaleNormal="90" workbookViewId="0">
      <selection activeCell="A4" sqref="A4"/>
    </sheetView>
  </sheetViews>
  <sheetFormatPr baseColWidth="10" defaultColWidth="11.42578125" defaultRowHeight="12.75" x14ac:dyDescent="0.2"/>
  <cols>
    <col min="1" max="1" width="41.5703125" style="143" customWidth="1"/>
    <col min="2" max="2" width="10.85546875" style="143" customWidth="1"/>
    <col min="3" max="3" width="11" style="143" customWidth="1"/>
    <col min="4" max="5" width="8.7109375" style="143" customWidth="1"/>
    <col min="6" max="7" width="10.85546875" style="143" customWidth="1"/>
    <col min="8" max="9" width="8.7109375" style="143" customWidth="1"/>
    <col min="10" max="11" width="10.85546875" style="143" customWidth="1"/>
    <col min="12" max="13" width="8.7109375" style="143" customWidth="1"/>
    <col min="14" max="14" width="11.42578125" style="143"/>
    <col min="15" max="16384" width="11.42578125" style="1"/>
  </cols>
  <sheetData>
    <row r="1" spans="1:14" x14ac:dyDescent="0.2">
      <c r="A1" s="165" t="s">
        <v>159</v>
      </c>
      <c r="B1" s="401"/>
      <c r="C1" s="245" t="s">
        <v>167</v>
      </c>
      <c r="D1" s="20"/>
      <c r="E1" s="20"/>
      <c r="F1" s="20"/>
      <c r="G1" s="20"/>
      <c r="H1" s="20"/>
      <c r="I1" s="20"/>
      <c r="J1" s="20"/>
      <c r="K1" s="20"/>
      <c r="L1" s="20"/>
      <c r="M1" s="20"/>
    </row>
    <row r="2" spans="1:14" ht="15.75" x14ac:dyDescent="0.25">
      <c r="A2" s="158" t="s">
        <v>36</v>
      </c>
      <c r="B2" s="835"/>
      <c r="C2" s="835"/>
      <c r="D2" s="835"/>
      <c r="E2" s="301"/>
      <c r="F2" s="835"/>
      <c r="G2" s="835"/>
      <c r="H2" s="835"/>
      <c r="I2" s="301"/>
      <c r="J2" s="835"/>
      <c r="K2" s="835"/>
      <c r="L2" s="835"/>
      <c r="M2" s="301"/>
    </row>
    <row r="3" spans="1:14" ht="15.75" x14ac:dyDescent="0.25">
      <c r="A3" s="156"/>
      <c r="B3" s="301"/>
      <c r="C3" s="301"/>
      <c r="D3" s="301"/>
      <c r="E3" s="301"/>
      <c r="F3" s="301"/>
      <c r="G3" s="301"/>
      <c r="H3" s="301"/>
      <c r="I3" s="301"/>
      <c r="J3" s="301"/>
      <c r="K3" s="301"/>
      <c r="L3" s="301"/>
      <c r="M3" s="301"/>
    </row>
    <row r="4" spans="1:14" x14ac:dyDescent="0.2">
      <c r="A4" s="138"/>
      <c r="B4" s="808" t="s">
        <v>0</v>
      </c>
      <c r="C4" s="802"/>
      <c r="D4" s="802"/>
      <c r="E4" s="802"/>
      <c r="F4" s="808" t="s">
        <v>1</v>
      </c>
      <c r="G4" s="802"/>
      <c r="H4" s="802"/>
      <c r="I4" s="803"/>
      <c r="J4" s="801" t="s">
        <v>2</v>
      </c>
      <c r="K4" s="802"/>
      <c r="L4" s="802"/>
      <c r="M4" s="803"/>
    </row>
    <row r="5" spans="1:14" x14ac:dyDescent="0.2">
      <c r="A5" s="151"/>
      <c r="B5" s="145" t="s">
        <v>400</v>
      </c>
      <c r="C5" s="145" t="s">
        <v>401</v>
      </c>
      <c r="D5" s="242" t="s">
        <v>3</v>
      </c>
      <c r="E5" s="307" t="s">
        <v>37</v>
      </c>
      <c r="F5" s="145" t="s">
        <v>400</v>
      </c>
      <c r="G5" s="145" t="s">
        <v>401</v>
      </c>
      <c r="H5" s="242" t="s">
        <v>3</v>
      </c>
      <c r="I5" s="307" t="s">
        <v>37</v>
      </c>
      <c r="J5" s="145" t="s">
        <v>400</v>
      </c>
      <c r="K5" s="145" t="s">
        <v>401</v>
      </c>
      <c r="L5" s="242" t="s">
        <v>3</v>
      </c>
      <c r="M5" s="155" t="s">
        <v>37</v>
      </c>
    </row>
    <row r="6" spans="1:14" x14ac:dyDescent="0.2">
      <c r="A6" s="402"/>
      <c r="B6" s="149"/>
      <c r="C6" s="149"/>
      <c r="D6" s="243" t="s">
        <v>4</v>
      </c>
      <c r="E6" s="149" t="s">
        <v>38</v>
      </c>
      <c r="F6" s="154"/>
      <c r="G6" s="154"/>
      <c r="H6" s="242" t="s">
        <v>4</v>
      </c>
      <c r="I6" s="149" t="s">
        <v>38</v>
      </c>
      <c r="J6" s="154"/>
      <c r="K6" s="154"/>
      <c r="L6" s="242" t="s">
        <v>4</v>
      </c>
      <c r="M6" s="149" t="s">
        <v>38</v>
      </c>
    </row>
    <row r="7" spans="1:14" ht="15.75" x14ac:dyDescent="0.2">
      <c r="A7" s="12" t="s">
        <v>30</v>
      </c>
      <c r="B7" s="308"/>
      <c r="C7" s="309"/>
      <c r="D7" s="251"/>
      <c r="E7" s="170"/>
      <c r="F7" s="308"/>
      <c r="G7" s="309"/>
      <c r="H7" s="251"/>
      <c r="I7" s="170"/>
      <c r="J7" s="310"/>
      <c r="K7" s="311"/>
      <c r="L7" s="255"/>
      <c r="M7" s="170"/>
    </row>
    <row r="8" spans="1:14" ht="15.75" x14ac:dyDescent="0.2">
      <c r="A8" s="18" t="s">
        <v>32</v>
      </c>
      <c r="B8" s="282"/>
      <c r="C8" s="283"/>
      <c r="D8" s="159"/>
      <c r="E8" s="170"/>
      <c r="F8" s="286"/>
      <c r="G8" s="287"/>
      <c r="H8" s="159"/>
      <c r="I8" s="170"/>
      <c r="J8" s="229"/>
      <c r="K8" s="288"/>
      <c r="L8" s="256"/>
      <c r="M8" s="170"/>
    </row>
    <row r="9" spans="1:14" ht="15.75" x14ac:dyDescent="0.2">
      <c r="A9" s="18" t="s">
        <v>31</v>
      </c>
      <c r="B9" s="282"/>
      <c r="C9" s="283"/>
      <c r="D9" s="159"/>
      <c r="E9" s="170"/>
      <c r="F9" s="286"/>
      <c r="G9" s="287"/>
      <c r="H9" s="159"/>
      <c r="I9" s="170"/>
      <c r="J9" s="229"/>
      <c r="K9" s="288"/>
      <c r="L9" s="256"/>
      <c r="M9" s="170"/>
    </row>
    <row r="10" spans="1:14" ht="15.75" x14ac:dyDescent="0.2">
      <c r="A10" s="11" t="s">
        <v>29</v>
      </c>
      <c r="B10" s="312"/>
      <c r="C10" s="313"/>
      <c r="D10" s="159"/>
      <c r="E10" s="170"/>
      <c r="F10" s="312"/>
      <c r="G10" s="313"/>
      <c r="H10" s="159"/>
      <c r="I10" s="170"/>
      <c r="J10" s="310"/>
      <c r="K10" s="311"/>
      <c r="L10" s="256"/>
      <c r="M10" s="170"/>
    </row>
    <row r="11" spans="1:14" ht="15.75" x14ac:dyDescent="0.2">
      <c r="A11" s="18" t="s">
        <v>32</v>
      </c>
      <c r="B11" s="282"/>
      <c r="C11" s="283"/>
      <c r="D11" s="159"/>
      <c r="E11" s="170"/>
      <c r="F11" s="286"/>
      <c r="G11" s="287"/>
      <c r="H11" s="159"/>
      <c r="I11" s="170"/>
      <c r="J11" s="229"/>
      <c r="K11" s="288"/>
      <c r="L11" s="256"/>
      <c r="M11" s="170"/>
    </row>
    <row r="12" spans="1:14" ht="15.75" x14ac:dyDescent="0.2">
      <c r="A12" s="18" t="s">
        <v>31</v>
      </c>
      <c r="B12" s="282"/>
      <c r="C12" s="283"/>
      <c r="D12" s="159"/>
      <c r="E12" s="170"/>
      <c r="F12" s="286"/>
      <c r="G12" s="287"/>
      <c r="H12" s="159"/>
      <c r="I12" s="170"/>
      <c r="J12" s="229"/>
      <c r="K12" s="288"/>
      <c r="L12" s="256"/>
      <c r="M12" s="170"/>
    </row>
    <row r="13" spans="1:14" ht="15.75" x14ac:dyDescent="0.2">
      <c r="A13" s="11" t="s">
        <v>28</v>
      </c>
      <c r="B13" s="312"/>
      <c r="C13" s="313"/>
      <c r="D13" s="159"/>
      <c r="E13" s="170"/>
      <c r="F13" s="312"/>
      <c r="G13" s="313"/>
      <c r="H13" s="159"/>
      <c r="I13" s="170"/>
      <c r="J13" s="310"/>
      <c r="K13" s="311"/>
      <c r="L13" s="256"/>
      <c r="M13" s="170"/>
    </row>
    <row r="14" spans="1:14" s="36" customFormat="1" ht="15.75" x14ac:dyDescent="0.2">
      <c r="A14" s="11" t="s">
        <v>27</v>
      </c>
      <c r="B14" s="312"/>
      <c r="C14" s="313"/>
      <c r="D14" s="159"/>
      <c r="E14" s="170"/>
      <c r="F14" s="312"/>
      <c r="G14" s="313"/>
      <c r="H14" s="159"/>
      <c r="I14" s="170"/>
      <c r="J14" s="310"/>
      <c r="K14" s="311"/>
      <c r="L14" s="256"/>
      <c r="M14" s="170"/>
      <c r="N14" s="137"/>
    </row>
    <row r="15" spans="1:14" s="36" customFormat="1" ht="15.75" x14ac:dyDescent="0.2">
      <c r="A15" s="34" t="s">
        <v>26</v>
      </c>
      <c r="B15" s="314"/>
      <c r="C15" s="315"/>
      <c r="D15" s="160"/>
      <c r="E15" s="160"/>
      <c r="F15" s="314"/>
      <c r="G15" s="315"/>
      <c r="H15" s="160"/>
      <c r="I15" s="160"/>
      <c r="J15" s="316"/>
      <c r="K15" s="317"/>
      <c r="L15" s="257"/>
      <c r="M15" s="160"/>
      <c r="N15" s="137"/>
    </row>
    <row r="16" spans="1:14" s="36" customFormat="1" x14ac:dyDescent="0.2">
      <c r="A16" s="161"/>
      <c r="B16" s="139"/>
      <c r="C16" s="27"/>
      <c r="D16" s="152"/>
      <c r="E16" s="152"/>
      <c r="F16" s="139"/>
      <c r="G16" s="27"/>
      <c r="H16" s="152"/>
      <c r="I16" s="152"/>
      <c r="J16" s="41"/>
      <c r="K16" s="41"/>
      <c r="L16" s="152"/>
      <c r="M16" s="152"/>
      <c r="N16" s="137"/>
    </row>
    <row r="17" spans="1:14" x14ac:dyDescent="0.2">
      <c r="A17" s="146" t="s">
        <v>307</v>
      </c>
      <c r="B17" s="20"/>
    </row>
    <row r="18" spans="1:14" x14ac:dyDescent="0.2">
      <c r="F18" s="140"/>
      <c r="G18" s="140"/>
      <c r="H18" s="140"/>
      <c r="I18" s="140"/>
      <c r="J18" s="140"/>
      <c r="K18" s="140"/>
      <c r="L18" s="140"/>
      <c r="M18" s="140"/>
    </row>
    <row r="19" spans="1:14" s="3" customFormat="1" ht="15.75" x14ac:dyDescent="0.25">
      <c r="A19" s="157"/>
      <c r="B19" s="142"/>
      <c r="C19" s="147"/>
      <c r="D19" s="147"/>
      <c r="E19" s="147"/>
      <c r="F19" s="147"/>
      <c r="G19" s="147"/>
      <c r="H19" s="147"/>
      <c r="I19" s="147"/>
      <c r="J19" s="147"/>
      <c r="K19" s="147"/>
      <c r="L19" s="147"/>
      <c r="M19" s="147"/>
      <c r="N19" s="142"/>
    </row>
    <row r="20" spans="1:14" ht="15.75" x14ac:dyDescent="0.25">
      <c r="A20" s="141" t="s">
        <v>304</v>
      </c>
      <c r="B20" s="150"/>
      <c r="C20" s="150"/>
      <c r="D20" s="144"/>
      <c r="E20" s="144"/>
      <c r="F20" s="150"/>
      <c r="G20" s="150"/>
      <c r="H20" s="150"/>
      <c r="I20" s="150"/>
      <c r="J20" s="150"/>
      <c r="K20" s="150"/>
      <c r="L20" s="150"/>
      <c r="M20" s="150"/>
    </row>
    <row r="21" spans="1:14" ht="15.75" x14ac:dyDescent="0.25">
      <c r="B21" s="832"/>
      <c r="C21" s="832"/>
      <c r="D21" s="832"/>
      <c r="E21" s="301"/>
      <c r="F21" s="832"/>
      <c r="G21" s="832"/>
      <c r="H21" s="832"/>
      <c r="I21" s="301"/>
      <c r="J21" s="832"/>
      <c r="K21" s="832"/>
      <c r="L21" s="832"/>
      <c r="M21" s="301"/>
    </row>
    <row r="22" spans="1:14" x14ac:dyDescent="0.2">
      <c r="A22" s="138"/>
      <c r="B22" s="833" t="s">
        <v>0</v>
      </c>
      <c r="C22" s="834"/>
      <c r="D22" s="834"/>
      <c r="E22" s="303"/>
      <c r="F22" s="833" t="s">
        <v>1</v>
      </c>
      <c r="G22" s="834"/>
      <c r="H22" s="834"/>
      <c r="I22" s="306"/>
      <c r="J22" s="833" t="s">
        <v>2</v>
      </c>
      <c r="K22" s="834"/>
      <c r="L22" s="834"/>
      <c r="M22" s="306"/>
    </row>
    <row r="23" spans="1:14" x14ac:dyDescent="0.2">
      <c r="A23" s="134" t="s">
        <v>5</v>
      </c>
      <c r="B23" s="145" t="s">
        <v>400</v>
      </c>
      <c r="C23" s="145" t="s">
        <v>401</v>
      </c>
      <c r="D23" s="242" t="s">
        <v>3</v>
      </c>
      <c r="E23" s="307" t="s">
        <v>37</v>
      </c>
      <c r="F23" s="145" t="s">
        <v>400</v>
      </c>
      <c r="G23" s="145" t="s">
        <v>401</v>
      </c>
      <c r="H23" s="242" t="s">
        <v>3</v>
      </c>
      <c r="I23" s="307" t="s">
        <v>37</v>
      </c>
      <c r="J23" s="145" t="s">
        <v>400</v>
      </c>
      <c r="K23" s="145" t="s">
        <v>401</v>
      </c>
      <c r="L23" s="242" t="s">
        <v>3</v>
      </c>
      <c r="M23" s="155" t="s">
        <v>37</v>
      </c>
    </row>
    <row r="24" spans="1:14" x14ac:dyDescent="0.2">
      <c r="A24" s="403"/>
      <c r="B24" s="149"/>
      <c r="C24" s="149"/>
      <c r="D24" s="243" t="s">
        <v>4</v>
      </c>
      <c r="E24" s="149" t="s">
        <v>38</v>
      </c>
      <c r="F24" s="154"/>
      <c r="G24" s="154"/>
      <c r="H24" s="242" t="s">
        <v>4</v>
      </c>
      <c r="I24" s="149" t="s">
        <v>38</v>
      </c>
      <c r="J24" s="154"/>
      <c r="K24" s="154"/>
      <c r="L24" s="242" t="s">
        <v>4</v>
      </c>
      <c r="M24" s="149" t="s">
        <v>38</v>
      </c>
    </row>
    <row r="25" spans="1:14" ht="15.75" x14ac:dyDescent="0.2">
      <c r="A25" s="12" t="s">
        <v>30</v>
      </c>
      <c r="B25" s="318"/>
      <c r="C25" s="319"/>
      <c r="D25" s="251"/>
      <c r="E25" s="170"/>
      <c r="F25" s="320"/>
      <c r="G25" s="319"/>
      <c r="H25" s="251"/>
      <c r="I25" s="170"/>
      <c r="J25" s="318"/>
      <c r="K25" s="318"/>
      <c r="L25" s="255"/>
      <c r="M25" s="159"/>
    </row>
    <row r="26" spans="1:14" ht="15.75" x14ac:dyDescent="0.2">
      <c r="A26" s="298" t="s">
        <v>318</v>
      </c>
      <c r="B26" s="291"/>
      <c r="C26" s="291"/>
      <c r="D26" s="159"/>
      <c r="E26" s="237"/>
      <c r="F26" s="291"/>
      <c r="G26" s="291"/>
      <c r="H26" s="159"/>
      <c r="I26" s="237"/>
      <c r="J26" s="291"/>
      <c r="K26" s="291"/>
      <c r="L26" s="159"/>
      <c r="M26" s="159"/>
    </row>
    <row r="27" spans="1:14" ht="15.75" x14ac:dyDescent="0.2">
      <c r="A27" s="298" t="s">
        <v>319</v>
      </c>
      <c r="B27" s="291"/>
      <c r="C27" s="291"/>
      <c r="D27" s="159"/>
      <c r="E27" s="237"/>
      <c r="F27" s="291"/>
      <c r="G27" s="291"/>
      <c r="H27" s="159"/>
      <c r="I27" s="237"/>
      <c r="J27" s="291"/>
      <c r="K27" s="291"/>
      <c r="L27" s="159"/>
      <c r="M27" s="159"/>
    </row>
    <row r="28" spans="1:14" ht="15.75" x14ac:dyDescent="0.2">
      <c r="A28" s="298" t="s">
        <v>320</v>
      </c>
      <c r="B28" s="291"/>
      <c r="C28" s="291"/>
      <c r="D28" s="159"/>
      <c r="E28" s="237"/>
      <c r="F28" s="291"/>
      <c r="G28" s="291"/>
      <c r="H28" s="159"/>
      <c r="I28" s="237"/>
      <c r="J28" s="291"/>
      <c r="K28" s="291"/>
      <c r="L28" s="159"/>
      <c r="M28" s="159"/>
    </row>
    <row r="29" spans="1:14" x14ac:dyDescent="0.2">
      <c r="A29" s="298" t="s">
        <v>11</v>
      </c>
      <c r="B29" s="291"/>
      <c r="C29" s="291"/>
      <c r="D29" s="159"/>
      <c r="E29" s="237"/>
      <c r="F29" s="291"/>
      <c r="G29" s="291"/>
      <c r="H29" s="159"/>
      <c r="I29" s="237"/>
      <c r="J29" s="291"/>
      <c r="K29" s="291"/>
      <c r="L29" s="159"/>
      <c r="M29" s="159"/>
    </row>
    <row r="30" spans="1:14" ht="15.75" x14ac:dyDescent="0.2">
      <c r="A30" s="42" t="s">
        <v>308</v>
      </c>
      <c r="B30" s="37"/>
      <c r="C30" s="288"/>
      <c r="D30" s="159"/>
      <c r="E30" s="170"/>
      <c r="F30" s="229"/>
      <c r="G30" s="288"/>
      <c r="H30" s="159"/>
      <c r="I30" s="170"/>
      <c r="J30" s="37"/>
      <c r="K30" s="37"/>
      <c r="L30" s="256"/>
      <c r="M30" s="159"/>
    </row>
    <row r="31" spans="1:14" ht="15.75" x14ac:dyDescent="0.2">
      <c r="A31" s="11" t="s">
        <v>29</v>
      </c>
      <c r="B31" s="231"/>
      <c r="C31" s="231"/>
      <c r="D31" s="159"/>
      <c r="E31" s="170"/>
      <c r="F31" s="310"/>
      <c r="G31" s="310"/>
      <c r="H31" s="159"/>
      <c r="I31" s="170"/>
      <c r="J31" s="231"/>
      <c r="K31" s="231"/>
      <c r="L31" s="256"/>
      <c r="M31" s="159"/>
    </row>
    <row r="32" spans="1:14" ht="15.75" x14ac:dyDescent="0.2">
      <c r="A32" s="298" t="s">
        <v>318</v>
      </c>
      <c r="B32" s="291"/>
      <c r="C32" s="291"/>
      <c r="D32" s="159"/>
      <c r="E32" s="237"/>
      <c r="F32" s="291"/>
      <c r="G32" s="291"/>
      <c r="H32" s="159"/>
      <c r="I32" s="237"/>
      <c r="J32" s="291"/>
      <c r="K32" s="291"/>
      <c r="L32" s="159"/>
      <c r="M32" s="159"/>
    </row>
    <row r="33" spans="1:14" ht="15.75" x14ac:dyDescent="0.2">
      <c r="A33" s="298" t="s">
        <v>320</v>
      </c>
      <c r="B33" s="291"/>
      <c r="C33" s="291"/>
      <c r="D33" s="159"/>
      <c r="E33" s="237"/>
      <c r="F33" s="291"/>
      <c r="G33" s="291"/>
      <c r="H33" s="159"/>
      <c r="I33" s="237"/>
      <c r="J33" s="291"/>
      <c r="K33" s="291"/>
      <c r="L33" s="159"/>
      <c r="M33" s="159"/>
    </row>
    <row r="34" spans="1:14" s="21" customFormat="1" x14ac:dyDescent="0.2">
      <c r="A34" s="298" t="s">
        <v>16</v>
      </c>
      <c r="B34" s="291"/>
      <c r="C34" s="291"/>
      <c r="D34" s="159"/>
      <c r="E34" s="237"/>
      <c r="F34" s="291"/>
      <c r="G34" s="291"/>
      <c r="H34" s="159"/>
      <c r="I34" s="237"/>
      <c r="J34" s="291"/>
      <c r="K34" s="291"/>
      <c r="L34" s="159"/>
      <c r="M34" s="159"/>
      <c r="N34" s="166"/>
    </row>
    <row r="35" spans="1:14" ht="15.75" x14ac:dyDescent="0.2">
      <c r="A35" s="42" t="s">
        <v>308</v>
      </c>
      <c r="B35" s="37"/>
      <c r="C35" s="288"/>
      <c r="D35" s="159"/>
      <c r="E35" s="170"/>
      <c r="F35" s="229"/>
      <c r="G35" s="288"/>
      <c r="H35" s="159"/>
      <c r="I35" s="170"/>
      <c r="J35" s="37"/>
      <c r="K35" s="37"/>
      <c r="L35" s="256"/>
      <c r="M35" s="159"/>
    </row>
    <row r="36" spans="1:14" s="3" customFormat="1" ht="15.75" x14ac:dyDescent="0.2">
      <c r="A36" s="11" t="s">
        <v>28</v>
      </c>
      <c r="B36" s="231"/>
      <c r="C36" s="311"/>
      <c r="D36" s="159"/>
      <c r="E36" s="170"/>
      <c r="F36" s="310"/>
      <c r="G36" s="311"/>
      <c r="H36" s="159"/>
      <c r="I36" s="170"/>
      <c r="J36" s="231"/>
      <c r="K36" s="231"/>
      <c r="L36" s="256"/>
      <c r="M36" s="159"/>
      <c r="N36" s="142"/>
    </row>
    <row r="37" spans="1:14" s="3" customFormat="1" ht="15.75" x14ac:dyDescent="0.2">
      <c r="A37" s="298" t="s">
        <v>318</v>
      </c>
      <c r="B37" s="291"/>
      <c r="C37" s="291"/>
      <c r="D37" s="159"/>
      <c r="E37" s="237"/>
      <c r="F37" s="291"/>
      <c r="G37" s="291"/>
      <c r="H37" s="159"/>
      <c r="I37" s="237"/>
      <c r="J37" s="291"/>
      <c r="K37" s="291"/>
      <c r="L37" s="159"/>
      <c r="M37" s="159"/>
      <c r="N37" s="142"/>
    </row>
    <row r="38" spans="1:14" s="3" customFormat="1" ht="15.75" x14ac:dyDescent="0.2">
      <c r="A38" s="298" t="s">
        <v>319</v>
      </c>
      <c r="B38" s="291"/>
      <c r="C38" s="291"/>
      <c r="D38" s="159"/>
      <c r="E38" s="237"/>
      <c r="F38" s="291"/>
      <c r="G38" s="291"/>
      <c r="H38" s="159"/>
      <c r="I38" s="237"/>
      <c r="J38" s="291"/>
      <c r="K38" s="291"/>
      <c r="L38" s="159"/>
      <c r="M38" s="159"/>
      <c r="N38" s="142"/>
    </row>
    <row r="39" spans="1:14" ht="15.75" x14ac:dyDescent="0.2">
      <c r="A39" s="298" t="s">
        <v>320</v>
      </c>
      <c r="B39" s="291"/>
      <c r="C39" s="291"/>
      <c r="D39" s="159"/>
      <c r="E39" s="237"/>
      <c r="F39" s="291"/>
      <c r="G39" s="291"/>
      <c r="H39" s="159"/>
      <c r="I39" s="237"/>
      <c r="J39" s="291"/>
      <c r="K39" s="291"/>
      <c r="L39" s="159"/>
      <c r="M39" s="159"/>
    </row>
    <row r="40" spans="1:14" ht="15.75" x14ac:dyDescent="0.2">
      <c r="A40" s="11" t="s">
        <v>27</v>
      </c>
      <c r="B40" s="231"/>
      <c r="C40" s="311"/>
      <c r="D40" s="159"/>
      <c r="E40" s="170"/>
      <c r="F40" s="310"/>
      <c r="G40" s="311"/>
      <c r="H40" s="159"/>
      <c r="I40" s="170"/>
      <c r="J40" s="231"/>
      <c r="K40" s="231"/>
      <c r="L40" s="256"/>
      <c r="M40" s="159"/>
    </row>
    <row r="41" spans="1:14" ht="15.75" x14ac:dyDescent="0.2">
      <c r="A41" s="11" t="s">
        <v>26</v>
      </c>
      <c r="B41" s="231"/>
      <c r="C41" s="311"/>
      <c r="D41" s="159"/>
      <c r="E41" s="170"/>
      <c r="F41" s="310"/>
      <c r="G41" s="311"/>
      <c r="H41" s="159"/>
      <c r="I41" s="170"/>
      <c r="J41" s="231"/>
      <c r="K41" s="231"/>
      <c r="L41" s="256"/>
      <c r="M41" s="159"/>
    </row>
    <row r="42" spans="1:14" ht="15.75" x14ac:dyDescent="0.2">
      <c r="A42" s="10" t="s">
        <v>321</v>
      </c>
      <c r="B42" s="231"/>
      <c r="C42" s="311"/>
      <c r="D42" s="159"/>
      <c r="E42" s="170"/>
      <c r="F42" s="321"/>
      <c r="G42" s="322"/>
      <c r="H42" s="159"/>
      <c r="I42" s="237"/>
      <c r="J42" s="231"/>
      <c r="K42" s="231"/>
      <c r="L42" s="256"/>
      <c r="M42" s="159"/>
    </row>
    <row r="43" spans="1:14" ht="15.75" x14ac:dyDescent="0.2">
      <c r="A43" s="10" t="s">
        <v>322</v>
      </c>
      <c r="B43" s="231"/>
      <c r="C43" s="311"/>
      <c r="D43" s="159"/>
      <c r="E43" s="170"/>
      <c r="F43" s="321"/>
      <c r="G43" s="322"/>
      <c r="H43" s="159"/>
      <c r="I43" s="237"/>
      <c r="J43" s="231"/>
      <c r="K43" s="231"/>
      <c r="L43" s="256"/>
      <c r="M43" s="159"/>
    </row>
    <row r="44" spans="1:14" ht="15.75" x14ac:dyDescent="0.2">
      <c r="A44" s="10" t="s">
        <v>323</v>
      </c>
      <c r="B44" s="231"/>
      <c r="C44" s="311"/>
      <c r="D44" s="159"/>
      <c r="E44" s="170"/>
      <c r="F44" s="321"/>
      <c r="G44" s="323"/>
      <c r="H44" s="159"/>
      <c r="I44" s="237"/>
      <c r="J44" s="231"/>
      <c r="K44" s="231"/>
      <c r="L44" s="256"/>
      <c r="M44" s="159"/>
    </row>
    <row r="45" spans="1:14" ht="15.75" x14ac:dyDescent="0.2">
      <c r="A45" s="10" t="s">
        <v>324</v>
      </c>
      <c r="B45" s="231"/>
      <c r="C45" s="311"/>
      <c r="D45" s="159"/>
      <c r="E45" s="170"/>
      <c r="F45" s="321"/>
      <c r="G45" s="322"/>
      <c r="H45" s="159"/>
      <c r="I45" s="237"/>
      <c r="J45" s="231"/>
      <c r="K45" s="231"/>
      <c r="L45" s="256"/>
      <c r="M45" s="159"/>
    </row>
    <row r="46" spans="1:14" ht="15.75" x14ac:dyDescent="0.2">
      <c r="A46" s="16" t="s">
        <v>325</v>
      </c>
      <c r="B46" s="277"/>
      <c r="C46" s="317"/>
      <c r="D46" s="160"/>
      <c r="E46" s="201"/>
      <c r="F46" s="324"/>
      <c r="G46" s="325"/>
      <c r="H46" s="160"/>
      <c r="I46" s="160"/>
      <c r="J46" s="231"/>
      <c r="K46" s="231"/>
      <c r="L46" s="257"/>
      <c r="M46" s="160"/>
    </row>
    <row r="47" spans="1:14" ht="15.75" x14ac:dyDescent="0.25">
      <c r="A47" s="40"/>
      <c r="B47" s="254"/>
      <c r="C47" s="254"/>
      <c r="D47" s="836"/>
      <c r="E47" s="836"/>
      <c r="F47" s="836"/>
      <c r="G47" s="836"/>
      <c r="H47" s="836"/>
      <c r="I47" s="836"/>
      <c r="J47" s="836"/>
      <c r="K47" s="836"/>
      <c r="L47" s="836"/>
      <c r="M47" s="304"/>
    </row>
    <row r="48" spans="1:14" x14ac:dyDescent="0.2">
      <c r="A48" s="148"/>
    </row>
    <row r="49" spans="1:14" ht="15.75" x14ac:dyDescent="0.25">
      <c r="A49" s="141" t="s">
        <v>305</v>
      </c>
      <c r="B49" s="835"/>
      <c r="C49" s="835"/>
      <c r="D49" s="835"/>
      <c r="E49" s="301"/>
      <c r="F49" s="837"/>
      <c r="G49" s="837"/>
      <c r="H49" s="837"/>
      <c r="I49" s="304"/>
      <c r="J49" s="837"/>
      <c r="K49" s="837"/>
      <c r="L49" s="837"/>
      <c r="M49" s="304"/>
    </row>
    <row r="50" spans="1:14" ht="15.75" x14ac:dyDescent="0.25">
      <c r="A50" s="156"/>
      <c r="B50" s="305"/>
      <c r="C50" s="305"/>
      <c r="D50" s="305"/>
      <c r="E50" s="305"/>
      <c r="F50" s="304"/>
      <c r="G50" s="304"/>
      <c r="H50" s="304"/>
      <c r="I50" s="304"/>
      <c r="J50" s="304"/>
      <c r="K50" s="304"/>
      <c r="L50" s="304"/>
      <c r="M50" s="304"/>
    </row>
    <row r="51" spans="1:14" ht="15.75" x14ac:dyDescent="0.25">
      <c r="A51" s="244"/>
      <c r="B51" s="833" t="s">
        <v>0</v>
      </c>
      <c r="C51" s="834"/>
      <c r="D51" s="834"/>
      <c r="E51" s="240"/>
      <c r="F51" s="304"/>
      <c r="G51" s="304"/>
      <c r="H51" s="304"/>
      <c r="I51" s="304"/>
      <c r="J51" s="304"/>
      <c r="K51" s="304"/>
      <c r="L51" s="304"/>
      <c r="M51" s="304"/>
    </row>
    <row r="52" spans="1:14" s="3" customFormat="1" x14ac:dyDescent="0.2">
      <c r="A52" s="134"/>
      <c r="B52" s="167" t="s">
        <v>400</v>
      </c>
      <c r="C52" s="167" t="s">
        <v>401</v>
      </c>
      <c r="D52" s="155" t="s">
        <v>3</v>
      </c>
      <c r="E52" s="155" t="s">
        <v>37</v>
      </c>
      <c r="F52" s="169"/>
      <c r="G52" s="169"/>
      <c r="H52" s="168"/>
      <c r="I52" s="168"/>
      <c r="J52" s="169"/>
      <c r="K52" s="169"/>
      <c r="L52" s="168"/>
      <c r="M52" s="168"/>
      <c r="N52" s="142"/>
    </row>
    <row r="53" spans="1:14" s="3" customFormat="1" x14ac:dyDescent="0.2">
      <c r="A53" s="403"/>
      <c r="B53" s="241"/>
      <c r="C53" s="241"/>
      <c r="D53" s="242" t="s">
        <v>4</v>
      </c>
      <c r="E53" s="149" t="s">
        <v>38</v>
      </c>
      <c r="F53" s="168"/>
      <c r="G53" s="168"/>
      <c r="H53" s="168"/>
      <c r="I53" s="168"/>
      <c r="J53" s="168"/>
      <c r="K53" s="168"/>
      <c r="L53" s="168"/>
      <c r="M53" s="168"/>
      <c r="N53" s="142"/>
    </row>
    <row r="54" spans="1:14" s="3" customFormat="1" ht="15.75" x14ac:dyDescent="0.2">
      <c r="A54" s="12" t="s">
        <v>30</v>
      </c>
      <c r="B54" s="312">
        <v>39880</v>
      </c>
      <c r="C54" s="313">
        <v>25735</v>
      </c>
      <c r="D54" s="255">
        <f t="shared" ref="D54:D70" si="0">IF(B54=0, "    ---- ", IF(ABS(ROUND(100/B54*C54-100,1))&lt;999,ROUND(100/B54*C54-100,1),IF(ROUND(100/B54*C54-100,1)&gt;999,999,-999)))</f>
        <v>-35.5</v>
      </c>
      <c r="E54" s="170">
        <f>IFERROR(100/'Skjema total MA'!C54*C54,0)</f>
        <v>0.6892765291889984</v>
      </c>
      <c r="F54" s="139"/>
      <c r="G54" s="27"/>
      <c r="H54" s="152"/>
      <c r="I54" s="152"/>
      <c r="J54" s="30"/>
      <c r="K54" s="30"/>
      <c r="L54" s="152"/>
      <c r="M54" s="152"/>
      <c r="N54" s="142"/>
    </row>
    <row r="55" spans="1:14" s="3" customFormat="1" ht="15.75" x14ac:dyDescent="0.2">
      <c r="A55" s="31" t="s">
        <v>326</v>
      </c>
      <c r="B55" s="282">
        <v>39880</v>
      </c>
      <c r="C55" s="283">
        <v>25735</v>
      </c>
      <c r="D55" s="256">
        <f t="shared" si="0"/>
        <v>-35.5</v>
      </c>
      <c r="E55" s="170">
        <f>IFERROR(100/'Skjema total MA'!C55*C55,0)</f>
        <v>1.2642474042892466</v>
      </c>
      <c r="F55" s="139"/>
      <c r="G55" s="27"/>
      <c r="H55" s="139"/>
      <c r="I55" s="139"/>
      <c r="J55" s="27"/>
      <c r="K55" s="27"/>
      <c r="L55" s="152"/>
      <c r="M55" s="152"/>
      <c r="N55" s="142"/>
    </row>
    <row r="56" spans="1:14" s="3" customFormat="1" ht="15.75" x14ac:dyDescent="0.2">
      <c r="A56" s="31" t="s">
        <v>327</v>
      </c>
      <c r="B56" s="37"/>
      <c r="C56" s="288"/>
      <c r="D56" s="256"/>
      <c r="E56" s="170"/>
      <c r="F56" s="139"/>
      <c r="G56" s="27"/>
      <c r="H56" s="139"/>
      <c r="I56" s="139"/>
      <c r="J56" s="30"/>
      <c r="K56" s="30"/>
      <c r="L56" s="152"/>
      <c r="M56" s="152"/>
      <c r="N56" s="142"/>
    </row>
    <row r="57" spans="1:14" s="3" customFormat="1" x14ac:dyDescent="0.2">
      <c r="A57" s="298" t="s">
        <v>6</v>
      </c>
      <c r="B57" s="291"/>
      <c r="C57" s="292"/>
      <c r="D57" s="256"/>
      <c r="E57" s="159"/>
      <c r="F57" s="139"/>
      <c r="G57" s="27"/>
      <c r="H57" s="139"/>
      <c r="I57" s="139"/>
      <c r="J57" s="27"/>
      <c r="K57" s="27"/>
      <c r="L57" s="152"/>
      <c r="M57" s="152"/>
      <c r="N57" s="142"/>
    </row>
    <row r="58" spans="1:14" s="3" customFormat="1" x14ac:dyDescent="0.2">
      <c r="A58" s="298" t="s">
        <v>7</v>
      </c>
      <c r="B58" s="291"/>
      <c r="C58" s="292"/>
      <c r="D58" s="256"/>
      <c r="E58" s="159"/>
      <c r="F58" s="139"/>
      <c r="G58" s="27"/>
      <c r="H58" s="139"/>
      <c r="I58" s="139"/>
      <c r="J58" s="27"/>
      <c r="K58" s="27"/>
      <c r="L58" s="152"/>
      <c r="M58" s="152"/>
      <c r="N58" s="142"/>
    </row>
    <row r="59" spans="1:14" s="3" customFormat="1" x14ac:dyDescent="0.2">
      <c r="A59" s="298" t="s">
        <v>8</v>
      </c>
      <c r="B59" s="291"/>
      <c r="C59" s="292"/>
      <c r="D59" s="256"/>
      <c r="E59" s="159"/>
      <c r="F59" s="139"/>
      <c r="G59" s="27"/>
      <c r="H59" s="139"/>
      <c r="I59" s="139"/>
      <c r="J59" s="27"/>
      <c r="K59" s="27"/>
      <c r="L59" s="152"/>
      <c r="M59" s="152"/>
      <c r="N59" s="142"/>
    </row>
    <row r="60" spans="1:14" s="3" customFormat="1" ht="15.75" x14ac:dyDescent="0.2">
      <c r="A60" s="11" t="s">
        <v>29</v>
      </c>
      <c r="B60" s="312">
        <v>2270</v>
      </c>
      <c r="C60" s="313">
        <v>2376</v>
      </c>
      <c r="D60" s="256">
        <f t="shared" si="0"/>
        <v>4.7</v>
      </c>
      <c r="E60" s="170">
        <f>IFERROR(100/'Skjema total MA'!C60*C60,0)</f>
        <v>2.6900833135558617</v>
      </c>
      <c r="F60" s="139"/>
      <c r="G60" s="27"/>
      <c r="H60" s="139"/>
      <c r="I60" s="139"/>
      <c r="J60" s="27"/>
      <c r="K60" s="27"/>
      <c r="L60" s="152"/>
      <c r="M60" s="152"/>
      <c r="N60" s="142"/>
    </row>
    <row r="61" spans="1:14" s="3" customFormat="1" ht="15.75" x14ac:dyDescent="0.2">
      <c r="A61" s="31" t="s">
        <v>326</v>
      </c>
      <c r="B61" s="282">
        <v>2270</v>
      </c>
      <c r="C61" s="283">
        <v>2376</v>
      </c>
      <c r="D61" s="256">
        <f t="shared" si="0"/>
        <v>4.7</v>
      </c>
      <c r="E61" s="170">
        <f>IFERROR(100/'Skjema total MA'!C61*C61,0)</f>
        <v>6.1239753971865856</v>
      </c>
      <c r="F61" s="139"/>
      <c r="G61" s="27"/>
      <c r="H61" s="139"/>
      <c r="I61" s="139"/>
      <c r="J61" s="27"/>
      <c r="K61" s="27"/>
      <c r="L61" s="152"/>
      <c r="M61" s="152"/>
      <c r="N61" s="142"/>
    </row>
    <row r="62" spans="1:14" s="3" customFormat="1" ht="15.75" x14ac:dyDescent="0.2">
      <c r="A62" s="31" t="s">
        <v>327</v>
      </c>
      <c r="B62" s="37"/>
      <c r="C62" s="288"/>
      <c r="D62" s="256"/>
      <c r="E62" s="170"/>
      <c r="F62" s="139"/>
      <c r="G62" s="27"/>
      <c r="H62" s="139"/>
      <c r="I62" s="139"/>
      <c r="J62" s="27"/>
      <c r="K62" s="27"/>
      <c r="L62" s="152"/>
      <c r="M62" s="152"/>
      <c r="N62" s="142"/>
    </row>
    <row r="63" spans="1:14" s="3" customFormat="1" x14ac:dyDescent="0.2">
      <c r="A63" s="298" t="s">
        <v>6</v>
      </c>
      <c r="B63" s="282"/>
      <c r="C63" s="283"/>
      <c r="D63" s="256"/>
      <c r="E63" s="159"/>
      <c r="F63" s="139"/>
      <c r="G63" s="27"/>
      <c r="H63" s="139"/>
      <c r="I63" s="139"/>
      <c r="J63" s="27"/>
      <c r="K63" s="27"/>
      <c r="L63" s="152"/>
      <c r="M63" s="152"/>
      <c r="N63" s="142"/>
    </row>
    <row r="64" spans="1:14" s="3" customFormat="1" x14ac:dyDescent="0.2">
      <c r="A64" s="298" t="s">
        <v>7</v>
      </c>
      <c r="B64" s="282"/>
      <c r="C64" s="283"/>
      <c r="D64" s="256"/>
      <c r="E64" s="159"/>
      <c r="F64" s="139"/>
      <c r="G64" s="27"/>
      <c r="H64" s="139"/>
      <c r="I64" s="139"/>
      <c r="J64" s="27"/>
      <c r="K64" s="27"/>
      <c r="L64" s="152"/>
      <c r="M64" s="152"/>
      <c r="N64" s="142"/>
    </row>
    <row r="65" spans="1:14" s="3" customFormat="1" x14ac:dyDescent="0.2">
      <c r="A65" s="298" t="s">
        <v>8</v>
      </c>
      <c r="B65" s="282"/>
      <c r="C65" s="283"/>
      <c r="D65" s="256"/>
      <c r="E65" s="159"/>
      <c r="F65" s="139"/>
      <c r="G65" s="27"/>
      <c r="H65" s="139"/>
      <c r="I65" s="139"/>
      <c r="J65" s="27"/>
      <c r="K65" s="27"/>
      <c r="L65" s="152"/>
      <c r="M65" s="152"/>
      <c r="N65" s="142"/>
    </row>
    <row r="66" spans="1:14" s="3" customFormat="1" ht="15.75" x14ac:dyDescent="0.2">
      <c r="A66" s="32" t="s">
        <v>328</v>
      </c>
      <c r="B66" s="312"/>
      <c r="C66" s="313"/>
      <c r="D66" s="256"/>
      <c r="E66" s="170"/>
      <c r="F66" s="139"/>
      <c r="G66" s="27"/>
      <c r="H66" s="139"/>
      <c r="I66" s="139"/>
      <c r="J66" s="27"/>
      <c r="K66" s="27"/>
      <c r="L66" s="152"/>
      <c r="M66" s="152"/>
      <c r="N66" s="142"/>
    </row>
    <row r="67" spans="1:14" s="3" customFormat="1" ht="15.75" x14ac:dyDescent="0.2">
      <c r="A67" s="31" t="s">
        <v>326</v>
      </c>
      <c r="B67" s="282"/>
      <c r="C67" s="283"/>
      <c r="D67" s="256"/>
      <c r="E67" s="170"/>
      <c r="F67" s="139"/>
      <c r="G67" s="27"/>
      <c r="H67" s="139"/>
      <c r="I67" s="139"/>
      <c r="J67" s="27"/>
      <c r="K67" s="27"/>
      <c r="L67" s="152"/>
      <c r="M67" s="152"/>
      <c r="N67" s="142"/>
    </row>
    <row r="68" spans="1:14" s="3" customFormat="1" ht="15.75" x14ac:dyDescent="0.2">
      <c r="A68" s="31" t="s">
        <v>327</v>
      </c>
      <c r="B68" s="282"/>
      <c r="C68" s="283"/>
      <c r="D68" s="256"/>
      <c r="E68" s="170"/>
      <c r="F68" s="139"/>
      <c r="G68" s="27"/>
      <c r="H68" s="139"/>
      <c r="I68" s="139"/>
      <c r="J68" s="27"/>
      <c r="K68" s="27"/>
      <c r="L68" s="152"/>
      <c r="M68" s="152"/>
      <c r="N68" s="142"/>
    </row>
    <row r="69" spans="1:14" s="3" customFormat="1" ht="15.75" x14ac:dyDescent="0.2">
      <c r="A69" s="32" t="s">
        <v>329</v>
      </c>
      <c r="B69" s="312">
        <v>928</v>
      </c>
      <c r="C69" s="313">
        <v>29043</v>
      </c>
      <c r="D69" s="256">
        <f t="shared" si="0"/>
        <v>999</v>
      </c>
      <c r="E69" s="170">
        <f>IFERROR(100/'Skjema total MA'!C69*C69,0)</f>
        <v>15.267584807338489</v>
      </c>
      <c r="F69" s="139"/>
      <c r="G69" s="27"/>
      <c r="H69" s="139"/>
      <c r="I69" s="139"/>
      <c r="J69" s="27"/>
      <c r="K69" s="27"/>
      <c r="L69" s="152"/>
      <c r="M69" s="152"/>
      <c r="N69" s="142"/>
    </row>
    <row r="70" spans="1:14" s="3" customFormat="1" ht="15.75" x14ac:dyDescent="0.2">
      <c r="A70" s="31" t="s">
        <v>326</v>
      </c>
      <c r="B70" s="282">
        <v>928</v>
      </c>
      <c r="C70" s="283">
        <v>29043</v>
      </c>
      <c r="D70" s="256">
        <f t="shared" si="0"/>
        <v>999</v>
      </c>
      <c r="E70" s="170">
        <f>IFERROR(100/'Skjema total MA'!C70*C70,0)</f>
        <v>15.510495822694981</v>
      </c>
      <c r="F70" s="139"/>
      <c r="G70" s="27"/>
      <c r="H70" s="139"/>
      <c r="I70" s="139"/>
      <c r="J70" s="27"/>
      <c r="K70" s="27"/>
      <c r="L70" s="152"/>
      <c r="M70" s="152"/>
      <c r="N70" s="142"/>
    </row>
    <row r="71" spans="1:14" s="3" customFormat="1" ht="15.75" x14ac:dyDescent="0.2">
      <c r="A71" s="39" t="s">
        <v>327</v>
      </c>
      <c r="B71" s="284"/>
      <c r="C71" s="285"/>
      <c r="D71" s="257"/>
      <c r="E71" s="160"/>
      <c r="F71" s="139"/>
      <c r="G71" s="27"/>
      <c r="H71" s="139"/>
      <c r="I71" s="139"/>
      <c r="J71" s="27"/>
      <c r="K71" s="27"/>
      <c r="L71" s="152"/>
      <c r="M71" s="152"/>
      <c r="N71" s="142"/>
    </row>
    <row r="72" spans="1:14" s="3" customFormat="1" ht="15.75" x14ac:dyDescent="0.25">
      <c r="A72" s="157"/>
      <c r="B72" s="147"/>
      <c r="C72" s="147"/>
      <c r="D72" s="147"/>
      <c r="E72" s="147"/>
      <c r="F72" s="136"/>
      <c r="G72" s="136"/>
      <c r="H72" s="136"/>
      <c r="I72" s="136"/>
      <c r="J72" s="136"/>
      <c r="K72" s="136"/>
      <c r="L72" s="136"/>
      <c r="M72" s="136"/>
      <c r="N72" s="142"/>
    </row>
    <row r="73" spans="1:14" x14ac:dyDescent="0.2">
      <c r="A73" s="148"/>
    </row>
    <row r="74" spans="1:14" ht="15.75" x14ac:dyDescent="0.25">
      <c r="A74" s="141" t="s">
        <v>306</v>
      </c>
      <c r="C74" s="20"/>
      <c r="D74" s="20"/>
      <c r="E74" s="20"/>
      <c r="F74" s="20"/>
      <c r="G74" s="20"/>
      <c r="H74" s="20"/>
      <c r="I74" s="20"/>
      <c r="J74" s="20"/>
      <c r="K74" s="20"/>
      <c r="L74" s="20"/>
      <c r="M74" s="20"/>
    </row>
    <row r="75" spans="1:14" ht="15.75" x14ac:dyDescent="0.25">
      <c r="B75" s="832"/>
      <c r="C75" s="832"/>
      <c r="D75" s="832"/>
      <c r="E75" s="301"/>
      <c r="F75" s="832"/>
      <c r="G75" s="832"/>
      <c r="H75" s="832"/>
      <c r="I75" s="301"/>
      <c r="J75" s="832"/>
      <c r="K75" s="832"/>
      <c r="L75" s="832"/>
      <c r="M75" s="301"/>
    </row>
    <row r="76" spans="1:14" x14ac:dyDescent="0.2">
      <c r="A76" s="138"/>
      <c r="B76" s="833" t="s">
        <v>0</v>
      </c>
      <c r="C76" s="834"/>
      <c r="D76" s="838"/>
      <c r="E76" s="302"/>
      <c r="F76" s="834" t="s">
        <v>1</v>
      </c>
      <c r="G76" s="834"/>
      <c r="H76" s="834"/>
      <c r="I76" s="306"/>
      <c r="J76" s="833" t="s">
        <v>2</v>
      </c>
      <c r="K76" s="834"/>
      <c r="L76" s="834"/>
      <c r="M76" s="306"/>
    </row>
    <row r="77" spans="1:14" x14ac:dyDescent="0.2">
      <c r="A77" s="134"/>
      <c r="B77" s="145" t="s">
        <v>400</v>
      </c>
      <c r="C77" s="145" t="s">
        <v>401</v>
      </c>
      <c r="D77" s="242" t="s">
        <v>3</v>
      </c>
      <c r="E77" s="307" t="s">
        <v>37</v>
      </c>
      <c r="F77" s="145" t="s">
        <v>400</v>
      </c>
      <c r="G77" s="145" t="s">
        <v>401</v>
      </c>
      <c r="H77" s="242" t="s">
        <v>3</v>
      </c>
      <c r="I77" s="307" t="s">
        <v>37</v>
      </c>
      <c r="J77" s="145" t="s">
        <v>400</v>
      </c>
      <c r="K77" s="145" t="s">
        <v>401</v>
      </c>
      <c r="L77" s="242" t="s">
        <v>3</v>
      </c>
      <c r="M77" s="155" t="s">
        <v>37</v>
      </c>
    </row>
    <row r="78" spans="1:14" x14ac:dyDescent="0.2">
      <c r="A78" s="403"/>
      <c r="B78" s="149"/>
      <c r="C78" s="149"/>
      <c r="D78" s="243" t="s">
        <v>4</v>
      </c>
      <c r="E78" s="149" t="s">
        <v>38</v>
      </c>
      <c r="F78" s="154"/>
      <c r="G78" s="154"/>
      <c r="H78" s="242" t="s">
        <v>4</v>
      </c>
      <c r="I78" s="149" t="s">
        <v>38</v>
      </c>
      <c r="J78" s="154"/>
      <c r="K78" s="154"/>
      <c r="L78" s="242" t="s">
        <v>4</v>
      </c>
      <c r="M78" s="149" t="s">
        <v>38</v>
      </c>
    </row>
    <row r="79" spans="1:14" ht="15.75" x14ac:dyDescent="0.2">
      <c r="A79" s="12" t="s">
        <v>30</v>
      </c>
      <c r="B79" s="355"/>
      <c r="C79" s="355"/>
      <c r="D79" s="251"/>
      <c r="E79" s="251"/>
      <c r="F79" s="355"/>
      <c r="G79" s="355"/>
      <c r="H79" s="251"/>
      <c r="I79" s="170"/>
      <c r="J79" s="311"/>
      <c r="K79" s="318"/>
      <c r="L79" s="255"/>
      <c r="M79" s="170"/>
    </row>
    <row r="80" spans="1:14" x14ac:dyDescent="0.2">
      <c r="A80" s="18" t="s">
        <v>9</v>
      </c>
      <c r="B80" s="37"/>
      <c r="C80" s="139"/>
      <c r="D80" s="159"/>
      <c r="E80" s="159"/>
      <c r="F80" s="37"/>
      <c r="G80" s="139"/>
      <c r="H80" s="159"/>
      <c r="I80" s="170"/>
      <c r="J80" s="288"/>
      <c r="K80" s="37"/>
      <c r="L80" s="256"/>
      <c r="M80" s="170"/>
    </row>
    <row r="81" spans="1:14" x14ac:dyDescent="0.2">
      <c r="A81" s="18" t="s">
        <v>10</v>
      </c>
      <c r="B81" s="293"/>
      <c r="C81" s="294"/>
      <c r="D81" s="159"/>
      <c r="E81" s="159"/>
      <c r="F81" s="293"/>
      <c r="G81" s="294"/>
      <c r="H81" s="159"/>
      <c r="I81" s="170"/>
      <c r="J81" s="288"/>
      <c r="K81" s="37"/>
      <c r="L81" s="256"/>
      <c r="M81" s="170"/>
    </row>
    <row r="82" spans="1:14" ht="15.75" x14ac:dyDescent="0.2">
      <c r="A82" s="298" t="s">
        <v>330</v>
      </c>
      <c r="B82" s="282"/>
      <c r="C82" s="282"/>
      <c r="D82" s="159"/>
      <c r="E82" s="159"/>
      <c r="F82" s="805"/>
      <c r="G82" s="282"/>
      <c r="H82" s="159"/>
      <c r="I82" s="237"/>
      <c r="J82" s="291"/>
      <c r="K82" s="291"/>
      <c r="L82" s="159"/>
      <c r="M82" s="159"/>
    </row>
    <row r="83" spans="1:14" x14ac:dyDescent="0.2">
      <c r="A83" s="298" t="s">
        <v>12</v>
      </c>
      <c r="B83" s="295"/>
      <c r="C83" s="296"/>
      <c r="D83" s="159"/>
      <c r="E83" s="159"/>
      <c r="F83" s="806"/>
      <c r="G83" s="41"/>
      <c r="H83" s="159"/>
      <c r="I83" s="237"/>
      <c r="J83" s="291"/>
      <c r="K83" s="291"/>
      <c r="L83" s="159"/>
      <c r="M83" s="159"/>
    </row>
    <row r="84" spans="1:14" x14ac:dyDescent="0.2">
      <c r="A84" s="298" t="s">
        <v>13</v>
      </c>
      <c r="B84" s="230"/>
      <c r="C84" s="290"/>
      <c r="D84" s="159"/>
      <c r="E84" s="159"/>
      <c r="F84" s="229"/>
      <c r="G84" s="139"/>
      <c r="H84" s="159"/>
      <c r="I84" s="237"/>
      <c r="J84" s="291"/>
      <c r="K84" s="291"/>
      <c r="L84" s="159"/>
      <c r="M84" s="159"/>
    </row>
    <row r="85" spans="1:14" ht="15.75" x14ac:dyDescent="0.2">
      <c r="A85" s="298" t="s">
        <v>331</v>
      </c>
      <c r="B85" s="282"/>
      <c r="C85" s="282"/>
      <c r="D85" s="159"/>
      <c r="E85" s="159"/>
      <c r="F85" s="805"/>
      <c r="G85" s="282"/>
      <c r="H85" s="159"/>
      <c r="I85" s="237"/>
      <c r="J85" s="291"/>
      <c r="K85" s="291"/>
      <c r="L85" s="159"/>
      <c r="M85" s="159"/>
    </row>
    <row r="86" spans="1:14" x14ac:dyDescent="0.2">
      <c r="A86" s="298" t="s">
        <v>12</v>
      </c>
      <c r="B86" s="230"/>
      <c r="C86" s="290"/>
      <c r="D86" s="159"/>
      <c r="E86" s="159"/>
      <c r="F86" s="229"/>
      <c r="G86" s="139"/>
      <c r="H86" s="159"/>
      <c r="I86" s="237"/>
      <c r="J86" s="291"/>
      <c r="K86" s="291"/>
      <c r="L86" s="159"/>
      <c r="M86" s="159"/>
    </row>
    <row r="87" spans="1:14" s="3" customFormat="1" x14ac:dyDescent="0.2">
      <c r="A87" s="298" t="s">
        <v>13</v>
      </c>
      <c r="B87" s="230"/>
      <c r="C87" s="290"/>
      <c r="D87" s="159"/>
      <c r="E87" s="159"/>
      <c r="F87" s="229"/>
      <c r="G87" s="139"/>
      <c r="H87" s="159"/>
      <c r="I87" s="237"/>
      <c r="J87" s="291"/>
      <c r="K87" s="291"/>
      <c r="L87" s="159"/>
      <c r="M87" s="159"/>
      <c r="N87" s="142"/>
    </row>
    <row r="88" spans="1:14" s="3" customFormat="1" x14ac:dyDescent="0.2">
      <c r="A88" s="18" t="s">
        <v>33</v>
      </c>
      <c r="B88" s="229"/>
      <c r="C88" s="139"/>
      <c r="D88" s="159"/>
      <c r="E88" s="159"/>
      <c r="F88" s="229"/>
      <c r="G88" s="139"/>
      <c r="H88" s="159"/>
      <c r="I88" s="170"/>
      <c r="J88" s="288"/>
      <c r="K88" s="37"/>
      <c r="L88" s="256"/>
      <c r="M88" s="170"/>
      <c r="N88" s="142"/>
    </row>
    <row r="89" spans="1:14" ht="15.75" x14ac:dyDescent="0.2">
      <c r="A89" s="18" t="s">
        <v>332</v>
      </c>
      <c r="B89" s="229"/>
      <c r="C89" s="229"/>
      <c r="D89" s="159"/>
      <c r="E89" s="159"/>
      <c r="F89" s="229"/>
      <c r="G89" s="229"/>
      <c r="H89" s="159"/>
      <c r="I89" s="170"/>
      <c r="J89" s="288"/>
      <c r="K89" s="37"/>
      <c r="L89" s="256"/>
      <c r="M89" s="170"/>
    </row>
    <row r="90" spans="1:14" x14ac:dyDescent="0.2">
      <c r="A90" s="18" t="s">
        <v>9</v>
      </c>
      <c r="B90" s="229"/>
      <c r="C90" s="139"/>
      <c r="D90" s="159"/>
      <c r="E90" s="159"/>
      <c r="F90" s="229"/>
      <c r="G90" s="139"/>
      <c r="H90" s="159"/>
      <c r="I90" s="170"/>
      <c r="J90" s="288"/>
      <c r="K90" s="37"/>
      <c r="L90" s="256"/>
      <c r="M90" s="170"/>
    </row>
    <row r="91" spans="1:14" x14ac:dyDescent="0.2">
      <c r="A91" s="18" t="s">
        <v>10</v>
      </c>
      <c r="B91" s="293"/>
      <c r="C91" s="294"/>
      <c r="D91" s="159"/>
      <c r="E91" s="159"/>
      <c r="F91" s="293"/>
      <c r="G91" s="294"/>
      <c r="H91" s="159"/>
      <c r="I91" s="170"/>
      <c r="J91" s="288"/>
      <c r="K91" s="37"/>
      <c r="L91" s="256"/>
      <c r="M91" s="170"/>
    </row>
    <row r="92" spans="1:14" ht="15.75" x14ac:dyDescent="0.2">
      <c r="A92" s="298" t="s">
        <v>330</v>
      </c>
      <c r="B92" s="282"/>
      <c r="C92" s="282"/>
      <c r="D92" s="159"/>
      <c r="E92" s="159"/>
      <c r="F92" s="805"/>
      <c r="G92" s="282"/>
      <c r="H92" s="159"/>
      <c r="I92" s="237"/>
      <c r="J92" s="291"/>
      <c r="K92" s="291"/>
      <c r="L92" s="159"/>
      <c r="M92" s="159"/>
    </row>
    <row r="93" spans="1:14" x14ac:dyDescent="0.2">
      <c r="A93" s="298" t="s">
        <v>12</v>
      </c>
      <c r="B93" s="230"/>
      <c r="C93" s="290"/>
      <c r="D93" s="159"/>
      <c r="E93" s="159"/>
      <c r="F93" s="229"/>
      <c r="G93" s="139"/>
      <c r="H93" s="159"/>
      <c r="I93" s="237"/>
      <c r="J93" s="291"/>
      <c r="K93" s="291"/>
      <c r="L93" s="159"/>
      <c r="M93" s="159"/>
    </row>
    <row r="94" spans="1:14" x14ac:dyDescent="0.2">
      <c r="A94" s="298" t="s">
        <v>13</v>
      </c>
      <c r="B94" s="230"/>
      <c r="C94" s="290"/>
      <c r="D94" s="159"/>
      <c r="E94" s="159"/>
      <c r="F94" s="229"/>
      <c r="G94" s="139"/>
      <c r="H94" s="159"/>
      <c r="I94" s="237"/>
      <c r="J94" s="291"/>
      <c r="K94" s="291"/>
      <c r="L94" s="159"/>
      <c r="M94" s="159"/>
    </row>
    <row r="95" spans="1:14" ht="15.75" x14ac:dyDescent="0.2">
      <c r="A95" s="298" t="s">
        <v>331</v>
      </c>
      <c r="B95" s="282"/>
      <c r="C95" s="282"/>
      <c r="D95" s="159"/>
      <c r="E95" s="159"/>
      <c r="F95" s="805"/>
      <c r="G95" s="282"/>
      <c r="H95" s="159"/>
      <c r="I95" s="237"/>
      <c r="J95" s="291"/>
      <c r="K95" s="291"/>
      <c r="L95" s="159"/>
      <c r="M95" s="159"/>
    </row>
    <row r="96" spans="1:14" x14ac:dyDescent="0.2">
      <c r="A96" s="298" t="s">
        <v>12</v>
      </c>
      <c r="B96" s="230"/>
      <c r="C96" s="290"/>
      <c r="D96" s="159"/>
      <c r="E96" s="159"/>
      <c r="F96" s="229"/>
      <c r="G96" s="139"/>
      <c r="H96" s="159"/>
      <c r="I96" s="237"/>
      <c r="J96" s="291"/>
      <c r="K96" s="291"/>
      <c r="L96" s="159"/>
      <c r="M96" s="159"/>
    </row>
    <row r="97" spans="1:13" x14ac:dyDescent="0.2">
      <c r="A97" s="298" t="s">
        <v>13</v>
      </c>
      <c r="B97" s="230"/>
      <c r="C97" s="290"/>
      <c r="D97" s="159"/>
      <c r="E97" s="159"/>
      <c r="F97" s="229"/>
      <c r="G97" s="139"/>
      <c r="H97" s="159"/>
      <c r="I97" s="237"/>
      <c r="J97" s="291"/>
      <c r="K97" s="291"/>
      <c r="L97" s="159"/>
      <c r="M97" s="159"/>
    </row>
    <row r="98" spans="1:13" ht="15.75" x14ac:dyDescent="0.2">
      <c r="A98" s="18" t="s">
        <v>342</v>
      </c>
      <c r="B98" s="229"/>
      <c r="C98" s="139"/>
      <c r="D98" s="159"/>
      <c r="E98" s="159"/>
      <c r="F98" s="229"/>
      <c r="G98" s="139"/>
      <c r="H98" s="159"/>
      <c r="I98" s="170"/>
      <c r="J98" s="288"/>
      <c r="K98" s="37"/>
      <c r="L98" s="256"/>
      <c r="M98" s="170"/>
    </row>
    <row r="99" spans="1:13" ht="15.75" x14ac:dyDescent="0.2">
      <c r="A99" s="11" t="s">
        <v>29</v>
      </c>
      <c r="B99" s="310"/>
      <c r="C99" s="310"/>
      <c r="D99" s="159"/>
      <c r="E99" s="159"/>
      <c r="F99" s="310"/>
      <c r="G99" s="310"/>
      <c r="H99" s="159"/>
      <c r="I99" s="170"/>
      <c r="J99" s="311"/>
      <c r="K99" s="231"/>
      <c r="L99" s="256"/>
      <c r="M99" s="170"/>
    </row>
    <row r="100" spans="1:13" x14ac:dyDescent="0.2">
      <c r="A100" s="18" t="s">
        <v>9</v>
      </c>
      <c r="B100" s="229"/>
      <c r="C100" s="139"/>
      <c r="D100" s="159"/>
      <c r="E100" s="159"/>
      <c r="F100" s="229"/>
      <c r="G100" s="139"/>
      <c r="H100" s="159"/>
      <c r="I100" s="170"/>
      <c r="J100" s="288"/>
      <c r="K100" s="37"/>
      <c r="L100" s="256"/>
      <c r="M100" s="170"/>
    </row>
    <row r="101" spans="1:13" x14ac:dyDescent="0.2">
      <c r="A101" s="18" t="s">
        <v>10</v>
      </c>
      <c r="B101" s="229"/>
      <c r="C101" s="139"/>
      <c r="D101" s="159"/>
      <c r="E101" s="159"/>
      <c r="F101" s="229"/>
      <c r="G101" s="139"/>
      <c r="H101" s="159"/>
      <c r="I101" s="170"/>
      <c r="J101" s="288"/>
      <c r="K101" s="37"/>
      <c r="L101" s="256"/>
      <c r="M101" s="170"/>
    </row>
    <row r="102" spans="1:13" ht="15.75" x14ac:dyDescent="0.2">
      <c r="A102" s="298" t="s">
        <v>330</v>
      </c>
      <c r="B102" s="282"/>
      <c r="C102" s="282"/>
      <c r="D102" s="159"/>
      <c r="E102" s="159"/>
      <c r="F102" s="805"/>
      <c r="G102" s="282"/>
      <c r="H102" s="159"/>
      <c r="I102" s="237"/>
      <c r="J102" s="291"/>
      <c r="K102" s="291"/>
      <c r="L102" s="159"/>
      <c r="M102" s="159"/>
    </row>
    <row r="103" spans="1:13" x14ac:dyDescent="0.2">
      <c r="A103" s="298" t="s">
        <v>12</v>
      </c>
      <c r="B103" s="230"/>
      <c r="C103" s="290"/>
      <c r="D103" s="159"/>
      <c r="E103" s="159"/>
      <c r="F103" s="229"/>
      <c r="G103" s="139"/>
      <c r="H103" s="159"/>
      <c r="I103" s="237"/>
      <c r="J103" s="291"/>
      <c r="K103" s="291"/>
      <c r="L103" s="159"/>
      <c r="M103" s="159"/>
    </row>
    <row r="104" spans="1:13" x14ac:dyDescent="0.2">
      <c r="A104" s="298" t="s">
        <v>13</v>
      </c>
      <c r="B104" s="230"/>
      <c r="C104" s="290"/>
      <c r="D104" s="159"/>
      <c r="E104" s="159"/>
      <c r="F104" s="229"/>
      <c r="G104" s="139"/>
      <c r="H104" s="159"/>
      <c r="I104" s="237"/>
      <c r="J104" s="291"/>
      <c r="K104" s="291"/>
      <c r="L104" s="159"/>
      <c r="M104" s="159"/>
    </row>
    <row r="105" spans="1:13" ht="15.75" x14ac:dyDescent="0.2">
      <c r="A105" s="298" t="s">
        <v>331</v>
      </c>
      <c r="B105" s="282"/>
      <c r="C105" s="282"/>
      <c r="D105" s="159"/>
      <c r="E105" s="159"/>
      <c r="F105" s="805"/>
      <c r="G105" s="282"/>
      <c r="H105" s="159"/>
      <c r="I105" s="237"/>
      <c r="J105" s="291"/>
      <c r="K105" s="291"/>
      <c r="L105" s="159"/>
      <c r="M105" s="159"/>
    </row>
    <row r="106" spans="1:13" x14ac:dyDescent="0.2">
      <c r="A106" s="298" t="s">
        <v>12</v>
      </c>
      <c r="B106" s="230"/>
      <c r="C106" s="290"/>
      <c r="D106" s="159"/>
      <c r="E106" s="159"/>
      <c r="F106" s="229"/>
      <c r="G106" s="139"/>
      <c r="H106" s="159"/>
      <c r="I106" s="237"/>
      <c r="J106" s="291"/>
      <c r="K106" s="291"/>
      <c r="L106" s="159"/>
      <c r="M106" s="159"/>
    </row>
    <row r="107" spans="1:13" x14ac:dyDescent="0.2">
      <c r="A107" s="298" t="s">
        <v>13</v>
      </c>
      <c r="B107" s="230"/>
      <c r="C107" s="290"/>
      <c r="D107" s="159"/>
      <c r="E107" s="159"/>
      <c r="F107" s="229"/>
      <c r="G107" s="139"/>
      <c r="H107" s="159"/>
      <c r="I107" s="237"/>
      <c r="J107" s="291"/>
      <c r="K107" s="291"/>
      <c r="L107" s="159"/>
      <c r="M107" s="159"/>
    </row>
    <row r="108" spans="1:13" x14ac:dyDescent="0.2">
      <c r="A108" s="18" t="s">
        <v>33</v>
      </c>
      <c r="B108" s="229"/>
      <c r="C108" s="139"/>
      <c r="D108" s="159"/>
      <c r="E108" s="159"/>
      <c r="F108" s="229"/>
      <c r="G108" s="139"/>
      <c r="H108" s="159"/>
      <c r="I108" s="170"/>
      <c r="J108" s="288"/>
      <c r="K108" s="37"/>
      <c r="L108" s="256"/>
      <c r="M108" s="170"/>
    </row>
    <row r="109" spans="1:13" ht="15.75" x14ac:dyDescent="0.2">
      <c r="A109" s="18" t="s">
        <v>332</v>
      </c>
      <c r="B109" s="229"/>
      <c r="C109" s="139"/>
      <c r="D109" s="159"/>
      <c r="E109" s="159"/>
      <c r="F109" s="229"/>
      <c r="G109" s="139"/>
      <c r="H109" s="159"/>
      <c r="I109" s="170"/>
      <c r="J109" s="288"/>
      <c r="K109" s="37"/>
      <c r="L109" s="256"/>
      <c r="M109" s="170"/>
    </row>
    <row r="110" spans="1:13" x14ac:dyDescent="0.2">
      <c r="A110" s="18" t="s">
        <v>9</v>
      </c>
      <c r="B110" s="229"/>
      <c r="C110" s="139"/>
      <c r="D110" s="159"/>
      <c r="E110" s="159"/>
      <c r="F110" s="229"/>
      <c r="G110" s="139"/>
      <c r="H110" s="159"/>
      <c r="I110" s="170"/>
      <c r="J110" s="288"/>
      <c r="K110" s="37"/>
      <c r="L110" s="256"/>
      <c r="M110" s="170"/>
    </row>
    <row r="111" spans="1:13" x14ac:dyDescent="0.2">
      <c r="A111" s="18" t="s">
        <v>10</v>
      </c>
      <c r="B111" s="293"/>
      <c r="C111" s="294"/>
      <c r="D111" s="159"/>
      <c r="E111" s="159"/>
      <c r="F111" s="293"/>
      <c r="G111" s="294"/>
      <c r="H111" s="159"/>
      <c r="I111" s="170"/>
      <c r="J111" s="288"/>
      <c r="K111" s="37"/>
      <c r="L111" s="256"/>
      <c r="M111" s="170"/>
    </row>
    <row r="112" spans="1:13" ht="15.75" x14ac:dyDescent="0.2">
      <c r="A112" s="298" t="s">
        <v>330</v>
      </c>
      <c r="B112" s="282"/>
      <c r="C112" s="282"/>
      <c r="D112" s="159"/>
      <c r="E112" s="159"/>
      <c r="F112" s="805"/>
      <c r="G112" s="282"/>
      <c r="H112" s="159"/>
      <c r="I112" s="237"/>
      <c r="J112" s="291"/>
      <c r="K112" s="291"/>
      <c r="L112" s="159"/>
      <c r="M112" s="159"/>
    </row>
    <row r="113" spans="1:13" x14ac:dyDescent="0.2">
      <c r="A113" s="298" t="s">
        <v>12</v>
      </c>
      <c r="B113" s="230"/>
      <c r="C113" s="290"/>
      <c r="D113" s="159"/>
      <c r="E113" s="159"/>
      <c r="F113" s="229"/>
      <c r="G113" s="139"/>
      <c r="H113" s="159"/>
      <c r="I113" s="237"/>
      <c r="J113" s="291"/>
      <c r="K113" s="291"/>
      <c r="L113" s="159"/>
      <c r="M113" s="159"/>
    </row>
    <row r="114" spans="1:13" x14ac:dyDescent="0.2">
      <c r="A114" s="298" t="s">
        <v>13</v>
      </c>
      <c r="B114" s="230"/>
      <c r="C114" s="290"/>
      <c r="D114" s="159"/>
      <c r="E114" s="159"/>
      <c r="F114" s="229"/>
      <c r="G114" s="139"/>
      <c r="H114" s="159"/>
      <c r="I114" s="237"/>
      <c r="J114" s="291"/>
      <c r="K114" s="291"/>
      <c r="L114" s="159"/>
      <c r="M114" s="159"/>
    </row>
    <row r="115" spans="1:13" ht="15.75" x14ac:dyDescent="0.2">
      <c r="A115" s="298" t="s">
        <v>331</v>
      </c>
      <c r="B115" s="282"/>
      <c r="C115" s="282"/>
      <c r="D115" s="159"/>
      <c r="E115" s="159"/>
      <c r="F115" s="805"/>
      <c r="G115" s="282"/>
      <c r="H115" s="159"/>
      <c r="I115" s="237"/>
      <c r="J115" s="291"/>
      <c r="K115" s="291"/>
      <c r="L115" s="159"/>
      <c r="M115" s="159"/>
    </row>
    <row r="116" spans="1:13" x14ac:dyDescent="0.2">
      <c r="A116" s="298" t="s">
        <v>12</v>
      </c>
      <c r="B116" s="230"/>
      <c r="C116" s="290"/>
      <c r="D116" s="159"/>
      <c r="E116" s="159"/>
      <c r="F116" s="229"/>
      <c r="G116" s="139"/>
      <c r="H116" s="159"/>
      <c r="I116" s="237"/>
      <c r="J116" s="291"/>
      <c r="K116" s="291"/>
      <c r="L116" s="159"/>
      <c r="M116" s="159"/>
    </row>
    <row r="117" spans="1:13" x14ac:dyDescent="0.2">
      <c r="A117" s="298" t="s">
        <v>13</v>
      </c>
      <c r="B117" s="232"/>
      <c r="C117" s="297"/>
      <c r="D117" s="159"/>
      <c r="E117" s="159"/>
      <c r="F117" s="233"/>
      <c r="G117" s="807"/>
      <c r="H117" s="159"/>
      <c r="I117" s="237"/>
      <c r="J117" s="291"/>
      <c r="K117" s="291"/>
      <c r="L117" s="159"/>
      <c r="M117" s="159"/>
    </row>
    <row r="118" spans="1:13" ht="15.75" x14ac:dyDescent="0.2">
      <c r="A118" s="18" t="s">
        <v>342</v>
      </c>
      <c r="B118" s="229"/>
      <c r="C118" s="139"/>
      <c r="D118" s="159"/>
      <c r="E118" s="159"/>
      <c r="F118" s="229"/>
      <c r="G118" s="139"/>
      <c r="H118" s="159"/>
      <c r="I118" s="170"/>
      <c r="J118" s="288"/>
      <c r="K118" s="37"/>
      <c r="L118" s="256"/>
      <c r="M118" s="170"/>
    </row>
    <row r="119" spans="1:13" ht="15.75" x14ac:dyDescent="0.2">
      <c r="A119" s="11" t="s">
        <v>28</v>
      </c>
      <c r="B119" s="355"/>
      <c r="C119" s="355"/>
      <c r="D119" s="159"/>
      <c r="E119" s="159"/>
      <c r="F119" s="355"/>
      <c r="G119" s="355"/>
      <c r="H119" s="159"/>
      <c r="I119" s="170"/>
      <c r="J119" s="311"/>
      <c r="K119" s="231"/>
      <c r="L119" s="256"/>
      <c r="M119" s="170"/>
    </row>
    <row r="120" spans="1:13" x14ac:dyDescent="0.2">
      <c r="A120" s="18" t="s">
        <v>9</v>
      </c>
      <c r="B120" s="229"/>
      <c r="C120" s="139"/>
      <c r="D120" s="159"/>
      <c r="E120" s="159"/>
      <c r="F120" s="229"/>
      <c r="G120" s="139"/>
      <c r="H120" s="159"/>
      <c r="I120" s="170"/>
      <c r="J120" s="288"/>
      <c r="K120" s="37"/>
      <c r="L120" s="256"/>
      <c r="M120" s="170"/>
    </row>
    <row r="121" spans="1:13" x14ac:dyDescent="0.2">
      <c r="A121" s="18" t="s">
        <v>10</v>
      </c>
      <c r="B121" s="229"/>
      <c r="C121" s="139"/>
      <c r="D121" s="159"/>
      <c r="E121" s="159"/>
      <c r="F121" s="229"/>
      <c r="G121" s="139"/>
      <c r="H121" s="159"/>
      <c r="I121" s="170"/>
      <c r="J121" s="288"/>
      <c r="K121" s="37"/>
      <c r="L121" s="256"/>
      <c r="M121" s="170"/>
    </row>
    <row r="122" spans="1:13" ht="15.75" x14ac:dyDescent="0.2">
      <c r="A122" s="298" t="s">
        <v>330</v>
      </c>
      <c r="B122" s="282"/>
      <c r="C122" s="282"/>
      <c r="D122" s="159"/>
      <c r="E122" s="159"/>
      <c r="F122" s="805"/>
      <c r="G122" s="282"/>
      <c r="H122" s="159"/>
      <c r="I122" s="237"/>
      <c r="J122" s="291"/>
      <c r="K122" s="291"/>
      <c r="L122" s="159"/>
      <c r="M122" s="159"/>
    </row>
    <row r="123" spans="1:13" x14ac:dyDescent="0.2">
      <c r="A123" s="298" t="s">
        <v>12</v>
      </c>
      <c r="B123" s="230"/>
      <c r="C123" s="290"/>
      <c r="D123" s="159"/>
      <c r="E123" s="159"/>
      <c r="F123" s="229"/>
      <c r="G123" s="139"/>
      <c r="H123" s="159"/>
      <c r="I123" s="237"/>
      <c r="J123" s="291"/>
      <c r="K123" s="291"/>
      <c r="L123" s="159"/>
      <c r="M123" s="159"/>
    </row>
    <row r="124" spans="1:13" x14ac:dyDescent="0.2">
      <c r="A124" s="298" t="s">
        <v>13</v>
      </c>
      <c r="B124" s="230"/>
      <c r="C124" s="290"/>
      <c r="D124" s="159"/>
      <c r="E124" s="159"/>
      <c r="F124" s="229"/>
      <c r="G124" s="139"/>
      <c r="H124" s="159"/>
      <c r="I124" s="237"/>
      <c r="J124" s="291"/>
      <c r="K124" s="291"/>
      <c r="L124" s="159"/>
      <c r="M124" s="159"/>
    </row>
    <row r="125" spans="1:13" ht="15.75" x14ac:dyDescent="0.2">
      <c r="A125" s="298" t="s">
        <v>331</v>
      </c>
      <c r="B125" s="282"/>
      <c r="C125" s="282"/>
      <c r="D125" s="159"/>
      <c r="E125" s="159"/>
      <c r="F125" s="805"/>
      <c r="G125" s="282"/>
      <c r="H125" s="159"/>
      <c r="I125" s="237"/>
      <c r="J125" s="291"/>
      <c r="K125" s="291"/>
      <c r="L125" s="159"/>
      <c r="M125" s="159"/>
    </row>
    <row r="126" spans="1:13" x14ac:dyDescent="0.2">
      <c r="A126" s="298" t="s">
        <v>12</v>
      </c>
      <c r="B126" s="230"/>
      <c r="C126" s="290"/>
      <c r="D126" s="159"/>
      <c r="E126" s="159"/>
      <c r="F126" s="229"/>
      <c r="G126" s="139"/>
      <c r="H126" s="159"/>
      <c r="I126" s="237"/>
      <c r="J126" s="291"/>
      <c r="K126" s="291"/>
      <c r="L126" s="159"/>
      <c r="M126" s="159"/>
    </row>
    <row r="127" spans="1:13" x14ac:dyDescent="0.2">
      <c r="A127" s="298" t="s">
        <v>13</v>
      </c>
      <c r="B127" s="230"/>
      <c r="C127" s="290"/>
      <c r="D127" s="159"/>
      <c r="E127" s="159"/>
      <c r="F127" s="229"/>
      <c r="G127" s="139"/>
      <c r="H127" s="159"/>
      <c r="I127" s="237"/>
      <c r="J127" s="291"/>
      <c r="K127" s="291"/>
      <c r="L127" s="159"/>
      <c r="M127" s="159"/>
    </row>
    <row r="128" spans="1:13" x14ac:dyDescent="0.2">
      <c r="A128" s="18" t="s">
        <v>34</v>
      </c>
      <c r="B128" s="229"/>
      <c r="C128" s="139"/>
      <c r="D128" s="159"/>
      <c r="E128" s="159"/>
      <c r="F128" s="229"/>
      <c r="G128" s="139"/>
      <c r="H128" s="159"/>
      <c r="I128" s="170"/>
      <c r="J128" s="288"/>
      <c r="K128" s="37"/>
      <c r="L128" s="256"/>
      <c r="M128" s="170"/>
    </row>
    <row r="129" spans="1:13" ht="15.75" x14ac:dyDescent="0.2">
      <c r="A129" s="18" t="s">
        <v>332</v>
      </c>
      <c r="B129" s="229"/>
      <c r="C129" s="229"/>
      <c r="D129" s="159"/>
      <c r="E129" s="159"/>
      <c r="F129" s="229"/>
      <c r="G129" s="229"/>
      <c r="H129" s="159"/>
      <c r="I129" s="170"/>
      <c r="J129" s="288"/>
      <c r="K129" s="37"/>
      <c r="L129" s="256"/>
      <c r="M129" s="170"/>
    </row>
    <row r="130" spans="1:13" x14ac:dyDescent="0.2">
      <c r="A130" s="18" t="s">
        <v>9</v>
      </c>
      <c r="B130" s="293"/>
      <c r="C130" s="294"/>
      <c r="D130" s="159"/>
      <c r="E130" s="159"/>
      <c r="F130" s="293"/>
      <c r="G130" s="294"/>
      <c r="H130" s="159"/>
      <c r="I130" s="170"/>
      <c r="J130" s="288"/>
      <c r="K130" s="37"/>
      <c r="L130" s="256"/>
      <c r="M130" s="170"/>
    </row>
    <row r="131" spans="1:13" x14ac:dyDescent="0.2">
      <c r="A131" s="18" t="s">
        <v>10</v>
      </c>
      <c r="B131" s="293"/>
      <c r="C131" s="294"/>
      <c r="D131" s="159"/>
      <c r="E131" s="159"/>
      <c r="F131" s="293"/>
      <c r="G131" s="294"/>
      <c r="H131" s="159"/>
      <c r="I131" s="170"/>
      <c r="J131" s="288"/>
      <c r="K131" s="37"/>
      <c r="L131" s="256"/>
      <c r="M131" s="170"/>
    </row>
    <row r="132" spans="1:13" ht="15.75" x14ac:dyDescent="0.2">
      <c r="A132" s="298" t="s">
        <v>330</v>
      </c>
      <c r="B132" s="282"/>
      <c r="C132" s="282"/>
      <c r="D132" s="159"/>
      <c r="E132" s="159"/>
      <c r="F132" s="805"/>
      <c r="G132" s="282"/>
      <c r="H132" s="159"/>
      <c r="I132" s="237"/>
      <c r="J132" s="291"/>
      <c r="K132" s="291"/>
      <c r="L132" s="159"/>
      <c r="M132" s="159"/>
    </row>
    <row r="133" spans="1:13" x14ac:dyDescent="0.2">
      <c r="A133" s="298" t="s">
        <v>12</v>
      </c>
      <c r="B133" s="230"/>
      <c r="C133" s="290"/>
      <c r="D133" s="159"/>
      <c r="E133" s="159"/>
      <c r="F133" s="229"/>
      <c r="G133" s="139"/>
      <c r="H133" s="159"/>
      <c r="I133" s="237"/>
      <c r="J133" s="291"/>
      <c r="K133" s="291"/>
      <c r="L133" s="159"/>
      <c r="M133" s="159"/>
    </row>
    <row r="134" spans="1:13" x14ac:dyDescent="0.2">
      <c r="A134" s="298" t="s">
        <v>13</v>
      </c>
      <c r="B134" s="230"/>
      <c r="C134" s="290"/>
      <c r="D134" s="159"/>
      <c r="E134" s="159"/>
      <c r="F134" s="229"/>
      <c r="G134" s="139"/>
      <c r="H134" s="159"/>
      <c r="I134" s="237"/>
      <c r="J134" s="291"/>
      <c r="K134" s="291"/>
      <c r="L134" s="159"/>
      <c r="M134" s="159"/>
    </row>
    <row r="135" spans="1:13" ht="15.75" x14ac:dyDescent="0.2">
      <c r="A135" s="298" t="s">
        <v>331</v>
      </c>
      <c r="B135" s="282"/>
      <c r="C135" s="282"/>
      <c r="D135" s="159"/>
      <c r="E135" s="159"/>
      <c r="F135" s="805"/>
      <c r="G135" s="282"/>
      <c r="H135" s="159"/>
      <c r="I135" s="237"/>
      <c r="J135" s="291"/>
      <c r="K135" s="291"/>
      <c r="L135" s="159"/>
      <c r="M135" s="159"/>
    </row>
    <row r="136" spans="1:13" x14ac:dyDescent="0.2">
      <c r="A136" s="298" t="s">
        <v>12</v>
      </c>
      <c r="B136" s="230"/>
      <c r="C136" s="290"/>
      <c r="D136" s="159"/>
      <c r="E136" s="159"/>
      <c r="F136" s="229"/>
      <c r="G136" s="139"/>
      <c r="H136" s="159"/>
      <c r="I136" s="237"/>
      <c r="J136" s="291"/>
      <c r="K136" s="291"/>
      <c r="L136" s="159"/>
      <c r="M136" s="159"/>
    </row>
    <row r="137" spans="1:13" x14ac:dyDescent="0.2">
      <c r="A137" s="298" t="s">
        <v>13</v>
      </c>
      <c r="B137" s="230"/>
      <c r="C137" s="290"/>
      <c r="D137" s="159"/>
      <c r="E137" s="159"/>
      <c r="F137" s="229"/>
      <c r="G137" s="139"/>
      <c r="H137" s="159"/>
      <c r="I137" s="237"/>
      <c r="J137" s="291"/>
      <c r="K137" s="291"/>
      <c r="L137" s="159"/>
      <c r="M137" s="159"/>
    </row>
    <row r="138" spans="1:13" ht="15.75" x14ac:dyDescent="0.2">
      <c r="A138" s="18" t="s">
        <v>342</v>
      </c>
      <c r="B138" s="229"/>
      <c r="C138" s="139"/>
      <c r="D138" s="159"/>
      <c r="E138" s="159"/>
      <c r="F138" s="229"/>
      <c r="G138" s="139"/>
      <c r="H138" s="159"/>
      <c r="I138" s="170"/>
      <c r="J138" s="288"/>
      <c r="K138" s="37"/>
      <c r="L138" s="256"/>
      <c r="M138" s="170"/>
    </row>
    <row r="139" spans="1:13" ht="15.75" x14ac:dyDescent="0.2">
      <c r="A139" s="18" t="s">
        <v>343</v>
      </c>
      <c r="B139" s="229"/>
      <c r="C139" s="229"/>
      <c r="D139" s="159"/>
      <c r="E139" s="159"/>
      <c r="F139" s="229"/>
      <c r="G139" s="229"/>
      <c r="H139" s="159"/>
      <c r="I139" s="170"/>
      <c r="J139" s="288"/>
      <c r="K139" s="37"/>
      <c r="L139" s="256"/>
      <c r="M139" s="170"/>
    </row>
    <row r="140" spans="1:13" ht="15.75" x14ac:dyDescent="0.2">
      <c r="A140" s="18" t="s">
        <v>334</v>
      </c>
      <c r="B140" s="229"/>
      <c r="C140" s="229"/>
      <c r="D140" s="159"/>
      <c r="E140" s="159"/>
      <c r="F140" s="229"/>
      <c r="G140" s="229"/>
      <c r="H140" s="159"/>
      <c r="I140" s="170"/>
      <c r="J140" s="288"/>
      <c r="K140" s="37"/>
      <c r="L140" s="256"/>
      <c r="M140" s="170"/>
    </row>
    <row r="141" spans="1:13" ht="15.75" x14ac:dyDescent="0.2">
      <c r="A141" s="18" t="s">
        <v>335</v>
      </c>
      <c r="B141" s="229"/>
      <c r="C141" s="229"/>
      <c r="D141" s="159"/>
      <c r="E141" s="159"/>
      <c r="F141" s="229"/>
      <c r="G141" s="229"/>
      <c r="H141" s="159"/>
      <c r="I141" s="170"/>
      <c r="J141" s="288"/>
      <c r="K141" s="37"/>
      <c r="L141" s="256"/>
      <c r="M141" s="170"/>
    </row>
    <row r="142" spans="1:13" ht="15.75" x14ac:dyDescent="0.2">
      <c r="A142" s="11" t="s">
        <v>27</v>
      </c>
      <c r="B142" s="310"/>
      <c r="C142" s="152"/>
      <c r="D142" s="159"/>
      <c r="E142" s="159"/>
      <c r="F142" s="310"/>
      <c r="G142" s="152"/>
      <c r="H142" s="159"/>
      <c r="I142" s="170"/>
      <c r="J142" s="311"/>
      <c r="K142" s="231"/>
      <c r="L142" s="256"/>
      <c r="M142" s="170"/>
    </row>
    <row r="143" spans="1:13" x14ac:dyDescent="0.2">
      <c r="A143" s="18" t="s">
        <v>9</v>
      </c>
      <c r="B143" s="229"/>
      <c r="C143" s="139"/>
      <c r="D143" s="159"/>
      <c r="E143" s="159"/>
      <c r="F143" s="229"/>
      <c r="G143" s="139"/>
      <c r="H143" s="159"/>
      <c r="I143" s="170"/>
      <c r="J143" s="288"/>
      <c r="K143" s="37"/>
      <c r="L143" s="256"/>
      <c r="M143" s="170"/>
    </row>
    <row r="144" spans="1:13" x14ac:dyDescent="0.2">
      <c r="A144" s="18" t="s">
        <v>10</v>
      </c>
      <c r="B144" s="229"/>
      <c r="C144" s="139"/>
      <c r="D144" s="159"/>
      <c r="E144" s="159"/>
      <c r="F144" s="229"/>
      <c r="G144" s="139"/>
      <c r="H144" s="159"/>
      <c r="I144" s="170"/>
      <c r="J144" s="288"/>
      <c r="K144" s="37"/>
      <c r="L144" s="256"/>
      <c r="M144" s="170"/>
    </row>
    <row r="145" spans="1:14" x14ac:dyDescent="0.2">
      <c r="A145" s="18" t="s">
        <v>34</v>
      </c>
      <c r="B145" s="229"/>
      <c r="C145" s="139"/>
      <c r="D145" s="159"/>
      <c r="E145" s="159"/>
      <c r="F145" s="229"/>
      <c r="G145" s="139"/>
      <c r="H145" s="159"/>
      <c r="I145" s="170"/>
      <c r="J145" s="288"/>
      <c r="K145" s="37"/>
      <c r="L145" s="256"/>
      <c r="M145" s="170"/>
    </row>
    <row r="146" spans="1:14" x14ac:dyDescent="0.2">
      <c r="A146" s="298" t="s">
        <v>15</v>
      </c>
      <c r="B146" s="282"/>
      <c r="C146" s="282"/>
      <c r="D146" s="159"/>
      <c r="E146" s="159"/>
      <c r="F146" s="805"/>
      <c r="G146" s="282"/>
      <c r="H146" s="159"/>
      <c r="I146" s="237"/>
      <c r="J146" s="291"/>
      <c r="K146" s="291"/>
      <c r="L146" s="159"/>
      <c r="M146" s="159"/>
    </row>
    <row r="147" spans="1:14" ht="15.75" x14ac:dyDescent="0.2">
      <c r="A147" s="18" t="s">
        <v>344</v>
      </c>
      <c r="B147" s="229"/>
      <c r="C147" s="229"/>
      <c r="D147" s="159"/>
      <c r="E147" s="159"/>
      <c r="F147" s="229"/>
      <c r="G147" s="229"/>
      <c r="H147" s="159"/>
      <c r="I147" s="170"/>
      <c r="J147" s="288"/>
      <c r="K147" s="37"/>
      <c r="L147" s="256"/>
      <c r="M147" s="170"/>
    </row>
    <row r="148" spans="1:14" ht="15.75" x14ac:dyDescent="0.2">
      <c r="A148" s="18" t="s">
        <v>336</v>
      </c>
      <c r="B148" s="229"/>
      <c r="C148" s="229"/>
      <c r="D148" s="159"/>
      <c r="E148" s="159"/>
      <c r="F148" s="229"/>
      <c r="G148" s="229"/>
      <c r="H148" s="159"/>
      <c r="I148" s="170"/>
      <c r="J148" s="288"/>
      <c r="K148" s="37"/>
      <c r="L148" s="256"/>
      <c r="M148" s="170"/>
    </row>
    <row r="149" spans="1:14" ht="15.75" x14ac:dyDescent="0.2">
      <c r="A149" s="18" t="s">
        <v>335</v>
      </c>
      <c r="B149" s="229"/>
      <c r="C149" s="229"/>
      <c r="D149" s="159"/>
      <c r="E149" s="159"/>
      <c r="F149" s="229"/>
      <c r="G149" s="229"/>
      <c r="H149" s="159"/>
      <c r="I149" s="170"/>
      <c r="J149" s="288"/>
      <c r="K149" s="37"/>
      <c r="L149" s="256"/>
      <c r="M149" s="170"/>
    </row>
    <row r="150" spans="1:14" ht="15.75" x14ac:dyDescent="0.2">
      <c r="A150" s="11" t="s">
        <v>26</v>
      </c>
      <c r="B150" s="310"/>
      <c r="C150" s="152"/>
      <c r="D150" s="159"/>
      <c r="E150" s="159"/>
      <c r="F150" s="310"/>
      <c r="G150" s="152"/>
      <c r="H150" s="159"/>
      <c r="I150" s="170"/>
      <c r="J150" s="311"/>
      <c r="K150" s="231"/>
      <c r="L150" s="256"/>
      <c r="M150" s="170"/>
    </row>
    <row r="151" spans="1:14" x14ac:dyDescent="0.2">
      <c r="A151" s="18" t="s">
        <v>9</v>
      </c>
      <c r="B151" s="229"/>
      <c r="C151" s="139"/>
      <c r="D151" s="159"/>
      <c r="E151" s="159"/>
      <c r="F151" s="229"/>
      <c r="G151" s="139"/>
      <c r="H151" s="159"/>
      <c r="I151" s="170"/>
      <c r="J151" s="288"/>
      <c r="K151" s="37"/>
      <c r="L151" s="256"/>
      <c r="M151" s="170"/>
    </row>
    <row r="152" spans="1:14" x14ac:dyDescent="0.2">
      <c r="A152" s="18" t="s">
        <v>10</v>
      </c>
      <c r="B152" s="229"/>
      <c r="C152" s="139"/>
      <c r="D152" s="159"/>
      <c r="E152" s="159"/>
      <c r="F152" s="229"/>
      <c r="G152" s="139"/>
      <c r="H152" s="159"/>
      <c r="I152" s="170"/>
      <c r="J152" s="288"/>
      <c r="K152" s="37"/>
      <c r="L152" s="256"/>
      <c r="M152" s="170"/>
    </row>
    <row r="153" spans="1:14" x14ac:dyDescent="0.2">
      <c r="A153" s="18" t="s">
        <v>34</v>
      </c>
      <c r="B153" s="229"/>
      <c r="C153" s="139"/>
      <c r="D153" s="159"/>
      <c r="E153" s="159"/>
      <c r="F153" s="229"/>
      <c r="G153" s="139"/>
      <c r="H153" s="159"/>
      <c r="I153" s="170"/>
      <c r="J153" s="288"/>
      <c r="K153" s="37"/>
      <c r="L153" s="256"/>
      <c r="M153" s="170"/>
    </row>
    <row r="154" spans="1:14" x14ac:dyDescent="0.2">
      <c r="A154" s="298" t="s">
        <v>14</v>
      </c>
      <c r="B154" s="282"/>
      <c r="C154" s="282"/>
      <c r="D154" s="159"/>
      <c r="E154" s="159"/>
      <c r="F154" s="805"/>
      <c r="G154" s="282"/>
      <c r="H154" s="159"/>
      <c r="I154" s="237"/>
      <c r="J154" s="291"/>
      <c r="K154" s="291"/>
      <c r="L154" s="159"/>
      <c r="M154" s="159"/>
    </row>
    <row r="155" spans="1:14" ht="15.75" x14ac:dyDescent="0.2">
      <c r="A155" s="18" t="s">
        <v>333</v>
      </c>
      <c r="B155" s="229"/>
      <c r="C155" s="229"/>
      <c r="D155" s="159"/>
      <c r="E155" s="159"/>
      <c r="F155" s="229"/>
      <c r="G155" s="229"/>
      <c r="H155" s="159"/>
      <c r="I155" s="170"/>
      <c r="J155" s="288"/>
      <c r="K155" s="37"/>
      <c r="L155" s="256"/>
      <c r="M155" s="170"/>
    </row>
    <row r="156" spans="1:14" ht="15.75" x14ac:dyDescent="0.2">
      <c r="A156" s="18" t="s">
        <v>334</v>
      </c>
      <c r="B156" s="229"/>
      <c r="C156" s="229"/>
      <c r="D156" s="159"/>
      <c r="E156" s="159"/>
      <c r="F156" s="229"/>
      <c r="G156" s="229"/>
      <c r="H156" s="159"/>
      <c r="I156" s="170"/>
      <c r="J156" s="288"/>
      <c r="K156" s="37"/>
      <c r="L156" s="256"/>
      <c r="M156" s="170"/>
    </row>
    <row r="157" spans="1:14" ht="15.75" x14ac:dyDescent="0.2">
      <c r="A157" s="9" t="s">
        <v>335</v>
      </c>
      <c r="B157" s="38"/>
      <c r="C157" s="38"/>
      <c r="D157" s="160"/>
      <c r="E157" s="160"/>
      <c r="F157" s="400"/>
      <c r="G157" s="38"/>
      <c r="H157" s="160"/>
      <c r="I157" s="160"/>
      <c r="J157" s="289"/>
      <c r="K157" s="38"/>
      <c r="L157" s="257"/>
      <c r="M157" s="160"/>
    </row>
    <row r="158" spans="1:14" x14ac:dyDescent="0.2">
      <c r="A158" s="148"/>
      <c r="L158" s="20"/>
      <c r="M158" s="20"/>
      <c r="N158" s="20"/>
    </row>
    <row r="159" spans="1:14" x14ac:dyDescent="0.2">
      <c r="L159" s="20"/>
      <c r="M159" s="20"/>
      <c r="N159" s="20"/>
    </row>
    <row r="160" spans="1:14" ht="15.75" x14ac:dyDescent="0.25">
      <c r="A160" s="158" t="s">
        <v>35</v>
      </c>
    </row>
    <row r="161" spans="1:14" ht="15.75" x14ac:dyDescent="0.25">
      <c r="B161" s="832"/>
      <c r="C161" s="832"/>
      <c r="D161" s="832"/>
      <c r="E161" s="301"/>
      <c r="F161" s="832"/>
      <c r="G161" s="832"/>
      <c r="H161" s="832"/>
      <c r="I161" s="301"/>
      <c r="J161" s="832"/>
      <c r="K161" s="832"/>
      <c r="L161" s="832"/>
      <c r="M161" s="301"/>
    </row>
    <row r="162" spans="1:14" s="3" customFormat="1" x14ac:dyDescent="0.2">
      <c r="A162" s="138"/>
      <c r="B162" s="833" t="s">
        <v>0</v>
      </c>
      <c r="C162" s="834"/>
      <c r="D162" s="834"/>
      <c r="E162" s="303"/>
      <c r="F162" s="833" t="s">
        <v>1</v>
      </c>
      <c r="G162" s="834"/>
      <c r="H162" s="834"/>
      <c r="I162" s="306"/>
      <c r="J162" s="833" t="s">
        <v>2</v>
      </c>
      <c r="K162" s="834"/>
      <c r="L162" s="834"/>
      <c r="M162" s="306"/>
      <c r="N162" s="142"/>
    </row>
    <row r="163" spans="1:14" s="3" customFormat="1" x14ac:dyDescent="0.2">
      <c r="A163" s="134"/>
      <c r="B163" s="145" t="s">
        <v>400</v>
      </c>
      <c r="C163" s="145" t="s">
        <v>401</v>
      </c>
      <c r="D163" s="242" t="s">
        <v>3</v>
      </c>
      <c r="E163" s="307" t="s">
        <v>37</v>
      </c>
      <c r="F163" s="145" t="s">
        <v>400</v>
      </c>
      <c r="G163" s="145" t="s">
        <v>401</v>
      </c>
      <c r="H163" s="242" t="s">
        <v>3</v>
      </c>
      <c r="I163" s="307" t="s">
        <v>37</v>
      </c>
      <c r="J163" s="145" t="s">
        <v>400</v>
      </c>
      <c r="K163" s="145" t="s">
        <v>401</v>
      </c>
      <c r="L163" s="242" t="s">
        <v>3</v>
      </c>
      <c r="M163" s="155" t="s">
        <v>37</v>
      </c>
      <c r="N163" s="142"/>
    </row>
    <row r="164" spans="1:14" s="3" customFormat="1" x14ac:dyDescent="0.2">
      <c r="A164" s="403"/>
      <c r="B164" s="149"/>
      <c r="C164" s="149"/>
      <c r="D164" s="243" t="s">
        <v>4</v>
      </c>
      <c r="E164" s="149" t="s">
        <v>38</v>
      </c>
      <c r="F164" s="154"/>
      <c r="G164" s="154"/>
      <c r="H164" s="242" t="s">
        <v>4</v>
      </c>
      <c r="I164" s="149" t="s">
        <v>38</v>
      </c>
      <c r="J164" s="154"/>
      <c r="K164" s="154"/>
      <c r="L164" s="242" t="s">
        <v>4</v>
      </c>
      <c r="M164" s="149" t="s">
        <v>38</v>
      </c>
      <c r="N164" s="142"/>
    </row>
    <row r="165" spans="1:14" s="3" customFormat="1" ht="15.75" x14ac:dyDescent="0.2">
      <c r="A165" s="12" t="s">
        <v>337</v>
      </c>
      <c r="B165" s="231"/>
      <c r="C165" s="311"/>
      <c r="D165" s="251"/>
      <c r="E165" s="170"/>
      <c r="F165" s="318"/>
      <c r="G165" s="319"/>
      <c r="H165" s="252"/>
      <c r="I165" s="159"/>
      <c r="J165" s="320"/>
      <c r="K165" s="320"/>
      <c r="L165" s="255"/>
      <c r="M165" s="170"/>
      <c r="N165" s="142"/>
    </row>
    <row r="166" spans="1:14" s="3" customFormat="1" ht="15.75" x14ac:dyDescent="0.2">
      <c r="A166" s="11" t="s">
        <v>338</v>
      </c>
      <c r="B166" s="231"/>
      <c r="C166" s="311"/>
      <c r="D166" s="159"/>
      <c r="E166" s="170"/>
      <c r="F166" s="231"/>
      <c r="G166" s="311"/>
      <c r="H166" s="236"/>
      <c r="I166" s="159"/>
      <c r="J166" s="310"/>
      <c r="K166" s="310"/>
      <c r="L166" s="256"/>
      <c r="M166" s="170"/>
      <c r="N166" s="142"/>
    </row>
    <row r="167" spans="1:14" s="3" customFormat="1" ht="15.75" x14ac:dyDescent="0.2">
      <c r="A167" s="11" t="s">
        <v>339</v>
      </c>
      <c r="B167" s="231"/>
      <c r="C167" s="311"/>
      <c r="D167" s="159"/>
      <c r="E167" s="170"/>
      <c r="F167" s="231"/>
      <c r="G167" s="311"/>
      <c r="H167" s="236"/>
      <c r="I167" s="159"/>
      <c r="J167" s="310"/>
      <c r="K167" s="310"/>
      <c r="L167" s="256"/>
      <c r="M167" s="170"/>
      <c r="N167" s="142"/>
    </row>
    <row r="168" spans="1:14" s="3" customFormat="1" ht="15.75" x14ac:dyDescent="0.2">
      <c r="A168" s="11" t="s">
        <v>340</v>
      </c>
      <c r="B168" s="231"/>
      <c r="C168" s="311"/>
      <c r="D168" s="159"/>
      <c r="E168" s="170"/>
      <c r="F168" s="231"/>
      <c r="G168" s="311"/>
      <c r="H168" s="236"/>
      <c r="I168" s="159"/>
      <c r="J168" s="310"/>
      <c r="K168" s="310"/>
      <c r="L168" s="256"/>
      <c r="M168" s="170"/>
      <c r="N168" s="142"/>
    </row>
    <row r="169" spans="1:14" s="3" customFormat="1" ht="15.75" x14ac:dyDescent="0.2">
      <c r="A169" s="34" t="s">
        <v>341</v>
      </c>
      <c r="B169" s="277"/>
      <c r="C169" s="317"/>
      <c r="D169" s="160"/>
      <c r="E169" s="201"/>
      <c r="F169" s="277"/>
      <c r="G169" s="317"/>
      <c r="H169" s="239"/>
      <c r="I169" s="160"/>
      <c r="J169" s="316"/>
      <c r="K169" s="316"/>
      <c r="L169" s="257"/>
      <c r="M169" s="160"/>
      <c r="N169" s="142"/>
    </row>
    <row r="170" spans="1:14" s="3" customFormat="1" x14ac:dyDescent="0.2">
      <c r="A170" s="161"/>
      <c r="B170" s="27"/>
      <c r="C170" s="27"/>
      <c r="D170" s="152"/>
      <c r="E170" s="152"/>
      <c r="F170" s="27"/>
      <c r="G170" s="27"/>
      <c r="H170" s="152"/>
      <c r="I170" s="152"/>
      <c r="J170" s="27"/>
      <c r="K170" s="27"/>
      <c r="L170" s="152"/>
      <c r="M170" s="152"/>
      <c r="N170" s="142"/>
    </row>
    <row r="171" spans="1:14" x14ac:dyDescent="0.2">
      <c r="A171" s="161"/>
      <c r="B171" s="27"/>
      <c r="C171" s="27"/>
      <c r="D171" s="152"/>
      <c r="E171" s="152"/>
      <c r="F171" s="27"/>
      <c r="G171" s="27"/>
      <c r="H171" s="152"/>
      <c r="I171" s="152"/>
      <c r="J171" s="27"/>
      <c r="K171" s="27"/>
      <c r="L171" s="152"/>
      <c r="M171" s="152"/>
      <c r="N171" s="142"/>
    </row>
    <row r="172" spans="1:14" x14ac:dyDescent="0.2">
      <c r="A172" s="161"/>
      <c r="B172" s="27"/>
      <c r="C172" s="27"/>
      <c r="D172" s="152"/>
      <c r="E172" s="152"/>
      <c r="F172" s="27"/>
      <c r="G172" s="27"/>
      <c r="H172" s="152"/>
      <c r="I172" s="152"/>
      <c r="J172" s="27"/>
      <c r="K172" s="27"/>
      <c r="L172" s="152"/>
      <c r="M172" s="152"/>
      <c r="N172" s="142"/>
    </row>
    <row r="173" spans="1:14" x14ac:dyDescent="0.2">
      <c r="A173" s="140"/>
      <c r="B173" s="140"/>
      <c r="C173" s="140"/>
      <c r="D173" s="140"/>
      <c r="E173" s="140"/>
      <c r="F173" s="140"/>
      <c r="G173" s="140"/>
      <c r="H173" s="140"/>
      <c r="I173" s="140"/>
      <c r="J173" s="140"/>
      <c r="K173" s="140"/>
      <c r="L173" s="140"/>
      <c r="M173" s="140"/>
      <c r="N173" s="140"/>
    </row>
    <row r="174" spans="1:14" ht="15.75" x14ac:dyDescent="0.25">
      <c r="B174" s="136"/>
      <c r="C174" s="136"/>
      <c r="D174" s="136"/>
      <c r="E174" s="136"/>
      <c r="F174" s="136"/>
      <c r="G174" s="136"/>
      <c r="H174" s="136"/>
      <c r="I174" s="136"/>
      <c r="J174" s="136"/>
      <c r="K174" s="136"/>
      <c r="L174" s="136"/>
      <c r="M174" s="136"/>
      <c r="N174" s="136"/>
    </row>
    <row r="175" spans="1:14" ht="15.75" x14ac:dyDescent="0.25">
      <c r="B175" s="150"/>
      <c r="C175" s="150"/>
      <c r="D175" s="150"/>
      <c r="E175" s="150"/>
      <c r="F175" s="150"/>
      <c r="G175" s="150"/>
      <c r="H175" s="150"/>
      <c r="I175" s="150"/>
      <c r="J175" s="150"/>
      <c r="K175" s="150"/>
      <c r="L175" s="150"/>
      <c r="M175" s="150"/>
      <c r="N175" s="150"/>
    </row>
    <row r="176" spans="1:14" ht="15.75" x14ac:dyDescent="0.25">
      <c r="B176" s="150"/>
      <c r="C176" s="150"/>
      <c r="D176" s="150"/>
      <c r="E176" s="150"/>
      <c r="F176" s="150"/>
      <c r="G176" s="150"/>
      <c r="H176" s="150"/>
      <c r="I176" s="150"/>
      <c r="J176" s="150"/>
      <c r="K176" s="150"/>
      <c r="L176" s="150"/>
      <c r="M176" s="150"/>
      <c r="N176" s="150"/>
    </row>
  </sheetData>
  <mergeCells count="28">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22:D22"/>
    <mergeCell ref="F22:H22"/>
    <mergeCell ref="J22:L22"/>
    <mergeCell ref="D47:F47"/>
    <mergeCell ref="G47:I47"/>
    <mergeCell ref="J47:L47"/>
  </mergeCells>
  <conditionalFormatting sqref="B57:C59">
    <cfRule type="expression" dxfId="1159" priority="188">
      <formula>kvartal &lt; 4</formula>
    </cfRule>
  </conditionalFormatting>
  <conditionalFormatting sqref="B63:C65">
    <cfRule type="expression" dxfId="1158" priority="187">
      <formula>kvartal &lt; 4</formula>
    </cfRule>
  </conditionalFormatting>
  <conditionalFormatting sqref="B37">
    <cfRule type="expression" dxfId="1157" priority="186">
      <formula>kvartal &lt; 4</formula>
    </cfRule>
  </conditionalFormatting>
  <conditionalFormatting sqref="B38">
    <cfRule type="expression" dxfId="1156" priority="185">
      <formula>kvartal &lt; 4</formula>
    </cfRule>
  </conditionalFormatting>
  <conditionalFormatting sqref="B39">
    <cfRule type="expression" dxfId="1155" priority="184">
      <formula>kvartal &lt; 4</formula>
    </cfRule>
  </conditionalFormatting>
  <conditionalFormatting sqref="A34">
    <cfRule type="expression" dxfId="1154" priority="57">
      <formula>kvartal &lt; 4</formula>
    </cfRule>
  </conditionalFormatting>
  <conditionalFormatting sqref="C37">
    <cfRule type="expression" dxfId="1153" priority="183">
      <formula>kvartal &lt; 4</formula>
    </cfRule>
  </conditionalFormatting>
  <conditionalFormatting sqref="C38">
    <cfRule type="expression" dxfId="1152" priority="182">
      <formula>kvartal &lt; 4</formula>
    </cfRule>
  </conditionalFormatting>
  <conditionalFormatting sqref="C39">
    <cfRule type="expression" dxfId="1151" priority="181">
      <formula>kvartal &lt; 4</formula>
    </cfRule>
  </conditionalFormatting>
  <conditionalFormatting sqref="B26:C28">
    <cfRule type="expression" dxfId="1150" priority="180">
      <formula>kvartal &lt; 4</formula>
    </cfRule>
  </conditionalFormatting>
  <conditionalFormatting sqref="B32:C33">
    <cfRule type="expression" dxfId="1149" priority="179">
      <formula>kvartal &lt; 4</formula>
    </cfRule>
  </conditionalFormatting>
  <conditionalFormatting sqref="B34">
    <cfRule type="expression" dxfId="1148" priority="178">
      <formula>kvartal &lt; 4</formula>
    </cfRule>
  </conditionalFormatting>
  <conditionalFormatting sqref="C34">
    <cfRule type="expression" dxfId="1147" priority="177">
      <formula>kvartal &lt; 4</formula>
    </cfRule>
  </conditionalFormatting>
  <conditionalFormatting sqref="F26:G28">
    <cfRule type="expression" dxfId="1146" priority="176">
      <formula>kvartal &lt; 4</formula>
    </cfRule>
  </conditionalFormatting>
  <conditionalFormatting sqref="F32">
    <cfRule type="expression" dxfId="1145" priority="175">
      <formula>kvartal &lt; 4</formula>
    </cfRule>
  </conditionalFormatting>
  <conditionalFormatting sqref="G32">
    <cfRule type="expression" dxfId="1144" priority="174">
      <formula>kvartal &lt; 4</formula>
    </cfRule>
  </conditionalFormatting>
  <conditionalFormatting sqref="F33">
    <cfRule type="expression" dxfId="1143" priority="173">
      <formula>kvartal &lt; 4</formula>
    </cfRule>
  </conditionalFormatting>
  <conditionalFormatting sqref="G33">
    <cfRule type="expression" dxfId="1142" priority="172">
      <formula>kvartal &lt; 4</formula>
    </cfRule>
  </conditionalFormatting>
  <conditionalFormatting sqref="F34">
    <cfRule type="expression" dxfId="1141" priority="171">
      <formula>kvartal &lt; 4</formula>
    </cfRule>
  </conditionalFormatting>
  <conditionalFormatting sqref="G34">
    <cfRule type="expression" dxfId="1140" priority="170">
      <formula>kvartal &lt; 4</formula>
    </cfRule>
  </conditionalFormatting>
  <conditionalFormatting sqref="F37">
    <cfRule type="expression" dxfId="1139" priority="169">
      <formula>kvartal &lt; 4</formula>
    </cfRule>
  </conditionalFormatting>
  <conditionalFormatting sqref="F38">
    <cfRule type="expression" dxfId="1138" priority="168">
      <formula>kvartal &lt; 4</formula>
    </cfRule>
  </conditionalFormatting>
  <conditionalFormatting sqref="F39">
    <cfRule type="expression" dxfId="1137" priority="167">
      <formula>kvartal &lt; 4</formula>
    </cfRule>
  </conditionalFormatting>
  <conditionalFormatting sqref="G37">
    <cfRule type="expression" dxfId="1136" priority="166">
      <formula>kvartal &lt; 4</formula>
    </cfRule>
  </conditionalFormatting>
  <conditionalFormatting sqref="G38">
    <cfRule type="expression" dxfId="1135" priority="165">
      <formula>kvartal &lt; 4</formula>
    </cfRule>
  </conditionalFormatting>
  <conditionalFormatting sqref="G39">
    <cfRule type="expression" dxfId="1134" priority="164">
      <formula>kvartal &lt; 4</formula>
    </cfRule>
  </conditionalFormatting>
  <conditionalFormatting sqref="B29">
    <cfRule type="expression" dxfId="1133" priority="163">
      <formula>kvartal &lt; 4</formula>
    </cfRule>
  </conditionalFormatting>
  <conditionalFormatting sqref="C29">
    <cfRule type="expression" dxfId="1132" priority="162">
      <formula>kvartal &lt; 4</formula>
    </cfRule>
  </conditionalFormatting>
  <conditionalFormatting sqref="F29">
    <cfRule type="expression" dxfId="1131" priority="161">
      <formula>kvartal &lt; 4</formula>
    </cfRule>
  </conditionalFormatting>
  <conditionalFormatting sqref="G29">
    <cfRule type="expression" dxfId="1130" priority="160">
      <formula>kvartal &lt; 4</formula>
    </cfRule>
  </conditionalFormatting>
  <conditionalFormatting sqref="J26:K29">
    <cfRule type="expression" dxfId="1129" priority="159">
      <formula>kvartal &lt; 4</formula>
    </cfRule>
  </conditionalFormatting>
  <conditionalFormatting sqref="J32:K34">
    <cfRule type="expression" dxfId="1128" priority="158">
      <formula>kvartal &lt; 4</formula>
    </cfRule>
  </conditionalFormatting>
  <conditionalFormatting sqref="J37:K39">
    <cfRule type="expression" dxfId="1127" priority="157">
      <formula>kvartal &lt; 4</formula>
    </cfRule>
  </conditionalFormatting>
  <conditionalFormatting sqref="J82:K86">
    <cfRule type="expression" dxfId="1126" priority="95">
      <formula>kvartal &lt; 4</formula>
    </cfRule>
  </conditionalFormatting>
  <conditionalFormatting sqref="J87:K87">
    <cfRule type="expression" dxfId="1125" priority="94">
      <formula>kvartal &lt; 4</formula>
    </cfRule>
  </conditionalFormatting>
  <conditionalFormatting sqref="J92:K97">
    <cfRule type="expression" dxfId="1124" priority="93">
      <formula>kvartal &lt; 4</formula>
    </cfRule>
  </conditionalFormatting>
  <conditionalFormatting sqref="J102:K107">
    <cfRule type="expression" dxfId="1123" priority="92">
      <formula>kvartal &lt; 4</formula>
    </cfRule>
  </conditionalFormatting>
  <conditionalFormatting sqref="J112:K117">
    <cfRule type="expression" dxfId="1122" priority="91">
      <formula>kvartal &lt; 4</formula>
    </cfRule>
  </conditionalFormatting>
  <conditionalFormatting sqref="J122:K127">
    <cfRule type="expression" dxfId="1121" priority="90">
      <formula>kvartal &lt; 4</formula>
    </cfRule>
  </conditionalFormatting>
  <conditionalFormatting sqref="J132:K137">
    <cfRule type="expression" dxfId="1120" priority="89">
      <formula>kvartal &lt; 4</formula>
    </cfRule>
  </conditionalFormatting>
  <conditionalFormatting sqref="J146:K146">
    <cfRule type="expression" dxfId="1119" priority="88">
      <formula>kvartal &lt; 4</formula>
    </cfRule>
  </conditionalFormatting>
  <conditionalFormatting sqref="J154:K154">
    <cfRule type="expression" dxfId="1118" priority="87">
      <formula>kvartal &lt; 4</formula>
    </cfRule>
  </conditionalFormatting>
  <conditionalFormatting sqref="A26:A28">
    <cfRule type="expression" dxfId="1117" priority="71">
      <formula>kvartal &lt; 4</formula>
    </cfRule>
  </conditionalFormatting>
  <conditionalFormatting sqref="A32:A33">
    <cfRule type="expression" dxfId="1116" priority="70">
      <formula>kvartal &lt; 4</formula>
    </cfRule>
  </conditionalFormatting>
  <conditionalFormatting sqref="A37:A39">
    <cfRule type="expression" dxfId="1115" priority="69">
      <formula>kvartal &lt; 4</formula>
    </cfRule>
  </conditionalFormatting>
  <conditionalFormatting sqref="A57:A59">
    <cfRule type="expression" dxfId="1114" priority="68">
      <formula>kvartal &lt; 4</formula>
    </cfRule>
  </conditionalFormatting>
  <conditionalFormatting sqref="A63:A65">
    <cfRule type="expression" dxfId="1113" priority="67">
      <formula>kvartal &lt; 4</formula>
    </cfRule>
  </conditionalFormatting>
  <conditionalFormatting sqref="A82:A87">
    <cfRule type="expression" dxfId="1112" priority="66">
      <formula>kvartal &lt; 4</formula>
    </cfRule>
  </conditionalFormatting>
  <conditionalFormatting sqref="A92:A97">
    <cfRule type="expression" dxfId="1111" priority="65">
      <formula>kvartal &lt; 4</formula>
    </cfRule>
  </conditionalFormatting>
  <conditionalFormatting sqref="A102:A107">
    <cfRule type="expression" dxfId="1110" priority="64">
      <formula>kvartal &lt; 4</formula>
    </cfRule>
  </conditionalFormatting>
  <conditionalFormatting sqref="A112:A117">
    <cfRule type="expression" dxfId="1109" priority="63">
      <formula>kvartal &lt; 4</formula>
    </cfRule>
  </conditionalFormatting>
  <conditionalFormatting sqref="A122:A127">
    <cfRule type="expression" dxfId="1108" priority="62">
      <formula>kvartal &lt; 4</formula>
    </cfRule>
  </conditionalFormatting>
  <conditionalFormatting sqref="A132:A137">
    <cfRule type="expression" dxfId="1107" priority="61">
      <formula>kvartal &lt; 4</formula>
    </cfRule>
  </conditionalFormatting>
  <conditionalFormatting sqref="A146">
    <cfRule type="expression" dxfId="1106" priority="60">
      <formula>kvartal &lt; 4</formula>
    </cfRule>
  </conditionalFormatting>
  <conditionalFormatting sqref="A154">
    <cfRule type="expression" dxfId="1105" priority="59">
      <formula>kvartal &lt; 4</formula>
    </cfRule>
  </conditionalFormatting>
  <conditionalFormatting sqref="A29">
    <cfRule type="expression" dxfId="1104" priority="58">
      <formula>kvartal &lt; 4</formula>
    </cfRule>
  </conditionalFormatting>
  <conditionalFormatting sqref="B82">
    <cfRule type="expression" dxfId="1103" priority="56">
      <formula>kvartal &lt; 4</formula>
    </cfRule>
  </conditionalFormatting>
  <conditionalFormatting sqref="C82">
    <cfRule type="expression" dxfId="1102" priority="55">
      <formula>kvartal &lt; 4</formula>
    </cfRule>
  </conditionalFormatting>
  <conditionalFormatting sqref="B85">
    <cfRule type="expression" dxfId="1101" priority="54">
      <formula>kvartal &lt; 4</formula>
    </cfRule>
  </conditionalFormatting>
  <conditionalFormatting sqref="C85">
    <cfRule type="expression" dxfId="1100" priority="53">
      <formula>kvartal &lt; 4</formula>
    </cfRule>
  </conditionalFormatting>
  <conditionalFormatting sqref="B92">
    <cfRule type="expression" dxfId="1099" priority="52">
      <formula>kvartal &lt; 4</formula>
    </cfRule>
  </conditionalFormatting>
  <conditionalFormatting sqref="C92">
    <cfRule type="expression" dxfId="1098" priority="51">
      <formula>kvartal &lt; 4</formula>
    </cfRule>
  </conditionalFormatting>
  <conditionalFormatting sqref="B95">
    <cfRule type="expression" dxfId="1097" priority="50">
      <formula>kvartal &lt; 4</formula>
    </cfRule>
  </conditionalFormatting>
  <conditionalFormatting sqref="C95">
    <cfRule type="expression" dxfId="1096" priority="49">
      <formula>kvartal &lt; 4</formula>
    </cfRule>
  </conditionalFormatting>
  <conditionalFormatting sqref="B102">
    <cfRule type="expression" dxfId="1095" priority="48">
      <formula>kvartal &lt; 4</formula>
    </cfRule>
  </conditionalFormatting>
  <conditionalFormatting sqref="C102">
    <cfRule type="expression" dxfId="1094" priority="47">
      <formula>kvartal &lt; 4</formula>
    </cfRule>
  </conditionalFormatting>
  <conditionalFormatting sqref="B105">
    <cfRule type="expression" dxfId="1093" priority="46">
      <formula>kvartal &lt; 4</formula>
    </cfRule>
  </conditionalFormatting>
  <conditionalFormatting sqref="C105">
    <cfRule type="expression" dxfId="1092" priority="45">
      <formula>kvartal &lt; 4</formula>
    </cfRule>
  </conditionalFormatting>
  <conditionalFormatting sqref="B112">
    <cfRule type="expression" dxfId="1091" priority="44">
      <formula>kvartal &lt; 4</formula>
    </cfRule>
  </conditionalFormatting>
  <conditionalFormatting sqref="C112">
    <cfRule type="expression" dxfId="1090" priority="43">
      <formula>kvartal &lt; 4</formula>
    </cfRule>
  </conditionalFormatting>
  <conditionalFormatting sqref="B115">
    <cfRule type="expression" dxfId="1089" priority="42">
      <formula>kvartal &lt; 4</formula>
    </cfRule>
  </conditionalFormatting>
  <conditionalFormatting sqref="C115">
    <cfRule type="expression" dxfId="1088" priority="41">
      <formula>kvartal &lt; 4</formula>
    </cfRule>
  </conditionalFormatting>
  <conditionalFormatting sqref="B122">
    <cfRule type="expression" dxfId="1087" priority="40">
      <formula>kvartal &lt; 4</formula>
    </cfRule>
  </conditionalFormatting>
  <conditionalFormatting sqref="C122">
    <cfRule type="expression" dxfId="1086" priority="39">
      <formula>kvartal &lt; 4</formula>
    </cfRule>
  </conditionalFormatting>
  <conditionalFormatting sqref="B125">
    <cfRule type="expression" dxfId="1085" priority="38">
      <formula>kvartal &lt; 4</formula>
    </cfRule>
  </conditionalFormatting>
  <conditionalFormatting sqref="C125">
    <cfRule type="expression" dxfId="1084" priority="37">
      <formula>kvartal &lt; 4</formula>
    </cfRule>
  </conditionalFormatting>
  <conditionalFormatting sqref="B132">
    <cfRule type="expression" dxfId="1083" priority="36">
      <formula>kvartal &lt; 4</formula>
    </cfRule>
  </conditionalFormatting>
  <conditionalFormatting sqref="C132">
    <cfRule type="expression" dxfId="1082" priority="35">
      <formula>kvartal &lt; 4</formula>
    </cfRule>
  </conditionalFormatting>
  <conditionalFormatting sqref="B135">
    <cfRule type="expression" dxfId="1081" priority="34">
      <formula>kvartal &lt; 4</formula>
    </cfRule>
  </conditionalFormatting>
  <conditionalFormatting sqref="C135">
    <cfRule type="expression" dxfId="1080" priority="33">
      <formula>kvartal &lt; 4</formula>
    </cfRule>
  </conditionalFormatting>
  <conditionalFormatting sqref="B146">
    <cfRule type="expression" dxfId="1079" priority="32">
      <formula>kvartal &lt; 4</formula>
    </cfRule>
  </conditionalFormatting>
  <conditionalFormatting sqref="C146">
    <cfRule type="expression" dxfId="1078" priority="31">
      <formula>kvartal &lt; 4</formula>
    </cfRule>
  </conditionalFormatting>
  <conditionalFormatting sqref="B154">
    <cfRule type="expression" dxfId="1077" priority="30">
      <formula>kvartal &lt; 4</formula>
    </cfRule>
  </conditionalFormatting>
  <conditionalFormatting sqref="C154">
    <cfRule type="expression" dxfId="1076" priority="29">
      <formula>kvartal &lt; 4</formula>
    </cfRule>
  </conditionalFormatting>
  <conditionalFormatting sqref="F82">
    <cfRule type="expression" dxfId="1075" priority="28">
      <formula>kvartal &lt; 4</formula>
    </cfRule>
  </conditionalFormatting>
  <conditionalFormatting sqref="G82">
    <cfRule type="expression" dxfId="1074" priority="27">
      <formula>kvartal &lt; 4</formula>
    </cfRule>
  </conditionalFormatting>
  <conditionalFormatting sqref="F85">
    <cfRule type="expression" dxfId="1073" priority="26">
      <formula>kvartal &lt; 4</formula>
    </cfRule>
  </conditionalFormatting>
  <conditionalFormatting sqref="G85">
    <cfRule type="expression" dxfId="1072" priority="25">
      <formula>kvartal &lt; 4</formula>
    </cfRule>
  </conditionalFormatting>
  <conditionalFormatting sqref="F92">
    <cfRule type="expression" dxfId="1071" priority="24">
      <formula>kvartal &lt; 4</formula>
    </cfRule>
  </conditionalFormatting>
  <conditionalFormatting sqref="G92">
    <cfRule type="expression" dxfId="1070" priority="23">
      <formula>kvartal &lt; 4</formula>
    </cfRule>
  </conditionalFormatting>
  <conditionalFormatting sqref="F95">
    <cfRule type="expression" dxfId="1069" priority="22">
      <formula>kvartal &lt; 4</formula>
    </cfRule>
  </conditionalFormatting>
  <conditionalFormatting sqref="G95">
    <cfRule type="expression" dxfId="1068" priority="21">
      <formula>kvartal &lt; 4</formula>
    </cfRule>
  </conditionalFormatting>
  <conditionalFormatting sqref="F102">
    <cfRule type="expression" dxfId="1067" priority="20">
      <formula>kvartal &lt; 4</formula>
    </cfRule>
  </conditionalFormatting>
  <conditionalFormatting sqref="G102">
    <cfRule type="expression" dxfId="1066" priority="19">
      <formula>kvartal &lt; 4</formula>
    </cfRule>
  </conditionalFormatting>
  <conditionalFormatting sqref="F105">
    <cfRule type="expression" dxfId="1065" priority="18">
      <formula>kvartal &lt; 4</formula>
    </cfRule>
  </conditionalFormatting>
  <conditionalFormatting sqref="G105">
    <cfRule type="expression" dxfId="1064" priority="17">
      <formula>kvartal &lt; 4</formula>
    </cfRule>
  </conditionalFormatting>
  <conditionalFormatting sqref="F112">
    <cfRule type="expression" dxfId="1063" priority="16">
      <formula>kvartal &lt; 4</formula>
    </cfRule>
  </conditionalFormatting>
  <conditionalFormatting sqref="G112">
    <cfRule type="expression" dxfId="1062" priority="15">
      <formula>kvartal &lt; 4</formula>
    </cfRule>
  </conditionalFormatting>
  <conditionalFormatting sqref="F115">
    <cfRule type="expression" dxfId="1061" priority="14">
      <formula>kvartal &lt; 4</formula>
    </cfRule>
  </conditionalFormatting>
  <conditionalFormatting sqref="G115">
    <cfRule type="expression" dxfId="1060" priority="13">
      <formula>kvartal &lt; 4</formula>
    </cfRule>
  </conditionalFormatting>
  <conditionalFormatting sqref="F122">
    <cfRule type="expression" dxfId="1059" priority="12">
      <formula>kvartal &lt; 4</formula>
    </cfRule>
  </conditionalFormatting>
  <conditionalFormatting sqref="G122">
    <cfRule type="expression" dxfId="1058" priority="11">
      <formula>kvartal &lt; 4</formula>
    </cfRule>
  </conditionalFormatting>
  <conditionalFormatting sqref="F125">
    <cfRule type="expression" dxfId="1057" priority="10">
      <formula>kvartal &lt; 4</formula>
    </cfRule>
  </conditionalFormatting>
  <conditionalFormatting sqref="G125">
    <cfRule type="expression" dxfId="1056" priority="9">
      <formula>kvartal &lt; 4</formula>
    </cfRule>
  </conditionalFormatting>
  <conditionalFormatting sqref="F132">
    <cfRule type="expression" dxfId="1055" priority="8">
      <formula>kvartal &lt; 4</formula>
    </cfRule>
  </conditionalFormatting>
  <conditionalFormatting sqref="G132">
    <cfRule type="expression" dxfId="1054" priority="7">
      <formula>kvartal &lt; 4</formula>
    </cfRule>
  </conditionalFormatting>
  <conditionalFormatting sqref="F135">
    <cfRule type="expression" dxfId="1053" priority="6">
      <formula>kvartal &lt; 4</formula>
    </cfRule>
  </conditionalFormatting>
  <conditionalFormatting sqref="G135">
    <cfRule type="expression" dxfId="1052" priority="5">
      <formula>kvartal &lt; 4</formula>
    </cfRule>
  </conditionalFormatting>
  <conditionalFormatting sqref="F146">
    <cfRule type="expression" dxfId="1051" priority="4">
      <formula>kvartal &lt; 4</formula>
    </cfRule>
  </conditionalFormatting>
  <conditionalFormatting sqref="G146">
    <cfRule type="expression" dxfId="1050" priority="3">
      <formula>kvartal &lt; 4</formula>
    </cfRule>
  </conditionalFormatting>
  <conditionalFormatting sqref="F154">
    <cfRule type="expression" dxfId="1049" priority="2">
      <formula>kvartal &lt; 4</formula>
    </cfRule>
  </conditionalFormatting>
  <conditionalFormatting sqref="G154">
    <cfRule type="expression" dxfId="1048" priority="1">
      <formula>kvartal &lt; 4</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dimension ref="A1:N176"/>
  <sheetViews>
    <sheetView showGridLines="0" zoomScale="90" zoomScaleNormal="90" workbookViewId="0">
      <selection activeCell="A4" sqref="A4"/>
    </sheetView>
  </sheetViews>
  <sheetFormatPr baseColWidth="10" defaultColWidth="11.42578125" defaultRowHeight="12.75" x14ac:dyDescent="0.2"/>
  <cols>
    <col min="1" max="1" width="41.5703125" style="143" customWidth="1"/>
    <col min="2" max="2" width="10.85546875" style="143" customWidth="1"/>
    <col min="3" max="3" width="11" style="143" customWidth="1"/>
    <col min="4" max="5" width="8.7109375" style="143" customWidth="1"/>
    <col min="6" max="7" width="10.85546875" style="143" customWidth="1"/>
    <col min="8" max="9" width="8.7109375" style="143" customWidth="1"/>
    <col min="10" max="11" width="10.85546875" style="143" customWidth="1"/>
    <col min="12" max="13" width="8.7109375" style="143" customWidth="1"/>
    <col min="14" max="14" width="11.42578125" style="143"/>
    <col min="15" max="16384" width="11.42578125" style="1"/>
  </cols>
  <sheetData>
    <row r="1" spans="1:14" x14ac:dyDescent="0.2">
      <c r="A1" s="165" t="s">
        <v>159</v>
      </c>
      <c r="B1" s="401"/>
      <c r="C1" s="245" t="s">
        <v>116</v>
      </c>
      <c r="D1" s="20"/>
      <c r="E1" s="20"/>
      <c r="F1" s="20"/>
      <c r="G1" s="20"/>
      <c r="H1" s="20"/>
      <c r="I1" s="20"/>
      <c r="J1" s="20"/>
      <c r="K1" s="20"/>
      <c r="L1" s="20"/>
      <c r="M1" s="20"/>
    </row>
    <row r="2" spans="1:14" ht="15.75" x14ac:dyDescent="0.25">
      <c r="A2" s="158" t="s">
        <v>36</v>
      </c>
      <c r="B2" s="835"/>
      <c r="C2" s="835"/>
      <c r="D2" s="835"/>
      <c r="E2" s="301"/>
      <c r="F2" s="835"/>
      <c r="G2" s="835"/>
      <c r="H2" s="835"/>
      <c r="I2" s="301"/>
      <c r="J2" s="835"/>
      <c r="K2" s="835"/>
      <c r="L2" s="835"/>
      <c r="M2" s="301"/>
    </row>
    <row r="3" spans="1:14" ht="15.75" x14ac:dyDescent="0.25">
      <c r="A3" s="156"/>
      <c r="B3" s="301"/>
      <c r="C3" s="301"/>
      <c r="D3" s="301"/>
      <c r="E3" s="301"/>
      <c r="F3" s="301"/>
      <c r="G3" s="301"/>
      <c r="H3" s="301"/>
      <c r="I3" s="301"/>
      <c r="J3" s="301"/>
      <c r="K3" s="301"/>
      <c r="L3" s="301"/>
      <c r="M3" s="301"/>
    </row>
    <row r="4" spans="1:14" x14ac:dyDescent="0.2">
      <c r="A4" s="138"/>
      <c r="B4" s="808" t="s">
        <v>0</v>
      </c>
      <c r="C4" s="802"/>
      <c r="D4" s="802"/>
      <c r="E4" s="802"/>
      <c r="F4" s="808" t="s">
        <v>1</v>
      </c>
      <c r="G4" s="802"/>
      <c r="H4" s="802"/>
      <c r="I4" s="803"/>
      <c r="J4" s="801" t="s">
        <v>2</v>
      </c>
      <c r="K4" s="802"/>
      <c r="L4" s="802"/>
      <c r="M4" s="803"/>
    </row>
    <row r="5" spans="1:14" x14ac:dyDescent="0.2">
      <c r="A5" s="151"/>
      <c r="B5" s="145" t="s">
        <v>400</v>
      </c>
      <c r="C5" s="145" t="s">
        <v>401</v>
      </c>
      <c r="D5" s="242" t="s">
        <v>3</v>
      </c>
      <c r="E5" s="307" t="s">
        <v>37</v>
      </c>
      <c r="F5" s="145" t="s">
        <v>400</v>
      </c>
      <c r="G5" s="145" t="s">
        <v>401</v>
      </c>
      <c r="H5" s="242" t="s">
        <v>3</v>
      </c>
      <c r="I5" s="307" t="s">
        <v>37</v>
      </c>
      <c r="J5" s="145" t="s">
        <v>400</v>
      </c>
      <c r="K5" s="145" t="s">
        <v>401</v>
      </c>
      <c r="L5" s="242" t="s">
        <v>3</v>
      </c>
      <c r="M5" s="155" t="s">
        <v>37</v>
      </c>
    </row>
    <row r="6" spans="1:14" x14ac:dyDescent="0.2">
      <c r="A6" s="402"/>
      <c r="B6" s="149"/>
      <c r="C6" s="149"/>
      <c r="D6" s="243" t="s">
        <v>4</v>
      </c>
      <c r="E6" s="149" t="s">
        <v>38</v>
      </c>
      <c r="F6" s="154"/>
      <c r="G6" s="154"/>
      <c r="H6" s="242" t="s">
        <v>4</v>
      </c>
      <c r="I6" s="149" t="s">
        <v>38</v>
      </c>
      <c r="J6" s="154"/>
      <c r="K6" s="154"/>
      <c r="L6" s="242" t="s">
        <v>4</v>
      </c>
      <c r="M6" s="149" t="s">
        <v>38</v>
      </c>
    </row>
    <row r="7" spans="1:14" ht="15.75" x14ac:dyDescent="0.2">
      <c r="A7" s="12" t="s">
        <v>30</v>
      </c>
      <c r="B7" s="308"/>
      <c r="C7" s="309"/>
      <c r="D7" s="251"/>
      <c r="E7" s="170"/>
      <c r="F7" s="308"/>
      <c r="G7" s="309"/>
      <c r="H7" s="251"/>
      <c r="I7" s="170"/>
      <c r="J7" s="310"/>
      <c r="K7" s="311"/>
      <c r="L7" s="255"/>
      <c r="M7" s="170"/>
    </row>
    <row r="8" spans="1:14" ht="15.75" x14ac:dyDescent="0.2">
      <c r="A8" s="18" t="s">
        <v>32</v>
      </c>
      <c r="B8" s="282"/>
      <c r="C8" s="283"/>
      <c r="D8" s="159"/>
      <c r="E8" s="170"/>
      <c r="F8" s="286"/>
      <c r="G8" s="287"/>
      <c r="H8" s="159"/>
      <c r="I8" s="170"/>
      <c r="J8" s="229"/>
      <c r="K8" s="288"/>
      <c r="L8" s="256"/>
      <c r="M8" s="170"/>
    </row>
    <row r="9" spans="1:14" ht="15.75" x14ac:dyDescent="0.2">
      <c r="A9" s="18" t="s">
        <v>31</v>
      </c>
      <c r="B9" s="282"/>
      <c r="C9" s="283"/>
      <c r="D9" s="159"/>
      <c r="E9" s="170"/>
      <c r="F9" s="286"/>
      <c r="G9" s="287"/>
      <c r="H9" s="159"/>
      <c r="I9" s="170"/>
      <c r="J9" s="229"/>
      <c r="K9" s="288"/>
      <c r="L9" s="256"/>
      <c r="M9" s="170"/>
    </row>
    <row r="10" spans="1:14" ht="15.75" x14ac:dyDescent="0.2">
      <c r="A10" s="11" t="s">
        <v>29</v>
      </c>
      <c r="B10" s="312"/>
      <c r="C10" s="313"/>
      <c r="D10" s="159"/>
      <c r="E10" s="170"/>
      <c r="F10" s="312"/>
      <c r="G10" s="313"/>
      <c r="H10" s="159"/>
      <c r="I10" s="170"/>
      <c r="J10" s="310"/>
      <c r="K10" s="311"/>
      <c r="L10" s="256"/>
      <c r="M10" s="170"/>
    </row>
    <row r="11" spans="1:14" ht="15.75" x14ac:dyDescent="0.2">
      <c r="A11" s="18" t="s">
        <v>32</v>
      </c>
      <c r="B11" s="282"/>
      <c r="C11" s="283"/>
      <c r="D11" s="159"/>
      <c r="E11" s="170"/>
      <c r="F11" s="286"/>
      <c r="G11" s="287"/>
      <c r="H11" s="159"/>
      <c r="I11" s="170"/>
      <c r="J11" s="229"/>
      <c r="K11" s="288"/>
      <c r="L11" s="256"/>
      <c r="M11" s="170"/>
    </row>
    <row r="12" spans="1:14" ht="15.75" x14ac:dyDescent="0.2">
      <c r="A12" s="18" t="s">
        <v>31</v>
      </c>
      <c r="B12" s="282"/>
      <c r="C12" s="283"/>
      <c r="D12" s="159"/>
      <c r="E12" s="170"/>
      <c r="F12" s="286"/>
      <c r="G12" s="287"/>
      <c r="H12" s="159"/>
      <c r="I12" s="170"/>
      <c r="J12" s="229"/>
      <c r="K12" s="288"/>
      <c r="L12" s="256"/>
      <c r="M12" s="170"/>
    </row>
    <row r="13" spans="1:14" ht="15.75" x14ac:dyDescent="0.2">
      <c r="A13" s="11" t="s">
        <v>28</v>
      </c>
      <c r="B13" s="312"/>
      <c r="C13" s="313"/>
      <c r="D13" s="159"/>
      <c r="E13" s="170"/>
      <c r="F13" s="312"/>
      <c r="G13" s="313"/>
      <c r="H13" s="159"/>
      <c r="I13" s="170"/>
      <c r="J13" s="310"/>
      <c r="K13" s="311"/>
      <c r="L13" s="256"/>
      <c r="M13" s="170"/>
    </row>
    <row r="14" spans="1:14" s="36" customFormat="1" ht="15.75" x14ac:dyDescent="0.2">
      <c r="A14" s="11" t="s">
        <v>27</v>
      </c>
      <c r="B14" s="312"/>
      <c r="C14" s="313"/>
      <c r="D14" s="159"/>
      <c r="E14" s="170"/>
      <c r="F14" s="312"/>
      <c r="G14" s="313"/>
      <c r="H14" s="159"/>
      <c r="I14" s="170"/>
      <c r="J14" s="310"/>
      <c r="K14" s="311"/>
      <c r="L14" s="256"/>
      <c r="M14" s="170"/>
      <c r="N14" s="137"/>
    </row>
    <row r="15" spans="1:14" s="36" customFormat="1" ht="15.75" x14ac:dyDescent="0.2">
      <c r="A15" s="34" t="s">
        <v>26</v>
      </c>
      <c r="B15" s="314"/>
      <c r="C15" s="315"/>
      <c r="D15" s="160"/>
      <c r="E15" s="160"/>
      <c r="F15" s="314"/>
      <c r="G15" s="315"/>
      <c r="H15" s="160"/>
      <c r="I15" s="160"/>
      <c r="J15" s="316"/>
      <c r="K15" s="317"/>
      <c r="L15" s="257"/>
      <c r="M15" s="160"/>
      <c r="N15" s="137"/>
    </row>
    <row r="16" spans="1:14" s="36" customFormat="1" x14ac:dyDescent="0.2">
      <c r="A16" s="161"/>
      <c r="B16" s="139"/>
      <c r="C16" s="27"/>
      <c r="D16" s="152"/>
      <c r="E16" s="152"/>
      <c r="F16" s="139"/>
      <c r="G16" s="27"/>
      <c r="H16" s="152"/>
      <c r="I16" s="152"/>
      <c r="J16" s="41"/>
      <c r="K16" s="41"/>
      <c r="L16" s="152"/>
      <c r="M16" s="152"/>
      <c r="N16" s="137"/>
    </row>
    <row r="17" spans="1:14" x14ac:dyDescent="0.2">
      <c r="A17" s="146" t="s">
        <v>307</v>
      </c>
      <c r="B17" s="20"/>
    </row>
    <row r="18" spans="1:14" x14ac:dyDescent="0.2">
      <c r="F18" s="140"/>
      <c r="G18" s="140"/>
      <c r="H18" s="140"/>
      <c r="I18" s="140"/>
      <c r="J18" s="140"/>
      <c r="K18" s="140"/>
      <c r="L18" s="140"/>
      <c r="M18" s="140"/>
    </row>
    <row r="19" spans="1:14" s="3" customFormat="1" ht="15.75" x14ac:dyDescent="0.25">
      <c r="A19" s="157"/>
      <c r="B19" s="142"/>
      <c r="C19" s="147"/>
      <c r="D19" s="147"/>
      <c r="E19" s="147"/>
      <c r="F19" s="147"/>
      <c r="G19" s="147"/>
      <c r="H19" s="147"/>
      <c r="I19" s="147"/>
      <c r="J19" s="147"/>
      <c r="K19" s="147"/>
      <c r="L19" s="147"/>
      <c r="M19" s="147"/>
      <c r="N19" s="142"/>
    </row>
    <row r="20" spans="1:14" ht="15.75" x14ac:dyDescent="0.25">
      <c r="A20" s="141" t="s">
        <v>304</v>
      </c>
      <c r="B20" s="150"/>
      <c r="C20" s="150"/>
      <c r="D20" s="144"/>
      <c r="E20" s="144"/>
      <c r="F20" s="150"/>
      <c r="G20" s="150"/>
      <c r="H20" s="150"/>
      <c r="I20" s="150"/>
      <c r="J20" s="150"/>
      <c r="K20" s="150"/>
      <c r="L20" s="150"/>
      <c r="M20" s="150"/>
    </row>
    <row r="21" spans="1:14" ht="15.75" x14ac:dyDescent="0.25">
      <c r="B21" s="832"/>
      <c r="C21" s="832"/>
      <c r="D21" s="832"/>
      <c r="E21" s="301"/>
      <c r="F21" s="832"/>
      <c r="G21" s="832"/>
      <c r="H21" s="832"/>
      <c r="I21" s="301"/>
      <c r="J21" s="832"/>
      <c r="K21" s="832"/>
      <c r="L21" s="832"/>
      <c r="M21" s="301"/>
    </row>
    <row r="22" spans="1:14" x14ac:dyDescent="0.2">
      <c r="A22" s="138"/>
      <c r="B22" s="833" t="s">
        <v>0</v>
      </c>
      <c r="C22" s="834"/>
      <c r="D22" s="834"/>
      <c r="E22" s="303"/>
      <c r="F22" s="833" t="s">
        <v>1</v>
      </c>
      <c r="G22" s="834"/>
      <c r="H22" s="834"/>
      <c r="I22" s="306"/>
      <c r="J22" s="833" t="s">
        <v>2</v>
      </c>
      <c r="K22" s="834"/>
      <c r="L22" s="834"/>
      <c r="M22" s="306"/>
    </row>
    <row r="23" spans="1:14" x14ac:dyDescent="0.2">
      <c r="A23" s="134" t="s">
        <v>5</v>
      </c>
      <c r="B23" s="145" t="s">
        <v>400</v>
      </c>
      <c r="C23" s="145" t="s">
        <v>401</v>
      </c>
      <c r="D23" s="242" t="s">
        <v>3</v>
      </c>
      <c r="E23" s="307" t="s">
        <v>37</v>
      </c>
      <c r="F23" s="145" t="s">
        <v>400</v>
      </c>
      <c r="G23" s="145" t="s">
        <v>401</v>
      </c>
      <c r="H23" s="242" t="s">
        <v>3</v>
      </c>
      <c r="I23" s="307" t="s">
        <v>37</v>
      </c>
      <c r="J23" s="145" t="s">
        <v>400</v>
      </c>
      <c r="K23" s="145" t="s">
        <v>401</v>
      </c>
      <c r="L23" s="242" t="s">
        <v>3</v>
      </c>
      <c r="M23" s="155" t="s">
        <v>37</v>
      </c>
    </row>
    <row r="24" spans="1:14" x14ac:dyDescent="0.2">
      <c r="A24" s="403"/>
      <c r="B24" s="149"/>
      <c r="C24" s="149"/>
      <c r="D24" s="243" t="s">
        <v>4</v>
      </c>
      <c r="E24" s="149" t="s">
        <v>38</v>
      </c>
      <c r="F24" s="154"/>
      <c r="G24" s="154"/>
      <c r="H24" s="242" t="s">
        <v>4</v>
      </c>
      <c r="I24" s="149" t="s">
        <v>38</v>
      </c>
      <c r="J24" s="154"/>
      <c r="K24" s="154"/>
      <c r="L24" s="242" t="s">
        <v>4</v>
      </c>
      <c r="M24" s="149" t="s">
        <v>38</v>
      </c>
    </row>
    <row r="25" spans="1:14" ht="15.75" x14ac:dyDescent="0.2">
      <c r="A25" s="12" t="s">
        <v>30</v>
      </c>
      <c r="B25" s="318"/>
      <c r="C25" s="319"/>
      <c r="D25" s="251"/>
      <c r="E25" s="170"/>
      <c r="F25" s="320"/>
      <c r="G25" s="319"/>
      <c r="H25" s="251"/>
      <c r="I25" s="170"/>
      <c r="J25" s="318"/>
      <c r="K25" s="318"/>
      <c r="L25" s="255"/>
      <c r="M25" s="159"/>
    </row>
    <row r="26" spans="1:14" ht="15.75" x14ac:dyDescent="0.2">
      <c r="A26" s="298" t="s">
        <v>318</v>
      </c>
      <c r="B26" s="291"/>
      <c r="C26" s="291"/>
      <c r="D26" s="159"/>
      <c r="E26" s="237"/>
      <c r="F26" s="291"/>
      <c r="G26" s="291"/>
      <c r="H26" s="159"/>
      <c r="I26" s="237"/>
      <c r="J26" s="291"/>
      <c r="K26" s="291"/>
      <c r="L26" s="159"/>
      <c r="M26" s="159"/>
    </row>
    <row r="27" spans="1:14" ht="15.75" x14ac:dyDescent="0.2">
      <c r="A27" s="298" t="s">
        <v>319</v>
      </c>
      <c r="B27" s="291"/>
      <c r="C27" s="291"/>
      <c r="D27" s="159"/>
      <c r="E27" s="237"/>
      <c r="F27" s="291"/>
      <c r="G27" s="291"/>
      <c r="H27" s="159"/>
      <c r="I27" s="237"/>
      <c r="J27" s="291"/>
      <c r="K27" s="291"/>
      <c r="L27" s="159"/>
      <c r="M27" s="159"/>
    </row>
    <row r="28" spans="1:14" ht="15.75" x14ac:dyDescent="0.2">
      <c r="A28" s="298" t="s">
        <v>320</v>
      </c>
      <c r="B28" s="291"/>
      <c r="C28" s="291"/>
      <c r="D28" s="159"/>
      <c r="E28" s="237"/>
      <c r="F28" s="291"/>
      <c r="G28" s="291"/>
      <c r="H28" s="159"/>
      <c r="I28" s="237"/>
      <c r="J28" s="291"/>
      <c r="K28" s="291"/>
      <c r="L28" s="159"/>
      <c r="M28" s="159"/>
    </row>
    <row r="29" spans="1:14" x14ac:dyDescent="0.2">
      <c r="A29" s="298" t="s">
        <v>11</v>
      </c>
      <c r="B29" s="291"/>
      <c r="C29" s="291"/>
      <c r="D29" s="159"/>
      <c r="E29" s="237"/>
      <c r="F29" s="291"/>
      <c r="G29" s="291"/>
      <c r="H29" s="159"/>
      <c r="I29" s="237"/>
      <c r="J29" s="291"/>
      <c r="K29" s="291"/>
      <c r="L29" s="159"/>
      <c r="M29" s="159"/>
    </row>
    <row r="30" spans="1:14" ht="15.75" x14ac:dyDescent="0.2">
      <c r="A30" s="42" t="s">
        <v>308</v>
      </c>
      <c r="B30" s="37"/>
      <c r="C30" s="288"/>
      <c r="D30" s="159"/>
      <c r="E30" s="170"/>
      <c r="F30" s="229"/>
      <c r="G30" s="288"/>
      <c r="H30" s="159"/>
      <c r="I30" s="170"/>
      <c r="J30" s="37"/>
      <c r="K30" s="37"/>
      <c r="L30" s="256"/>
      <c r="M30" s="159"/>
    </row>
    <row r="31" spans="1:14" ht="15.75" x14ac:dyDescent="0.2">
      <c r="A31" s="11" t="s">
        <v>29</v>
      </c>
      <c r="B31" s="231"/>
      <c r="C31" s="231"/>
      <c r="D31" s="159"/>
      <c r="E31" s="170"/>
      <c r="F31" s="310"/>
      <c r="G31" s="310"/>
      <c r="H31" s="159"/>
      <c r="I31" s="170"/>
      <c r="J31" s="231"/>
      <c r="K31" s="231"/>
      <c r="L31" s="256"/>
      <c r="M31" s="159"/>
    </row>
    <row r="32" spans="1:14" ht="15.75" x14ac:dyDescent="0.2">
      <c r="A32" s="298" t="s">
        <v>318</v>
      </c>
      <c r="B32" s="291"/>
      <c r="C32" s="291"/>
      <c r="D32" s="159"/>
      <c r="E32" s="237"/>
      <c r="F32" s="291"/>
      <c r="G32" s="291"/>
      <c r="H32" s="159"/>
      <c r="I32" s="237"/>
      <c r="J32" s="291"/>
      <c r="K32" s="291"/>
      <c r="L32" s="159"/>
      <c r="M32" s="159"/>
    </row>
    <row r="33" spans="1:14" ht="15.75" x14ac:dyDescent="0.2">
      <c r="A33" s="298" t="s">
        <v>320</v>
      </c>
      <c r="B33" s="291"/>
      <c r="C33" s="291"/>
      <c r="D33" s="159"/>
      <c r="E33" s="237"/>
      <c r="F33" s="291"/>
      <c r="G33" s="291"/>
      <c r="H33" s="159"/>
      <c r="I33" s="237"/>
      <c r="J33" s="291"/>
      <c r="K33" s="291"/>
      <c r="L33" s="159"/>
      <c r="M33" s="159"/>
    </row>
    <row r="34" spans="1:14" s="21" customFormat="1" x14ac:dyDescent="0.2">
      <c r="A34" s="298" t="s">
        <v>16</v>
      </c>
      <c r="B34" s="291"/>
      <c r="C34" s="291"/>
      <c r="D34" s="159"/>
      <c r="E34" s="237"/>
      <c r="F34" s="291"/>
      <c r="G34" s="291"/>
      <c r="H34" s="159"/>
      <c r="I34" s="237"/>
      <c r="J34" s="291"/>
      <c r="K34" s="291"/>
      <c r="L34" s="159"/>
      <c r="M34" s="159"/>
      <c r="N34" s="166"/>
    </row>
    <row r="35" spans="1:14" ht="15.75" x14ac:dyDescent="0.2">
      <c r="A35" s="42" t="s">
        <v>308</v>
      </c>
      <c r="B35" s="37"/>
      <c r="C35" s="288"/>
      <c r="D35" s="159"/>
      <c r="E35" s="170"/>
      <c r="F35" s="229"/>
      <c r="G35" s="288"/>
      <c r="H35" s="159"/>
      <c r="I35" s="170"/>
      <c r="J35" s="37"/>
      <c r="K35" s="37"/>
      <c r="L35" s="256"/>
      <c r="M35" s="159"/>
    </row>
    <row r="36" spans="1:14" s="3" customFormat="1" ht="15.75" x14ac:dyDescent="0.2">
      <c r="A36" s="11" t="s">
        <v>28</v>
      </c>
      <c r="B36" s="231"/>
      <c r="C36" s="311"/>
      <c r="D36" s="159"/>
      <c r="E36" s="170"/>
      <c r="F36" s="310"/>
      <c r="G36" s="311"/>
      <c r="H36" s="159"/>
      <c r="I36" s="170"/>
      <c r="J36" s="231"/>
      <c r="K36" s="231"/>
      <c r="L36" s="256"/>
      <c r="M36" s="159"/>
      <c r="N36" s="142"/>
    </row>
    <row r="37" spans="1:14" s="3" customFormat="1" ht="15.75" x14ac:dyDescent="0.2">
      <c r="A37" s="298" t="s">
        <v>318</v>
      </c>
      <c r="B37" s="291"/>
      <c r="C37" s="291"/>
      <c r="D37" s="159"/>
      <c r="E37" s="237"/>
      <c r="F37" s="291"/>
      <c r="G37" s="291"/>
      <c r="H37" s="159"/>
      <c r="I37" s="237"/>
      <c r="J37" s="291"/>
      <c r="K37" s="291"/>
      <c r="L37" s="159"/>
      <c r="M37" s="159"/>
      <c r="N37" s="142"/>
    </row>
    <row r="38" spans="1:14" s="3" customFormat="1" ht="15.75" x14ac:dyDescent="0.2">
      <c r="A38" s="298" t="s">
        <v>319</v>
      </c>
      <c r="B38" s="291"/>
      <c r="C38" s="291"/>
      <c r="D38" s="159"/>
      <c r="E38" s="237"/>
      <c r="F38" s="291"/>
      <c r="G38" s="291"/>
      <c r="H38" s="159"/>
      <c r="I38" s="237"/>
      <c r="J38" s="291"/>
      <c r="K38" s="291"/>
      <c r="L38" s="159"/>
      <c r="M38" s="159"/>
      <c r="N38" s="142"/>
    </row>
    <row r="39" spans="1:14" ht="15.75" x14ac:dyDescent="0.2">
      <c r="A39" s="298" t="s">
        <v>320</v>
      </c>
      <c r="B39" s="291"/>
      <c r="C39" s="291"/>
      <c r="D39" s="159"/>
      <c r="E39" s="237"/>
      <c r="F39" s="291"/>
      <c r="G39" s="291"/>
      <c r="H39" s="159"/>
      <c r="I39" s="237"/>
      <c r="J39" s="291"/>
      <c r="K39" s="291"/>
      <c r="L39" s="159"/>
      <c r="M39" s="159"/>
    </row>
    <row r="40" spans="1:14" ht="15.75" x14ac:dyDescent="0.2">
      <c r="A40" s="11" t="s">
        <v>27</v>
      </c>
      <c r="B40" s="231"/>
      <c r="C40" s="311"/>
      <c r="D40" s="159"/>
      <c r="E40" s="170"/>
      <c r="F40" s="310"/>
      <c r="G40" s="311"/>
      <c r="H40" s="159"/>
      <c r="I40" s="170"/>
      <c r="J40" s="231"/>
      <c r="K40" s="231"/>
      <c r="L40" s="256"/>
      <c r="M40" s="159"/>
    </row>
    <row r="41" spans="1:14" ht="15.75" x14ac:dyDescent="0.2">
      <c r="A41" s="11" t="s">
        <v>26</v>
      </c>
      <c r="B41" s="231"/>
      <c r="C41" s="311"/>
      <c r="D41" s="159"/>
      <c r="E41" s="170"/>
      <c r="F41" s="310"/>
      <c r="G41" s="311"/>
      <c r="H41" s="159"/>
      <c r="I41" s="170"/>
      <c r="J41" s="231"/>
      <c r="K41" s="231"/>
      <c r="L41" s="256"/>
      <c r="M41" s="159"/>
    </row>
    <row r="42" spans="1:14" ht="15.75" x14ac:dyDescent="0.2">
      <c r="A42" s="10" t="s">
        <v>321</v>
      </c>
      <c r="B42" s="231"/>
      <c r="C42" s="311"/>
      <c r="D42" s="159"/>
      <c r="E42" s="170"/>
      <c r="F42" s="321"/>
      <c r="G42" s="322"/>
      <c r="H42" s="159"/>
      <c r="I42" s="237"/>
      <c r="J42" s="231"/>
      <c r="K42" s="231"/>
      <c r="L42" s="256"/>
      <c r="M42" s="159"/>
    </row>
    <row r="43" spans="1:14" ht="15.75" x14ac:dyDescent="0.2">
      <c r="A43" s="10" t="s">
        <v>322</v>
      </c>
      <c r="B43" s="231"/>
      <c r="C43" s="311"/>
      <c r="D43" s="159"/>
      <c r="E43" s="170"/>
      <c r="F43" s="321"/>
      <c r="G43" s="322"/>
      <c r="H43" s="159"/>
      <c r="I43" s="237"/>
      <c r="J43" s="231"/>
      <c r="K43" s="231"/>
      <c r="L43" s="256"/>
      <c r="M43" s="159"/>
    </row>
    <row r="44" spans="1:14" ht="15.75" x14ac:dyDescent="0.2">
      <c r="A44" s="10" t="s">
        <v>323</v>
      </c>
      <c r="B44" s="231"/>
      <c r="C44" s="311"/>
      <c r="D44" s="159"/>
      <c r="E44" s="170"/>
      <c r="F44" s="321"/>
      <c r="G44" s="323"/>
      <c r="H44" s="159"/>
      <c r="I44" s="237"/>
      <c r="J44" s="231"/>
      <c r="K44" s="231"/>
      <c r="L44" s="256"/>
      <c r="M44" s="159"/>
    </row>
    <row r="45" spans="1:14" ht="15.75" x14ac:dyDescent="0.2">
      <c r="A45" s="10" t="s">
        <v>324</v>
      </c>
      <c r="B45" s="231"/>
      <c r="C45" s="311"/>
      <c r="D45" s="159"/>
      <c r="E45" s="170"/>
      <c r="F45" s="321"/>
      <c r="G45" s="322"/>
      <c r="H45" s="159"/>
      <c r="I45" s="237"/>
      <c r="J45" s="231"/>
      <c r="K45" s="231"/>
      <c r="L45" s="256"/>
      <c r="M45" s="159"/>
    </row>
    <row r="46" spans="1:14" ht="15.75" x14ac:dyDescent="0.2">
      <c r="A46" s="16" t="s">
        <v>325</v>
      </c>
      <c r="B46" s="277"/>
      <c r="C46" s="317"/>
      <c r="D46" s="160"/>
      <c r="E46" s="201"/>
      <c r="F46" s="324"/>
      <c r="G46" s="325"/>
      <c r="H46" s="160"/>
      <c r="I46" s="160"/>
      <c r="J46" s="231"/>
      <c r="K46" s="231"/>
      <c r="L46" s="257"/>
      <c r="M46" s="160"/>
    </row>
    <row r="47" spans="1:14" ht="15.75" x14ac:dyDescent="0.25">
      <c r="A47" s="40"/>
      <c r="B47" s="254"/>
      <c r="C47" s="254"/>
      <c r="D47" s="836"/>
      <c r="E47" s="836"/>
      <c r="F47" s="836"/>
      <c r="G47" s="836"/>
      <c r="H47" s="836"/>
      <c r="I47" s="836"/>
      <c r="J47" s="836"/>
      <c r="K47" s="836"/>
      <c r="L47" s="836"/>
      <c r="M47" s="304"/>
    </row>
    <row r="48" spans="1:14" x14ac:dyDescent="0.2">
      <c r="A48" s="148"/>
    </row>
    <row r="49" spans="1:14" ht="15.75" x14ac:dyDescent="0.25">
      <c r="A49" s="141" t="s">
        <v>305</v>
      </c>
      <c r="B49" s="835"/>
      <c r="C49" s="835"/>
      <c r="D49" s="835"/>
      <c r="E49" s="301"/>
      <c r="F49" s="837"/>
      <c r="G49" s="837"/>
      <c r="H49" s="837"/>
      <c r="I49" s="304"/>
      <c r="J49" s="837"/>
      <c r="K49" s="837"/>
      <c r="L49" s="837"/>
      <c r="M49" s="304"/>
    </row>
    <row r="50" spans="1:14" ht="15.75" x14ac:dyDescent="0.25">
      <c r="A50" s="156"/>
      <c r="B50" s="305"/>
      <c r="C50" s="305"/>
      <c r="D50" s="305"/>
      <c r="E50" s="305"/>
      <c r="F50" s="304"/>
      <c r="G50" s="304"/>
      <c r="H50" s="304"/>
      <c r="I50" s="304"/>
      <c r="J50" s="304"/>
      <c r="K50" s="304"/>
      <c r="L50" s="304"/>
      <c r="M50" s="304"/>
    </row>
    <row r="51" spans="1:14" ht="15.75" x14ac:dyDescent="0.25">
      <c r="A51" s="244"/>
      <c r="B51" s="833" t="s">
        <v>0</v>
      </c>
      <c r="C51" s="834"/>
      <c r="D51" s="834"/>
      <c r="E51" s="240"/>
      <c r="F51" s="304"/>
      <c r="G51" s="304"/>
      <c r="H51" s="304"/>
      <c r="I51" s="304"/>
      <c r="J51" s="304"/>
      <c r="K51" s="304"/>
      <c r="L51" s="304"/>
      <c r="M51" s="304"/>
    </row>
    <row r="52" spans="1:14" s="3" customFormat="1" x14ac:dyDescent="0.2">
      <c r="A52" s="134"/>
      <c r="B52" s="167" t="s">
        <v>400</v>
      </c>
      <c r="C52" s="167" t="s">
        <v>401</v>
      </c>
      <c r="D52" s="155" t="s">
        <v>3</v>
      </c>
      <c r="E52" s="155" t="s">
        <v>37</v>
      </c>
      <c r="F52" s="169"/>
      <c r="G52" s="169"/>
      <c r="H52" s="168"/>
      <c r="I52" s="168"/>
      <c r="J52" s="169"/>
      <c r="K52" s="169"/>
      <c r="L52" s="168"/>
      <c r="M52" s="168"/>
      <c r="N52" s="142"/>
    </row>
    <row r="53" spans="1:14" s="3" customFormat="1" x14ac:dyDescent="0.2">
      <c r="A53" s="403"/>
      <c r="B53" s="241"/>
      <c r="C53" s="241"/>
      <c r="D53" s="242" t="s">
        <v>4</v>
      </c>
      <c r="E53" s="149" t="s">
        <v>38</v>
      </c>
      <c r="F53" s="168"/>
      <c r="G53" s="168"/>
      <c r="H53" s="168"/>
      <c r="I53" s="168"/>
      <c r="J53" s="168"/>
      <c r="K53" s="168"/>
      <c r="L53" s="168"/>
      <c r="M53" s="168"/>
      <c r="N53" s="142"/>
    </row>
    <row r="54" spans="1:14" s="3" customFormat="1" ht="15.75" x14ac:dyDescent="0.2">
      <c r="A54" s="12" t="s">
        <v>30</v>
      </c>
      <c r="B54" s="312">
        <v>2346</v>
      </c>
      <c r="C54" s="313">
        <v>2338</v>
      </c>
      <c r="D54" s="255">
        <f t="shared" ref="D54:D61" si="0">IF(B54=0, "    ---- ", IF(ABS(ROUND(100/B54*C54-100,1))&lt;999,ROUND(100/B54*C54-100,1),IF(ROUND(100/B54*C54-100,1)&gt;999,999,-999)))</f>
        <v>-0.3</v>
      </c>
      <c r="E54" s="170">
        <f>IFERROR(100/'Skjema total MA'!C54*C54,0)</f>
        <v>6.2620109782159636E-2</v>
      </c>
      <c r="F54" s="139"/>
      <c r="G54" s="27"/>
      <c r="H54" s="152"/>
      <c r="I54" s="152"/>
      <c r="J54" s="30"/>
      <c r="K54" s="30"/>
      <c r="L54" s="152"/>
      <c r="M54" s="152"/>
      <c r="N54" s="142"/>
    </row>
    <row r="55" spans="1:14" s="3" customFormat="1" ht="15.75" x14ac:dyDescent="0.2">
      <c r="A55" s="31" t="s">
        <v>326</v>
      </c>
      <c r="B55" s="282">
        <v>2346</v>
      </c>
      <c r="C55" s="283">
        <v>2338</v>
      </c>
      <c r="D55" s="256">
        <f t="shared" si="0"/>
        <v>-0.3</v>
      </c>
      <c r="E55" s="170">
        <f>IFERROR(100/'Skjema total MA'!C55*C55,0)</f>
        <v>0.11485566082099315</v>
      </c>
      <c r="F55" s="139"/>
      <c r="G55" s="27"/>
      <c r="H55" s="139"/>
      <c r="I55" s="139"/>
      <c r="J55" s="27"/>
      <c r="K55" s="27"/>
      <c r="L55" s="152"/>
      <c r="M55" s="152"/>
      <c r="N55" s="142"/>
    </row>
    <row r="56" spans="1:14" s="3" customFormat="1" ht="15.75" x14ac:dyDescent="0.2">
      <c r="A56" s="31" t="s">
        <v>327</v>
      </c>
      <c r="B56" s="37"/>
      <c r="C56" s="288"/>
      <c r="D56" s="256"/>
      <c r="E56" s="170"/>
      <c r="F56" s="139"/>
      <c r="G56" s="27"/>
      <c r="H56" s="139"/>
      <c r="I56" s="139"/>
      <c r="J56" s="30"/>
      <c r="K56" s="30"/>
      <c r="L56" s="152"/>
      <c r="M56" s="152"/>
      <c r="N56" s="142"/>
    </row>
    <row r="57" spans="1:14" s="3" customFormat="1" x14ac:dyDescent="0.2">
      <c r="A57" s="298" t="s">
        <v>6</v>
      </c>
      <c r="B57" s="291"/>
      <c r="C57" s="292"/>
      <c r="D57" s="256"/>
      <c r="E57" s="159"/>
      <c r="F57" s="139"/>
      <c r="G57" s="27"/>
      <c r="H57" s="139"/>
      <c r="I57" s="139"/>
      <c r="J57" s="27"/>
      <c r="K57" s="27"/>
      <c r="L57" s="152"/>
      <c r="M57" s="152"/>
      <c r="N57" s="142"/>
    </row>
    <row r="58" spans="1:14" s="3" customFormat="1" x14ac:dyDescent="0.2">
      <c r="A58" s="298" t="s">
        <v>7</v>
      </c>
      <c r="B58" s="291"/>
      <c r="C58" s="292"/>
      <c r="D58" s="256"/>
      <c r="E58" s="159"/>
      <c r="F58" s="139"/>
      <c r="G58" s="27"/>
      <c r="H58" s="139"/>
      <c r="I58" s="139"/>
      <c r="J58" s="27"/>
      <c r="K58" s="27"/>
      <c r="L58" s="152"/>
      <c r="M58" s="152"/>
      <c r="N58" s="142"/>
    </row>
    <row r="59" spans="1:14" s="3" customFormat="1" x14ac:dyDescent="0.2">
      <c r="A59" s="298" t="s">
        <v>8</v>
      </c>
      <c r="B59" s="291"/>
      <c r="C59" s="292"/>
      <c r="D59" s="256"/>
      <c r="E59" s="159"/>
      <c r="F59" s="139"/>
      <c r="G59" s="27"/>
      <c r="H59" s="139"/>
      <c r="I59" s="139"/>
      <c r="J59" s="27"/>
      <c r="K59" s="27"/>
      <c r="L59" s="152"/>
      <c r="M59" s="152"/>
      <c r="N59" s="142"/>
    </row>
    <row r="60" spans="1:14" s="3" customFormat="1" ht="15.75" x14ac:dyDescent="0.2">
      <c r="A60" s="11" t="s">
        <v>29</v>
      </c>
      <c r="B60" s="312">
        <v>0</v>
      </c>
      <c r="C60" s="313">
        <v>28</v>
      </c>
      <c r="D60" s="256" t="str">
        <f t="shared" si="0"/>
        <v xml:space="preserve">    ---- </v>
      </c>
      <c r="E60" s="170">
        <f>IFERROR(100/'Skjema total MA'!C60*C60,0)</f>
        <v>3.1701318509917559E-2</v>
      </c>
      <c r="F60" s="139"/>
      <c r="G60" s="27"/>
      <c r="H60" s="139"/>
      <c r="I60" s="139"/>
      <c r="J60" s="27"/>
      <c r="K60" s="27"/>
      <c r="L60" s="152"/>
      <c r="M60" s="152"/>
      <c r="N60" s="142"/>
    </row>
    <row r="61" spans="1:14" s="3" customFormat="1" ht="15.75" x14ac:dyDescent="0.2">
      <c r="A61" s="31" t="s">
        <v>326</v>
      </c>
      <c r="B61" s="282">
        <v>0</v>
      </c>
      <c r="C61" s="283">
        <v>28</v>
      </c>
      <c r="D61" s="256" t="str">
        <f t="shared" si="0"/>
        <v xml:space="preserve">    ---- </v>
      </c>
      <c r="E61" s="170">
        <f>IFERROR(100/'Skjema total MA'!C61*C61,0)</f>
        <v>7.2168060236205547E-2</v>
      </c>
      <c r="F61" s="139"/>
      <c r="G61" s="27"/>
      <c r="H61" s="139"/>
      <c r="I61" s="139"/>
      <c r="J61" s="27"/>
      <c r="K61" s="27"/>
      <c r="L61" s="152"/>
      <c r="M61" s="152"/>
      <c r="N61" s="142"/>
    </row>
    <row r="62" spans="1:14" s="3" customFormat="1" ht="15.75" x14ac:dyDescent="0.2">
      <c r="A62" s="31" t="s">
        <v>327</v>
      </c>
      <c r="B62" s="37"/>
      <c r="C62" s="288"/>
      <c r="D62" s="256"/>
      <c r="E62" s="170"/>
      <c r="F62" s="139"/>
      <c r="G62" s="27"/>
      <c r="H62" s="139"/>
      <c r="I62" s="139"/>
      <c r="J62" s="27"/>
      <c r="K62" s="27"/>
      <c r="L62" s="152"/>
      <c r="M62" s="152"/>
      <c r="N62" s="142"/>
    </row>
    <row r="63" spans="1:14" s="3" customFormat="1" x14ac:dyDescent="0.2">
      <c r="A63" s="298" t="s">
        <v>6</v>
      </c>
      <c r="B63" s="282"/>
      <c r="C63" s="283"/>
      <c r="D63" s="256"/>
      <c r="E63" s="159"/>
      <c r="F63" s="139"/>
      <c r="G63" s="27"/>
      <c r="H63" s="139"/>
      <c r="I63" s="139"/>
      <c r="J63" s="27"/>
      <c r="K63" s="27"/>
      <c r="L63" s="152"/>
      <c r="M63" s="152"/>
      <c r="N63" s="142"/>
    </row>
    <row r="64" spans="1:14" s="3" customFormat="1" x14ac:dyDescent="0.2">
      <c r="A64" s="298" t="s">
        <v>7</v>
      </c>
      <c r="B64" s="282"/>
      <c r="C64" s="283"/>
      <c r="D64" s="256"/>
      <c r="E64" s="159"/>
      <c r="F64" s="139"/>
      <c r="G64" s="27"/>
      <c r="H64" s="139"/>
      <c r="I64" s="139"/>
      <c r="J64" s="27"/>
      <c r="K64" s="27"/>
      <c r="L64" s="152"/>
      <c r="M64" s="152"/>
      <c r="N64" s="142"/>
    </row>
    <row r="65" spans="1:14" s="3" customFormat="1" x14ac:dyDescent="0.2">
      <c r="A65" s="298" t="s">
        <v>8</v>
      </c>
      <c r="B65" s="282"/>
      <c r="C65" s="283"/>
      <c r="D65" s="256"/>
      <c r="E65" s="159"/>
      <c r="F65" s="139"/>
      <c r="G65" s="27"/>
      <c r="H65" s="139"/>
      <c r="I65" s="139"/>
      <c r="J65" s="27"/>
      <c r="K65" s="27"/>
      <c r="L65" s="152"/>
      <c r="M65" s="152"/>
      <c r="N65" s="142"/>
    </row>
    <row r="66" spans="1:14" s="3" customFormat="1" ht="15.75" x14ac:dyDescent="0.2">
      <c r="A66" s="32" t="s">
        <v>328</v>
      </c>
      <c r="B66" s="312"/>
      <c r="C66" s="313"/>
      <c r="D66" s="256"/>
      <c r="E66" s="170"/>
      <c r="F66" s="139"/>
      <c r="G66" s="27"/>
      <c r="H66" s="139"/>
      <c r="I66" s="139"/>
      <c r="J66" s="27"/>
      <c r="K66" s="27"/>
      <c r="L66" s="152"/>
      <c r="M66" s="152"/>
      <c r="N66" s="142"/>
    </row>
    <row r="67" spans="1:14" s="3" customFormat="1" ht="15.75" x14ac:dyDescent="0.2">
      <c r="A67" s="31" t="s">
        <v>326</v>
      </c>
      <c r="B67" s="282"/>
      <c r="C67" s="283"/>
      <c r="D67" s="256"/>
      <c r="E67" s="170"/>
      <c r="F67" s="139"/>
      <c r="G67" s="27"/>
      <c r="H67" s="139"/>
      <c r="I67" s="139"/>
      <c r="J67" s="27"/>
      <c r="K67" s="27"/>
      <c r="L67" s="152"/>
      <c r="M67" s="152"/>
      <c r="N67" s="142"/>
    </row>
    <row r="68" spans="1:14" s="3" customFormat="1" ht="15.75" x14ac:dyDescent="0.2">
      <c r="A68" s="31" t="s">
        <v>327</v>
      </c>
      <c r="B68" s="282"/>
      <c r="C68" s="283"/>
      <c r="D68" s="256"/>
      <c r="E68" s="170"/>
      <c r="F68" s="139"/>
      <c r="G68" s="27"/>
      <c r="H68" s="139"/>
      <c r="I68" s="139"/>
      <c r="J68" s="27"/>
      <c r="K68" s="27"/>
      <c r="L68" s="152"/>
      <c r="M68" s="152"/>
      <c r="N68" s="142"/>
    </row>
    <row r="69" spans="1:14" s="3" customFormat="1" ht="15.75" x14ac:dyDescent="0.2">
      <c r="A69" s="32" t="s">
        <v>329</v>
      </c>
      <c r="B69" s="312"/>
      <c r="C69" s="313"/>
      <c r="D69" s="256"/>
      <c r="E69" s="170"/>
      <c r="F69" s="139"/>
      <c r="G69" s="27"/>
      <c r="H69" s="139"/>
      <c r="I69" s="139"/>
      <c r="J69" s="27"/>
      <c r="K69" s="27"/>
      <c r="L69" s="152"/>
      <c r="M69" s="152"/>
      <c r="N69" s="142"/>
    </row>
    <row r="70" spans="1:14" s="3" customFormat="1" ht="15.75" x14ac:dyDescent="0.2">
      <c r="A70" s="31" t="s">
        <v>326</v>
      </c>
      <c r="B70" s="282"/>
      <c r="C70" s="283"/>
      <c r="D70" s="256"/>
      <c r="E70" s="170"/>
      <c r="F70" s="139"/>
      <c r="G70" s="27"/>
      <c r="H70" s="139"/>
      <c r="I70" s="139"/>
      <c r="J70" s="27"/>
      <c r="K70" s="27"/>
      <c r="L70" s="152"/>
      <c r="M70" s="152"/>
      <c r="N70" s="142"/>
    </row>
    <row r="71" spans="1:14" s="3" customFormat="1" ht="15.75" x14ac:dyDescent="0.2">
      <c r="A71" s="39" t="s">
        <v>327</v>
      </c>
      <c r="B71" s="284"/>
      <c r="C71" s="285"/>
      <c r="D71" s="257"/>
      <c r="E71" s="160"/>
      <c r="F71" s="139"/>
      <c r="G71" s="27"/>
      <c r="H71" s="139"/>
      <c r="I71" s="139"/>
      <c r="J71" s="27"/>
      <c r="K71" s="27"/>
      <c r="L71" s="152"/>
      <c r="M71" s="152"/>
      <c r="N71" s="142"/>
    </row>
    <row r="72" spans="1:14" s="3" customFormat="1" ht="15.75" x14ac:dyDescent="0.25">
      <c r="A72" s="157"/>
      <c r="B72" s="147"/>
      <c r="C72" s="147"/>
      <c r="D72" s="147"/>
      <c r="E72" s="147"/>
      <c r="F72" s="136"/>
      <c r="G72" s="136"/>
      <c r="H72" s="136"/>
      <c r="I72" s="136"/>
      <c r="J72" s="136"/>
      <c r="K72" s="136"/>
      <c r="L72" s="136"/>
      <c r="M72" s="136"/>
      <c r="N72" s="142"/>
    </row>
    <row r="73" spans="1:14" x14ac:dyDescent="0.2">
      <c r="A73" s="148"/>
    </row>
    <row r="74" spans="1:14" ht="15.75" x14ac:dyDescent="0.25">
      <c r="A74" s="141" t="s">
        <v>306</v>
      </c>
      <c r="C74" s="20"/>
      <c r="D74" s="20"/>
      <c r="E74" s="20"/>
      <c r="F74" s="20"/>
      <c r="G74" s="20"/>
      <c r="H74" s="20"/>
      <c r="I74" s="20"/>
      <c r="J74" s="20"/>
      <c r="K74" s="20"/>
      <c r="L74" s="20"/>
      <c r="M74" s="20"/>
    </row>
    <row r="75" spans="1:14" ht="15.75" x14ac:dyDescent="0.25">
      <c r="B75" s="832"/>
      <c r="C75" s="832"/>
      <c r="D75" s="832"/>
      <c r="E75" s="301"/>
      <c r="F75" s="832"/>
      <c r="G75" s="832"/>
      <c r="H75" s="832"/>
      <c r="I75" s="301"/>
      <c r="J75" s="832"/>
      <c r="K75" s="832"/>
      <c r="L75" s="832"/>
      <c r="M75" s="301"/>
    </row>
    <row r="76" spans="1:14" x14ac:dyDescent="0.2">
      <c r="A76" s="138"/>
      <c r="B76" s="833" t="s">
        <v>0</v>
      </c>
      <c r="C76" s="834"/>
      <c r="D76" s="838"/>
      <c r="E76" s="302"/>
      <c r="F76" s="834" t="s">
        <v>1</v>
      </c>
      <c r="G76" s="834"/>
      <c r="H76" s="834"/>
      <c r="I76" s="306"/>
      <c r="J76" s="833" t="s">
        <v>2</v>
      </c>
      <c r="K76" s="834"/>
      <c r="L76" s="834"/>
      <c r="M76" s="306"/>
    </row>
    <row r="77" spans="1:14" x14ac:dyDescent="0.2">
      <c r="A77" s="134"/>
      <c r="B77" s="145" t="s">
        <v>400</v>
      </c>
      <c r="C77" s="145" t="s">
        <v>401</v>
      </c>
      <c r="D77" s="242" t="s">
        <v>3</v>
      </c>
      <c r="E77" s="307" t="s">
        <v>37</v>
      </c>
      <c r="F77" s="145" t="s">
        <v>400</v>
      </c>
      <c r="G77" s="145" t="s">
        <v>401</v>
      </c>
      <c r="H77" s="242" t="s">
        <v>3</v>
      </c>
      <c r="I77" s="307" t="s">
        <v>37</v>
      </c>
      <c r="J77" s="145" t="s">
        <v>400</v>
      </c>
      <c r="K77" s="145" t="s">
        <v>401</v>
      </c>
      <c r="L77" s="242" t="s">
        <v>3</v>
      </c>
      <c r="M77" s="155" t="s">
        <v>37</v>
      </c>
    </row>
    <row r="78" spans="1:14" x14ac:dyDescent="0.2">
      <c r="A78" s="403"/>
      <c r="B78" s="149"/>
      <c r="C78" s="149"/>
      <c r="D78" s="243" t="s">
        <v>4</v>
      </c>
      <c r="E78" s="149" t="s">
        <v>38</v>
      </c>
      <c r="F78" s="154"/>
      <c r="G78" s="154"/>
      <c r="H78" s="242" t="s">
        <v>4</v>
      </c>
      <c r="I78" s="149" t="s">
        <v>38</v>
      </c>
      <c r="J78" s="154"/>
      <c r="K78" s="154"/>
      <c r="L78" s="242" t="s">
        <v>4</v>
      </c>
      <c r="M78" s="149" t="s">
        <v>38</v>
      </c>
    </row>
    <row r="79" spans="1:14" ht="15.75" x14ac:dyDescent="0.2">
      <c r="A79" s="12" t="s">
        <v>30</v>
      </c>
      <c r="B79" s="355"/>
      <c r="C79" s="355"/>
      <c r="D79" s="251"/>
      <c r="E79" s="251"/>
      <c r="F79" s="355"/>
      <c r="G79" s="355"/>
      <c r="H79" s="251"/>
      <c r="I79" s="170"/>
      <c r="J79" s="311"/>
      <c r="K79" s="318"/>
      <c r="L79" s="255"/>
      <c r="M79" s="170"/>
    </row>
    <row r="80" spans="1:14" x14ac:dyDescent="0.2">
      <c r="A80" s="18" t="s">
        <v>9</v>
      </c>
      <c r="B80" s="37"/>
      <c r="C80" s="139"/>
      <c r="D80" s="159"/>
      <c r="E80" s="159"/>
      <c r="F80" s="37"/>
      <c r="G80" s="139"/>
      <c r="H80" s="159"/>
      <c r="I80" s="170"/>
      <c r="J80" s="288"/>
      <c r="K80" s="37"/>
      <c r="L80" s="256"/>
      <c r="M80" s="170"/>
    </row>
    <row r="81" spans="1:14" x14ac:dyDescent="0.2">
      <c r="A81" s="18" t="s">
        <v>10</v>
      </c>
      <c r="B81" s="293"/>
      <c r="C81" s="294"/>
      <c r="D81" s="159"/>
      <c r="E81" s="159"/>
      <c r="F81" s="293"/>
      <c r="G81" s="294"/>
      <c r="H81" s="159"/>
      <c r="I81" s="170"/>
      <c r="J81" s="288"/>
      <c r="K81" s="37"/>
      <c r="L81" s="256"/>
      <c r="M81" s="170"/>
    </row>
    <row r="82" spans="1:14" ht="15.75" x14ac:dyDescent="0.2">
      <c r="A82" s="298" t="s">
        <v>330</v>
      </c>
      <c r="B82" s="282"/>
      <c r="C82" s="282"/>
      <c r="D82" s="159"/>
      <c r="E82" s="159"/>
      <c r="F82" s="805"/>
      <c r="G82" s="282"/>
      <c r="H82" s="159"/>
      <c r="I82" s="237"/>
      <c r="J82" s="291"/>
      <c r="K82" s="291"/>
      <c r="L82" s="159"/>
      <c r="M82" s="159"/>
    </row>
    <row r="83" spans="1:14" x14ac:dyDescent="0.2">
      <c r="A83" s="298" t="s">
        <v>12</v>
      </c>
      <c r="B83" s="295"/>
      <c r="C83" s="296"/>
      <c r="D83" s="159"/>
      <c r="E83" s="159"/>
      <c r="F83" s="806"/>
      <c r="G83" s="41"/>
      <c r="H83" s="159"/>
      <c r="I83" s="237"/>
      <c r="J83" s="291"/>
      <c r="K83" s="291"/>
      <c r="L83" s="159"/>
      <c r="M83" s="159"/>
    </row>
    <row r="84" spans="1:14" x14ac:dyDescent="0.2">
      <c r="A84" s="298" t="s">
        <v>13</v>
      </c>
      <c r="B84" s="230"/>
      <c r="C84" s="290"/>
      <c r="D84" s="159"/>
      <c r="E84" s="159"/>
      <c r="F84" s="229"/>
      <c r="G84" s="139"/>
      <c r="H84" s="159"/>
      <c r="I84" s="237"/>
      <c r="J84" s="291"/>
      <c r="K84" s="291"/>
      <c r="L84" s="159"/>
      <c r="M84" s="159"/>
    </row>
    <row r="85" spans="1:14" ht="15.75" x14ac:dyDescent="0.2">
      <c r="A85" s="298" t="s">
        <v>331</v>
      </c>
      <c r="B85" s="282"/>
      <c r="C85" s="282"/>
      <c r="D85" s="159"/>
      <c r="E85" s="159"/>
      <c r="F85" s="805"/>
      <c r="G85" s="282"/>
      <c r="H85" s="159"/>
      <c r="I85" s="237"/>
      <c r="J85" s="291"/>
      <c r="K85" s="291"/>
      <c r="L85" s="159"/>
      <c r="M85" s="159"/>
    </row>
    <row r="86" spans="1:14" x14ac:dyDescent="0.2">
      <c r="A86" s="298" t="s">
        <v>12</v>
      </c>
      <c r="B86" s="230"/>
      <c r="C86" s="290"/>
      <c r="D86" s="159"/>
      <c r="E86" s="159"/>
      <c r="F86" s="229"/>
      <c r="G86" s="139"/>
      <c r="H86" s="159"/>
      <c r="I86" s="237"/>
      <c r="J86" s="291"/>
      <c r="K86" s="291"/>
      <c r="L86" s="159"/>
      <c r="M86" s="159"/>
    </row>
    <row r="87" spans="1:14" s="3" customFormat="1" x14ac:dyDescent="0.2">
      <c r="A87" s="298" t="s">
        <v>13</v>
      </c>
      <c r="B87" s="230"/>
      <c r="C87" s="290"/>
      <c r="D87" s="159"/>
      <c r="E87" s="159"/>
      <c r="F87" s="229"/>
      <c r="G87" s="139"/>
      <c r="H87" s="159"/>
      <c r="I87" s="237"/>
      <c r="J87" s="291"/>
      <c r="K87" s="291"/>
      <c r="L87" s="159"/>
      <c r="M87" s="159"/>
      <c r="N87" s="142"/>
    </row>
    <row r="88" spans="1:14" s="3" customFormat="1" x14ac:dyDescent="0.2">
      <c r="A88" s="18" t="s">
        <v>33</v>
      </c>
      <c r="B88" s="229"/>
      <c r="C88" s="139"/>
      <c r="D88" s="159"/>
      <c r="E88" s="159"/>
      <c r="F88" s="229"/>
      <c r="G88" s="139"/>
      <c r="H88" s="159"/>
      <c r="I88" s="170"/>
      <c r="J88" s="288"/>
      <c r="K88" s="37"/>
      <c r="L88" s="256"/>
      <c r="M88" s="170"/>
      <c r="N88" s="142"/>
    </row>
    <row r="89" spans="1:14" ht="15.75" x14ac:dyDescent="0.2">
      <c r="A89" s="18" t="s">
        <v>332</v>
      </c>
      <c r="B89" s="229"/>
      <c r="C89" s="229"/>
      <c r="D89" s="159"/>
      <c r="E89" s="159"/>
      <c r="F89" s="229"/>
      <c r="G89" s="229"/>
      <c r="H89" s="159"/>
      <c r="I89" s="170"/>
      <c r="J89" s="288"/>
      <c r="K89" s="37"/>
      <c r="L89" s="256"/>
      <c r="M89" s="170"/>
    </row>
    <row r="90" spans="1:14" x14ac:dyDescent="0.2">
      <c r="A90" s="18" t="s">
        <v>9</v>
      </c>
      <c r="B90" s="229"/>
      <c r="C90" s="139"/>
      <c r="D90" s="159"/>
      <c r="E90" s="159"/>
      <c r="F90" s="229"/>
      <c r="G90" s="139"/>
      <c r="H90" s="159"/>
      <c r="I90" s="170"/>
      <c r="J90" s="288"/>
      <c r="K90" s="37"/>
      <c r="L90" s="256"/>
      <c r="M90" s="170"/>
    </row>
    <row r="91" spans="1:14" x14ac:dyDescent="0.2">
      <c r="A91" s="18" t="s">
        <v>10</v>
      </c>
      <c r="B91" s="293"/>
      <c r="C91" s="294"/>
      <c r="D91" s="159"/>
      <c r="E91" s="159"/>
      <c r="F91" s="293"/>
      <c r="G91" s="294"/>
      <c r="H91" s="159"/>
      <c r="I91" s="170"/>
      <c r="J91" s="288"/>
      <c r="K91" s="37"/>
      <c r="L91" s="256"/>
      <c r="M91" s="170"/>
    </row>
    <row r="92" spans="1:14" ht="15.75" x14ac:dyDescent="0.2">
      <c r="A92" s="298" t="s">
        <v>330</v>
      </c>
      <c r="B92" s="282"/>
      <c r="C92" s="282"/>
      <c r="D92" s="159"/>
      <c r="E92" s="159"/>
      <c r="F92" s="805"/>
      <c r="G92" s="282"/>
      <c r="H92" s="159"/>
      <c r="I92" s="237"/>
      <c r="J92" s="291"/>
      <c r="K92" s="291"/>
      <c r="L92" s="159"/>
      <c r="M92" s="159"/>
    </row>
    <row r="93" spans="1:14" x14ac:dyDescent="0.2">
      <c r="A93" s="298" t="s">
        <v>12</v>
      </c>
      <c r="B93" s="230"/>
      <c r="C93" s="290"/>
      <c r="D93" s="159"/>
      <c r="E93" s="159"/>
      <c r="F93" s="229"/>
      <c r="G93" s="139"/>
      <c r="H93" s="159"/>
      <c r="I93" s="237"/>
      <c r="J93" s="291"/>
      <c r="K93" s="291"/>
      <c r="L93" s="159"/>
      <c r="M93" s="159"/>
    </row>
    <row r="94" spans="1:14" x14ac:dyDescent="0.2">
      <c r="A94" s="298" t="s">
        <v>13</v>
      </c>
      <c r="B94" s="230"/>
      <c r="C94" s="290"/>
      <c r="D94" s="159"/>
      <c r="E94" s="159"/>
      <c r="F94" s="229"/>
      <c r="G94" s="139"/>
      <c r="H94" s="159"/>
      <c r="I94" s="237"/>
      <c r="J94" s="291"/>
      <c r="K94" s="291"/>
      <c r="L94" s="159"/>
      <c r="M94" s="159"/>
    </row>
    <row r="95" spans="1:14" ht="15.75" x14ac:dyDescent="0.2">
      <c r="A95" s="298" t="s">
        <v>331</v>
      </c>
      <c r="B95" s="282"/>
      <c r="C95" s="282"/>
      <c r="D95" s="159"/>
      <c r="E95" s="159"/>
      <c r="F95" s="805"/>
      <c r="G95" s="282"/>
      <c r="H95" s="159"/>
      <c r="I95" s="237"/>
      <c r="J95" s="291"/>
      <c r="K95" s="291"/>
      <c r="L95" s="159"/>
      <c r="M95" s="159"/>
    </row>
    <row r="96" spans="1:14" x14ac:dyDescent="0.2">
      <c r="A96" s="298" t="s">
        <v>12</v>
      </c>
      <c r="B96" s="230"/>
      <c r="C96" s="290"/>
      <c r="D96" s="159"/>
      <c r="E96" s="159"/>
      <c r="F96" s="229"/>
      <c r="G96" s="139"/>
      <c r="H96" s="159"/>
      <c r="I96" s="237"/>
      <c r="J96" s="291"/>
      <c r="K96" s="291"/>
      <c r="L96" s="159"/>
      <c r="M96" s="159"/>
    </row>
    <row r="97" spans="1:13" x14ac:dyDescent="0.2">
      <c r="A97" s="298" t="s">
        <v>13</v>
      </c>
      <c r="B97" s="230"/>
      <c r="C97" s="290"/>
      <c r="D97" s="159"/>
      <c r="E97" s="159"/>
      <c r="F97" s="229"/>
      <c r="G97" s="139"/>
      <c r="H97" s="159"/>
      <c r="I97" s="237"/>
      <c r="J97" s="291"/>
      <c r="K97" s="291"/>
      <c r="L97" s="159"/>
      <c r="M97" s="159"/>
    </row>
    <row r="98" spans="1:13" ht="15.75" x14ac:dyDescent="0.2">
      <c r="A98" s="18" t="s">
        <v>342</v>
      </c>
      <c r="B98" s="229"/>
      <c r="C98" s="139"/>
      <c r="D98" s="159"/>
      <c r="E98" s="159"/>
      <c r="F98" s="229"/>
      <c r="G98" s="139"/>
      <c r="H98" s="159"/>
      <c r="I98" s="170"/>
      <c r="J98" s="288"/>
      <c r="K98" s="37"/>
      <c r="L98" s="256"/>
      <c r="M98" s="170"/>
    </row>
    <row r="99" spans="1:13" ht="15.75" x14ac:dyDescent="0.2">
      <c r="A99" s="11" t="s">
        <v>29</v>
      </c>
      <c r="B99" s="310"/>
      <c r="C99" s="310"/>
      <c r="D99" s="159"/>
      <c r="E99" s="159"/>
      <c r="F99" s="310"/>
      <c r="G99" s="310"/>
      <c r="H99" s="159"/>
      <c r="I99" s="170"/>
      <c r="J99" s="311"/>
      <c r="K99" s="231"/>
      <c r="L99" s="256"/>
      <c r="M99" s="170"/>
    </row>
    <row r="100" spans="1:13" x14ac:dyDescent="0.2">
      <c r="A100" s="18" t="s">
        <v>9</v>
      </c>
      <c r="B100" s="229"/>
      <c r="C100" s="139"/>
      <c r="D100" s="159"/>
      <c r="E100" s="159"/>
      <c r="F100" s="229"/>
      <c r="G100" s="139"/>
      <c r="H100" s="159"/>
      <c r="I100" s="170"/>
      <c r="J100" s="288"/>
      <c r="K100" s="37"/>
      <c r="L100" s="256"/>
      <c r="M100" s="170"/>
    </row>
    <row r="101" spans="1:13" x14ac:dyDescent="0.2">
      <c r="A101" s="18" t="s">
        <v>10</v>
      </c>
      <c r="B101" s="229"/>
      <c r="C101" s="139"/>
      <c r="D101" s="159"/>
      <c r="E101" s="159"/>
      <c r="F101" s="229"/>
      <c r="G101" s="139"/>
      <c r="H101" s="159"/>
      <c r="I101" s="170"/>
      <c r="J101" s="288"/>
      <c r="K101" s="37"/>
      <c r="L101" s="256"/>
      <c r="M101" s="170"/>
    </row>
    <row r="102" spans="1:13" ht="15.75" x14ac:dyDescent="0.2">
      <c r="A102" s="298" t="s">
        <v>330</v>
      </c>
      <c r="B102" s="282"/>
      <c r="C102" s="282"/>
      <c r="D102" s="159"/>
      <c r="E102" s="159"/>
      <c r="F102" s="805"/>
      <c r="G102" s="282"/>
      <c r="H102" s="159"/>
      <c r="I102" s="237"/>
      <c r="J102" s="291"/>
      <c r="K102" s="291"/>
      <c r="L102" s="159"/>
      <c r="M102" s="159"/>
    </row>
    <row r="103" spans="1:13" x14ac:dyDescent="0.2">
      <c r="A103" s="298" t="s">
        <v>12</v>
      </c>
      <c r="B103" s="230"/>
      <c r="C103" s="290"/>
      <c r="D103" s="159"/>
      <c r="E103" s="159"/>
      <c r="F103" s="229"/>
      <c r="G103" s="139"/>
      <c r="H103" s="159"/>
      <c r="I103" s="237"/>
      <c r="J103" s="291"/>
      <c r="K103" s="291"/>
      <c r="L103" s="159"/>
      <c r="M103" s="159"/>
    </row>
    <row r="104" spans="1:13" x14ac:dyDescent="0.2">
      <c r="A104" s="298" t="s">
        <v>13</v>
      </c>
      <c r="B104" s="230"/>
      <c r="C104" s="290"/>
      <c r="D104" s="159"/>
      <c r="E104" s="159"/>
      <c r="F104" s="229"/>
      <c r="G104" s="139"/>
      <c r="H104" s="159"/>
      <c r="I104" s="237"/>
      <c r="J104" s="291"/>
      <c r="K104" s="291"/>
      <c r="L104" s="159"/>
      <c r="M104" s="159"/>
    </row>
    <row r="105" spans="1:13" ht="15.75" x14ac:dyDescent="0.2">
      <c r="A105" s="298" t="s">
        <v>331</v>
      </c>
      <c r="B105" s="282"/>
      <c r="C105" s="282"/>
      <c r="D105" s="159"/>
      <c r="E105" s="159"/>
      <c r="F105" s="805"/>
      <c r="G105" s="282"/>
      <c r="H105" s="159"/>
      <c r="I105" s="237"/>
      <c r="J105" s="291"/>
      <c r="K105" s="291"/>
      <c r="L105" s="159"/>
      <c r="M105" s="159"/>
    </row>
    <row r="106" spans="1:13" x14ac:dyDescent="0.2">
      <c r="A106" s="298" t="s">
        <v>12</v>
      </c>
      <c r="B106" s="230"/>
      <c r="C106" s="290"/>
      <c r="D106" s="159"/>
      <c r="E106" s="159"/>
      <c r="F106" s="229"/>
      <c r="G106" s="139"/>
      <c r="H106" s="159"/>
      <c r="I106" s="237"/>
      <c r="J106" s="291"/>
      <c r="K106" s="291"/>
      <c r="L106" s="159"/>
      <c r="M106" s="159"/>
    </row>
    <row r="107" spans="1:13" x14ac:dyDescent="0.2">
      <c r="A107" s="298" t="s">
        <v>13</v>
      </c>
      <c r="B107" s="230"/>
      <c r="C107" s="290"/>
      <c r="D107" s="159"/>
      <c r="E107" s="159"/>
      <c r="F107" s="229"/>
      <c r="G107" s="139"/>
      <c r="H107" s="159"/>
      <c r="I107" s="237"/>
      <c r="J107" s="291"/>
      <c r="K107" s="291"/>
      <c r="L107" s="159"/>
      <c r="M107" s="159"/>
    </row>
    <row r="108" spans="1:13" x14ac:dyDescent="0.2">
      <c r="A108" s="18" t="s">
        <v>33</v>
      </c>
      <c r="B108" s="229"/>
      <c r="C108" s="139"/>
      <c r="D108" s="159"/>
      <c r="E108" s="159"/>
      <c r="F108" s="229"/>
      <c r="G108" s="139"/>
      <c r="H108" s="159"/>
      <c r="I108" s="170"/>
      <c r="J108" s="288"/>
      <c r="K108" s="37"/>
      <c r="L108" s="256"/>
      <c r="M108" s="170"/>
    </row>
    <row r="109" spans="1:13" ht="15.75" x14ac:dyDescent="0.2">
      <c r="A109" s="18" t="s">
        <v>332</v>
      </c>
      <c r="B109" s="229"/>
      <c r="C109" s="139"/>
      <c r="D109" s="159"/>
      <c r="E109" s="159"/>
      <c r="F109" s="229"/>
      <c r="G109" s="139"/>
      <c r="H109" s="159"/>
      <c r="I109" s="170"/>
      <c r="J109" s="288"/>
      <c r="K109" s="37"/>
      <c r="L109" s="256"/>
      <c r="M109" s="170"/>
    </row>
    <row r="110" spans="1:13" x14ac:dyDescent="0.2">
      <c r="A110" s="18" t="s">
        <v>9</v>
      </c>
      <c r="B110" s="229"/>
      <c r="C110" s="139"/>
      <c r="D110" s="159"/>
      <c r="E110" s="159"/>
      <c r="F110" s="229"/>
      <c r="G110" s="139"/>
      <c r="H110" s="159"/>
      <c r="I110" s="170"/>
      <c r="J110" s="288"/>
      <c r="K110" s="37"/>
      <c r="L110" s="256"/>
      <c r="M110" s="170"/>
    </row>
    <row r="111" spans="1:13" x14ac:dyDescent="0.2">
      <c r="A111" s="18" t="s">
        <v>10</v>
      </c>
      <c r="B111" s="293"/>
      <c r="C111" s="294"/>
      <c r="D111" s="159"/>
      <c r="E111" s="159"/>
      <c r="F111" s="293"/>
      <c r="G111" s="294"/>
      <c r="H111" s="159"/>
      <c r="I111" s="170"/>
      <c r="J111" s="288"/>
      <c r="K111" s="37"/>
      <c r="L111" s="256"/>
      <c r="M111" s="170"/>
    </row>
    <row r="112" spans="1:13" ht="15.75" x14ac:dyDescent="0.2">
      <c r="A112" s="298" t="s">
        <v>330</v>
      </c>
      <c r="B112" s="282"/>
      <c r="C112" s="282"/>
      <c r="D112" s="159"/>
      <c r="E112" s="159"/>
      <c r="F112" s="805"/>
      <c r="G112" s="282"/>
      <c r="H112" s="159"/>
      <c r="I112" s="237"/>
      <c r="J112" s="291"/>
      <c r="K112" s="291"/>
      <c r="L112" s="159"/>
      <c r="M112" s="159"/>
    </row>
    <row r="113" spans="1:13" x14ac:dyDescent="0.2">
      <c r="A113" s="298" t="s">
        <v>12</v>
      </c>
      <c r="B113" s="230"/>
      <c r="C113" s="290"/>
      <c r="D113" s="159"/>
      <c r="E113" s="159"/>
      <c r="F113" s="229"/>
      <c r="G113" s="139"/>
      <c r="H113" s="159"/>
      <c r="I113" s="237"/>
      <c r="J113" s="291"/>
      <c r="K113" s="291"/>
      <c r="L113" s="159"/>
      <c r="M113" s="159"/>
    </row>
    <row r="114" spans="1:13" x14ac:dyDescent="0.2">
      <c r="A114" s="298" t="s">
        <v>13</v>
      </c>
      <c r="B114" s="230"/>
      <c r="C114" s="290"/>
      <c r="D114" s="159"/>
      <c r="E114" s="159"/>
      <c r="F114" s="229"/>
      <c r="G114" s="139"/>
      <c r="H114" s="159"/>
      <c r="I114" s="237"/>
      <c r="J114" s="291"/>
      <c r="K114" s="291"/>
      <c r="L114" s="159"/>
      <c r="M114" s="159"/>
    </row>
    <row r="115" spans="1:13" ht="15.75" x14ac:dyDescent="0.2">
      <c r="A115" s="298" t="s">
        <v>331</v>
      </c>
      <c r="B115" s="282"/>
      <c r="C115" s="282"/>
      <c r="D115" s="159"/>
      <c r="E115" s="159"/>
      <c r="F115" s="805"/>
      <c r="G115" s="282"/>
      <c r="H115" s="159"/>
      <c r="I115" s="237"/>
      <c r="J115" s="291"/>
      <c r="K115" s="291"/>
      <c r="L115" s="159"/>
      <c r="M115" s="159"/>
    </row>
    <row r="116" spans="1:13" x14ac:dyDescent="0.2">
      <c r="A116" s="298" t="s">
        <v>12</v>
      </c>
      <c r="B116" s="230"/>
      <c r="C116" s="290"/>
      <c r="D116" s="159"/>
      <c r="E116" s="159"/>
      <c r="F116" s="229"/>
      <c r="G116" s="139"/>
      <c r="H116" s="159"/>
      <c r="I116" s="237"/>
      <c r="J116" s="291"/>
      <c r="K116" s="291"/>
      <c r="L116" s="159"/>
      <c r="M116" s="159"/>
    </row>
    <row r="117" spans="1:13" x14ac:dyDescent="0.2">
      <c r="A117" s="298" t="s">
        <v>13</v>
      </c>
      <c r="B117" s="232"/>
      <c r="C117" s="297"/>
      <c r="D117" s="159"/>
      <c r="E117" s="159"/>
      <c r="F117" s="233"/>
      <c r="G117" s="807"/>
      <c r="H117" s="159"/>
      <c r="I117" s="237"/>
      <c r="J117" s="291"/>
      <c r="K117" s="291"/>
      <c r="L117" s="159"/>
      <c r="M117" s="159"/>
    </row>
    <row r="118" spans="1:13" ht="15.75" x14ac:dyDescent="0.2">
      <c r="A118" s="18" t="s">
        <v>342</v>
      </c>
      <c r="B118" s="229"/>
      <c r="C118" s="139"/>
      <c r="D118" s="159"/>
      <c r="E118" s="159"/>
      <c r="F118" s="229"/>
      <c r="G118" s="139"/>
      <c r="H118" s="159"/>
      <c r="I118" s="170"/>
      <c r="J118" s="288"/>
      <c r="K118" s="37"/>
      <c r="L118" s="256"/>
      <c r="M118" s="170"/>
    </row>
    <row r="119" spans="1:13" ht="15.75" x14ac:dyDescent="0.2">
      <c r="A119" s="11" t="s">
        <v>28</v>
      </c>
      <c r="B119" s="355"/>
      <c r="C119" s="355"/>
      <c r="D119" s="159"/>
      <c r="E119" s="159"/>
      <c r="F119" s="355"/>
      <c r="G119" s="355"/>
      <c r="H119" s="159"/>
      <c r="I119" s="170"/>
      <c r="J119" s="311"/>
      <c r="K119" s="231"/>
      <c r="L119" s="256"/>
      <c r="M119" s="170"/>
    </row>
    <row r="120" spans="1:13" x14ac:dyDescent="0.2">
      <c r="A120" s="18" t="s">
        <v>9</v>
      </c>
      <c r="B120" s="229"/>
      <c r="C120" s="139"/>
      <c r="D120" s="159"/>
      <c r="E120" s="159"/>
      <c r="F120" s="229"/>
      <c r="G120" s="139"/>
      <c r="H120" s="159"/>
      <c r="I120" s="170"/>
      <c r="J120" s="288"/>
      <c r="K120" s="37"/>
      <c r="L120" s="256"/>
      <c r="M120" s="170"/>
    </row>
    <row r="121" spans="1:13" x14ac:dyDescent="0.2">
      <c r="A121" s="18" t="s">
        <v>10</v>
      </c>
      <c r="B121" s="229"/>
      <c r="C121" s="139"/>
      <c r="D121" s="159"/>
      <c r="E121" s="159"/>
      <c r="F121" s="229"/>
      <c r="G121" s="139"/>
      <c r="H121" s="159"/>
      <c r="I121" s="170"/>
      <c r="J121" s="288"/>
      <c r="K121" s="37"/>
      <c r="L121" s="256"/>
      <c r="M121" s="170"/>
    </row>
    <row r="122" spans="1:13" ht="15.75" x14ac:dyDescent="0.2">
      <c r="A122" s="298" t="s">
        <v>330</v>
      </c>
      <c r="B122" s="282"/>
      <c r="C122" s="282"/>
      <c r="D122" s="159"/>
      <c r="E122" s="159"/>
      <c r="F122" s="805"/>
      <c r="G122" s="282"/>
      <c r="H122" s="159"/>
      <c r="I122" s="237"/>
      <c r="J122" s="291"/>
      <c r="K122" s="291"/>
      <c r="L122" s="159"/>
      <c r="M122" s="159"/>
    </row>
    <row r="123" spans="1:13" x14ac:dyDescent="0.2">
      <c r="A123" s="298" t="s">
        <v>12</v>
      </c>
      <c r="B123" s="230"/>
      <c r="C123" s="290"/>
      <c r="D123" s="159"/>
      <c r="E123" s="159"/>
      <c r="F123" s="229"/>
      <c r="G123" s="139"/>
      <c r="H123" s="159"/>
      <c r="I123" s="237"/>
      <c r="J123" s="291"/>
      <c r="K123" s="291"/>
      <c r="L123" s="159"/>
      <c r="M123" s="159"/>
    </row>
    <row r="124" spans="1:13" x14ac:dyDescent="0.2">
      <c r="A124" s="298" t="s">
        <v>13</v>
      </c>
      <c r="B124" s="230"/>
      <c r="C124" s="290"/>
      <c r="D124" s="159"/>
      <c r="E124" s="159"/>
      <c r="F124" s="229"/>
      <c r="G124" s="139"/>
      <c r="H124" s="159"/>
      <c r="I124" s="237"/>
      <c r="J124" s="291"/>
      <c r="K124" s="291"/>
      <c r="L124" s="159"/>
      <c r="M124" s="159"/>
    </row>
    <row r="125" spans="1:13" ht="15.75" x14ac:dyDescent="0.2">
      <c r="A125" s="298" t="s">
        <v>331</v>
      </c>
      <c r="B125" s="282"/>
      <c r="C125" s="282"/>
      <c r="D125" s="159"/>
      <c r="E125" s="159"/>
      <c r="F125" s="805"/>
      <c r="G125" s="282"/>
      <c r="H125" s="159"/>
      <c r="I125" s="237"/>
      <c r="J125" s="291"/>
      <c r="K125" s="291"/>
      <c r="L125" s="159"/>
      <c r="M125" s="159"/>
    </row>
    <row r="126" spans="1:13" x14ac:dyDescent="0.2">
      <c r="A126" s="298" t="s">
        <v>12</v>
      </c>
      <c r="B126" s="230"/>
      <c r="C126" s="290"/>
      <c r="D126" s="159"/>
      <c r="E126" s="159"/>
      <c r="F126" s="229"/>
      <c r="G126" s="139"/>
      <c r="H126" s="159"/>
      <c r="I126" s="237"/>
      <c r="J126" s="291"/>
      <c r="K126" s="291"/>
      <c r="L126" s="159"/>
      <c r="M126" s="159"/>
    </row>
    <row r="127" spans="1:13" x14ac:dyDescent="0.2">
      <c r="A127" s="298" t="s">
        <v>13</v>
      </c>
      <c r="B127" s="230"/>
      <c r="C127" s="290"/>
      <c r="D127" s="159"/>
      <c r="E127" s="159"/>
      <c r="F127" s="229"/>
      <c r="G127" s="139"/>
      <c r="H127" s="159"/>
      <c r="I127" s="237"/>
      <c r="J127" s="291"/>
      <c r="K127" s="291"/>
      <c r="L127" s="159"/>
      <c r="M127" s="159"/>
    </row>
    <row r="128" spans="1:13" x14ac:dyDescent="0.2">
      <c r="A128" s="18" t="s">
        <v>34</v>
      </c>
      <c r="B128" s="229"/>
      <c r="C128" s="139"/>
      <c r="D128" s="159"/>
      <c r="E128" s="159"/>
      <c r="F128" s="229"/>
      <c r="G128" s="139"/>
      <c r="H128" s="159"/>
      <c r="I128" s="170"/>
      <c r="J128" s="288"/>
      <c r="K128" s="37"/>
      <c r="L128" s="256"/>
      <c r="M128" s="170"/>
    </row>
    <row r="129" spans="1:13" ht="15.75" x14ac:dyDescent="0.2">
      <c r="A129" s="18" t="s">
        <v>332</v>
      </c>
      <c r="B129" s="229"/>
      <c r="C129" s="229"/>
      <c r="D129" s="159"/>
      <c r="E129" s="159"/>
      <c r="F129" s="229"/>
      <c r="G129" s="229"/>
      <c r="H129" s="159"/>
      <c r="I129" s="170"/>
      <c r="J129" s="288"/>
      <c r="K129" s="37"/>
      <c r="L129" s="256"/>
      <c r="M129" s="170"/>
    </row>
    <row r="130" spans="1:13" x14ac:dyDescent="0.2">
      <c r="A130" s="18" t="s">
        <v>9</v>
      </c>
      <c r="B130" s="293"/>
      <c r="C130" s="294"/>
      <c r="D130" s="159"/>
      <c r="E130" s="159"/>
      <c r="F130" s="293"/>
      <c r="G130" s="294"/>
      <c r="H130" s="159"/>
      <c r="I130" s="170"/>
      <c r="J130" s="288"/>
      <c r="K130" s="37"/>
      <c r="L130" s="256"/>
      <c r="M130" s="170"/>
    </row>
    <row r="131" spans="1:13" x14ac:dyDescent="0.2">
      <c r="A131" s="18" t="s">
        <v>10</v>
      </c>
      <c r="B131" s="293"/>
      <c r="C131" s="294"/>
      <c r="D131" s="159"/>
      <c r="E131" s="159"/>
      <c r="F131" s="293"/>
      <c r="G131" s="294"/>
      <c r="H131" s="159"/>
      <c r="I131" s="170"/>
      <c r="J131" s="288"/>
      <c r="K131" s="37"/>
      <c r="L131" s="256"/>
      <c r="M131" s="170"/>
    </row>
    <row r="132" spans="1:13" ht="15.75" x14ac:dyDescent="0.2">
      <c r="A132" s="298" t="s">
        <v>330</v>
      </c>
      <c r="B132" s="282"/>
      <c r="C132" s="282"/>
      <c r="D132" s="159"/>
      <c r="E132" s="159"/>
      <c r="F132" s="805"/>
      <c r="G132" s="282"/>
      <c r="H132" s="159"/>
      <c r="I132" s="237"/>
      <c r="J132" s="291"/>
      <c r="K132" s="291"/>
      <c r="L132" s="159"/>
      <c r="M132" s="159"/>
    </row>
    <row r="133" spans="1:13" x14ac:dyDescent="0.2">
      <c r="A133" s="298" t="s">
        <v>12</v>
      </c>
      <c r="B133" s="230"/>
      <c r="C133" s="290"/>
      <c r="D133" s="159"/>
      <c r="E133" s="159"/>
      <c r="F133" s="229"/>
      <c r="G133" s="139"/>
      <c r="H133" s="159"/>
      <c r="I133" s="237"/>
      <c r="J133" s="291"/>
      <c r="K133" s="291"/>
      <c r="L133" s="159"/>
      <c r="M133" s="159"/>
    </row>
    <row r="134" spans="1:13" x14ac:dyDescent="0.2">
      <c r="A134" s="298" t="s">
        <v>13</v>
      </c>
      <c r="B134" s="230"/>
      <c r="C134" s="290"/>
      <c r="D134" s="159"/>
      <c r="E134" s="159"/>
      <c r="F134" s="229"/>
      <c r="G134" s="139"/>
      <c r="H134" s="159"/>
      <c r="I134" s="237"/>
      <c r="J134" s="291"/>
      <c r="K134" s="291"/>
      <c r="L134" s="159"/>
      <c r="M134" s="159"/>
    </row>
    <row r="135" spans="1:13" ht="15.75" x14ac:dyDescent="0.2">
      <c r="A135" s="298" t="s">
        <v>331</v>
      </c>
      <c r="B135" s="282"/>
      <c r="C135" s="282"/>
      <c r="D135" s="159"/>
      <c r="E135" s="159"/>
      <c r="F135" s="805"/>
      <c r="G135" s="282"/>
      <c r="H135" s="159"/>
      <c r="I135" s="237"/>
      <c r="J135" s="291"/>
      <c r="K135" s="291"/>
      <c r="L135" s="159"/>
      <c r="M135" s="159"/>
    </row>
    <row r="136" spans="1:13" x14ac:dyDescent="0.2">
      <c r="A136" s="298" t="s">
        <v>12</v>
      </c>
      <c r="B136" s="230"/>
      <c r="C136" s="290"/>
      <c r="D136" s="159"/>
      <c r="E136" s="159"/>
      <c r="F136" s="229"/>
      <c r="G136" s="139"/>
      <c r="H136" s="159"/>
      <c r="I136" s="237"/>
      <c r="J136" s="291"/>
      <c r="K136" s="291"/>
      <c r="L136" s="159"/>
      <c r="M136" s="159"/>
    </row>
    <row r="137" spans="1:13" x14ac:dyDescent="0.2">
      <c r="A137" s="298" t="s">
        <v>13</v>
      </c>
      <c r="B137" s="230"/>
      <c r="C137" s="290"/>
      <c r="D137" s="159"/>
      <c r="E137" s="159"/>
      <c r="F137" s="229"/>
      <c r="G137" s="139"/>
      <c r="H137" s="159"/>
      <c r="I137" s="237"/>
      <c r="J137" s="291"/>
      <c r="K137" s="291"/>
      <c r="L137" s="159"/>
      <c r="M137" s="159"/>
    </row>
    <row r="138" spans="1:13" ht="15.75" x14ac:dyDescent="0.2">
      <c r="A138" s="18" t="s">
        <v>342</v>
      </c>
      <c r="B138" s="229"/>
      <c r="C138" s="139"/>
      <c r="D138" s="159"/>
      <c r="E138" s="159"/>
      <c r="F138" s="229"/>
      <c r="G138" s="139"/>
      <c r="H138" s="159"/>
      <c r="I138" s="170"/>
      <c r="J138" s="288"/>
      <c r="K138" s="37"/>
      <c r="L138" s="256"/>
      <c r="M138" s="170"/>
    </row>
    <row r="139" spans="1:13" ht="15.75" x14ac:dyDescent="0.2">
      <c r="A139" s="18" t="s">
        <v>343</v>
      </c>
      <c r="B139" s="229"/>
      <c r="C139" s="229"/>
      <c r="D139" s="159"/>
      <c r="E139" s="159"/>
      <c r="F139" s="229"/>
      <c r="G139" s="229"/>
      <c r="H139" s="159"/>
      <c r="I139" s="170"/>
      <c r="J139" s="288"/>
      <c r="K139" s="37"/>
      <c r="L139" s="256"/>
      <c r="M139" s="170"/>
    </row>
    <row r="140" spans="1:13" ht="15.75" x14ac:dyDescent="0.2">
      <c r="A140" s="18" t="s">
        <v>334</v>
      </c>
      <c r="B140" s="229"/>
      <c r="C140" s="229"/>
      <c r="D140" s="159"/>
      <c r="E140" s="159"/>
      <c r="F140" s="229"/>
      <c r="G140" s="229"/>
      <c r="H140" s="159"/>
      <c r="I140" s="170"/>
      <c r="J140" s="288"/>
      <c r="K140" s="37"/>
      <c r="L140" s="256"/>
      <c r="M140" s="170"/>
    </row>
    <row r="141" spans="1:13" ht="15.75" x14ac:dyDescent="0.2">
      <c r="A141" s="18" t="s">
        <v>335</v>
      </c>
      <c r="B141" s="229"/>
      <c r="C141" s="229"/>
      <c r="D141" s="159"/>
      <c r="E141" s="159"/>
      <c r="F141" s="229"/>
      <c r="G141" s="229"/>
      <c r="H141" s="159"/>
      <c r="I141" s="170"/>
      <c r="J141" s="288"/>
      <c r="K141" s="37"/>
      <c r="L141" s="256"/>
      <c r="M141" s="170"/>
    </row>
    <row r="142" spans="1:13" ht="15.75" x14ac:dyDescent="0.2">
      <c r="A142" s="11" t="s">
        <v>27</v>
      </c>
      <c r="B142" s="310"/>
      <c r="C142" s="152"/>
      <c r="D142" s="159"/>
      <c r="E142" s="159"/>
      <c r="F142" s="310"/>
      <c r="G142" s="152"/>
      <c r="H142" s="159"/>
      <c r="I142" s="170"/>
      <c r="J142" s="311"/>
      <c r="K142" s="231"/>
      <c r="L142" s="256"/>
      <c r="M142" s="170"/>
    </row>
    <row r="143" spans="1:13" x14ac:dyDescent="0.2">
      <c r="A143" s="18" t="s">
        <v>9</v>
      </c>
      <c r="B143" s="229"/>
      <c r="C143" s="139"/>
      <c r="D143" s="159"/>
      <c r="E143" s="159"/>
      <c r="F143" s="229"/>
      <c r="G143" s="139"/>
      <c r="H143" s="159"/>
      <c r="I143" s="170"/>
      <c r="J143" s="288"/>
      <c r="K143" s="37"/>
      <c r="L143" s="256"/>
      <c r="M143" s="170"/>
    </row>
    <row r="144" spans="1:13" x14ac:dyDescent="0.2">
      <c r="A144" s="18" t="s">
        <v>10</v>
      </c>
      <c r="B144" s="229"/>
      <c r="C144" s="139"/>
      <c r="D144" s="159"/>
      <c r="E144" s="159"/>
      <c r="F144" s="229"/>
      <c r="G144" s="139"/>
      <c r="H144" s="159"/>
      <c r="I144" s="170"/>
      <c r="J144" s="288"/>
      <c r="K144" s="37"/>
      <c r="L144" s="256"/>
      <c r="M144" s="170"/>
    </row>
    <row r="145" spans="1:14" x14ac:dyDescent="0.2">
      <c r="A145" s="18" t="s">
        <v>34</v>
      </c>
      <c r="B145" s="229"/>
      <c r="C145" s="139"/>
      <c r="D145" s="159"/>
      <c r="E145" s="159"/>
      <c r="F145" s="229"/>
      <c r="G145" s="139"/>
      <c r="H145" s="159"/>
      <c r="I145" s="170"/>
      <c r="J145" s="288"/>
      <c r="K145" s="37"/>
      <c r="L145" s="256"/>
      <c r="M145" s="170"/>
    </row>
    <row r="146" spans="1:14" x14ac:dyDescent="0.2">
      <c r="A146" s="298" t="s">
        <v>15</v>
      </c>
      <c r="B146" s="282"/>
      <c r="C146" s="282"/>
      <c r="D146" s="159"/>
      <c r="E146" s="159"/>
      <c r="F146" s="805"/>
      <c r="G146" s="282"/>
      <c r="H146" s="159"/>
      <c r="I146" s="237"/>
      <c r="J146" s="291"/>
      <c r="K146" s="291"/>
      <c r="L146" s="159"/>
      <c r="M146" s="159"/>
    </row>
    <row r="147" spans="1:14" ht="15.75" x14ac:dyDescent="0.2">
      <c r="A147" s="18" t="s">
        <v>344</v>
      </c>
      <c r="B147" s="229"/>
      <c r="C147" s="229"/>
      <c r="D147" s="159"/>
      <c r="E147" s="159"/>
      <c r="F147" s="229"/>
      <c r="G147" s="229"/>
      <c r="H147" s="159"/>
      <c r="I147" s="170"/>
      <c r="J147" s="288"/>
      <c r="K147" s="37"/>
      <c r="L147" s="256"/>
      <c r="M147" s="170"/>
    </row>
    <row r="148" spans="1:14" ht="15.75" x14ac:dyDescent="0.2">
      <c r="A148" s="18" t="s">
        <v>336</v>
      </c>
      <c r="B148" s="229"/>
      <c r="C148" s="229"/>
      <c r="D148" s="159"/>
      <c r="E148" s="159"/>
      <c r="F148" s="229"/>
      <c r="G148" s="229"/>
      <c r="H148" s="159"/>
      <c r="I148" s="170"/>
      <c r="J148" s="288"/>
      <c r="K148" s="37"/>
      <c r="L148" s="256"/>
      <c r="M148" s="170"/>
    </row>
    <row r="149" spans="1:14" ht="15.75" x14ac:dyDescent="0.2">
      <c r="A149" s="18" t="s">
        <v>335</v>
      </c>
      <c r="B149" s="229"/>
      <c r="C149" s="229"/>
      <c r="D149" s="159"/>
      <c r="E149" s="159"/>
      <c r="F149" s="229"/>
      <c r="G149" s="229"/>
      <c r="H149" s="159"/>
      <c r="I149" s="170"/>
      <c r="J149" s="288"/>
      <c r="K149" s="37"/>
      <c r="L149" s="256"/>
      <c r="M149" s="170"/>
    </row>
    <row r="150" spans="1:14" ht="15.75" x14ac:dyDescent="0.2">
      <c r="A150" s="11" t="s">
        <v>26</v>
      </c>
      <c r="B150" s="310"/>
      <c r="C150" s="152"/>
      <c r="D150" s="159"/>
      <c r="E150" s="159"/>
      <c r="F150" s="310"/>
      <c r="G150" s="152"/>
      <c r="H150" s="159"/>
      <c r="I150" s="170"/>
      <c r="J150" s="311"/>
      <c r="K150" s="231"/>
      <c r="L150" s="256"/>
      <c r="M150" s="170"/>
    </row>
    <row r="151" spans="1:14" x14ac:dyDescent="0.2">
      <c r="A151" s="18" t="s">
        <v>9</v>
      </c>
      <c r="B151" s="229"/>
      <c r="C151" s="139"/>
      <c r="D151" s="159"/>
      <c r="E151" s="159"/>
      <c r="F151" s="229"/>
      <c r="G151" s="139"/>
      <c r="H151" s="159"/>
      <c r="I151" s="170"/>
      <c r="J151" s="288"/>
      <c r="K151" s="37"/>
      <c r="L151" s="256"/>
      <c r="M151" s="170"/>
    </row>
    <row r="152" spans="1:14" x14ac:dyDescent="0.2">
      <c r="A152" s="18" t="s">
        <v>10</v>
      </c>
      <c r="B152" s="229"/>
      <c r="C152" s="139"/>
      <c r="D152" s="159"/>
      <c r="E152" s="159"/>
      <c r="F152" s="229"/>
      <c r="G152" s="139"/>
      <c r="H152" s="159"/>
      <c r="I152" s="170"/>
      <c r="J152" s="288"/>
      <c r="K152" s="37"/>
      <c r="L152" s="256"/>
      <c r="M152" s="170"/>
    </row>
    <row r="153" spans="1:14" x14ac:dyDescent="0.2">
      <c r="A153" s="18" t="s">
        <v>34</v>
      </c>
      <c r="B153" s="229"/>
      <c r="C153" s="139"/>
      <c r="D153" s="159"/>
      <c r="E153" s="159"/>
      <c r="F153" s="229"/>
      <c r="G153" s="139"/>
      <c r="H153" s="159"/>
      <c r="I153" s="170"/>
      <c r="J153" s="288"/>
      <c r="K153" s="37"/>
      <c r="L153" s="256"/>
      <c r="M153" s="170"/>
    </row>
    <row r="154" spans="1:14" x14ac:dyDescent="0.2">
      <c r="A154" s="298" t="s">
        <v>14</v>
      </c>
      <c r="B154" s="282"/>
      <c r="C154" s="282"/>
      <c r="D154" s="159"/>
      <c r="E154" s="159"/>
      <c r="F154" s="805"/>
      <c r="G154" s="282"/>
      <c r="H154" s="159"/>
      <c r="I154" s="237"/>
      <c r="J154" s="291"/>
      <c r="K154" s="291"/>
      <c r="L154" s="159"/>
      <c r="M154" s="159"/>
    </row>
    <row r="155" spans="1:14" ht="15.75" x14ac:dyDescent="0.2">
      <c r="A155" s="18" t="s">
        <v>333</v>
      </c>
      <c r="B155" s="229"/>
      <c r="C155" s="229"/>
      <c r="D155" s="159"/>
      <c r="E155" s="159"/>
      <c r="F155" s="229"/>
      <c r="G155" s="229"/>
      <c r="H155" s="159"/>
      <c r="I155" s="170"/>
      <c r="J155" s="288"/>
      <c r="K155" s="37"/>
      <c r="L155" s="256"/>
      <c r="M155" s="170"/>
    </row>
    <row r="156" spans="1:14" ht="15.75" x14ac:dyDescent="0.2">
      <c r="A156" s="18" t="s">
        <v>334</v>
      </c>
      <c r="B156" s="229"/>
      <c r="C156" s="229"/>
      <c r="D156" s="159"/>
      <c r="E156" s="159"/>
      <c r="F156" s="229"/>
      <c r="G156" s="229"/>
      <c r="H156" s="159"/>
      <c r="I156" s="170"/>
      <c r="J156" s="288"/>
      <c r="K156" s="37"/>
      <c r="L156" s="256"/>
      <c r="M156" s="170"/>
    </row>
    <row r="157" spans="1:14" ht="15.75" x14ac:dyDescent="0.2">
      <c r="A157" s="9" t="s">
        <v>335</v>
      </c>
      <c r="B157" s="38"/>
      <c r="C157" s="38"/>
      <c r="D157" s="160"/>
      <c r="E157" s="160"/>
      <c r="F157" s="400"/>
      <c r="G157" s="38"/>
      <c r="H157" s="160"/>
      <c r="I157" s="160"/>
      <c r="J157" s="289"/>
      <c r="K157" s="38"/>
      <c r="L157" s="257"/>
      <c r="M157" s="160"/>
    </row>
    <row r="158" spans="1:14" x14ac:dyDescent="0.2">
      <c r="A158" s="148"/>
      <c r="L158" s="20"/>
      <c r="M158" s="20"/>
      <c r="N158" s="20"/>
    </row>
    <row r="159" spans="1:14" x14ac:dyDescent="0.2">
      <c r="L159" s="20"/>
      <c r="M159" s="20"/>
      <c r="N159" s="20"/>
    </row>
    <row r="160" spans="1:14" ht="15.75" x14ac:dyDescent="0.25">
      <c r="A160" s="158" t="s">
        <v>35</v>
      </c>
    </row>
    <row r="161" spans="1:14" ht="15.75" x14ac:dyDescent="0.25">
      <c r="B161" s="832"/>
      <c r="C161" s="832"/>
      <c r="D161" s="832"/>
      <c r="E161" s="301"/>
      <c r="F161" s="832"/>
      <c r="G161" s="832"/>
      <c r="H161" s="832"/>
      <c r="I161" s="301"/>
      <c r="J161" s="832"/>
      <c r="K161" s="832"/>
      <c r="L161" s="832"/>
      <c r="M161" s="301"/>
    </row>
    <row r="162" spans="1:14" s="3" customFormat="1" x14ac:dyDescent="0.2">
      <c r="A162" s="138"/>
      <c r="B162" s="833" t="s">
        <v>0</v>
      </c>
      <c r="C162" s="834"/>
      <c r="D162" s="834"/>
      <c r="E162" s="303"/>
      <c r="F162" s="833" t="s">
        <v>1</v>
      </c>
      <c r="G162" s="834"/>
      <c r="H162" s="834"/>
      <c r="I162" s="306"/>
      <c r="J162" s="833" t="s">
        <v>2</v>
      </c>
      <c r="K162" s="834"/>
      <c r="L162" s="834"/>
      <c r="M162" s="306"/>
      <c r="N162" s="142"/>
    </row>
    <row r="163" spans="1:14" s="3" customFormat="1" x14ac:dyDescent="0.2">
      <c r="A163" s="134"/>
      <c r="B163" s="145" t="s">
        <v>400</v>
      </c>
      <c r="C163" s="145" t="s">
        <v>401</v>
      </c>
      <c r="D163" s="242" t="s">
        <v>3</v>
      </c>
      <c r="E163" s="307" t="s">
        <v>37</v>
      </c>
      <c r="F163" s="145" t="s">
        <v>400</v>
      </c>
      <c r="G163" s="145" t="s">
        <v>401</v>
      </c>
      <c r="H163" s="242" t="s">
        <v>3</v>
      </c>
      <c r="I163" s="307" t="s">
        <v>37</v>
      </c>
      <c r="J163" s="145" t="s">
        <v>400</v>
      </c>
      <c r="K163" s="145" t="s">
        <v>401</v>
      </c>
      <c r="L163" s="242" t="s">
        <v>3</v>
      </c>
      <c r="M163" s="155" t="s">
        <v>37</v>
      </c>
      <c r="N163" s="142"/>
    </row>
    <row r="164" spans="1:14" s="3" customFormat="1" x14ac:dyDescent="0.2">
      <c r="A164" s="403"/>
      <c r="B164" s="149"/>
      <c r="C164" s="149"/>
      <c r="D164" s="243" t="s">
        <v>4</v>
      </c>
      <c r="E164" s="149" t="s">
        <v>38</v>
      </c>
      <c r="F164" s="154"/>
      <c r="G164" s="154"/>
      <c r="H164" s="242" t="s">
        <v>4</v>
      </c>
      <c r="I164" s="149" t="s">
        <v>38</v>
      </c>
      <c r="J164" s="154"/>
      <c r="K164" s="154"/>
      <c r="L164" s="242" t="s">
        <v>4</v>
      </c>
      <c r="M164" s="149" t="s">
        <v>38</v>
      </c>
      <c r="N164" s="142"/>
    </row>
    <row r="165" spans="1:14" s="3" customFormat="1" ht="15.75" x14ac:dyDescent="0.2">
      <c r="A165" s="12" t="s">
        <v>337</v>
      </c>
      <c r="B165" s="231"/>
      <c r="C165" s="311"/>
      <c r="D165" s="251"/>
      <c r="E165" s="170"/>
      <c r="F165" s="318"/>
      <c r="G165" s="319"/>
      <c r="H165" s="252"/>
      <c r="I165" s="159"/>
      <c r="J165" s="320"/>
      <c r="K165" s="320"/>
      <c r="L165" s="255"/>
      <c r="M165" s="170"/>
      <c r="N165" s="142"/>
    </row>
    <row r="166" spans="1:14" s="3" customFormat="1" ht="15.75" x14ac:dyDescent="0.2">
      <c r="A166" s="11" t="s">
        <v>338</v>
      </c>
      <c r="B166" s="231"/>
      <c r="C166" s="311"/>
      <c r="D166" s="159"/>
      <c r="E166" s="170"/>
      <c r="F166" s="231"/>
      <c r="G166" s="311"/>
      <c r="H166" s="236"/>
      <c r="I166" s="159"/>
      <c r="J166" s="310"/>
      <c r="K166" s="310"/>
      <c r="L166" s="256"/>
      <c r="M166" s="170"/>
      <c r="N166" s="142"/>
    </row>
    <row r="167" spans="1:14" s="3" customFormat="1" ht="15.75" x14ac:dyDescent="0.2">
      <c r="A167" s="11" t="s">
        <v>339</v>
      </c>
      <c r="B167" s="231"/>
      <c r="C167" s="311"/>
      <c r="D167" s="159"/>
      <c r="E167" s="170"/>
      <c r="F167" s="231"/>
      <c r="G167" s="311"/>
      <c r="H167" s="236"/>
      <c r="I167" s="159"/>
      <c r="J167" s="310"/>
      <c r="K167" s="310"/>
      <c r="L167" s="256"/>
      <c r="M167" s="170"/>
      <c r="N167" s="142"/>
    </row>
    <row r="168" spans="1:14" s="3" customFormat="1" ht="15.75" x14ac:dyDescent="0.2">
      <c r="A168" s="11" t="s">
        <v>340</v>
      </c>
      <c r="B168" s="231"/>
      <c r="C168" s="311"/>
      <c r="D168" s="159"/>
      <c r="E168" s="170"/>
      <c r="F168" s="231"/>
      <c r="G168" s="311"/>
      <c r="H168" s="236"/>
      <c r="I168" s="159"/>
      <c r="J168" s="310"/>
      <c r="K168" s="310"/>
      <c r="L168" s="256"/>
      <c r="M168" s="170"/>
      <c r="N168" s="142"/>
    </row>
    <row r="169" spans="1:14" s="3" customFormat="1" ht="15.75" x14ac:dyDescent="0.2">
      <c r="A169" s="34" t="s">
        <v>341</v>
      </c>
      <c r="B169" s="277"/>
      <c r="C169" s="317"/>
      <c r="D169" s="160"/>
      <c r="E169" s="201"/>
      <c r="F169" s="277"/>
      <c r="G169" s="317"/>
      <c r="H169" s="239"/>
      <c r="I169" s="160"/>
      <c r="J169" s="316"/>
      <c r="K169" s="316"/>
      <c r="L169" s="257"/>
      <c r="M169" s="160"/>
      <c r="N169" s="142"/>
    </row>
    <row r="170" spans="1:14" s="3" customFormat="1" x14ac:dyDescent="0.2">
      <c r="A170" s="161"/>
      <c r="B170" s="27"/>
      <c r="C170" s="27"/>
      <c r="D170" s="152"/>
      <c r="E170" s="152"/>
      <c r="F170" s="27"/>
      <c r="G170" s="27"/>
      <c r="H170" s="152"/>
      <c r="I170" s="152"/>
      <c r="J170" s="27"/>
      <c r="K170" s="27"/>
      <c r="L170" s="152"/>
      <c r="M170" s="152"/>
      <c r="N170" s="142"/>
    </row>
    <row r="171" spans="1:14" x14ac:dyDescent="0.2">
      <c r="A171" s="161"/>
      <c r="B171" s="27"/>
      <c r="C171" s="27"/>
      <c r="D171" s="152"/>
      <c r="E171" s="152"/>
      <c r="F171" s="27"/>
      <c r="G171" s="27"/>
      <c r="H171" s="152"/>
      <c r="I171" s="152"/>
      <c r="J171" s="27"/>
      <c r="K171" s="27"/>
      <c r="L171" s="152"/>
      <c r="M171" s="152"/>
      <c r="N171" s="142"/>
    </row>
    <row r="172" spans="1:14" x14ac:dyDescent="0.2">
      <c r="A172" s="161"/>
      <c r="B172" s="27"/>
      <c r="C172" s="27"/>
      <c r="D172" s="152"/>
      <c r="E172" s="152"/>
      <c r="F172" s="27"/>
      <c r="G172" s="27"/>
      <c r="H172" s="152"/>
      <c r="I172" s="152"/>
      <c r="J172" s="27"/>
      <c r="K172" s="27"/>
      <c r="L172" s="152"/>
      <c r="M172" s="152"/>
      <c r="N172" s="142"/>
    </row>
    <row r="173" spans="1:14" x14ac:dyDescent="0.2">
      <c r="A173" s="140"/>
      <c r="B173" s="140"/>
      <c r="C173" s="140"/>
      <c r="D173" s="140"/>
      <c r="E173" s="140"/>
      <c r="F173" s="140"/>
      <c r="G173" s="140"/>
      <c r="H173" s="140"/>
      <c r="I173" s="140"/>
      <c r="J173" s="140"/>
      <c r="K173" s="140"/>
      <c r="L173" s="140"/>
      <c r="M173" s="140"/>
      <c r="N173" s="140"/>
    </row>
    <row r="174" spans="1:14" ht="15.75" x14ac:dyDescent="0.25">
      <c r="B174" s="136"/>
      <c r="C174" s="136"/>
      <c r="D174" s="136"/>
      <c r="E174" s="136"/>
      <c r="F174" s="136"/>
      <c r="G174" s="136"/>
      <c r="H174" s="136"/>
      <c r="I174" s="136"/>
      <c r="J174" s="136"/>
      <c r="K174" s="136"/>
      <c r="L174" s="136"/>
      <c r="M174" s="136"/>
      <c r="N174" s="136"/>
    </row>
    <row r="175" spans="1:14" ht="15.75" x14ac:dyDescent="0.25">
      <c r="B175" s="150"/>
      <c r="C175" s="150"/>
      <c r="D175" s="150"/>
      <c r="E175" s="150"/>
      <c r="F175" s="150"/>
      <c r="G175" s="150"/>
      <c r="H175" s="150"/>
      <c r="I175" s="150"/>
      <c r="J175" s="150"/>
      <c r="K175" s="150"/>
      <c r="L175" s="150"/>
      <c r="M175" s="150"/>
      <c r="N175" s="150"/>
    </row>
    <row r="176" spans="1:14" ht="15.75" x14ac:dyDescent="0.25">
      <c r="B176" s="150"/>
      <c r="C176" s="150"/>
      <c r="D176" s="150"/>
      <c r="E176" s="150"/>
      <c r="F176" s="150"/>
      <c r="G176" s="150"/>
      <c r="H176" s="150"/>
      <c r="I176" s="150"/>
      <c r="J176" s="150"/>
      <c r="K176" s="150"/>
      <c r="L176" s="150"/>
      <c r="M176" s="150"/>
      <c r="N176" s="150"/>
    </row>
  </sheetData>
  <mergeCells count="28">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22:D22"/>
    <mergeCell ref="F22:H22"/>
    <mergeCell ref="J22:L22"/>
    <mergeCell ref="D47:F47"/>
    <mergeCell ref="G47:I47"/>
    <mergeCell ref="J47:L47"/>
  </mergeCells>
  <conditionalFormatting sqref="B57:C59">
    <cfRule type="expression" dxfId="1047" priority="188">
      <formula>kvartal &lt; 4</formula>
    </cfRule>
  </conditionalFormatting>
  <conditionalFormatting sqref="B63:C65">
    <cfRule type="expression" dxfId="1046" priority="187">
      <formula>kvartal &lt; 4</formula>
    </cfRule>
  </conditionalFormatting>
  <conditionalFormatting sqref="B37">
    <cfRule type="expression" dxfId="1045" priority="186">
      <formula>kvartal &lt; 4</formula>
    </cfRule>
  </conditionalFormatting>
  <conditionalFormatting sqref="B38">
    <cfRule type="expression" dxfId="1044" priority="185">
      <formula>kvartal &lt; 4</formula>
    </cfRule>
  </conditionalFormatting>
  <conditionalFormatting sqref="B39">
    <cfRule type="expression" dxfId="1043" priority="184">
      <formula>kvartal &lt; 4</formula>
    </cfRule>
  </conditionalFormatting>
  <conditionalFormatting sqref="A34">
    <cfRule type="expression" dxfId="1042" priority="57">
      <formula>kvartal &lt; 4</formula>
    </cfRule>
  </conditionalFormatting>
  <conditionalFormatting sqref="C37">
    <cfRule type="expression" dxfId="1041" priority="183">
      <formula>kvartal &lt; 4</formula>
    </cfRule>
  </conditionalFormatting>
  <conditionalFormatting sqref="C38">
    <cfRule type="expression" dxfId="1040" priority="182">
      <formula>kvartal &lt; 4</formula>
    </cfRule>
  </conditionalFormatting>
  <conditionalFormatting sqref="C39">
    <cfRule type="expression" dxfId="1039" priority="181">
      <formula>kvartal &lt; 4</formula>
    </cfRule>
  </conditionalFormatting>
  <conditionalFormatting sqref="B26:C28">
    <cfRule type="expression" dxfId="1038" priority="180">
      <formula>kvartal &lt; 4</formula>
    </cfRule>
  </conditionalFormatting>
  <conditionalFormatting sqref="B32:C33">
    <cfRule type="expression" dxfId="1037" priority="179">
      <formula>kvartal &lt; 4</formula>
    </cfRule>
  </conditionalFormatting>
  <conditionalFormatting sqref="B34">
    <cfRule type="expression" dxfId="1036" priority="178">
      <formula>kvartal &lt; 4</formula>
    </cfRule>
  </conditionalFormatting>
  <conditionalFormatting sqref="C34">
    <cfRule type="expression" dxfId="1035" priority="177">
      <formula>kvartal &lt; 4</formula>
    </cfRule>
  </conditionalFormatting>
  <conditionalFormatting sqref="F26:G28">
    <cfRule type="expression" dxfId="1034" priority="176">
      <formula>kvartal &lt; 4</formula>
    </cfRule>
  </conditionalFormatting>
  <conditionalFormatting sqref="F32">
    <cfRule type="expression" dxfId="1033" priority="175">
      <formula>kvartal &lt; 4</formula>
    </cfRule>
  </conditionalFormatting>
  <conditionalFormatting sqref="G32">
    <cfRule type="expression" dxfId="1032" priority="174">
      <formula>kvartal &lt; 4</formula>
    </cfRule>
  </conditionalFormatting>
  <conditionalFormatting sqref="F33">
    <cfRule type="expression" dxfId="1031" priority="173">
      <formula>kvartal &lt; 4</formula>
    </cfRule>
  </conditionalFormatting>
  <conditionalFormatting sqref="G33">
    <cfRule type="expression" dxfId="1030" priority="172">
      <formula>kvartal &lt; 4</formula>
    </cfRule>
  </conditionalFormatting>
  <conditionalFormatting sqref="F34">
    <cfRule type="expression" dxfId="1029" priority="171">
      <formula>kvartal &lt; 4</formula>
    </cfRule>
  </conditionalFormatting>
  <conditionalFormatting sqref="G34">
    <cfRule type="expression" dxfId="1028" priority="170">
      <formula>kvartal &lt; 4</formula>
    </cfRule>
  </conditionalFormatting>
  <conditionalFormatting sqref="F37">
    <cfRule type="expression" dxfId="1027" priority="169">
      <formula>kvartal &lt; 4</formula>
    </cfRule>
  </conditionalFormatting>
  <conditionalFormatting sqref="F38">
    <cfRule type="expression" dxfId="1026" priority="168">
      <formula>kvartal &lt; 4</formula>
    </cfRule>
  </conditionalFormatting>
  <conditionalFormatting sqref="F39">
    <cfRule type="expression" dxfId="1025" priority="167">
      <formula>kvartal &lt; 4</formula>
    </cfRule>
  </conditionalFormatting>
  <conditionalFormatting sqref="G37">
    <cfRule type="expression" dxfId="1024" priority="166">
      <formula>kvartal &lt; 4</formula>
    </cfRule>
  </conditionalFormatting>
  <conditionalFormatting sqref="G38">
    <cfRule type="expression" dxfId="1023" priority="165">
      <formula>kvartal &lt; 4</formula>
    </cfRule>
  </conditionalFormatting>
  <conditionalFormatting sqref="G39">
    <cfRule type="expression" dxfId="1022" priority="164">
      <formula>kvartal &lt; 4</formula>
    </cfRule>
  </conditionalFormatting>
  <conditionalFormatting sqref="B29">
    <cfRule type="expression" dxfId="1021" priority="163">
      <formula>kvartal &lt; 4</formula>
    </cfRule>
  </conditionalFormatting>
  <conditionalFormatting sqref="C29">
    <cfRule type="expression" dxfId="1020" priority="162">
      <formula>kvartal &lt; 4</formula>
    </cfRule>
  </conditionalFormatting>
  <conditionalFormatting sqref="F29">
    <cfRule type="expression" dxfId="1019" priority="161">
      <formula>kvartal &lt; 4</formula>
    </cfRule>
  </conditionalFormatting>
  <conditionalFormatting sqref="G29">
    <cfRule type="expression" dxfId="1018" priority="160">
      <formula>kvartal &lt; 4</formula>
    </cfRule>
  </conditionalFormatting>
  <conditionalFormatting sqref="J26:K29">
    <cfRule type="expression" dxfId="1017" priority="159">
      <formula>kvartal &lt; 4</formula>
    </cfRule>
  </conditionalFormatting>
  <conditionalFormatting sqref="J32:K34">
    <cfRule type="expression" dxfId="1016" priority="158">
      <formula>kvartal &lt; 4</formula>
    </cfRule>
  </conditionalFormatting>
  <conditionalFormatting sqref="J37:K39">
    <cfRule type="expression" dxfId="1015" priority="157">
      <formula>kvartal &lt; 4</formula>
    </cfRule>
  </conditionalFormatting>
  <conditionalFormatting sqref="J82:K86">
    <cfRule type="expression" dxfId="1014" priority="95">
      <formula>kvartal &lt; 4</formula>
    </cfRule>
  </conditionalFormatting>
  <conditionalFormatting sqref="J87:K87">
    <cfRule type="expression" dxfId="1013" priority="94">
      <formula>kvartal &lt; 4</formula>
    </cfRule>
  </conditionalFormatting>
  <conditionalFormatting sqref="J92:K97">
    <cfRule type="expression" dxfId="1012" priority="93">
      <formula>kvartal &lt; 4</formula>
    </cfRule>
  </conditionalFormatting>
  <conditionalFormatting sqref="J102:K107">
    <cfRule type="expression" dxfId="1011" priority="92">
      <formula>kvartal &lt; 4</formula>
    </cfRule>
  </conditionalFormatting>
  <conditionalFormatting sqref="J112:K117">
    <cfRule type="expression" dxfId="1010" priority="91">
      <formula>kvartal &lt; 4</formula>
    </cfRule>
  </conditionalFormatting>
  <conditionalFormatting sqref="J122:K127">
    <cfRule type="expression" dxfId="1009" priority="90">
      <formula>kvartal &lt; 4</formula>
    </cfRule>
  </conditionalFormatting>
  <conditionalFormatting sqref="J132:K137">
    <cfRule type="expression" dxfId="1008" priority="89">
      <formula>kvartal &lt; 4</formula>
    </cfRule>
  </conditionalFormatting>
  <conditionalFormatting sqref="J146:K146">
    <cfRule type="expression" dxfId="1007" priority="88">
      <formula>kvartal &lt; 4</formula>
    </cfRule>
  </conditionalFormatting>
  <conditionalFormatting sqref="J154:K154">
    <cfRule type="expression" dxfId="1006" priority="87">
      <formula>kvartal &lt; 4</formula>
    </cfRule>
  </conditionalFormatting>
  <conditionalFormatting sqref="A26:A28">
    <cfRule type="expression" dxfId="1005" priority="71">
      <formula>kvartal &lt; 4</formula>
    </cfRule>
  </conditionalFormatting>
  <conditionalFormatting sqref="A32:A33">
    <cfRule type="expression" dxfId="1004" priority="70">
      <formula>kvartal &lt; 4</formula>
    </cfRule>
  </conditionalFormatting>
  <conditionalFormatting sqref="A37:A39">
    <cfRule type="expression" dxfId="1003" priority="69">
      <formula>kvartal &lt; 4</formula>
    </cfRule>
  </conditionalFormatting>
  <conditionalFormatting sqref="A57:A59">
    <cfRule type="expression" dxfId="1002" priority="68">
      <formula>kvartal &lt; 4</formula>
    </cfRule>
  </conditionalFormatting>
  <conditionalFormatting sqref="A63:A65">
    <cfRule type="expression" dxfId="1001" priority="67">
      <formula>kvartal &lt; 4</formula>
    </cfRule>
  </conditionalFormatting>
  <conditionalFormatting sqref="A82:A87">
    <cfRule type="expression" dxfId="1000" priority="66">
      <formula>kvartal &lt; 4</formula>
    </cfRule>
  </conditionalFormatting>
  <conditionalFormatting sqref="A92:A97">
    <cfRule type="expression" dxfId="999" priority="65">
      <formula>kvartal &lt; 4</formula>
    </cfRule>
  </conditionalFormatting>
  <conditionalFormatting sqref="A102:A107">
    <cfRule type="expression" dxfId="998" priority="64">
      <formula>kvartal &lt; 4</formula>
    </cfRule>
  </conditionalFormatting>
  <conditionalFormatting sqref="A112:A117">
    <cfRule type="expression" dxfId="997" priority="63">
      <formula>kvartal &lt; 4</formula>
    </cfRule>
  </conditionalFormatting>
  <conditionalFormatting sqref="A122:A127">
    <cfRule type="expression" dxfId="996" priority="62">
      <formula>kvartal &lt; 4</formula>
    </cfRule>
  </conditionalFormatting>
  <conditionalFormatting sqref="A132:A137">
    <cfRule type="expression" dxfId="995" priority="61">
      <formula>kvartal &lt; 4</formula>
    </cfRule>
  </conditionalFormatting>
  <conditionalFormatting sqref="A146">
    <cfRule type="expression" dxfId="994" priority="60">
      <formula>kvartal &lt; 4</formula>
    </cfRule>
  </conditionalFormatting>
  <conditionalFormatting sqref="A154">
    <cfRule type="expression" dxfId="993" priority="59">
      <formula>kvartal &lt; 4</formula>
    </cfRule>
  </conditionalFormatting>
  <conditionalFormatting sqref="A29">
    <cfRule type="expression" dxfId="992" priority="58">
      <formula>kvartal &lt; 4</formula>
    </cfRule>
  </conditionalFormatting>
  <conditionalFormatting sqref="B82">
    <cfRule type="expression" dxfId="991" priority="56">
      <formula>kvartal &lt; 4</formula>
    </cfRule>
  </conditionalFormatting>
  <conditionalFormatting sqref="C82">
    <cfRule type="expression" dxfId="990" priority="55">
      <formula>kvartal &lt; 4</formula>
    </cfRule>
  </conditionalFormatting>
  <conditionalFormatting sqref="B85">
    <cfRule type="expression" dxfId="989" priority="54">
      <formula>kvartal &lt; 4</formula>
    </cfRule>
  </conditionalFormatting>
  <conditionalFormatting sqref="C85">
    <cfRule type="expression" dxfId="988" priority="53">
      <formula>kvartal &lt; 4</formula>
    </cfRule>
  </conditionalFormatting>
  <conditionalFormatting sqref="B92">
    <cfRule type="expression" dxfId="987" priority="52">
      <formula>kvartal &lt; 4</formula>
    </cfRule>
  </conditionalFormatting>
  <conditionalFormatting sqref="C92">
    <cfRule type="expression" dxfId="986" priority="51">
      <formula>kvartal &lt; 4</formula>
    </cfRule>
  </conditionalFormatting>
  <conditionalFormatting sqref="B95">
    <cfRule type="expression" dxfId="985" priority="50">
      <formula>kvartal &lt; 4</formula>
    </cfRule>
  </conditionalFormatting>
  <conditionalFormatting sqref="C95">
    <cfRule type="expression" dxfId="984" priority="49">
      <formula>kvartal &lt; 4</formula>
    </cfRule>
  </conditionalFormatting>
  <conditionalFormatting sqref="B102">
    <cfRule type="expression" dxfId="983" priority="48">
      <formula>kvartal &lt; 4</formula>
    </cfRule>
  </conditionalFormatting>
  <conditionalFormatting sqref="C102">
    <cfRule type="expression" dxfId="982" priority="47">
      <formula>kvartal &lt; 4</formula>
    </cfRule>
  </conditionalFormatting>
  <conditionalFormatting sqref="B105">
    <cfRule type="expression" dxfId="981" priority="46">
      <formula>kvartal &lt; 4</formula>
    </cfRule>
  </conditionalFormatting>
  <conditionalFormatting sqref="C105">
    <cfRule type="expression" dxfId="980" priority="45">
      <formula>kvartal &lt; 4</formula>
    </cfRule>
  </conditionalFormatting>
  <conditionalFormatting sqref="B112">
    <cfRule type="expression" dxfId="979" priority="44">
      <formula>kvartal &lt; 4</formula>
    </cfRule>
  </conditionalFormatting>
  <conditionalFormatting sqref="C112">
    <cfRule type="expression" dxfId="978" priority="43">
      <formula>kvartal &lt; 4</formula>
    </cfRule>
  </conditionalFormatting>
  <conditionalFormatting sqref="B115">
    <cfRule type="expression" dxfId="977" priority="42">
      <formula>kvartal &lt; 4</formula>
    </cfRule>
  </conditionalFormatting>
  <conditionalFormatting sqref="C115">
    <cfRule type="expression" dxfId="976" priority="41">
      <formula>kvartal &lt; 4</formula>
    </cfRule>
  </conditionalFormatting>
  <conditionalFormatting sqref="B122">
    <cfRule type="expression" dxfId="975" priority="40">
      <formula>kvartal &lt; 4</formula>
    </cfRule>
  </conditionalFormatting>
  <conditionalFormatting sqref="C122">
    <cfRule type="expression" dxfId="974" priority="39">
      <formula>kvartal &lt; 4</formula>
    </cfRule>
  </conditionalFormatting>
  <conditionalFormatting sqref="B125">
    <cfRule type="expression" dxfId="973" priority="38">
      <formula>kvartal &lt; 4</formula>
    </cfRule>
  </conditionalFormatting>
  <conditionalFormatting sqref="C125">
    <cfRule type="expression" dxfId="972" priority="37">
      <formula>kvartal &lt; 4</formula>
    </cfRule>
  </conditionalFormatting>
  <conditionalFormatting sqref="B132">
    <cfRule type="expression" dxfId="971" priority="36">
      <formula>kvartal &lt; 4</formula>
    </cfRule>
  </conditionalFormatting>
  <conditionalFormatting sqref="C132">
    <cfRule type="expression" dxfId="970" priority="35">
      <formula>kvartal &lt; 4</formula>
    </cfRule>
  </conditionalFormatting>
  <conditionalFormatting sqref="B135">
    <cfRule type="expression" dxfId="969" priority="34">
      <formula>kvartal &lt; 4</formula>
    </cfRule>
  </conditionalFormatting>
  <conditionalFormatting sqref="C135">
    <cfRule type="expression" dxfId="968" priority="33">
      <formula>kvartal &lt; 4</formula>
    </cfRule>
  </conditionalFormatting>
  <conditionalFormatting sqref="B146">
    <cfRule type="expression" dxfId="967" priority="32">
      <formula>kvartal &lt; 4</formula>
    </cfRule>
  </conditionalFormatting>
  <conditionalFormatting sqref="C146">
    <cfRule type="expression" dxfId="966" priority="31">
      <formula>kvartal &lt; 4</formula>
    </cfRule>
  </conditionalFormatting>
  <conditionalFormatting sqref="B154">
    <cfRule type="expression" dxfId="965" priority="30">
      <formula>kvartal &lt; 4</formula>
    </cfRule>
  </conditionalFormatting>
  <conditionalFormatting sqref="C154">
    <cfRule type="expression" dxfId="964" priority="29">
      <formula>kvartal &lt; 4</formula>
    </cfRule>
  </conditionalFormatting>
  <conditionalFormatting sqref="F82">
    <cfRule type="expression" dxfId="963" priority="28">
      <formula>kvartal &lt; 4</formula>
    </cfRule>
  </conditionalFormatting>
  <conditionalFormatting sqref="G82">
    <cfRule type="expression" dxfId="962" priority="27">
      <formula>kvartal &lt; 4</formula>
    </cfRule>
  </conditionalFormatting>
  <conditionalFormatting sqref="F85">
    <cfRule type="expression" dxfId="961" priority="26">
      <formula>kvartal &lt; 4</formula>
    </cfRule>
  </conditionalFormatting>
  <conditionalFormatting sqref="G85">
    <cfRule type="expression" dxfId="960" priority="25">
      <formula>kvartal &lt; 4</formula>
    </cfRule>
  </conditionalFormatting>
  <conditionalFormatting sqref="F92">
    <cfRule type="expression" dxfId="959" priority="24">
      <formula>kvartal &lt; 4</formula>
    </cfRule>
  </conditionalFormatting>
  <conditionalFormatting sqref="G92">
    <cfRule type="expression" dxfId="958" priority="23">
      <formula>kvartal &lt; 4</formula>
    </cfRule>
  </conditionalFormatting>
  <conditionalFormatting sqref="F95">
    <cfRule type="expression" dxfId="957" priority="22">
      <formula>kvartal &lt; 4</formula>
    </cfRule>
  </conditionalFormatting>
  <conditionalFormatting sqref="G95">
    <cfRule type="expression" dxfId="956" priority="21">
      <formula>kvartal &lt; 4</formula>
    </cfRule>
  </conditionalFormatting>
  <conditionalFormatting sqref="F102">
    <cfRule type="expression" dxfId="955" priority="20">
      <formula>kvartal &lt; 4</formula>
    </cfRule>
  </conditionalFormatting>
  <conditionalFormatting sqref="G102">
    <cfRule type="expression" dxfId="954" priority="19">
      <formula>kvartal &lt; 4</formula>
    </cfRule>
  </conditionalFormatting>
  <conditionalFormatting sqref="F105">
    <cfRule type="expression" dxfId="953" priority="18">
      <formula>kvartal &lt; 4</formula>
    </cfRule>
  </conditionalFormatting>
  <conditionalFormatting sqref="G105">
    <cfRule type="expression" dxfId="952" priority="17">
      <formula>kvartal &lt; 4</formula>
    </cfRule>
  </conditionalFormatting>
  <conditionalFormatting sqref="F112">
    <cfRule type="expression" dxfId="951" priority="16">
      <formula>kvartal &lt; 4</formula>
    </cfRule>
  </conditionalFormatting>
  <conditionalFormatting sqref="G112">
    <cfRule type="expression" dxfId="950" priority="15">
      <formula>kvartal &lt; 4</formula>
    </cfRule>
  </conditionalFormatting>
  <conditionalFormatting sqref="F115">
    <cfRule type="expression" dxfId="949" priority="14">
      <formula>kvartal &lt; 4</formula>
    </cfRule>
  </conditionalFormatting>
  <conditionalFormatting sqref="G115">
    <cfRule type="expression" dxfId="948" priority="13">
      <formula>kvartal &lt; 4</formula>
    </cfRule>
  </conditionalFormatting>
  <conditionalFormatting sqref="F122">
    <cfRule type="expression" dxfId="947" priority="12">
      <formula>kvartal &lt; 4</formula>
    </cfRule>
  </conditionalFormatting>
  <conditionalFormatting sqref="G122">
    <cfRule type="expression" dxfId="946" priority="11">
      <formula>kvartal &lt; 4</formula>
    </cfRule>
  </conditionalFormatting>
  <conditionalFormatting sqref="F125">
    <cfRule type="expression" dxfId="945" priority="10">
      <formula>kvartal &lt; 4</formula>
    </cfRule>
  </conditionalFormatting>
  <conditionalFormatting sqref="G125">
    <cfRule type="expression" dxfId="944" priority="9">
      <formula>kvartal &lt; 4</formula>
    </cfRule>
  </conditionalFormatting>
  <conditionalFormatting sqref="F132">
    <cfRule type="expression" dxfId="943" priority="8">
      <formula>kvartal &lt; 4</formula>
    </cfRule>
  </conditionalFormatting>
  <conditionalFormatting sqref="G132">
    <cfRule type="expression" dxfId="942" priority="7">
      <formula>kvartal &lt; 4</formula>
    </cfRule>
  </conditionalFormatting>
  <conditionalFormatting sqref="F135">
    <cfRule type="expression" dxfId="941" priority="6">
      <formula>kvartal &lt; 4</formula>
    </cfRule>
  </conditionalFormatting>
  <conditionalFormatting sqref="G135">
    <cfRule type="expression" dxfId="940" priority="5">
      <formula>kvartal &lt; 4</formula>
    </cfRule>
  </conditionalFormatting>
  <conditionalFormatting sqref="F146">
    <cfRule type="expression" dxfId="939" priority="4">
      <formula>kvartal &lt; 4</formula>
    </cfRule>
  </conditionalFormatting>
  <conditionalFormatting sqref="G146">
    <cfRule type="expression" dxfId="938" priority="3">
      <formula>kvartal &lt; 4</formula>
    </cfRule>
  </conditionalFormatting>
  <conditionalFormatting sqref="F154">
    <cfRule type="expression" dxfId="937" priority="2">
      <formula>kvartal &lt; 4</formula>
    </cfRule>
  </conditionalFormatting>
  <conditionalFormatting sqref="G154">
    <cfRule type="expression" dxfId="936" priority="1">
      <formula>kvartal &lt; 4</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5"/>
  <dimension ref="A1:N176"/>
  <sheetViews>
    <sheetView showGridLines="0" zoomScale="90" zoomScaleNormal="90" workbookViewId="0">
      <selection activeCell="A4" sqref="A4"/>
    </sheetView>
  </sheetViews>
  <sheetFormatPr baseColWidth="10" defaultColWidth="11.42578125" defaultRowHeight="12.75" x14ac:dyDescent="0.2"/>
  <cols>
    <col min="1" max="1" width="41.5703125" style="143" customWidth="1"/>
    <col min="2" max="2" width="10.85546875" style="143" customWidth="1"/>
    <col min="3" max="3" width="11" style="143" customWidth="1"/>
    <col min="4" max="5" width="8.7109375" style="143" customWidth="1"/>
    <col min="6" max="7" width="10.85546875" style="143" customWidth="1"/>
    <col min="8" max="9" width="8.7109375" style="143" customWidth="1"/>
    <col min="10" max="11" width="10.85546875" style="143" customWidth="1"/>
    <col min="12" max="13" width="8.7109375" style="143" customWidth="1"/>
    <col min="14" max="14" width="11.42578125" style="143"/>
    <col min="15" max="16384" width="11.42578125" style="1"/>
  </cols>
  <sheetData>
    <row r="1" spans="1:14" x14ac:dyDescent="0.2">
      <c r="A1" s="165" t="s">
        <v>159</v>
      </c>
      <c r="B1" s="401"/>
      <c r="C1" s="245" t="s">
        <v>168</v>
      </c>
      <c r="D1" s="20"/>
      <c r="E1" s="20"/>
      <c r="F1" s="20"/>
      <c r="G1" s="20"/>
      <c r="H1" s="20"/>
      <c r="I1" s="20"/>
      <c r="J1" s="20"/>
      <c r="K1" s="20"/>
      <c r="L1" s="20"/>
      <c r="M1" s="20"/>
    </row>
    <row r="2" spans="1:14" ht="15.75" x14ac:dyDescent="0.25">
      <c r="A2" s="158" t="s">
        <v>36</v>
      </c>
      <c r="B2" s="835"/>
      <c r="C2" s="835"/>
      <c r="D2" s="835"/>
      <c r="E2" s="301"/>
      <c r="F2" s="835"/>
      <c r="G2" s="835"/>
      <c r="H2" s="835"/>
      <c r="I2" s="301"/>
      <c r="J2" s="835"/>
      <c r="K2" s="835"/>
      <c r="L2" s="835"/>
      <c r="M2" s="301"/>
    </row>
    <row r="3" spans="1:14" ht="15.75" x14ac:dyDescent="0.25">
      <c r="A3" s="156"/>
      <c r="B3" s="301"/>
      <c r="C3" s="301"/>
      <c r="D3" s="301"/>
      <c r="E3" s="301"/>
      <c r="F3" s="301"/>
      <c r="G3" s="301"/>
      <c r="H3" s="301"/>
      <c r="I3" s="301"/>
      <c r="J3" s="301"/>
      <c r="K3" s="301"/>
      <c r="L3" s="301"/>
      <c r="M3" s="301"/>
    </row>
    <row r="4" spans="1:14" x14ac:dyDescent="0.2">
      <c r="A4" s="138"/>
      <c r="B4" s="808" t="s">
        <v>0</v>
      </c>
      <c r="C4" s="802"/>
      <c r="D4" s="802"/>
      <c r="E4" s="802"/>
      <c r="F4" s="808" t="s">
        <v>1</v>
      </c>
      <c r="G4" s="802"/>
      <c r="H4" s="802"/>
      <c r="I4" s="803"/>
      <c r="J4" s="801" t="s">
        <v>2</v>
      </c>
      <c r="K4" s="802"/>
      <c r="L4" s="802"/>
      <c r="M4" s="803"/>
    </row>
    <row r="5" spans="1:14" x14ac:dyDescent="0.2">
      <c r="A5" s="151"/>
      <c r="B5" s="145" t="s">
        <v>400</v>
      </c>
      <c r="C5" s="145" t="s">
        <v>401</v>
      </c>
      <c r="D5" s="242" t="s">
        <v>3</v>
      </c>
      <c r="E5" s="307" t="s">
        <v>37</v>
      </c>
      <c r="F5" s="145" t="s">
        <v>400</v>
      </c>
      <c r="G5" s="145" t="s">
        <v>401</v>
      </c>
      <c r="H5" s="242" t="s">
        <v>3</v>
      </c>
      <c r="I5" s="307" t="s">
        <v>37</v>
      </c>
      <c r="J5" s="145" t="s">
        <v>400</v>
      </c>
      <c r="K5" s="145" t="s">
        <v>401</v>
      </c>
      <c r="L5" s="242" t="s">
        <v>3</v>
      </c>
      <c r="M5" s="155" t="s">
        <v>37</v>
      </c>
    </row>
    <row r="6" spans="1:14" x14ac:dyDescent="0.2">
      <c r="A6" s="402"/>
      <c r="B6" s="149"/>
      <c r="C6" s="149"/>
      <c r="D6" s="243" t="s">
        <v>4</v>
      </c>
      <c r="E6" s="149" t="s">
        <v>38</v>
      </c>
      <c r="F6" s="154"/>
      <c r="G6" s="154"/>
      <c r="H6" s="242" t="s">
        <v>4</v>
      </c>
      <c r="I6" s="149" t="s">
        <v>38</v>
      </c>
      <c r="J6" s="154"/>
      <c r="K6" s="154"/>
      <c r="L6" s="242" t="s">
        <v>4</v>
      </c>
      <c r="M6" s="149" t="s">
        <v>38</v>
      </c>
    </row>
    <row r="7" spans="1:14" ht="15.75" x14ac:dyDescent="0.2">
      <c r="A7" s="12" t="s">
        <v>30</v>
      </c>
      <c r="B7" s="308">
        <v>422776.26053813897</v>
      </c>
      <c r="C7" s="309">
        <v>445898.73900603899</v>
      </c>
      <c r="D7" s="251">
        <f>IF(B7=0, "    ---- ", IF(ABS(ROUND(100/B7*C7-100,1))&lt;999,ROUND(100/B7*C7-100,1),IF(ROUND(100/B7*C7-100,1)&gt;999,999,-999)))</f>
        <v>5.5</v>
      </c>
      <c r="E7" s="170">
        <f>IFERROR(100/'Skjema total MA'!C7*C7,0)</f>
        <v>8.8884096396387466</v>
      </c>
      <c r="F7" s="308">
        <v>5544320.4708599998</v>
      </c>
      <c r="G7" s="309">
        <v>5308859.193</v>
      </c>
      <c r="H7" s="251">
        <f>IF(F7=0, "    ---- ", IF(ABS(ROUND(100/F7*G7-100,1))&lt;999,ROUND(100/F7*G7-100,1),IF(ROUND(100/F7*G7-100,1)&gt;999,999,-999)))</f>
        <v>-4.2</v>
      </c>
      <c r="I7" s="170">
        <f>IFERROR(100/'Skjema total MA'!F7*G7,0)</f>
        <v>58.362979099459658</v>
      </c>
      <c r="J7" s="310">
        <v>5967096.7313981391</v>
      </c>
      <c r="K7" s="311">
        <v>5754757.9320060387</v>
      </c>
      <c r="L7" s="255">
        <f>IF(J7=0, "    ---- ", IF(ABS(ROUND(100/J7*K7-100,1))&lt;999,ROUND(100/J7*K7-100,1),IF(ROUND(100/J7*K7-100,1)&gt;999,999,-999)))</f>
        <v>-3.6</v>
      </c>
      <c r="M7" s="170">
        <f>IFERROR(100/'Skjema total MA'!I7*K7,0)</f>
        <v>40.776551166372691</v>
      </c>
    </row>
    <row r="8" spans="1:14" ht="15.75" x14ac:dyDescent="0.2">
      <c r="A8" s="18" t="s">
        <v>32</v>
      </c>
      <c r="B8" s="282">
        <v>325530.49183117697</v>
      </c>
      <c r="C8" s="283">
        <v>345716.81628106203</v>
      </c>
      <c r="D8" s="159">
        <f t="shared" ref="D8:D15" si="0">IF(B8=0, "    ---- ", IF(ABS(ROUND(100/B8*C8-100,1))&lt;999,ROUND(100/B8*C8-100,1),IF(ROUND(100/B8*C8-100,1)&gt;999,999,-999)))</f>
        <v>6.2</v>
      </c>
      <c r="E8" s="170">
        <f>IFERROR(100/'Skjema total MA'!C8*C8,0)</f>
        <v>14.29423985963933</v>
      </c>
      <c r="F8" s="286"/>
      <c r="G8" s="287"/>
      <c r="H8" s="159"/>
      <c r="I8" s="170">
        <f>IFERROR(100/'Skjema total MA'!F8*G8,0)</f>
        <v>0</v>
      </c>
      <c r="J8" s="229">
        <v>325530.49183117697</v>
      </c>
      <c r="K8" s="288">
        <v>345716.81628106203</v>
      </c>
      <c r="L8" s="256">
        <f t="shared" ref="L8:L9" si="1">IF(J8=0, "    ---- ", IF(ABS(ROUND(100/J8*K8-100,1))&lt;999,ROUND(100/J8*K8-100,1),IF(ROUND(100/J8*K8-100,1)&gt;999,999,-999)))</f>
        <v>6.2</v>
      </c>
      <c r="M8" s="170">
        <f>IFERROR(100/'Skjema total MA'!I8*K8,0)</f>
        <v>14.29423985963933</v>
      </c>
    </row>
    <row r="9" spans="1:14" ht="15.75" x14ac:dyDescent="0.2">
      <c r="A9" s="18" t="s">
        <v>31</v>
      </c>
      <c r="B9" s="282">
        <v>89051.303604109096</v>
      </c>
      <c r="C9" s="283">
        <v>86900.953954718003</v>
      </c>
      <c r="D9" s="159">
        <f t="shared" si="0"/>
        <v>-2.4</v>
      </c>
      <c r="E9" s="170">
        <f>IFERROR(100/'Skjema total MA'!C9*C9,0)</f>
        <v>7.5788505929994647</v>
      </c>
      <c r="F9" s="286"/>
      <c r="G9" s="287"/>
      <c r="H9" s="159"/>
      <c r="I9" s="170">
        <f>IFERROR(100/'Skjema total MA'!F9*G9,0)</f>
        <v>0</v>
      </c>
      <c r="J9" s="229">
        <v>89051.303604109096</v>
      </c>
      <c r="K9" s="288">
        <v>86900.953954718003</v>
      </c>
      <c r="L9" s="256">
        <f t="shared" si="1"/>
        <v>-2.4</v>
      </c>
      <c r="M9" s="170">
        <f>IFERROR(100/'Skjema total MA'!I9*K9,0)</f>
        <v>7.5788505929994647</v>
      </c>
    </row>
    <row r="10" spans="1:14" ht="15.75" x14ac:dyDescent="0.2">
      <c r="A10" s="11" t="s">
        <v>29</v>
      </c>
      <c r="B10" s="312">
        <v>57176.794000000002</v>
      </c>
      <c r="C10" s="313">
        <v>45213.479777579501</v>
      </c>
      <c r="D10" s="159">
        <f t="shared" si="0"/>
        <v>-20.9</v>
      </c>
      <c r="E10" s="170">
        <f>IFERROR(100/'Skjema total MA'!C10*C10,0)</f>
        <v>12.713977597136148</v>
      </c>
      <c r="F10" s="312">
        <v>5097100</v>
      </c>
      <c r="G10" s="313">
        <v>5182961.807</v>
      </c>
      <c r="H10" s="159">
        <f t="shared" ref="H10:H15" si="2">IF(F10=0, "    ---- ", IF(ABS(ROUND(100/F10*G10-100,1))&lt;999,ROUND(100/F10*G10-100,1),IF(ROUND(100/F10*G10-100,1)&gt;999,999,-999)))</f>
        <v>1.7</v>
      </c>
      <c r="I10" s="170">
        <f>IFERROR(100/'Skjema total MA'!F10*G10,0)</f>
        <v>67.599916828560481</v>
      </c>
      <c r="J10" s="310">
        <v>5154276.7939999998</v>
      </c>
      <c r="K10" s="311">
        <v>5228175.2867775792</v>
      </c>
      <c r="L10" s="256">
        <f t="shared" ref="L10:L15" si="3">IF(J10=0, "    ---- ", IF(ABS(ROUND(100/J10*K10-100,1))&lt;999,ROUND(100/J10*K10-100,1),IF(ROUND(100/J10*K10-100,1)&gt;999,999,-999)))</f>
        <v>1.4</v>
      </c>
      <c r="M10" s="170">
        <f>IFERROR(100/'Skjema total MA'!I10*K10,0)</f>
        <v>65.167011244767565</v>
      </c>
    </row>
    <row r="11" spans="1:14" ht="15.75" x14ac:dyDescent="0.2">
      <c r="A11" s="18" t="s">
        <v>32</v>
      </c>
      <c r="B11" s="282">
        <v>53060.124000000003</v>
      </c>
      <c r="C11" s="283">
        <v>41498.473864579901</v>
      </c>
      <c r="D11" s="159">
        <f t="shared" si="0"/>
        <v>-21.8</v>
      </c>
      <c r="E11" s="170">
        <f>IFERROR(100/'Skjema total MA'!C11*C11,0)</f>
        <v>21.747243618411389</v>
      </c>
      <c r="F11" s="286"/>
      <c r="G11" s="287"/>
      <c r="H11" s="159"/>
      <c r="I11" s="170">
        <f>IFERROR(100/'Skjema total MA'!F11*G11,0)</f>
        <v>0</v>
      </c>
      <c r="J11" s="229">
        <v>53060.124000000003</v>
      </c>
      <c r="K11" s="288">
        <v>41498.473864579901</v>
      </c>
      <c r="L11" s="256">
        <f t="shared" ref="L11:L12" si="4">IF(J11=0, "    ---- ", IF(ABS(ROUND(100/J11*K11-100,1))&lt;999,ROUND(100/J11*K11-100,1),IF(ROUND(100/J11*K11-100,1)&gt;999,999,-999)))</f>
        <v>-21.8</v>
      </c>
      <c r="M11" s="170">
        <f>IFERROR(100/'Skjema total MA'!I11*K11,0)</f>
        <v>21.747243618411389</v>
      </c>
    </row>
    <row r="12" spans="1:14" ht="15.75" x14ac:dyDescent="0.2">
      <c r="A12" s="18" t="s">
        <v>31</v>
      </c>
      <c r="B12" s="282">
        <v>4116.67</v>
      </c>
      <c r="C12" s="283">
        <v>3715.0059129996498</v>
      </c>
      <c r="D12" s="159">
        <f t="shared" si="0"/>
        <v>-9.8000000000000007</v>
      </c>
      <c r="E12" s="170">
        <f>IFERROR(100/'Skjema total MA'!C12*C12,0)</f>
        <v>5.8655061910400699</v>
      </c>
      <c r="F12" s="286"/>
      <c r="G12" s="287"/>
      <c r="H12" s="159"/>
      <c r="I12" s="170">
        <f>IFERROR(100/'Skjema total MA'!F12*G12,0)</f>
        <v>0</v>
      </c>
      <c r="J12" s="229">
        <v>4116.67</v>
      </c>
      <c r="K12" s="288">
        <v>3715.0059129996498</v>
      </c>
      <c r="L12" s="256">
        <f t="shared" si="4"/>
        <v>-9.8000000000000007</v>
      </c>
      <c r="M12" s="170">
        <f>IFERROR(100/'Skjema total MA'!I12*K12,0)</f>
        <v>5.8655061910400699</v>
      </c>
    </row>
    <row r="13" spans="1:14" ht="15.75" x14ac:dyDescent="0.2">
      <c r="A13" s="11" t="s">
        <v>28</v>
      </c>
      <c r="B13" s="312">
        <v>843728.133044402</v>
      </c>
      <c r="C13" s="313">
        <v>793861.54920323205</v>
      </c>
      <c r="D13" s="159">
        <f t="shared" si="0"/>
        <v>-5.9</v>
      </c>
      <c r="E13" s="170">
        <f>IFERROR(100/'Skjema total MA'!C13*C13,0)</f>
        <v>3.0693671243222544</v>
      </c>
      <c r="F13" s="312">
        <v>13868915.967296099</v>
      </c>
      <c r="G13" s="313">
        <v>18017216.095685601</v>
      </c>
      <c r="H13" s="159">
        <f t="shared" si="2"/>
        <v>29.9</v>
      </c>
      <c r="I13" s="170">
        <f>IFERROR(100/'Skjema total MA'!F13*G13,0)</f>
        <v>54.402167614566935</v>
      </c>
      <c r="J13" s="310">
        <v>14712644.1003405</v>
      </c>
      <c r="K13" s="311">
        <v>18811077.644888833</v>
      </c>
      <c r="L13" s="256">
        <f t="shared" si="3"/>
        <v>27.9</v>
      </c>
      <c r="M13" s="170">
        <f>IFERROR(100/'Skjema total MA'!I13*K13,0)</f>
        <v>31.892600441055755</v>
      </c>
    </row>
    <row r="14" spans="1:14" s="36" customFormat="1" ht="15.75" x14ac:dyDescent="0.2">
      <c r="A14" s="11" t="s">
        <v>27</v>
      </c>
      <c r="B14" s="312"/>
      <c r="C14" s="313"/>
      <c r="D14" s="159"/>
      <c r="E14" s="170"/>
      <c r="F14" s="312">
        <v>256512.88513000001</v>
      </c>
      <c r="G14" s="313">
        <v>232249.93202000001</v>
      </c>
      <c r="H14" s="159">
        <f t="shared" si="2"/>
        <v>-9.5</v>
      </c>
      <c r="I14" s="170">
        <f>IFERROR(100/'Skjema total MA'!F14*G14,0)</f>
        <v>51.019040446544722</v>
      </c>
      <c r="J14" s="310">
        <v>256512.88513000001</v>
      </c>
      <c r="K14" s="311">
        <v>232249.93202000001</v>
      </c>
      <c r="L14" s="256">
        <f t="shared" si="3"/>
        <v>-9.5</v>
      </c>
      <c r="M14" s="170">
        <f>IFERROR(100/'Skjema total MA'!I14*K14,0)</f>
        <v>43.277078087295386</v>
      </c>
      <c r="N14" s="137"/>
    </row>
    <row r="15" spans="1:14" s="36" customFormat="1" ht="15.75" x14ac:dyDescent="0.2">
      <c r="A15" s="34" t="s">
        <v>26</v>
      </c>
      <c r="B15" s="314">
        <v>3.5426500000000001</v>
      </c>
      <c r="C15" s="315">
        <v>79.740440000000007</v>
      </c>
      <c r="D15" s="160">
        <f t="shared" si="0"/>
        <v>999</v>
      </c>
      <c r="E15" s="160">
        <f>IFERROR(100/'Skjema total MA'!C15*C15,0)</f>
        <v>0.1914042793234618</v>
      </c>
      <c r="F15" s="314">
        <v>21022.974920000001</v>
      </c>
      <c r="G15" s="315">
        <v>31955.709599999998</v>
      </c>
      <c r="H15" s="160">
        <f t="shared" si="2"/>
        <v>52</v>
      </c>
      <c r="I15" s="160">
        <f>IFERROR(100/'Skjema total MA'!F15*G15,0)</f>
        <v>18.698044099746657</v>
      </c>
      <c r="J15" s="316">
        <v>21026.51757</v>
      </c>
      <c r="K15" s="317">
        <v>32035.45004</v>
      </c>
      <c r="L15" s="257">
        <f t="shared" si="3"/>
        <v>52.4</v>
      </c>
      <c r="M15" s="160">
        <f>IFERROR(100/'Skjema total MA'!I15*K15,0)</f>
        <v>15.070912747963517</v>
      </c>
      <c r="N15" s="137"/>
    </row>
    <row r="16" spans="1:14" s="36" customFormat="1" x14ac:dyDescent="0.2">
      <c r="A16" s="161"/>
      <c r="B16" s="139"/>
      <c r="C16" s="27"/>
      <c r="D16" s="152"/>
      <c r="E16" s="152"/>
      <c r="F16" s="139"/>
      <c r="G16" s="27"/>
      <c r="H16" s="152"/>
      <c r="I16" s="152"/>
      <c r="J16" s="41"/>
      <c r="K16" s="41"/>
      <c r="L16" s="152"/>
      <c r="M16" s="152"/>
      <c r="N16" s="137"/>
    </row>
    <row r="17" spans="1:14" x14ac:dyDescent="0.2">
      <c r="A17" s="146" t="s">
        <v>307</v>
      </c>
      <c r="B17" s="20"/>
    </row>
    <row r="18" spans="1:14" x14ac:dyDescent="0.2">
      <c r="F18" s="140"/>
      <c r="G18" s="140"/>
      <c r="H18" s="140"/>
      <c r="I18" s="140"/>
      <c r="J18" s="140"/>
      <c r="K18" s="140"/>
      <c r="L18" s="140"/>
      <c r="M18" s="140"/>
    </row>
    <row r="19" spans="1:14" s="3" customFormat="1" ht="15.75" x14ac:dyDescent="0.25">
      <c r="A19" s="157"/>
      <c r="B19" s="142"/>
      <c r="C19" s="147"/>
      <c r="D19" s="147"/>
      <c r="E19" s="147"/>
      <c r="F19" s="147"/>
      <c r="G19" s="147"/>
      <c r="H19" s="147"/>
      <c r="I19" s="147"/>
      <c r="J19" s="147"/>
      <c r="K19" s="147"/>
      <c r="L19" s="147"/>
      <c r="M19" s="147"/>
      <c r="N19" s="142"/>
    </row>
    <row r="20" spans="1:14" ht="15.75" x14ac:dyDescent="0.25">
      <c r="A20" s="141" t="s">
        <v>304</v>
      </c>
      <c r="B20" s="150"/>
      <c r="C20" s="150"/>
      <c r="D20" s="144"/>
      <c r="E20" s="144"/>
      <c r="F20" s="150"/>
      <c r="G20" s="150"/>
      <c r="H20" s="150"/>
      <c r="I20" s="150"/>
      <c r="J20" s="150"/>
      <c r="K20" s="150"/>
      <c r="L20" s="150"/>
      <c r="M20" s="150"/>
    </row>
    <row r="21" spans="1:14" ht="15.75" x14ac:dyDescent="0.25">
      <c r="B21" s="832"/>
      <c r="C21" s="832"/>
      <c r="D21" s="832"/>
      <c r="E21" s="301"/>
      <c r="F21" s="832"/>
      <c r="G21" s="832"/>
      <c r="H21" s="832"/>
      <c r="I21" s="301"/>
      <c r="J21" s="832"/>
      <c r="K21" s="832"/>
      <c r="L21" s="832"/>
      <c r="M21" s="301"/>
    </row>
    <row r="22" spans="1:14" x14ac:dyDescent="0.2">
      <c r="A22" s="138"/>
      <c r="B22" s="833" t="s">
        <v>0</v>
      </c>
      <c r="C22" s="834"/>
      <c r="D22" s="834"/>
      <c r="E22" s="303"/>
      <c r="F22" s="833" t="s">
        <v>1</v>
      </c>
      <c r="G22" s="834"/>
      <c r="H22" s="834"/>
      <c r="I22" s="306"/>
      <c r="J22" s="833" t="s">
        <v>2</v>
      </c>
      <c r="K22" s="834"/>
      <c r="L22" s="834"/>
      <c r="M22" s="306"/>
    </row>
    <row r="23" spans="1:14" x14ac:dyDescent="0.2">
      <c r="A23" s="134" t="s">
        <v>5</v>
      </c>
      <c r="B23" s="145" t="s">
        <v>400</v>
      </c>
      <c r="C23" s="145" t="s">
        <v>401</v>
      </c>
      <c r="D23" s="242" t="s">
        <v>3</v>
      </c>
      <c r="E23" s="307" t="s">
        <v>37</v>
      </c>
      <c r="F23" s="145" t="s">
        <v>400</v>
      </c>
      <c r="G23" s="145" t="s">
        <v>401</v>
      </c>
      <c r="H23" s="242" t="s">
        <v>3</v>
      </c>
      <c r="I23" s="307" t="s">
        <v>37</v>
      </c>
      <c r="J23" s="145" t="s">
        <v>400</v>
      </c>
      <c r="K23" s="145" t="s">
        <v>401</v>
      </c>
      <c r="L23" s="242" t="s">
        <v>3</v>
      </c>
      <c r="M23" s="155" t="s">
        <v>37</v>
      </c>
    </row>
    <row r="24" spans="1:14" x14ac:dyDescent="0.2">
      <c r="A24" s="403"/>
      <c r="B24" s="149"/>
      <c r="C24" s="149"/>
      <c r="D24" s="243" t="s">
        <v>4</v>
      </c>
      <c r="E24" s="149" t="s">
        <v>38</v>
      </c>
      <c r="F24" s="154"/>
      <c r="G24" s="154"/>
      <c r="H24" s="242" t="s">
        <v>4</v>
      </c>
      <c r="I24" s="149" t="s">
        <v>38</v>
      </c>
      <c r="J24" s="154"/>
      <c r="K24" s="154"/>
      <c r="L24" s="242" t="s">
        <v>4</v>
      </c>
      <c r="M24" s="149" t="s">
        <v>38</v>
      </c>
    </row>
    <row r="25" spans="1:14" ht="15.75" x14ac:dyDescent="0.2">
      <c r="A25" s="12" t="s">
        <v>30</v>
      </c>
      <c r="B25" s="318">
        <v>136295.944610317</v>
      </c>
      <c r="C25" s="319">
        <v>139830.24065130099</v>
      </c>
      <c r="D25" s="251">
        <f t="shared" ref="D25:D41" si="5">IF(B25=0, "    ---- ", IF(ABS(ROUND(100/B25*C25-100,1))&lt;999,ROUND(100/B25*C25-100,1),IF(ROUND(100/B25*C25-100,1)&gt;999,999,-999)))</f>
        <v>2.6</v>
      </c>
      <c r="E25" s="170">
        <f>IFERROR(100/'Skjema total MA'!C25*C25,0)</f>
        <v>9.7413286104660646</v>
      </c>
      <c r="F25" s="320">
        <v>184203.20918000001</v>
      </c>
      <c r="G25" s="319">
        <v>181953.59359</v>
      </c>
      <c r="H25" s="251">
        <f t="shared" ref="H25:H41" si="6">IF(F25=0, "    ---- ", IF(ABS(ROUND(100/F25*G25-100,1))&lt;999,ROUND(100/F25*G25-100,1),IF(ROUND(100/F25*G25-100,1)&gt;999,999,-999)))</f>
        <v>-1.2</v>
      </c>
      <c r="I25" s="170">
        <f>IFERROR(100/'Skjema total MA'!F25*G25,0)</f>
        <v>45.647207160654126</v>
      </c>
      <c r="J25" s="318">
        <v>320499.15379031701</v>
      </c>
      <c r="K25" s="318">
        <v>321783.834241301</v>
      </c>
      <c r="L25" s="255">
        <f t="shared" ref="L25:L41" si="7">IF(J25=0, "    ---- ", IF(ABS(ROUND(100/J25*K25-100,1))&lt;999,ROUND(100/J25*K25-100,1),IF(ROUND(100/J25*K25-100,1)&gt;999,999,-999)))</f>
        <v>0.4</v>
      </c>
      <c r="M25" s="159">
        <f>IFERROR(100/'Skjema total MA'!I25*K25,0)</f>
        <v>17.545069935265754</v>
      </c>
    </row>
    <row r="26" spans="1:14" ht="15.75" x14ac:dyDescent="0.2">
      <c r="A26" s="298" t="s">
        <v>318</v>
      </c>
      <c r="B26" s="291">
        <v>135418.05261031701</v>
      </c>
      <c r="C26" s="291">
        <v>139140.08065130099</v>
      </c>
      <c r="D26" s="159">
        <f t="shared" si="5"/>
        <v>2.7</v>
      </c>
      <c r="E26" s="170">
        <f>IFERROR(100/'Skjema total MA'!C26*C26,0)</f>
        <v>10.708631053254472</v>
      </c>
      <c r="F26" s="291">
        <v>7698.8485700000001</v>
      </c>
      <c r="G26" s="291">
        <v>6235.9979999999996</v>
      </c>
      <c r="H26" s="159">
        <f t="shared" si="6"/>
        <v>-19</v>
      </c>
      <c r="I26" s="237">
        <f>IFERROR(100/'Skjema total MA'!F26*G26,0)</f>
        <v>3.9439909286934873</v>
      </c>
      <c r="J26" s="291">
        <v>143116.90118031701</v>
      </c>
      <c r="K26" s="291">
        <v>145376.07865130098</v>
      </c>
      <c r="L26" s="159">
        <f t="shared" si="7"/>
        <v>1.6</v>
      </c>
      <c r="M26" s="159">
        <f>IFERROR(100/'Skjema total MA'!I26*K26,0)</f>
        <v>9.9747529101581325</v>
      </c>
    </row>
    <row r="27" spans="1:14" ht="15.75" x14ac:dyDescent="0.2">
      <c r="A27" s="298" t="s">
        <v>319</v>
      </c>
      <c r="B27" s="291">
        <v>858.14200000000005</v>
      </c>
      <c r="C27" s="291">
        <v>680.91</v>
      </c>
      <c r="D27" s="159">
        <f t="shared" si="5"/>
        <v>-20.7</v>
      </c>
      <c r="E27" s="170">
        <f>IFERROR(100/'Skjema total MA'!C27*C27,0)</f>
        <v>3.520879155797862</v>
      </c>
      <c r="F27" s="291">
        <v>8121.6585999999998</v>
      </c>
      <c r="G27" s="291">
        <v>6204.9070199999996</v>
      </c>
      <c r="H27" s="159">
        <f t="shared" ref="H27" si="8">IF(F27=0, "    ---- ", IF(ABS(ROUND(100/F27*G27-100,1))&lt;999,ROUND(100/F27*G27-100,1),IF(ROUND(100/F27*G27-100,1)&gt;999,999,-999)))</f>
        <v>-23.6</v>
      </c>
      <c r="I27" s="237">
        <f>IFERROR(100/'Skjema total MA'!F27*G27,0)</f>
        <v>97.841386722575066</v>
      </c>
      <c r="J27" s="291">
        <v>8979.8006000000005</v>
      </c>
      <c r="K27" s="291">
        <v>6885.8170199999995</v>
      </c>
      <c r="L27" s="159">
        <f t="shared" si="7"/>
        <v>-23.3</v>
      </c>
      <c r="M27" s="159">
        <f>IFERROR(100/'Skjema total MA'!I27*K27,0)</f>
        <v>26.812878900816873</v>
      </c>
    </row>
    <row r="28" spans="1:14" ht="15.75" x14ac:dyDescent="0.2">
      <c r="A28" s="298" t="s">
        <v>320</v>
      </c>
      <c r="B28" s="291">
        <v>19.75</v>
      </c>
      <c r="C28" s="291">
        <v>9.25</v>
      </c>
      <c r="D28" s="159">
        <f t="shared" si="5"/>
        <v>-53.2</v>
      </c>
      <c r="E28" s="170">
        <f>IFERROR(100/'Skjema total MA'!C28*C28,0)</f>
        <v>7.9217417555007934E-3</v>
      </c>
      <c r="F28" s="291">
        <v>168382.70201000001</v>
      </c>
      <c r="G28" s="291">
        <v>169512.68857</v>
      </c>
      <c r="H28" s="159">
        <f t="shared" ref="H28" si="9">IF(F28=0, "    ---- ", IF(ABS(ROUND(100/F28*G28-100,1))&lt;999,ROUND(100/F28*G28-100,1),IF(ROUND(100/F28*G28-100,1)&gt;999,999,-999)))</f>
        <v>0.7</v>
      </c>
      <c r="I28" s="237">
        <f>IFERROR(100/'Skjema total MA'!F28*G28,0)</f>
        <v>72.394085508178051</v>
      </c>
      <c r="J28" s="291">
        <v>168402.45201000001</v>
      </c>
      <c r="K28" s="291">
        <v>169521.93857</v>
      </c>
      <c r="L28" s="159">
        <f t="shared" si="7"/>
        <v>0.7</v>
      </c>
      <c r="M28" s="159">
        <f>IFERROR(100/'Skjema total MA'!I28*K28,0)</f>
        <v>48.307869104027617</v>
      </c>
    </row>
    <row r="29" spans="1:14" x14ac:dyDescent="0.2">
      <c r="A29" s="298" t="s">
        <v>11</v>
      </c>
      <c r="B29" s="291">
        <v>83.278949999999995</v>
      </c>
      <c r="C29" s="291">
        <v>81.404849999999996</v>
      </c>
      <c r="D29" s="159">
        <f t="shared" si="5"/>
        <v>-2.2999999999999998</v>
      </c>
      <c r="E29" s="170">
        <f>IFERROR(100/'Skjema total MA'!C29*C29,0)</f>
        <v>99.999999999999972</v>
      </c>
      <c r="F29" s="291"/>
      <c r="G29" s="291"/>
      <c r="H29" s="159"/>
      <c r="I29" s="237"/>
      <c r="J29" s="291">
        <v>83.278949999999995</v>
      </c>
      <c r="K29" s="291">
        <v>81.404849999999996</v>
      </c>
      <c r="L29" s="159">
        <f t="shared" si="7"/>
        <v>-2.2999999999999998</v>
      </c>
      <c r="M29" s="159">
        <f>IFERROR(100/'Skjema total MA'!I29*K29,0)</f>
        <v>99.999999999999972</v>
      </c>
    </row>
    <row r="30" spans="1:14" ht="15.75" x14ac:dyDescent="0.2">
      <c r="A30" s="42" t="s">
        <v>308</v>
      </c>
      <c r="B30" s="37">
        <v>134010.57218923001</v>
      </c>
      <c r="C30" s="288">
        <v>141533.88171427901</v>
      </c>
      <c r="D30" s="159">
        <f t="shared" si="5"/>
        <v>5.6</v>
      </c>
      <c r="E30" s="170">
        <f>IFERROR(100/'Skjema total MA'!C30*C30,0)</f>
        <v>9.4708625109690256</v>
      </c>
      <c r="F30" s="229"/>
      <c r="G30" s="288"/>
      <c r="H30" s="159"/>
      <c r="I30" s="170"/>
      <c r="J30" s="37">
        <v>134010.57218923001</v>
      </c>
      <c r="K30" s="37">
        <v>141533.88171427901</v>
      </c>
      <c r="L30" s="256">
        <f t="shared" si="7"/>
        <v>5.6</v>
      </c>
      <c r="M30" s="159">
        <f>IFERROR(100/'Skjema total MA'!I30*K30,0)</f>
        <v>9.4708625109690256</v>
      </c>
    </row>
    <row r="31" spans="1:14" ht="15.75" x14ac:dyDescent="0.2">
      <c r="A31" s="11" t="s">
        <v>29</v>
      </c>
      <c r="B31" s="231">
        <v>26195.710999999999</v>
      </c>
      <c r="C31" s="231">
        <v>23216.046981665</v>
      </c>
      <c r="D31" s="159">
        <f t="shared" si="5"/>
        <v>-11.4</v>
      </c>
      <c r="E31" s="170">
        <f>IFERROR(100/'Skjema total MA'!C31*C31,0)</f>
        <v>8.8132513005947857</v>
      </c>
      <c r="F31" s="310">
        <v>21423.615610000001</v>
      </c>
      <c r="G31" s="310">
        <v>8541.7788299999993</v>
      </c>
      <c r="H31" s="159">
        <f t="shared" si="6"/>
        <v>-60.1</v>
      </c>
      <c r="I31" s="170">
        <f>IFERROR(100/'Skjema total MA'!F31*G31,0)</f>
        <v>65.833714330836116</v>
      </c>
      <c r="J31" s="231">
        <v>47619.326610000004</v>
      </c>
      <c r="K31" s="231">
        <v>31757.825811664999</v>
      </c>
      <c r="L31" s="256">
        <f t="shared" si="7"/>
        <v>-33.299999999999997</v>
      </c>
      <c r="M31" s="159">
        <f>IFERROR(100/'Skjema total MA'!I31*K31,0)</f>
        <v>11.489938684500149</v>
      </c>
    </row>
    <row r="32" spans="1:14" ht="15.75" x14ac:dyDescent="0.2">
      <c r="A32" s="298" t="s">
        <v>318</v>
      </c>
      <c r="B32" s="291">
        <v>26195.710999999999</v>
      </c>
      <c r="C32" s="291">
        <v>23216.046981665</v>
      </c>
      <c r="D32" s="159">
        <f t="shared" si="5"/>
        <v>-11.4</v>
      </c>
      <c r="E32" s="170">
        <f>IFERROR(100/'Skjema total MA'!C32*C32,0)</f>
        <v>8.8132513005947839</v>
      </c>
      <c r="F32" s="291">
        <v>100</v>
      </c>
      <c r="G32" s="291">
        <v>0</v>
      </c>
      <c r="H32" s="159">
        <f t="shared" si="6"/>
        <v>-100</v>
      </c>
      <c r="I32" s="237">
        <f>IFERROR(100/'Skjema total MA'!F32*G32,0)</f>
        <v>0</v>
      </c>
      <c r="J32" s="291">
        <v>26295.710999999999</v>
      </c>
      <c r="K32" s="291">
        <v>23216.046981665</v>
      </c>
      <c r="L32" s="159">
        <f t="shared" si="7"/>
        <v>-11.7</v>
      </c>
      <c r="M32" s="159">
        <f>IFERROR(100/'Skjema total MA'!I32*K32,0)</f>
        <v>8.7877309833726347</v>
      </c>
    </row>
    <row r="33" spans="1:14" ht="15.75" x14ac:dyDescent="0.2">
      <c r="A33" s="298" t="s">
        <v>320</v>
      </c>
      <c r="B33" s="291"/>
      <c r="C33" s="291"/>
      <c r="D33" s="159"/>
      <c r="E33" s="237"/>
      <c r="F33" s="291">
        <v>21323.615610000001</v>
      </c>
      <c r="G33" s="291">
        <v>8541.7788299999993</v>
      </c>
      <c r="H33" s="159">
        <f t="shared" ref="H33" si="10">IF(F33=0, "    ---- ", IF(ABS(ROUND(100/F33*G33-100,1))&lt;999,ROUND(100/F33*G33-100,1),IF(ROUND(100/F33*G33-100,1)&gt;999,999,-999)))</f>
        <v>-59.9</v>
      </c>
      <c r="I33" s="237">
        <f>IFERROR(100/'Skjema total MA'!F33*G33,0)</f>
        <v>69.958505792197059</v>
      </c>
      <c r="J33" s="291">
        <v>21323.615610000001</v>
      </c>
      <c r="K33" s="291">
        <v>8541.7788299999993</v>
      </c>
      <c r="L33" s="159">
        <f t="shared" si="7"/>
        <v>-59.9</v>
      </c>
      <c r="M33" s="159">
        <f>IFERROR(100/'Skjema total MA'!I33*K33,0)</f>
        <v>69.958505792197059</v>
      </c>
    </row>
    <row r="34" spans="1:14" s="21" customFormat="1" x14ac:dyDescent="0.2">
      <c r="A34" s="298" t="s">
        <v>16</v>
      </c>
      <c r="B34" s="291"/>
      <c r="C34" s="291"/>
      <c r="D34" s="159"/>
      <c r="E34" s="237"/>
      <c r="F34" s="291"/>
      <c r="G34" s="291"/>
      <c r="H34" s="159"/>
      <c r="I34" s="237"/>
      <c r="J34" s="291"/>
      <c r="K34" s="291"/>
      <c r="L34" s="159"/>
      <c r="M34" s="159"/>
      <c r="N34" s="166"/>
    </row>
    <row r="35" spans="1:14" ht="15.75" x14ac:dyDescent="0.2">
      <c r="A35" s="42" t="s">
        <v>308</v>
      </c>
      <c r="B35" s="37">
        <v>26195.710999999999</v>
      </c>
      <c r="C35" s="288">
        <v>23216.046981665</v>
      </c>
      <c r="D35" s="159">
        <f t="shared" si="5"/>
        <v>-11.4</v>
      </c>
      <c r="E35" s="170">
        <f>IFERROR(100/'Skjema total MA'!C35*C35,0)</f>
        <v>12.376936395494173</v>
      </c>
      <c r="F35" s="229"/>
      <c r="G35" s="288"/>
      <c r="H35" s="159"/>
      <c r="I35" s="170"/>
      <c r="J35" s="37">
        <v>26195.710999999999</v>
      </c>
      <c r="K35" s="37">
        <v>23216.046981665</v>
      </c>
      <c r="L35" s="256">
        <f t="shared" si="7"/>
        <v>-11.4</v>
      </c>
      <c r="M35" s="159">
        <f>IFERROR(100/'Skjema total MA'!I35*K35,0)</f>
        <v>12.376936395494173</v>
      </c>
    </row>
    <row r="36" spans="1:14" s="3" customFormat="1" ht="15.75" x14ac:dyDescent="0.2">
      <c r="A36" s="11" t="s">
        <v>28</v>
      </c>
      <c r="B36" s="231">
        <v>4425764</v>
      </c>
      <c r="C36" s="311">
        <v>4109882.571</v>
      </c>
      <c r="D36" s="159">
        <f t="shared" si="5"/>
        <v>-7.1</v>
      </c>
      <c r="E36" s="170">
        <f>IFERROR(100/'Skjema total MA'!C36*C36,0)</f>
        <v>8.1272890496972305</v>
      </c>
      <c r="F36" s="310">
        <v>3112346.86</v>
      </c>
      <c r="G36" s="311">
        <v>3259886.16</v>
      </c>
      <c r="H36" s="159">
        <f t="shared" si="6"/>
        <v>4.7</v>
      </c>
      <c r="I36" s="170">
        <f>IFERROR(100/'Skjema total MA'!F36*G36,0)</f>
        <v>17.055231469511686</v>
      </c>
      <c r="J36" s="231">
        <v>7538110.8599999994</v>
      </c>
      <c r="K36" s="231">
        <v>7369768.7310000006</v>
      </c>
      <c r="L36" s="256">
        <f t="shared" si="7"/>
        <v>-2.2000000000000002</v>
      </c>
      <c r="M36" s="159">
        <f>IFERROR(100/'Skjema total MA'!I36*K36,0)</f>
        <v>10.576192654782066</v>
      </c>
      <c r="N36" s="142"/>
    </row>
    <row r="37" spans="1:14" s="3" customFormat="1" ht="15.75" x14ac:dyDescent="0.2">
      <c r="A37" s="298" t="s">
        <v>318</v>
      </c>
      <c r="B37" s="291">
        <v>1492200.8229589199</v>
      </c>
      <c r="C37" s="291">
        <v>1234800.1931978399</v>
      </c>
      <c r="D37" s="159">
        <f t="shared" si="5"/>
        <v>-17.2</v>
      </c>
      <c r="E37" s="170">
        <f>IFERROR(100/'Skjema total MA'!C37*C37,0)</f>
        <v>9.5949987752614021</v>
      </c>
      <c r="F37" s="291">
        <v>579543.9</v>
      </c>
      <c r="G37" s="291">
        <v>541480.09</v>
      </c>
      <c r="H37" s="159">
        <f t="shared" si="6"/>
        <v>-6.6</v>
      </c>
      <c r="I37" s="237">
        <f>IFERROR(100/'Skjema total MA'!F37*G37,0)</f>
        <v>12.61941927473856</v>
      </c>
      <c r="J37" s="291">
        <v>2071744.7229589201</v>
      </c>
      <c r="K37" s="291">
        <v>1776280.2831978397</v>
      </c>
      <c r="L37" s="159">
        <f t="shared" si="7"/>
        <v>-14.3</v>
      </c>
      <c r="M37" s="159">
        <f>IFERROR(100/'Skjema total MA'!I37*K37,0)</f>
        <v>10.351250952715988</v>
      </c>
      <c r="N37" s="142"/>
    </row>
    <row r="38" spans="1:14" s="3" customFormat="1" ht="15.75" x14ac:dyDescent="0.2">
      <c r="A38" s="298" t="s">
        <v>319</v>
      </c>
      <c r="B38" s="291">
        <v>2670576.3430410801</v>
      </c>
      <c r="C38" s="291">
        <v>2603243.5508021601</v>
      </c>
      <c r="D38" s="159">
        <f t="shared" si="5"/>
        <v>-2.5</v>
      </c>
      <c r="E38" s="170">
        <f>IFERROR(100/'Skjema total MA'!C38*C38,0)</f>
        <v>7.162002937741355</v>
      </c>
      <c r="F38" s="291">
        <v>1178811.96</v>
      </c>
      <c r="G38" s="291">
        <v>1103353.04</v>
      </c>
      <c r="H38" s="159">
        <f t="shared" ref="H38" si="11">IF(F38=0, "    ---- ", IF(ABS(ROUND(100/F38*G38-100,1))&lt;999,ROUND(100/F38*G38-100,1),IF(ROUND(100/F38*G38-100,1)&gt;999,999,-999)))</f>
        <v>-6.4</v>
      </c>
      <c r="I38" s="237">
        <f>IFERROR(100/'Skjema total MA'!F38*G38,0)</f>
        <v>9.6895616424505047</v>
      </c>
      <c r="J38" s="291">
        <v>3849388.30304108</v>
      </c>
      <c r="K38" s="291">
        <v>3706596.5908021601</v>
      </c>
      <c r="L38" s="159">
        <f t="shared" si="7"/>
        <v>-3.7</v>
      </c>
      <c r="M38" s="159">
        <f>IFERROR(100/'Skjema total MA'!I38*K38,0)</f>
        <v>7.7649436410461243</v>
      </c>
      <c r="N38" s="142"/>
    </row>
    <row r="39" spans="1:14" ht="15.75" x14ac:dyDescent="0.2">
      <c r="A39" s="298" t="s">
        <v>320</v>
      </c>
      <c r="B39" s="291">
        <v>262986.83399999997</v>
      </c>
      <c r="C39" s="291">
        <v>271838.82699999999</v>
      </c>
      <c r="D39" s="159">
        <f t="shared" si="5"/>
        <v>3.4</v>
      </c>
      <c r="E39" s="170">
        <f>IFERROR(100/'Skjema total MA'!C39*C39,0)</f>
        <v>20.110366439496936</v>
      </c>
      <c r="F39" s="291">
        <v>1353991</v>
      </c>
      <c r="G39" s="291">
        <v>1615053.03</v>
      </c>
      <c r="H39" s="159">
        <f t="shared" ref="H39" si="12">IF(F39=0, "    ---- ", IF(ABS(ROUND(100/F39*G39-100,1))&lt;999,ROUND(100/F39*G39-100,1),IF(ROUND(100/F39*G39-100,1)&gt;999,999,-999)))</f>
        <v>19.3</v>
      </c>
      <c r="I39" s="237">
        <f>IFERROR(100/'Skjema total MA'!F39*G39,0)</f>
        <v>47.006239605675219</v>
      </c>
      <c r="J39" s="291">
        <v>1616977.834</v>
      </c>
      <c r="K39" s="291">
        <v>1886891.8570000001</v>
      </c>
      <c r="L39" s="159">
        <f t="shared" si="7"/>
        <v>16.7</v>
      </c>
      <c r="M39" s="159">
        <f>IFERROR(100/'Skjema total MA'!I39*K39,0)</f>
        <v>39.412376496548021</v>
      </c>
    </row>
    <row r="40" spans="1:14" ht="15.75" x14ac:dyDescent="0.2">
      <c r="A40" s="11" t="s">
        <v>27</v>
      </c>
      <c r="B40" s="231">
        <v>1128.78395</v>
      </c>
      <c r="C40" s="311">
        <v>958.40332000000001</v>
      </c>
      <c r="D40" s="159">
        <f t="shared" si="5"/>
        <v>-15.1</v>
      </c>
      <c r="E40" s="170">
        <f>IFERROR(100/'Skjema total MA'!C40*C40,0)</f>
        <v>2.1628761244827981</v>
      </c>
      <c r="F40" s="310">
        <v>3113.1248900000001</v>
      </c>
      <c r="G40" s="311">
        <v>1080.4453100000001</v>
      </c>
      <c r="H40" s="159">
        <f t="shared" si="6"/>
        <v>-65.3</v>
      </c>
      <c r="I40" s="170">
        <f>IFERROR(100/'Skjema total MA'!F40*G40,0)</f>
        <v>1.3729033517198115</v>
      </c>
      <c r="J40" s="231">
        <v>4241.9088400000001</v>
      </c>
      <c r="K40" s="231">
        <v>2038.84863</v>
      </c>
      <c r="L40" s="256">
        <f t="shared" si="7"/>
        <v>-51.9</v>
      </c>
      <c r="M40" s="159">
        <f>IFERROR(100/'Skjema total MA'!I40*K40,0)</f>
        <v>1.6574743351421801</v>
      </c>
    </row>
    <row r="41" spans="1:14" ht="15.75" x14ac:dyDescent="0.2">
      <c r="A41" s="11" t="s">
        <v>26</v>
      </c>
      <c r="B41" s="231">
        <v>3604.6746400000002</v>
      </c>
      <c r="C41" s="311">
        <v>2976.8266400000002</v>
      </c>
      <c r="D41" s="159">
        <f t="shared" si="5"/>
        <v>-17.399999999999999</v>
      </c>
      <c r="E41" s="170">
        <f>IFERROR(100/'Skjema total MA'!C41*C41,0)</f>
        <v>-4.935237338220162</v>
      </c>
      <c r="F41" s="310">
        <v>9046.9976800000004</v>
      </c>
      <c r="G41" s="311">
        <v>11942.32886</v>
      </c>
      <c r="H41" s="159">
        <f t="shared" si="6"/>
        <v>32</v>
      </c>
      <c r="I41" s="170">
        <f>IFERROR(100/'Skjema total MA'!F41*G41,0)</f>
        <v>11.431413182073399</v>
      </c>
      <c r="J41" s="231">
        <v>12651.672320000001</v>
      </c>
      <c r="K41" s="231">
        <v>14919.155500000001</v>
      </c>
      <c r="L41" s="256">
        <f t="shared" si="7"/>
        <v>17.899999999999999</v>
      </c>
      <c r="M41" s="159">
        <f>IFERROR(100/'Skjema total MA'!I41*K41,0)</f>
        <v>33.790747276066213</v>
      </c>
    </row>
    <row r="42" spans="1:14" ht="15.75" x14ac:dyDescent="0.2">
      <c r="A42" s="10" t="s">
        <v>321</v>
      </c>
      <c r="B42" s="231"/>
      <c r="C42" s="311"/>
      <c r="D42" s="159"/>
      <c r="E42" s="170"/>
      <c r="F42" s="321"/>
      <c r="G42" s="322"/>
      <c r="H42" s="159"/>
      <c r="I42" s="237"/>
      <c r="J42" s="231"/>
      <c r="K42" s="231"/>
      <c r="L42" s="256"/>
      <c r="M42" s="159"/>
    </row>
    <row r="43" spans="1:14" ht="15.75" x14ac:dyDescent="0.2">
      <c r="A43" s="10" t="s">
        <v>322</v>
      </c>
      <c r="B43" s="231"/>
      <c r="C43" s="311"/>
      <c r="D43" s="159"/>
      <c r="E43" s="170"/>
      <c r="F43" s="321"/>
      <c r="G43" s="322"/>
      <c r="H43" s="159"/>
      <c r="I43" s="237"/>
      <c r="J43" s="231"/>
      <c r="K43" s="231"/>
      <c r="L43" s="256"/>
      <c r="M43" s="159"/>
    </row>
    <row r="44" spans="1:14" ht="15.75" x14ac:dyDescent="0.2">
      <c r="A44" s="10" t="s">
        <v>323</v>
      </c>
      <c r="B44" s="231"/>
      <c r="C44" s="311"/>
      <c r="D44" s="159"/>
      <c r="E44" s="170"/>
      <c r="F44" s="321"/>
      <c r="G44" s="323"/>
      <c r="H44" s="159"/>
      <c r="I44" s="237"/>
      <c r="J44" s="231"/>
      <c r="K44" s="231"/>
      <c r="L44" s="256"/>
      <c r="M44" s="159"/>
    </row>
    <row r="45" spans="1:14" ht="15.75" x14ac:dyDescent="0.2">
      <c r="A45" s="10" t="s">
        <v>324</v>
      </c>
      <c r="B45" s="231"/>
      <c r="C45" s="311"/>
      <c r="D45" s="159"/>
      <c r="E45" s="170"/>
      <c r="F45" s="321"/>
      <c r="G45" s="322"/>
      <c r="H45" s="159"/>
      <c r="I45" s="237"/>
      <c r="J45" s="231"/>
      <c r="K45" s="231"/>
      <c r="L45" s="256"/>
      <c r="M45" s="159"/>
    </row>
    <row r="46" spans="1:14" ht="15.75" x14ac:dyDescent="0.2">
      <c r="A46" s="16" t="s">
        <v>325</v>
      </c>
      <c r="B46" s="277"/>
      <c r="C46" s="317"/>
      <c r="D46" s="160"/>
      <c r="E46" s="201"/>
      <c r="F46" s="324"/>
      <c r="G46" s="325"/>
      <c r="H46" s="160"/>
      <c r="I46" s="160"/>
      <c r="J46" s="231"/>
      <c r="K46" s="231"/>
      <c r="L46" s="257"/>
      <c r="M46" s="160"/>
    </row>
    <row r="47" spans="1:14" ht="15.75" x14ac:dyDescent="0.25">
      <c r="A47" s="40"/>
      <c r="B47" s="254"/>
      <c r="C47" s="254"/>
      <c r="D47" s="836"/>
      <c r="E47" s="836"/>
      <c r="F47" s="836"/>
      <c r="G47" s="836"/>
      <c r="H47" s="836"/>
      <c r="I47" s="836"/>
      <c r="J47" s="836"/>
      <c r="K47" s="836"/>
      <c r="L47" s="836"/>
      <c r="M47" s="304"/>
    </row>
    <row r="48" spans="1:14" x14ac:dyDescent="0.2">
      <c r="A48" s="148"/>
    </row>
    <row r="49" spans="1:14" ht="15.75" x14ac:dyDescent="0.25">
      <c r="A49" s="141" t="s">
        <v>305</v>
      </c>
      <c r="B49" s="835"/>
      <c r="C49" s="835"/>
      <c r="D49" s="835"/>
      <c r="E49" s="301"/>
      <c r="F49" s="837"/>
      <c r="G49" s="837"/>
      <c r="H49" s="837"/>
      <c r="I49" s="304"/>
      <c r="J49" s="837"/>
      <c r="K49" s="837"/>
      <c r="L49" s="837"/>
      <c r="M49" s="304"/>
    </row>
    <row r="50" spans="1:14" ht="15.75" x14ac:dyDescent="0.25">
      <c r="A50" s="156"/>
      <c r="B50" s="305"/>
      <c r="C50" s="305"/>
      <c r="D50" s="305"/>
      <c r="E50" s="305"/>
      <c r="F50" s="304"/>
      <c r="G50" s="304"/>
      <c r="H50" s="304"/>
      <c r="I50" s="304"/>
      <c r="J50" s="304"/>
      <c r="K50" s="304"/>
      <c r="L50" s="304"/>
      <c r="M50" s="304"/>
    </row>
    <row r="51" spans="1:14" ht="15.75" x14ac:dyDescent="0.25">
      <c r="A51" s="244"/>
      <c r="B51" s="833" t="s">
        <v>0</v>
      </c>
      <c r="C51" s="834"/>
      <c r="D51" s="834"/>
      <c r="E51" s="240"/>
      <c r="F51" s="304"/>
      <c r="G51" s="304"/>
      <c r="H51" s="304"/>
      <c r="I51" s="304"/>
      <c r="J51" s="304"/>
      <c r="K51" s="304"/>
      <c r="L51" s="304"/>
      <c r="M51" s="304"/>
    </row>
    <row r="52" spans="1:14" s="3" customFormat="1" x14ac:dyDescent="0.2">
      <c r="A52" s="134"/>
      <c r="B52" s="167" t="s">
        <v>400</v>
      </c>
      <c r="C52" s="167" t="s">
        <v>401</v>
      </c>
      <c r="D52" s="155" t="s">
        <v>3</v>
      </c>
      <c r="E52" s="155" t="s">
        <v>37</v>
      </c>
      <c r="F52" s="169"/>
      <c r="G52" s="169"/>
      <c r="H52" s="168"/>
      <c r="I52" s="168"/>
      <c r="J52" s="169"/>
      <c r="K52" s="169"/>
      <c r="L52" s="168"/>
      <c r="M52" s="168"/>
      <c r="N52" s="142"/>
    </row>
    <row r="53" spans="1:14" s="3" customFormat="1" x14ac:dyDescent="0.2">
      <c r="A53" s="403"/>
      <c r="B53" s="241"/>
      <c r="C53" s="241"/>
      <c r="D53" s="242" t="s">
        <v>4</v>
      </c>
      <c r="E53" s="149" t="s">
        <v>38</v>
      </c>
      <c r="F53" s="168"/>
      <c r="G53" s="168"/>
      <c r="H53" s="168"/>
      <c r="I53" s="168"/>
      <c r="J53" s="168"/>
      <c r="K53" s="168"/>
      <c r="L53" s="168"/>
      <c r="M53" s="168"/>
      <c r="N53" s="142"/>
    </row>
    <row r="54" spans="1:14" s="3" customFormat="1" ht="15.75" x14ac:dyDescent="0.2">
      <c r="A54" s="12" t="s">
        <v>30</v>
      </c>
      <c r="B54" s="312"/>
      <c r="C54" s="313"/>
      <c r="D54" s="255"/>
      <c r="E54" s="170"/>
      <c r="F54" s="139"/>
      <c r="G54" s="27"/>
      <c r="H54" s="152"/>
      <c r="I54" s="152"/>
      <c r="J54" s="30"/>
      <c r="K54" s="30"/>
      <c r="L54" s="152"/>
      <c r="M54" s="152"/>
      <c r="N54" s="142"/>
    </row>
    <row r="55" spans="1:14" s="3" customFormat="1" ht="15.75" x14ac:dyDescent="0.2">
      <c r="A55" s="31" t="s">
        <v>326</v>
      </c>
      <c r="B55" s="282"/>
      <c r="C55" s="283"/>
      <c r="D55" s="256"/>
      <c r="E55" s="170"/>
      <c r="F55" s="139"/>
      <c r="G55" s="27"/>
      <c r="H55" s="139"/>
      <c r="I55" s="139"/>
      <c r="J55" s="27"/>
      <c r="K55" s="27"/>
      <c r="L55" s="152"/>
      <c r="M55" s="152"/>
      <c r="N55" s="142"/>
    </row>
    <row r="56" spans="1:14" s="3" customFormat="1" ht="15.75" x14ac:dyDescent="0.2">
      <c r="A56" s="31" t="s">
        <v>327</v>
      </c>
      <c r="B56" s="37"/>
      <c r="C56" s="288"/>
      <c r="D56" s="256"/>
      <c r="E56" s="170"/>
      <c r="F56" s="139"/>
      <c r="G56" s="27"/>
      <c r="H56" s="139"/>
      <c r="I56" s="139"/>
      <c r="J56" s="30"/>
      <c r="K56" s="30"/>
      <c r="L56" s="152"/>
      <c r="M56" s="152"/>
      <c r="N56" s="142"/>
    </row>
    <row r="57" spans="1:14" s="3" customFormat="1" x14ac:dyDescent="0.2">
      <c r="A57" s="298" t="s">
        <v>6</v>
      </c>
      <c r="B57" s="291"/>
      <c r="C57" s="292"/>
      <c r="D57" s="256"/>
      <c r="E57" s="159"/>
      <c r="F57" s="139"/>
      <c r="G57" s="27"/>
      <c r="H57" s="139"/>
      <c r="I57" s="139"/>
      <c r="J57" s="27"/>
      <c r="K57" s="27"/>
      <c r="L57" s="152"/>
      <c r="M57" s="152"/>
      <c r="N57" s="142"/>
    </row>
    <row r="58" spans="1:14" s="3" customFormat="1" x14ac:dyDescent="0.2">
      <c r="A58" s="298" t="s">
        <v>7</v>
      </c>
      <c r="B58" s="291"/>
      <c r="C58" s="292"/>
      <c r="D58" s="256"/>
      <c r="E58" s="159"/>
      <c r="F58" s="139"/>
      <c r="G58" s="27"/>
      <c r="H58" s="139"/>
      <c r="I58" s="139"/>
      <c r="J58" s="27"/>
      <c r="K58" s="27"/>
      <c r="L58" s="152"/>
      <c r="M58" s="152"/>
      <c r="N58" s="142"/>
    </row>
    <row r="59" spans="1:14" s="3" customFormat="1" x14ac:dyDescent="0.2">
      <c r="A59" s="298" t="s">
        <v>8</v>
      </c>
      <c r="B59" s="291"/>
      <c r="C59" s="292"/>
      <c r="D59" s="256"/>
      <c r="E59" s="159"/>
      <c r="F59" s="139"/>
      <c r="G59" s="27"/>
      <c r="H59" s="139"/>
      <c r="I59" s="139"/>
      <c r="J59" s="27"/>
      <c r="K59" s="27"/>
      <c r="L59" s="152"/>
      <c r="M59" s="152"/>
      <c r="N59" s="142"/>
    </row>
    <row r="60" spans="1:14" s="3" customFormat="1" ht="15.75" x14ac:dyDescent="0.2">
      <c r="A60" s="11" t="s">
        <v>29</v>
      </c>
      <c r="B60" s="312"/>
      <c r="C60" s="313"/>
      <c r="D60" s="256"/>
      <c r="E60" s="170"/>
      <c r="F60" s="139"/>
      <c r="G60" s="27"/>
      <c r="H60" s="139"/>
      <c r="I60" s="139"/>
      <c r="J60" s="27"/>
      <c r="K60" s="27"/>
      <c r="L60" s="152"/>
      <c r="M60" s="152"/>
      <c r="N60" s="142"/>
    </row>
    <row r="61" spans="1:14" s="3" customFormat="1" ht="15.75" x14ac:dyDescent="0.2">
      <c r="A61" s="31" t="s">
        <v>326</v>
      </c>
      <c r="B61" s="282"/>
      <c r="C61" s="283"/>
      <c r="D61" s="256"/>
      <c r="E61" s="170"/>
      <c r="F61" s="139"/>
      <c r="G61" s="27"/>
      <c r="H61" s="139"/>
      <c r="I61" s="139"/>
      <c r="J61" s="27"/>
      <c r="K61" s="27"/>
      <c r="L61" s="152"/>
      <c r="M61" s="152"/>
      <c r="N61" s="142"/>
    </row>
    <row r="62" spans="1:14" s="3" customFormat="1" ht="15.75" x14ac:dyDescent="0.2">
      <c r="A62" s="31" t="s">
        <v>327</v>
      </c>
      <c r="B62" s="37"/>
      <c r="C62" s="288"/>
      <c r="D62" s="256"/>
      <c r="E62" s="170"/>
      <c r="F62" s="139"/>
      <c r="G62" s="27"/>
      <c r="H62" s="139"/>
      <c r="I62" s="139"/>
      <c r="J62" s="27"/>
      <c r="K62" s="27"/>
      <c r="L62" s="152"/>
      <c r="M62" s="152"/>
      <c r="N62" s="142"/>
    </row>
    <row r="63" spans="1:14" s="3" customFormat="1" x14ac:dyDescent="0.2">
      <c r="A63" s="298" t="s">
        <v>6</v>
      </c>
      <c r="B63" s="282"/>
      <c r="C63" s="283"/>
      <c r="D63" s="256"/>
      <c r="E63" s="159"/>
      <c r="F63" s="139"/>
      <c r="G63" s="27"/>
      <c r="H63" s="139"/>
      <c r="I63" s="139"/>
      <c r="J63" s="27"/>
      <c r="K63" s="27"/>
      <c r="L63" s="152"/>
      <c r="M63" s="152"/>
      <c r="N63" s="142"/>
    </row>
    <row r="64" spans="1:14" s="3" customFormat="1" x14ac:dyDescent="0.2">
      <c r="A64" s="298" t="s">
        <v>7</v>
      </c>
      <c r="B64" s="282"/>
      <c r="C64" s="283"/>
      <c r="D64" s="256"/>
      <c r="E64" s="159"/>
      <c r="F64" s="139"/>
      <c r="G64" s="27"/>
      <c r="H64" s="139"/>
      <c r="I64" s="139"/>
      <c r="J64" s="27"/>
      <c r="K64" s="27"/>
      <c r="L64" s="152"/>
      <c r="M64" s="152"/>
      <c r="N64" s="142"/>
    </row>
    <row r="65" spans="1:14" s="3" customFormat="1" x14ac:dyDescent="0.2">
      <c r="A65" s="298" t="s">
        <v>8</v>
      </c>
      <c r="B65" s="282"/>
      <c r="C65" s="283"/>
      <c r="D65" s="256"/>
      <c r="E65" s="159"/>
      <c r="F65" s="139"/>
      <c r="G65" s="27"/>
      <c r="H65" s="139"/>
      <c r="I65" s="139"/>
      <c r="J65" s="27"/>
      <c r="K65" s="27"/>
      <c r="L65" s="152"/>
      <c r="M65" s="152"/>
      <c r="N65" s="142"/>
    </row>
    <row r="66" spans="1:14" s="3" customFormat="1" ht="15.75" x14ac:dyDescent="0.2">
      <c r="A66" s="32" t="s">
        <v>328</v>
      </c>
      <c r="B66" s="312"/>
      <c r="C66" s="313"/>
      <c r="D66" s="256"/>
      <c r="E66" s="170"/>
      <c r="F66" s="139"/>
      <c r="G66" s="27"/>
      <c r="H66" s="139"/>
      <c r="I66" s="139"/>
      <c r="J66" s="27"/>
      <c r="K66" s="27"/>
      <c r="L66" s="152"/>
      <c r="M66" s="152"/>
      <c r="N66" s="142"/>
    </row>
    <row r="67" spans="1:14" s="3" customFormat="1" ht="15.75" x14ac:dyDescent="0.2">
      <c r="A67" s="31" t="s">
        <v>326</v>
      </c>
      <c r="B67" s="282"/>
      <c r="C67" s="283"/>
      <c r="D67" s="256"/>
      <c r="E67" s="170"/>
      <c r="F67" s="139"/>
      <c r="G67" s="27"/>
      <c r="H67" s="139"/>
      <c r="I67" s="139"/>
      <c r="J67" s="27"/>
      <c r="K67" s="27"/>
      <c r="L67" s="152"/>
      <c r="M67" s="152"/>
      <c r="N67" s="142"/>
    </row>
    <row r="68" spans="1:14" s="3" customFormat="1" ht="15.75" x14ac:dyDescent="0.2">
      <c r="A68" s="31" t="s">
        <v>327</v>
      </c>
      <c r="B68" s="282"/>
      <c r="C68" s="283"/>
      <c r="D68" s="256"/>
      <c r="E68" s="170"/>
      <c r="F68" s="139"/>
      <c r="G68" s="27"/>
      <c r="H68" s="139"/>
      <c r="I68" s="139"/>
      <c r="J68" s="27"/>
      <c r="K68" s="27"/>
      <c r="L68" s="152"/>
      <c r="M68" s="152"/>
      <c r="N68" s="142"/>
    </row>
    <row r="69" spans="1:14" s="3" customFormat="1" ht="15.75" x14ac:dyDescent="0.2">
      <c r="A69" s="32" t="s">
        <v>329</v>
      </c>
      <c r="B69" s="312"/>
      <c r="C69" s="313"/>
      <c r="D69" s="256"/>
      <c r="E69" s="170"/>
      <c r="F69" s="139"/>
      <c r="G69" s="27"/>
      <c r="H69" s="139"/>
      <c r="I69" s="139"/>
      <c r="J69" s="27"/>
      <c r="K69" s="27"/>
      <c r="L69" s="152"/>
      <c r="M69" s="152"/>
      <c r="N69" s="142"/>
    </row>
    <row r="70" spans="1:14" s="3" customFormat="1" ht="15.75" x14ac:dyDescent="0.2">
      <c r="A70" s="31" t="s">
        <v>326</v>
      </c>
      <c r="B70" s="282"/>
      <c r="C70" s="283"/>
      <c r="D70" s="256"/>
      <c r="E70" s="170"/>
      <c r="F70" s="139"/>
      <c r="G70" s="27"/>
      <c r="H70" s="139"/>
      <c r="I70" s="139"/>
      <c r="J70" s="27"/>
      <c r="K70" s="27"/>
      <c r="L70" s="152"/>
      <c r="M70" s="152"/>
      <c r="N70" s="142"/>
    </row>
    <row r="71" spans="1:14" s="3" customFormat="1" ht="15.75" x14ac:dyDescent="0.2">
      <c r="A71" s="39" t="s">
        <v>327</v>
      </c>
      <c r="B71" s="284"/>
      <c r="C71" s="285"/>
      <c r="D71" s="257"/>
      <c r="E71" s="160"/>
      <c r="F71" s="139"/>
      <c r="G71" s="27"/>
      <c r="H71" s="139"/>
      <c r="I71" s="139"/>
      <c r="J71" s="27"/>
      <c r="K71" s="27"/>
      <c r="L71" s="152"/>
      <c r="M71" s="152"/>
      <c r="N71" s="142"/>
    </row>
    <row r="72" spans="1:14" s="3" customFormat="1" ht="15.75" x14ac:dyDescent="0.25">
      <c r="A72" s="157"/>
      <c r="B72" s="147"/>
      <c r="C72" s="147"/>
      <c r="D72" s="147"/>
      <c r="E72" s="147"/>
      <c r="F72" s="136"/>
      <c r="G72" s="136"/>
      <c r="H72" s="136"/>
      <c r="I72" s="136"/>
      <c r="J72" s="136"/>
      <c r="K72" s="136"/>
      <c r="L72" s="136"/>
      <c r="M72" s="136"/>
      <c r="N72" s="142"/>
    </row>
    <row r="73" spans="1:14" x14ac:dyDescent="0.2">
      <c r="A73" s="148"/>
    </row>
    <row r="74" spans="1:14" ht="15.75" x14ac:dyDescent="0.25">
      <c r="A74" s="141" t="s">
        <v>306</v>
      </c>
      <c r="C74" s="20"/>
      <c r="D74" s="20"/>
      <c r="E74" s="20"/>
      <c r="F74" s="20"/>
      <c r="G74" s="20"/>
      <c r="H74" s="20"/>
      <c r="I74" s="20"/>
      <c r="J74" s="20"/>
      <c r="K74" s="20"/>
      <c r="L74" s="20"/>
      <c r="M74" s="20"/>
    </row>
    <row r="75" spans="1:14" ht="15.75" x14ac:dyDescent="0.25">
      <c r="B75" s="832"/>
      <c r="C75" s="832"/>
      <c r="D75" s="832"/>
      <c r="E75" s="301"/>
      <c r="F75" s="832"/>
      <c r="G75" s="832"/>
      <c r="H75" s="832"/>
      <c r="I75" s="301"/>
      <c r="J75" s="832"/>
      <c r="K75" s="832"/>
      <c r="L75" s="832"/>
      <c r="M75" s="301"/>
    </row>
    <row r="76" spans="1:14" x14ac:dyDescent="0.2">
      <c r="A76" s="138"/>
      <c r="B76" s="833" t="s">
        <v>0</v>
      </c>
      <c r="C76" s="834"/>
      <c r="D76" s="838"/>
      <c r="E76" s="302"/>
      <c r="F76" s="834" t="s">
        <v>1</v>
      </c>
      <c r="G76" s="834"/>
      <c r="H76" s="834"/>
      <c r="I76" s="306"/>
      <c r="J76" s="833" t="s">
        <v>2</v>
      </c>
      <c r="K76" s="834"/>
      <c r="L76" s="834"/>
      <c r="M76" s="306"/>
    </row>
    <row r="77" spans="1:14" x14ac:dyDescent="0.2">
      <c r="A77" s="134"/>
      <c r="B77" s="145" t="s">
        <v>400</v>
      </c>
      <c r="C77" s="145" t="s">
        <v>401</v>
      </c>
      <c r="D77" s="242" t="s">
        <v>3</v>
      </c>
      <c r="E77" s="307" t="s">
        <v>37</v>
      </c>
      <c r="F77" s="145" t="s">
        <v>400</v>
      </c>
      <c r="G77" s="145" t="s">
        <v>401</v>
      </c>
      <c r="H77" s="242" t="s">
        <v>3</v>
      </c>
      <c r="I77" s="307" t="s">
        <v>37</v>
      </c>
      <c r="J77" s="145" t="s">
        <v>400</v>
      </c>
      <c r="K77" s="145" t="s">
        <v>401</v>
      </c>
      <c r="L77" s="242" t="s">
        <v>3</v>
      </c>
      <c r="M77" s="155" t="s">
        <v>37</v>
      </c>
    </row>
    <row r="78" spans="1:14" x14ac:dyDescent="0.2">
      <c r="A78" s="403"/>
      <c r="B78" s="149"/>
      <c r="C78" s="149"/>
      <c r="D78" s="243" t="s">
        <v>4</v>
      </c>
      <c r="E78" s="149" t="s">
        <v>38</v>
      </c>
      <c r="F78" s="154"/>
      <c r="G78" s="154"/>
      <c r="H78" s="242" t="s">
        <v>4</v>
      </c>
      <c r="I78" s="149" t="s">
        <v>38</v>
      </c>
      <c r="J78" s="154"/>
      <c r="K78" s="154"/>
      <c r="L78" s="242" t="s">
        <v>4</v>
      </c>
      <c r="M78" s="149" t="s">
        <v>38</v>
      </c>
    </row>
    <row r="79" spans="1:14" ht="15.75" x14ac:dyDescent="0.2">
      <c r="A79" s="12" t="s">
        <v>30</v>
      </c>
      <c r="B79" s="355">
        <v>2098324</v>
      </c>
      <c r="C79" s="355">
        <v>1499774</v>
      </c>
      <c r="D79" s="251">
        <f t="shared" ref="D79:D142" si="13">IF(B79=0, "    ---- ", IF(ABS(ROUND(100/B79*C79-100,1))&lt;999,ROUND(100/B79*C79-100,1),IF(ROUND(100/B79*C79-100,1)&gt;999,999,-999)))</f>
        <v>-28.5</v>
      </c>
      <c r="E79" s="170">
        <f>IFERROR(100/'Skjema total MA'!C79*C79,0)</f>
        <v>12.847347698159718</v>
      </c>
      <c r="F79" s="354">
        <v>2989760.8020000029</v>
      </c>
      <c r="G79" s="354">
        <v>3078211.2300000023</v>
      </c>
      <c r="H79" s="251">
        <f t="shared" ref="H79:H142" si="14">IF(F79=0, "    ---- ", IF(ABS(ROUND(100/F79*G79-100,1))&lt;999,ROUND(100/F79*G79-100,1),IF(ROUND(100/F79*G79-100,1)&gt;999,999,-999)))</f>
        <v>3</v>
      </c>
      <c r="I79" s="170">
        <f>IFERROR(100/'Skjema total MA'!F79*G79,0)</f>
        <v>13.322444210698077</v>
      </c>
      <c r="J79" s="311">
        <v>5088084.8020000029</v>
      </c>
      <c r="K79" s="318">
        <v>4577985.2300000023</v>
      </c>
      <c r="L79" s="255">
        <f t="shared" ref="L79:L142" si="15">IF(J79=0, "    ---- ", IF(ABS(ROUND(100/J79*K79-100,1))&lt;999,ROUND(100/J79*K79-100,1),IF(ROUND(100/J79*K79-100,1)&gt;999,999,-999)))</f>
        <v>-10</v>
      </c>
      <c r="M79" s="170">
        <f>IFERROR(100/'Skjema total MA'!I79*K79,0)</f>
        <v>13.162976084911335</v>
      </c>
    </row>
    <row r="80" spans="1:14" x14ac:dyDescent="0.2">
      <c r="A80" s="18" t="s">
        <v>9</v>
      </c>
      <c r="B80" s="37">
        <v>2050706</v>
      </c>
      <c r="C80" s="139">
        <v>1460131</v>
      </c>
      <c r="D80" s="159">
        <f t="shared" si="13"/>
        <v>-28.8</v>
      </c>
      <c r="E80" s="170">
        <f>IFERROR(100/'Skjema total MA'!C80*C80,0)</f>
        <v>12.784199014989177</v>
      </c>
      <c r="F80" s="229"/>
      <c r="G80" s="139"/>
      <c r="H80" s="159"/>
      <c r="I80" s="170"/>
      <c r="J80" s="288">
        <v>2050706</v>
      </c>
      <c r="K80" s="37">
        <v>1460131</v>
      </c>
      <c r="L80" s="256">
        <f t="shared" si="15"/>
        <v>-28.8</v>
      </c>
      <c r="M80" s="170">
        <f>IFERROR(100/'Skjema total MA'!I80*K80,0)</f>
        <v>12.784199014989177</v>
      </c>
    </row>
    <row r="81" spans="1:14" x14ac:dyDescent="0.2">
      <c r="A81" s="18" t="s">
        <v>10</v>
      </c>
      <c r="B81" s="293">
        <v>47618</v>
      </c>
      <c r="C81" s="294">
        <v>39643</v>
      </c>
      <c r="D81" s="159">
        <f t="shared" si="13"/>
        <v>-16.7</v>
      </c>
      <c r="E81" s="170">
        <f>IFERROR(100/'Skjema total MA'!C81*C81,0)</f>
        <v>23.022224908167175</v>
      </c>
      <c r="F81" s="293">
        <v>2989760.8020000029</v>
      </c>
      <c r="G81" s="294">
        <v>3078211.2300000023</v>
      </c>
      <c r="H81" s="159">
        <f t="shared" ref="H81:H83" si="16">IF(F81=0, "    ---- ", IF(ABS(ROUND(100/F81*G81-100,1))&lt;999,ROUND(100/F81*G81-100,1),IF(ROUND(100/F81*G81-100,1)&gt;999,999,-999)))</f>
        <v>3</v>
      </c>
      <c r="I81" s="170">
        <f>IFERROR(100/'Skjema total MA'!F81*G81,0)</f>
        <v>13.443827545032654</v>
      </c>
      <c r="J81" s="288">
        <v>3037378.8020000029</v>
      </c>
      <c r="K81" s="37">
        <v>3117854.2300000023</v>
      </c>
      <c r="L81" s="256">
        <f t="shared" si="15"/>
        <v>2.6</v>
      </c>
      <c r="M81" s="170">
        <f>IFERROR(100/'Skjema total MA'!I81*K81,0)</f>
        <v>13.515323704797931</v>
      </c>
    </row>
    <row r="82" spans="1:14" ht="15.75" x14ac:dyDescent="0.2">
      <c r="A82" s="298" t="s">
        <v>330</v>
      </c>
      <c r="B82" s="282">
        <v>32667</v>
      </c>
      <c r="C82" s="282">
        <v>27824</v>
      </c>
      <c r="D82" s="159">
        <f t="shared" si="13"/>
        <v>-14.8</v>
      </c>
      <c r="E82" s="170">
        <f>IFERROR(100/'Skjema total MA'!C82*C82,0)</f>
        <v>0</v>
      </c>
      <c r="F82" s="282">
        <v>4123.8089999999956</v>
      </c>
      <c r="G82" s="282">
        <v>3488.443000000002</v>
      </c>
      <c r="H82" s="159">
        <f t="shared" si="16"/>
        <v>-15.4</v>
      </c>
      <c r="I82" s="237">
        <f>IFERROR(100/'Skjema total MA'!F82*G82,0)</f>
        <v>0</v>
      </c>
      <c r="J82" s="291">
        <v>36790.808999999994</v>
      </c>
      <c r="K82" s="291">
        <v>31312.443000000003</v>
      </c>
      <c r="L82" s="159">
        <f t="shared" si="15"/>
        <v>-14.9</v>
      </c>
      <c r="M82" s="159">
        <f>IFERROR(100/'Skjema total MA'!I82*K82,0)</f>
        <v>0</v>
      </c>
    </row>
    <row r="83" spans="1:14" x14ac:dyDescent="0.2">
      <c r="A83" s="298" t="s">
        <v>12</v>
      </c>
      <c r="B83" s="295"/>
      <c r="C83" s="296"/>
      <c r="D83" s="159"/>
      <c r="E83" s="237"/>
      <c r="F83" s="282">
        <v>601.87512459170603</v>
      </c>
      <c r="G83" s="282">
        <v>434.30686267220199</v>
      </c>
      <c r="H83" s="159">
        <f t="shared" si="16"/>
        <v>-27.8</v>
      </c>
      <c r="I83" s="237">
        <f>IFERROR(100/'Skjema total MA'!F83*G83,0)</f>
        <v>0</v>
      </c>
      <c r="J83" s="291">
        <v>601.87512459170603</v>
      </c>
      <c r="K83" s="291">
        <v>434.30686267220199</v>
      </c>
      <c r="L83" s="159">
        <f t="shared" si="15"/>
        <v>-27.8</v>
      </c>
      <c r="M83" s="159">
        <f>IFERROR(100/'Skjema total MA'!I83*K83,0)</f>
        <v>0</v>
      </c>
    </row>
    <row r="84" spans="1:14" x14ac:dyDescent="0.2">
      <c r="A84" s="298" t="s">
        <v>13</v>
      </c>
      <c r="B84" s="230"/>
      <c r="C84" s="290"/>
      <c r="D84" s="159"/>
      <c r="E84" s="237"/>
      <c r="F84" s="282">
        <v>3521.9338754082901</v>
      </c>
      <c r="G84" s="282">
        <v>3054.1361373278</v>
      </c>
      <c r="H84" s="159">
        <f t="shared" ref="H84" si="17">IF(F84=0, "    ---- ", IF(ABS(ROUND(100/F84*G84-100,1))&lt;999,ROUND(100/F84*G84-100,1),IF(ROUND(100/F84*G84-100,1)&gt;999,999,-999)))</f>
        <v>-13.3</v>
      </c>
      <c r="I84" s="237">
        <f>IFERROR(100/'Skjema total MA'!F84*G84,0)</f>
        <v>0</v>
      </c>
      <c r="J84" s="291">
        <v>3521.9338754082901</v>
      </c>
      <c r="K84" s="291">
        <v>3054.1361373278</v>
      </c>
      <c r="L84" s="159">
        <f t="shared" si="15"/>
        <v>-13.3</v>
      </c>
      <c r="M84" s="159">
        <f>IFERROR(100/'Skjema total MA'!I84*K84,0)</f>
        <v>0</v>
      </c>
    </row>
    <row r="85" spans="1:14" ht="15.75" x14ac:dyDescent="0.2">
      <c r="A85" s="298" t="s">
        <v>331</v>
      </c>
      <c r="B85" s="282">
        <v>14951</v>
      </c>
      <c r="C85" s="282">
        <v>11819</v>
      </c>
      <c r="D85" s="159">
        <f t="shared" si="13"/>
        <v>-20.9</v>
      </c>
      <c r="E85" s="170">
        <f>IFERROR(100/'Skjema total MA'!C85*C85,0)</f>
        <v>0</v>
      </c>
      <c r="F85" s="282">
        <v>2985636.993000003</v>
      </c>
      <c r="G85" s="282">
        <v>3074722.7870000023</v>
      </c>
      <c r="H85" s="159">
        <f t="shared" ref="H85" si="18">IF(F85=0, "    ---- ", IF(ABS(ROUND(100/F85*G85-100,1))&lt;999,ROUND(100/F85*G85-100,1),IF(ROUND(100/F85*G85-100,1)&gt;999,999,-999)))</f>
        <v>3</v>
      </c>
      <c r="I85" s="237">
        <f>IFERROR(100/'Skjema total MA'!F85*G85,0)</f>
        <v>0</v>
      </c>
      <c r="J85" s="291">
        <v>3000587.993000003</v>
      </c>
      <c r="K85" s="291">
        <v>3086541.7870000023</v>
      </c>
      <c r="L85" s="159">
        <f t="shared" si="15"/>
        <v>2.9</v>
      </c>
      <c r="M85" s="159">
        <f>IFERROR(100/'Skjema total MA'!I85*K85,0)</f>
        <v>0</v>
      </c>
    </row>
    <row r="86" spans="1:14" x14ac:dyDescent="0.2">
      <c r="A86" s="298" t="s">
        <v>12</v>
      </c>
      <c r="B86" s="230"/>
      <c r="C86" s="290"/>
      <c r="D86" s="159"/>
      <c r="E86" s="237"/>
      <c r="F86" s="282">
        <v>435757.48468163301</v>
      </c>
      <c r="G86" s="282">
        <v>382799.20503465203</v>
      </c>
      <c r="H86" s="159">
        <f t="shared" ref="H86" si="19">IF(F86=0, "    ---- ", IF(ABS(ROUND(100/F86*G86-100,1))&lt;999,ROUND(100/F86*G86-100,1),IF(ROUND(100/F86*G86-100,1)&gt;999,999,-999)))</f>
        <v>-12.2</v>
      </c>
      <c r="I86" s="237">
        <f>IFERROR(100/'Skjema total MA'!F86*G86,0)</f>
        <v>0</v>
      </c>
      <c r="J86" s="291">
        <v>435757.48468163301</v>
      </c>
      <c r="K86" s="291">
        <v>382799.20503465203</v>
      </c>
      <c r="L86" s="159">
        <f t="shared" si="15"/>
        <v>-12.2</v>
      </c>
      <c r="M86" s="159">
        <f>IFERROR(100/'Skjema total MA'!I86*K86,0)</f>
        <v>0</v>
      </c>
    </row>
    <row r="87" spans="1:14" s="3" customFormat="1" x14ac:dyDescent="0.2">
      <c r="A87" s="298" t="s">
        <v>13</v>
      </c>
      <c r="B87" s="230"/>
      <c r="C87" s="290"/>
      <c r="D87" s="159"/>
      <c r="E87" s="237"/>
      <c r="F87" s="282">
        <v>2549879.5083183702</v>
      </c>
      <c r="G87" s="282">
        <v>2691923.5819653501</v>
      </c>
      <c r="H87" s="159">
        <f t="shared" ref="H87" si="20">IF(F87=0, "    ---- ", IF(ABS(ROUND(100/F87*G87-100,1))&lt;999,ROUND(100/F87*G87-100,1),IF(ROUND(100/F87*G87-100,1)&gt;999,999,-999)))</f>
        <v>5.6</v>
      </c>
      <c r="I87" s="237">
        <f>IFERROR(100/'Skjema total MA'!F87*G87,0)</f>
        <v>0</v>
      </c>
      <c r="J87" s="291">
        <v>2549879.5083183702</v>
      </c>
      <c r="K87" s="291">
        <v>2691923.5819653501</v>
      </c>
      <c r="L87" s="159">
        <f t="shared" si="15"/>
        <v>5.6</v>
      </c>
      <c r="M87" s="159">
        <f>IFERROR(100/'Skjema total MA'!I87*K87,0)</f>
        <v>0</v>
      </c>
      <c r="N87" s="142"/>
    </row>
    <row r="88" spans="1:14" s="3" customFormat="1" x14ac:dyDescent="0.2">
      <c r="A88" s="18" t="s">
        <v>33</v>
      </c>
      <c r="B88" s="229"/>
      <c r="C88" s="139"/>
      <c r="D88" s="159"/>
      <c r="E88" s="170"/>
      <c r="F88" s="229"/>
      <c r="G88" s="139"/>
      <c r="H88" s="159"/>
      <c r="I88" s="170"/>
      <c r="J88" s="288"/>
      <c r="K88" s="37"/>
      <c r="L88" s="256"/>
      <c r="M88" s="170"/>
      <c r="N88" s="142"/>
    </row>
    <row r="89" spans="1:14" ht="15.75" x14ac:dyDescent="0.2">
      <c r="A89" s="18" t="s">
        <v>332</v>
      </c>
      <c r="B89" s="229">
        <v>2082577.473</v>
      </c>
      <c r="C89" s="229">
        <v>1485633.1680000001</v>
      </c>
      <c r="D89" s="159">
        <f t="shared" si="13"/>
        <v>-28.7</v>
      </c>
      <c r="E89" s="170">
        <f>IFERROR(100/'Skjema total MA'!C89*C89,0)</f>
        <v>13.194196659729116</v>
      </c>
      <c r="F89" s="229">
        <v>2985636.993000003</v>
      </c>
      <c r="G89" s="139">
        <v>3074722.7870000023</v>
      </c>
      <c r="H89" s="159">
        <f t="shared" si="14"/>
        <v>3</v>
      </c>
      <c r="I89" s="170">
        <f>IFERROR(100/'Skjema total MA'!F89*G89,0)</f>
        <v>13.436445227608646</v>
      </c>
      <c r="J89" s="288">
        <v>5068214.4660000028</v>
      </c>
      <c r="K89" s="37">
        <v>4560355.9550000019</v>
      </c>
      <c r="L89" s="256">
        <f t="shared" si="15"/>
        <v>-10</v>
      </c>
      <c r="M89" s="170">
        <f>IFERROR(100/'Skjema total MA'!I89*K89,0)</f>
        <v>13.356556479691069</v>
      </c>
    </row>
    <row r="90" spans="1:14" x14ac:dyDescent="0.2">
      <c r="A90" s="18" t="s">
        <v>9</v>
      </c>
      <c r="B90" s="229">
        <v>2039087.473</v>
      </c>
      <c r="C90" s="139">
        <v>1449479.05</v>
      </c>
      <c r="D90" s="159">
        <f t="shared" si="13"/>
        <v>-28.9</v>
      </c>
      <c r="E90" s="170">
        <f>IFERROR(100/'Skjema total MA'!C90*C90,0)</f>
        <v>13.068917442632179</v>
      </c>
      <c r="F90" s="229"/>
      <c r="G90" s="139"/>
      <c r="H90" s="159"/>
      <c r="I90" s="170"/>
      <c r="J90" s="288">
        <v>2039087.473</v>
      </c>
      <c r="K90" s="37">
        <v>1449479.05</v>
      </c>
      <c r="L90" s="256">
        <f t="shared" si="15"/>
        <v>-28.9</v>
      </c>
      <c r="M90" s="170">
        <f>IFERROR(100/'Skjema total MA'!I90*K90,0)</f>
        <v>13.068916264301331</v>
      </c>
    </row>
    <row r="91" spans="1:14" x14ac:dyDescent="0.2">
      <c r="A91" s="18" t="s">
        <v>10</v>
      </c>
      <c r="B91" s="293">
        <v>43490</v>
      </c>
      <c r="C91" s="294">
        <v>36154.118000000002</v>
      </c>
      <c r="D91" s="159">
        <f t="shared" si="13"/>
        <v>-16.899999999999999</v>
      </c>
      <c r="E91" s="170">
        <f>IFERROR(100/'Skjema total MA'!C91*C91,0)</f>
        <v>21.430301579495953</v>
      </c>
      <c r="F91" s="293">
        <v>2985636.993000003</v>
      </c>
      <c r="G91" s="294">
        <v>3074722.7870000023</v>
      </c>
      <c r="H91" s="159">
        <f t="shared" si="14"/>
        <v>3</v>
      </c>
      <c r="I91" s="170">
        <f>IFERROR(100/'Skjema total MA'!F91*G91,0)</f>
        <v>13.436445227608646</v>
      </c>
      <c r="J91" s="288">
        <v>3029126.993000003</v>
      </c>
      <c r="K91" s="37">
        <v>3110876.9050000021</v>
      </c>
      <c r="L91" s="256">
        <f t="shared" si="15"/>
        <v>2.7</v>
      </c>
      <c r="M91" s="170">
        <f>IFERROR(100/'Skjema total MA'!I91*K91,0)</f>
        <v>13.494947698230249</v>
      </c>
    </row>
    <row r="92" spans="1:14" ht="15.75" x14ac:dyDescent="0.2">
      <c r="A92" s="298" t="s">
        <v>330</v>
      </c>
      <c r="B92" s="282"/>
      <c r="C92" s="282"/>
      <c r="D92" s="159"/>
      <c r="E92" s="237"/>
      <c r="F92" s="282"/>
      <c r="G92" s="282"/>
      <c r="H92" s="159"/>
      <c r="I92" s="237"/>
      <c r="J92" s="291"/>
      <c r="K92" s="291"/>
      <c r="L92" s="159"/>
      <c r="M92" s="159"/>
    </row>
    <row r="93" spans="1:14" x14ac:dyDescent="0.2">
      <c r="A93" s="298" t="s">
        <v>12</v>
      </c>
      <c r="B93" s="230"/>
      <c r="C93" s="290"/>
      <c r="D93" s="159"/>
      <c r="E93" s="237"/>
      <c r="F93" s="282"/>
      <c r="G93" s="282"/>
      <c r="H93" s="159"/>
      <c r="I93" s="237"/>
      <c r="J93" s="291"/>
      <c r="K93" s="291"/>
      <c r="L93" s="159"/>
      <c r="M93" s="159"/>
    </row>
    <row r="94" spans="1:14" x14ac:dyDescent="0.2">
      <c r="A94" s="298" t="s">
        <v>13</v>
      </c>
      <c r="B94" s="230"/>
      <c r="C94" s="290"/>
      <c r="D94" s="159"/>
      <c r="E94" s="237"/>
      <c r="F94" s="282"/>
      <c r="G94" s="282"/>
      <c r="H94" s="159"/>
      <c r="I94" s="237"/>
      <c r="J94" s="291"/>
      <c r="K94" s="291"/>
      <c r="L94" s="159"/>
      <c r="M94" s="159"/>
    </row>
    <row r="95" spans="1:14" ht="15.75" x14ac:dyDescent="0.2">
      <c r="A95" s="298" t="s">
        <v>331</v>
      </c>
      <c r="B95" s="282">
        <v>43490</v>
      </c>
      <c r="C95" s="282">
        <v>36154.118000000002</v>
      </c>
      <c r="D95" s="159">
        <f t="shared" si="13"/>
        <v>-16.899999999999999</v>
      </c>
      <c r="E95" s="170">
        <f>IFERROR(100/'Skjema total MA'!C95*C95,0)</f>
        <v>0</v>
      </c>
      <c r="F95" s="282">
        <v>2985636.993000003</v>
      </c>
      <c r="G95" s="282">
        <v>3074722.7870000023</v>
      </c>
      <c r="H95" s="159">
        <f t="shared" ref="H95" si="21">IF(F95=0, "    ---- ", IF(ABS(ROUND(100/F95*G95-100,1))&lt;999,ROUND(100/F95*G95-100,1),IF(ROUND(100/F95*G95-100,1)&gt;999,999,-999)))</f>
        <v>3</v>
      </c>
      <c r="I95" s="237">
        <f>IFERROR(100/'Skjema total MA'!F95*G95,0)</f>
        <v>0</v>
      </c>
      <c r="J95" s="291">
        <v>3029126.993000003</v>
      </c>
      <c r="K95" s="291">
        <v>3110876.9050000021</v>
      </c>
      <c r="L95" s="159">
        <f t="shared" ref="L95:L97" si="22">IF(J95=0, "    ---- ", IF(ABS(ROUND(100/J95*K95-100,1))&lt;999,ROUND(100/J95*K95-100,1),IF(ROUND(100/J95*K95-100,1)&gt;999,999,-999)))</f>
        <v>2.7</v>
      </c>
      <c r="M95" s="159">
        <f>IFERROR(100/'Skjema total MA'!I95*K95,0)</f>
        <v>0</v>
      </c>
    </row>
    <row r="96" spans="1:14" x14ac:dyDescent="0.2">
      <c r="A96" s="298" t="s">
        <v>12</v>
      </c>
      <c r="B96" s="230"/>
      <c r="C96" s="290"/>
      <c r="D96" s="159"/>
      <c r="E96" s="237"/>
      <c r="F96" s="282">
        <v>435757.48468163301</v>
      </c>
      <c r="G96" s="282">
        <v>382799.20503465203</v>
      </c>
      <c r="H96" s="159">
        <f t="shared" ref="H96" si="23">IF(F96=0, "    ---- ", IF(ABS(ROUND(100/F96*G96-100,1))&lt;999,ROUND(100/F96*G96-100,1),IF(ROUND(100/F96*G96-100,1)&gt;999,999,-999)))</f>
        <v>-12.2</v>
      </c>
      <c r="I96" s="237">
        <f>IFERROR(100/'Skjema total MA'!F96*G96,0)</f>
        <v>0</v>
      </c>
      <c r="J96" s="291">
        <v>435757.48468163301</v>
      </c>
      <c r="K96" s="291">
        <v>382799.20503465203</v>
      </c>
      <c r="L96" s="159">
        <f t="shared" si="22"/>
        <v>-12.2</v>
      </c>
      <c r="M96" s="159">
        <f>IFERROR(100/'Skjema total MA'!I96*K96,0)</f>
        <v>0</v>
      </c>
    </row>
    <row r="97" spans="1:13" x14ac:dyDescent="0.2">
      <c r="A97" s="298" t="s">
        <v>13</v>
      </c>
      <c r="B97" s="230"/>
      <c r="C97" s="290"/>
      <c r="D97" s="159"/>
      <c r="E97" s="237"/>
      <c r="F97" s="282">
        <v>2549879.5083183702</v>
      </c>
      <c r="G97" s="282">
        <v>2691923.5819653501</v>
      </c>
      <c r="H97" s="159">
        <f t="shared" ref="H97" si="24">IF(F97=0, "    ---- ", IF(ABS(ROUND(100/F97*G97-100,1))&lt;999,ROUND(100/F97*G97-100,1),IF(ROUND(100/F97*G97-100,1)&gt;999,999,-999)))</f>
        <v>5.6</v>
      </c>
      <c r="I97" s="237">
        <f>IFERROR(100/'Skjema total MA'!F97*G97,0)</f>
        <v>0</v>
      </c>
      <c r="J97" s="291">
        <v>2549879.5083183702</v>
      </c>
      <c r="K97" s="291">
        <v>2691923.5819653501</v>
      </c>
      <c r="L97" s="159">
        <f t="shared" si="22"/>
        <v>5.6</v>
      </c>
      <c r="M97" s="159">
        <f>IFERROR(100/'Skjema total MA'!I97*K97,0)</f>
        <v>0</v>
      </c>
    </row>
    <row r="98" spans="1:13" ht="15.75" x14ac:dyDescent="0.2">
      <c r="A98" s="18" t="s">
        <v>342</v>
      </c>
      <c r="B98" s="229">
        <v>15746.527</v>
      </c>
      <c r="C98" s="139">
        <v>14140.832</v>
      </c>
      <c r="D98" s="159">
        <f t="shared" si="13"/>
        <v>-10.199999999999999</v>
      </c>
      <c r="E98" s="170">
        <f>IFERROR(100/'Skjema total MA'!C98*C98,0)</f>
        <v>4.2360648182833618</v>
      </c>
      <c r="F98" s="229">
        <v>4123.8090000000002</v>
      </c>
      <c r="G98" s="139">
        <v>3488.4430000000002</v>
      </c>
      <c r="H98" s="159">
        <f t="shared" si="14"/>
        <v>-15.4</v>
      </c>
      <c r="I98" s="170">
        <f>IFERROR(100/'Skjema total MA'!F98*G98,0)</f>
        <v>26.06729310119217</v>
      </c>
      <c r="J98" s="288">
        <v>19870.335999999999</v>
      </c>
      <c r="K98" s="37">
        <v>17629.275000000001</v>
      </c>
      <c r="L98" s="256">
        <f t="shared" si="15"/>
        <v>-11.3</v>
      </c>
      <c r="M98" s="170">
        <f>IFERROR(100/'Skjema total MA'!I98*K98,0)</f>
        <v>5.0775201580976228</v>
      </c>
    </row>
    <row r="99" spans="1:13" ht="15.75" x14ac:dyDescent="0.2">
      <c r="A99" s="11" t="s">
        <v>29</v>
      </c>
      <c r="B99" s="310">
        <v>0</v>
      </c>
      <c r="C99" s="310">
        <v>137.803</v>
      </c>
      <c r="D99" s="159" t="str">
        <f t="shared" si="13"/>
        <v xml:space="preserve">    ---- </v>
      </c>
      <c r="E99" s="170">
        <f>IFERROR(100/'Skjema total MA'!C99*C99,0)</f>
        <v>4.2683217003552987E-2</v>
      </c>
      <c r="F99" s="310">
        <v>119638.56600000011</v>
      </c>
      <c r="G99" s="310">
        <v>335407.56199999986</v>
      </c>
      <c r="H99" s="159">
        <f t="shared" si="14"/>
        <v>180.4</v>
      </c>
      <c r="I99" s="170">
        <f>IFERROR(100/'Skjema total MA'!F99*G99,0)</f>
        <v>27.487963035033829</v>
      </c>
      <c r="J99" s="311">
        <v>119638.56600000011</v>
      </c>
      <c r="K99" s="231">
        <v>335545.36499999987</v>
      </c>
      <c r="L99" s="256">
        <f t="shared" si="15"/>
        <v>180.5</v>
      </c>
      <c r="M99" s="170">
        <f>IFERROR(100/'Skjema total MA'!I99*K99,0)</f>
        <v>21.745613634308956</v>
      </c>
    </row>
    <row r="100" spans="1:13" x14ac:dyDescent="0.2">
      <c r="A100" s="18" t="s">
        <v>9</v>
      </c>
      <c r="B100" s="229">
        <v>0</v>
      </c>
      <c r="C100" s="139">
        <v>137.803</v>
      </c>
      <c r="D100" s="159" t="str">
        <f t="shared" si="13"/>
        <v xml:space="preserve">    ---- </v>
      </c>
      <c r="E100" s="170">
        <f>IFERROR(100/'Skjema total MA'!C100*C100,0)</f>
        <v>5.3355166194704422E-2</v>
      </c>
      <c r="F100" s="229"/>
      <c r="G100" s="139"/>
      <c r="H100" s="159"/>
      <c r="I100" s="170"/>
      <c r="J100" s="288">
        <v>0</v>
      </c>
      <c r="K100" s="37">
        <v>137.803</v>
      </c>
      <c r="L100" s="256" t="str">
        <f t="shared" si="15"/>
        <v xml:space="preserve">    ---- </v>
      </c>
      <c r="M100" s="170">
        <f>IFERROR(100/'Skjema total MA'!I100*K100,0)</f>
        <v>5.3355166194704422E-2</v>
      </c>
    </row>
    <row r="101" spans="1:13" x14ac:dyDescent="0.2">
      <c r="A101" s="18" t="s">
        <v>10</v>
      </c>
      <c r="B101" s="229"/>
      <c r="C101" s="139"/>
      <c r="D101" s="159"/>
      <c r="E101" s="170"/>
      <c r="F101" s="293">
        <v>119638.56600000011</v>
      </c>
      <c r="G101" s="293">
        <v>335407.56199999986</v>
      </c>
      <c r="H101" s="159">
        <f t="shared" si="14"/>
        <v>180.4</v>
      </c>
      <c r="I101" s="170">
        <f>IFERROR(100/'Skjema total MA'!F101*G101,0)</f>
        <v>33.406271370717121</v>
      </c>
      <c r="J101" s="288">
        <v>119638.56600000011</v>
      </c>
      <c r="K101" s="37">
        <v>335407.56199999986</v>
      </c>
      <c r="L101" s="256">
        <f t="shared" si="15"/>
        <v>180.4</v>
      </c>
      <c r="M101" s="170">
        <f>IFERROR(100/'Skjema total MA'!I101*K101,0)</f>
        <v>33.176716844716161</v>
      </c>
    </row>
    <row r="102" spans="1:13" ht="15.75" x14ac:dyDescent="0.2">
      <c r="A102" s="298" t="s">
        <v>330</v>
      </c>
      <c r="B102" s="282"/>
      <c r="C102" s="282"/>
      <c r="D102" s="159"/>
      <c r="E102" s="237"/>
      <c r="F102" s="282"/>
      <c r="G102" s="282"/>
      <c r="H102" s="159"/>
      <c r="I102" s="237"/>
      <c r="J102" s="291"/>
      <c r="K102" s="291"/>
      <c r="L102" s="159"/>
      <c r="M102" s="159"/>
    </row>
    <row r="103" spans="1:13" x14ac:dyDescent="0.2">
      <c r="A103" s="298" t="s">
        <v>12</v>
      </c>
      <c r="B103" s="230"/>
      <c r="C103" s="290"/>
      <c r="D103" s="159"/>
      <c r="E103" s="237"/>
      <c r="F103" s="282"/>
      <c r="G103" s="282"/>
      <c r="H103" s="159"/>
      <c r="I103" s="237"/>
      <c r="J103" s="291"/>
      <c r="K103" s="291"/>
      <c r="L103" s="159"/>
      <c r="M103" s="159"/>
    </row>
    <row r="104" spans="1:13" x14ac:dyDescent="0.2">
      <c r="A104" s="298" t="s">
        <v>13</v>
      </c>
      <c r="B104" s="230"/>
      <c r="C104" s="290"/>
      <c r="D104" s="159"/>
      <c r="E104" s="237"/>
      <c r="F104" s="282"/>
      <c r="G104" s="282"/>
      <c r="H104" s="159"/>
      <c r="I104" s="237"/>
      <c r="J104" s="291"/>
      <c r="K104" s="291"/>
      <c r="L104" s="159"/>
      <c r="M104" s="159"/>
    </row>
    <row r="105" spans="1:13" ht="15.75" x14ac:dyDescent="0.2">
      <c r="A105" s="298" t="s">
        <v>331</v>
      </c>
      <c r="B105" s="282"/>
      <c r="C105" s="282"/>
      <c r="D105" s="159"/>
      <c r="E105" s="237"/>
      <c r="F105" s="282">
        <v>119638.56600000011</v>
      </c>
      <c r="G105" s="282">
        <v>335407.56199999986</v>
      </c>
      <c r="H105" s="159">
        <f t="shared" ref="H105" si="25">IF(F105=0, "    ---- ", IF(ABS(ROUND(100/F105*G105-100,1))&lt;999,ROUND(100/F105*G105-100,1),IF(ROUND(100/F105*G105-100,1)&gt;999,999,-999)))</f>
        <v>180.4</v>
      </c>
      <c r="I105" s="237">
        <f>IFERROR(100/'Skjema total MA'!F105*G105,0)</f>
        <v>0</v>
      </c>
      <c r="J105" s="291">
        <v>119638.56600000011</v>
      </c>
      <c r="K105" s="291">
        <v>335407.56199999986</v>
      </c>
      <c r="L105" s="159">
        <f t="shared" ref="L105:L107" si="26">IF(J105=0, "    ---- ", IF(ABS(ROUND(100/J105*K105-100,1))&lt;999,ROUND(100/J105*K105-100,1),IF(ROUND(100/J105*K105-100,1)&gt;999,999,-999)))</f>
        <v>180.4</v>
      </c>
      <c r="M105" s="159">
        <f>IFERROR(100/'Skjema total MA'!I105*K105,0)</f>
        <v>0</v>
      </c>
    </row>
    <row r="106" spans="1:13" x14ac:dyDescent="0.2">
      <c r="A106" s="298" t="s">
        <v>12</v>
      </c>
      <c r="B106" s="230"/>
      <c r="C106" s="290"/>
      <c r="D106" s="159"/>
      <c r="E106" s="237"/>
      <c r="F106" s="282">
        <v>114942.04740306</v>
      </c>
      <c r="G106" s="282">
        <v>328020.73189146997</v>
      </c>
      <c r="H106" s="159">
        <f t="shared" ref="H106" si="27">IF(F106=0, "    ---- ", IF(ABS(ROUND(100/F106*G106-100,1))&lt;999,ROUND(100/F106*G106-100,1),IF(ROUND(100/F106*G106-100,1)&gt;999,999,-999)))</f>
        <v>185.4</v>
      </c>
      <c r="I106" s="237">
        <f>IFERROR(100/'Skjema total MA'!F106*G106,0)</f>
        <v>0</v>
      </c>
      <c r="J106" s="291">
        <v>114942.04740306</v>
      </c>
      <c r="K106" s="291">
        <v>328020.73189146997</v>
      </c>
      <c r="L106" s="159">
        <f t="shared" si="26"/>
        <v>185.4</v>
      </c>
      <c r="M106" s="159">
        <f>IFERROR(100/'Skjema total MA'!I106*K106,0)</f>
        <v>0</v>
      </c>
    </row>
    <row r="107" spans="1:13" x14ac:dyDescent="0.2">
      <c r="A107" s="298" t="s">
        <v>13</v>
      </c>
      <c r="B107" s="230"/>
      <c r="C107" s="290"/>
      <c r="D107" s="159"/>
      <c r="E107" s="237"/>
      <c r="F107" s="282">
        <v>4696.5185969401</v>
      </c>
      <c r="G107" s="282">
        <v>7386.8301085298899</v>
      </c>
      <c r="H107" s="159">
        <f t="shared" ref="H107" si="28">IF(F107=0, "    ---- ", IF(ABS(ROUND(100/F107*G107-100,1))&lt;999,ROUND(100/F107*G107-100,1),IF(ROUND(100/F107*G107-100,1)&gt;999,999,-999)))</f>
        <v>57.3</v>
      </c>
      <c r="I107" s="237">
        <f>IFERROR(100/'Skjema total MA'!F107*G107,0)</f>
        <v>0</v>
      </c>
      <c r="J107" s="291">
        <v>4696.5185969401</v>
      </c>
      <c r="K107" s="291">
        <v>7386.8301085298899</v>
      </c>
      <c r="L107" s="159">
        <f t="shared" si="26"/>
        <v>57.3</v>
      </c>
      <c r="M107" s="159">
        <f>IFERROR(100/'Skjema total MA'!I107*K107,0)</f>
        <v>0</v>
      </c>
    </row>
    <row r="108" spans="1:13" x14ac:dyDescent="0.2">
      <c r="A108" s="18" t="s">
        <v>33</v>
      </c>
      <c r="B108" s="229"/>
      <c r="C108" s="139"/>
      <c r="D108" s="159"/>
      <c r="E108" s="170"/>
      <c r="F108" s="229"/>
      <c r="G108" s="139"/>
      <c r="H108" s="159"/>
      <c r="I108" s="170"/>
      <c r="J108" s="288"/>
      <c r="K108" s="37"/>
      <c r="L108" s="256"/>
      <c r="M108" s="170"/>
    </row>
    <row r="109" spans="1:13" ht="15.75" x14ac:dyDescent="0.2">
      <c r="A109" s="18" t="s">
        <v>332</v>
      </c>
      <c r="B109" s="229">
        <v>0</v>
      </c>
      <c r="C109" s="139">
        <v>112.572115025397</v>
      </c>
      <c r="D109" s="159" t="str">
        <f t="shared" si="13"/>
        <v xml:space="preserve">    ---- </v>
      </c>
      <c r="E109" s="170">
        <f>IFERROR(100/'Skjema total MA'!C109*C109,0)</f>
        <v>4.5196776964407347E-2</v>
      </c>
      <c r="F109" s="293">
        <v>119638.56600000011</v>
      </c>
      <c r="G109" s="293">
        <v>335407.56199999986</v>
      </c>
      <c r="H109" s="159">
        <f t="shared" si="14"/>
        <v>180.4</v>
      </c>
      <c r="I109" s="170">
        <f>IFERROR(100/'Skjema total MA'!F109*G109,0)</f>
        <v>33.406271370717121</v>
      </c>
      <c r="J109" s="288">
        <v>119638.56600000011</v>
      </c>
      <c r="K109" s="37">
        <v>335520.13411502528</v>
      </c>
      <c r="L109" s="256">
        <f t="shared" si="15"/>
        <v>180.4</v>
      </c>
      <c r="M109" s="170">
        <f>IFERROR(100/'Skjema total MA'!I109*K109,0)</f>
        <v>26.775275559884491</v>
      </c>
    </row>
    <row r="110" spans="1:13" x14ac:dyDescent="0.2">
      <c r="A110" s="18" t="s">
        <v>9</v>
      </c>
      <c r="B110" s="229">
        <v>0</v>
      </c>
      <c r="C110" s="139">
        <v>112.572115025397</v>
      </c>
      <c r="D110" s="159" t="str">
        <f t="shared" si="13"/>
        <v xml:space="preserve">    ---- </v>
      </c>
      <c r="E110" s="170">
        <f>IFERROR(100/'Skjema total MA'!C110*C110,0)</f>
        <v>4.6493558217744792E-2</v>
      </c>
      <c r="F110" s="293"/>
      <c r="G110" s="294"/>
      <c r="H110" s="159"/>
      <c r="I110" s="170"/>
      <c r="J110" s="288">
        <v>0</v>
      </c>
      <c r="K110" s="37">
        <v>112.572115025397</v>
      </c>
      <c r="L110" s="256" t="str">
        <f t="shared" si="15"/>
        <v xml:space="preserve">    ---- </v>
      </c>
      <c r="M110" s="170">
        <f>IFERROR(100/'Skjema total MA'!I110*K110,0)</f>
        <v>4.6493558217744792E-2</v>
      </c>
    </row>
    <row r="111" spans="1:13" x14ac:dyDescent="0.2">
      <c r="A111" s="18" t="s">
        <v>10</v>
      </c>
      <c r="B111" s="293"/>
      <c r="C111" s="294"/>
      <c r="D111" s="159"/>
      <c r="E111" s="170"/>
      <c r="F111" s="293">
        <v>119638.56600000011</v>
      </c>
      <c r="G111" s="294">
        <v>335407.56199999986</v>
      </c>
      <c r="H111" s="159">
        <f t="shared" si="14"/>
        <v>180.4</v>
      </c>
      <c r="I111" s="170">
        <f>IFERROR(100/'Skjema total MA'!F111*G111,0)</f>
        <v>33.406271370717121</v>
      </c>
      <c r="J111" s="288">
        <v>119638.56600000011</v>
      </c>
      <c r="K111" s="37">
        <v>335407.56199999986</v>
      </c>
      <c r="L111" s="256">
        <f t="shared" si="15"/>
        <v>180.4</v>
      </c>
      <c r="M111" s="170">
        <f>IFERROR(100/'Skjema total MA'!I111*K111,0)</f>
        <v>33.176716844716161</v>
      </c>
    </row>
    <row r="112" spans="1:13" ht="15.75" x14ac:dyDescent="0.2">
      <c r="A112" s="298" t="s">
        <v>330</v>
      </c>
      <c r="B112" s="282"/>
      <c r="C112" s="282"/>
      <c r="D112" s="159"/>
      <c r="E112" s="237"/>
      <c r="F112" s="282"/>
      <c r="G112" s="282"/>
      <c r="H112" s="159"/>
      <c r="I112" s="237"/>
      <c r="J112" s="291"/>
      <c r="K112" s="291"/>
      <c r="L112" s="159"/>
      <c r="M112" s="159"/>
    </row>
    <row r="113" spans="1:13" x14ac:dyDescent="0.2">
      <c r="A113" s="298" t="s">
        <v>12</v>
      </c>
      <c r="B113" s="230"/>
      <c r="C113" s="290"/>
      <c r="D113" s="159"/>
      <c r="E113" s="237"/>
      <c r="F113" s="282"/>
      <c r="G113" s="282"/>
      <c r="H113" s="159"/>
      <c r="I113" s="237"/>
      <c r="J113" s="291"/>
      <c r="K113" s="291"/>
      <c r="L113" s="159"/>
      <c r="M113" s="159"/>
    </row>
    <row r="114" spans="1:13" x14ac:dyDescent="0.2">
      <c r="A114" s="298" t="s">
        <v>13</v>
      </c>
      <c r="B114" s="230"/>
      <c r="C114" s="290"/>
      <c r="D114" s="159"/>
      <c r="E114" s="237"/>
      <c r="F114" s="282"/>
      <c r="G114" s="282"/>
      <c r="H114" s="159"/>
      <c r="I114" s="237"/>
      <c r="J114" s="291"/>
      <c r="K114" s="291"/>
      <c r="L114" s="159"/>
      <c r="M114" s="159"/>
    </row>
    <row r="115" spans="1:13" ht="15.75" x14ac:dyDescent="0.2">
      <c r="A115" s="298" t="s">
        <v>331</v>
      </c>
      <c r="B115" s="282"/>
      <c r="C115" s="282"/>
      <c r="D115" s="159"/>
      <c r="E115" s="237"/>
      <c r="F115" s="282">
        <v>119638.56600000011</v>
      </c>
      <c r="G115" s="282">
        <v>335407.56199999986</v>
      </c>
      <c r="H115" s="159">
        <f t="shared" ref="H115" si="29">IF(F115=0, "    ---- ", IF(ABS(ROUND(100/F115*G115-100,1))&lt;999,ROUND(100/F115*G115-100,1),IF(ROUND(100/F115*G115-100,1)&gt;999,999,-999)))</f>
        <v>180.4</v>
      </c>
      <c r="I115" s="237">
        <f>IFERROR(100/'Skjema total MA'!F115*G115,0)</f>
        <v>0</v>
      </c>
      <c r="J115" s="291">
        <v>119638.56600000011</v>
      </c>
      <c r="K115" s="291">
        <v>335407.56199999986</v>
      </c>
      <c r="L115" s="159">
        <f t="shared" ref="L115:L117" si="30">IF(J115=0, "    ---- ", IF(ABS(ROUND(100/J115*K115-100,1))&lt;999,ROUND(100/J115*K115-100,1),IF(ROUND(100/J115*K115-100,1)&gt;999,999,-999)))</f>
        <v>180.4</v>
      </c>
      <c r="M115" s="159">
        <f>IFERROR(100/'Skjema total MA'!I115*K115,0)</f>
        <v>0</v>
      </c>
    </row>
    <row r="116" spans="1:13" x14ac:dyDescent="0.2">
      <c r="A116" s="298" t="s">
        <v>12</v>
      </c>
      <c r="B116" s="230"/>
      <c r="C116" s="290"/>
      <c r="D116" s="159"/>
      <c r="E116" s="237"/>
      <c r="F116" s="282">
        <v>114942.04740306</v>
      </c>
      <c r="G116" s="282">
        <v>328020.73189146997</v>
      </c>
      <c r="H116" s="159">
        <f t="shared" ref="H116" si="31">IF(F116=0, "    ---- ", IF(ABS(ROUND(100/F116*G116-100,1))&lt;999,ROUND(100/F116*G116-100,1),IF(ROUND(100/F116*G116-100,1)&gt;999,999,-999)))</f>
        <v>185.4</v>
      </c>
      <c r="I116" s="237">
        <f>IFERROR(100/'Skjema total MA'!F116*G116,0)</f>
        <v>0</v>
      </c>
      <c r="J116" s="291">
        <v>114942.04740306</v>
      </c>
      <c r="K116" s="291">
        <v>328020.73189146997</v>
      </c>
      <c r="L116" s="159">
        <f t="shared" si="30"/>
        <v>185.4</v>
      </c>
      <c r="M116" s="159">
        <f>IFERROR(100/'Skjema total MA'!I116*K116,0)</f>
        <v>0</v>
      </c>
    </row>
    <row r="117" spans="1:13" x14ac:dyDescent="0.2">
      <c r="A117" s="298" t="s">
        <v>13</v>
      </c>
      <c r="B117" s="232"/>
      <c r="C117" s="297"/>
      <c r="D117" s="159"/>
      <c r="E117" s="237"/>
      <c r="F117" s="282">
        <v>4696.5185969401</v>
      </c>
      <c r="G117" s="282">
        <v>7386.8301085298899</v>
      </c>
      <c r="H117" s="159">
        <f t="shared" ref="H117" si="32">IF(F117=0, "    ---- ", IF(ABS(ROUND(100/F117*G117-100,1))&lt;999,ROUND(100/F117*G117-100,1),IF(ROUND(100/F117*G117-100,1)&gt;999,999,-999)))</f>
        <v>57.3</v>
      </c>
      <c r="I117" s="237">
        <f>IFERROR(100/'Skjema total MA'!F117*G117,0)</f>
        <v>0</v>
      </c>
      <c r="J117" s="291">
        <v>4696.5185969401</v>
      </c>
      <c r="K117" s="291">
        <v>7386.8301085298899</v>
      </c>
      <c r="L117" s="159">
        <f t="shared" si="30"/>
        <v>57.3</v>
      </c>
      <c r="M117" s="159">
        <f>IFERROR(100/'Skjema total MA'!I117*K117,0)</f>
        <v>0</v>
      </c>
    </row>
    <row r="118" spans="1:13" ht="15.75" x14ac:dyDescent="0.2">
      <c r="A118" s="18" t="s">
        <v>342</v>
      </c>
      <c r="B118" s="229">
        <v>0</v>
      </c>
      <c r="C118" s="139">
        <v>25.2308849746031</v>
      </c>
      <c r="D118" s="159" t="str">
        <f t="shared" si="13"/>
        <v xml:space="preserve">    ---- </v>
      </c>
      <c r="E118" s="170">
        <f>IFERROR(100/'Skjema total MA'!C118*C118,0)</f>
        <v>0.1562208073261131</v>
      </c>
      <c r="F118" s="229"/>
      <c r="G118" s="139"/>
      <c r="H118" s="159"/>
      <c r="I118" s="170"/>
      <c r="J118" s="288">
        <v>0</v>
      </c>
      <c r="K118" s="37">
        <v>25.2308849746031</v>
      </c>
      <c r="L118" s="256" t="str">
        <f t="shared" si="15"/>
        <v xml:space="preserve">    ---- </v>
      </c>
      <c r="M118" s="170">
        <f>IFERROR(100/'Skjema total MA'!I118*K118,0)</f>
        <v>0.1562208073261131</v>
      </c>
    </row>
    <row r="119" spans="1:13" ht="15.75" x14ac:dyDescent="0.2">
      <c r="A119" s="11" t="s">
        <v>28</v>
      </c>
      <c r="B119" s="355">
        <v>41857241.643285796</v>
      </c>
      <c r="C119" s="355">
        <v>43618825.879922003</v>
      </c>
      <c r="D119" s="159">
        <f t="shared" si="13"/>
        <v>4.2</v>
      </c>
      <c r="E119" s="170">
        <f>IFERROR(100/'Skjema total MA'!C119*C119,0)</f>
        <v>11.694613209480291</v>
      </c>
      <c r="F119" s="354">
        <v>22176387.033365462</v>
      </c>
      <c r="G119" s="354">
        <v>26023617.744314343</v>
      </c>
      <c r="H119" s="159">
        <f t="shared" si="14"/>
        <v>17.3</v>
      </c>
      <c r="I119" s="170">
        <f>IFERROR(100/'Skjema total MA'!F119*G119,0)</f>
        <v>14.642091027610711</v>
      </c>
      <c r="J119" s="311">
        <v>64033628.676651254</v>
      </c>
      <c r="K119" s="231">
        <v>69642443.624236345</v>
      </c>
      <c r="L119" s="256">
        <f t="shared" si="15"/>
        <v>8.8000000000000007</v>
      </c>
      <c r="M119" s="170">
        <f>IFERROR(100/'Skjema total MA'!I119*K119,0)</f>
        <v>12.645851183859289</v>
      </c>
    </row>
    <row r="120" spans="1:13" x14ac:dyDescent="0.2">
      <c r="A120" s="18" t="s">
        <v>9</v>
      </c>
      <c r="B120" s="229">
        <v>41324285.626285799</v>
      </c>
      <c r="C120" s="139">
        <v>42457029.622922003</v>
      </c>
      <c r="D120" s="159">
        <f t="shared" si="13"/>
        <v>2.7</v>
      </c>
      <c r="E120" s="170">
        <f>IFERROR(100/'Skjema total MA'!C120*C120,0)</f>
        <v>11.456000860484577</v>
      </c>
      <c r="F120" s="229"/>
      <c r="G120" s="139"/>
      <c r="H120" s="159"/>
      <c r="I120" s="170"/>
      <c r="J120" s="288">
        <v>41324285.626285799</v>
      </c>
      <c r="K120" s="37">
        <v>42457029.622922003</v>
      </c>
      <c r="L120" s="256">
        <f t="shared" si="15"/>
        <v>2.7</v>
      </c>
      <c r="M120" s="170">
        <f>IFERROR(100/'Skjema total MA'!I120*K120,0)</f>
        <v>11.456000860484577</v>
      </c>
    </row>
    <row r="121" spans="1:13" x14ac:dyDescent="0.2">
      <c r="A121" s="18" t="s">
        <v>10</v>
      </c>
      <c r="B121" s="229">
        <v>532956.01699999999</v>
      </c>
      <c r="C121" s="139">
        <v>1161796.257</v>
      </c>
      <c r="D121" s="159">
        <f t="shared" si="13"/>
        <v>118</v>
      </c>
      <c r="E121" s="170">
        <f>IFERROR(100/'Skjema total MA'!C121*C121,0)</f>
        <v>51.109088216834095</v>
      </c>
      <c r="F121" s="229">
        <v>22176387.033365462</v>
      </c>
      <c r="G121" s="139">
        <v>26023617.744314343</v>
      </c>
      <c r="H121" s="159">
        <f t="shared" si="14"/>
        <v>17.3</v>
      </c>
      <c r="I121" s="170">
        <f>IFERROR(100/'Skjema total MA'!F121*G121,0)</f>
        <v>14.659835633030369</v>
      </c>
      <c r="J121" s="288">
        <v>22709343.050365463</v>
      </c>
      <c r="K121" s="37">
        <v>27185414.001314342</v>
      </c>
      <c r="L121" s="256">
        <f t="shared" si="15"/>
        <v>19.7</v>
      </c>
      <c r="M121" s="170">
        <f>IFERROR(100/'Skjema total MA'!I121*K121,0)</f>
        <v>15.120681701863232</v>
      </c>
    </row>
    <row r="122" spans="1:13" ht="15.75" x14ac:dyDescent="0.2">
      <c r="A122" s="298" t="s">
        <v>330</v>
      </c>
      <c r="B122" s="282">
        <v>20.49</v>
      </c>
      <c r="C122" s="282">
        <v>20.49</v>
      </c>
      <c r="D122" s="159">
        <f t="shared" si="13"/>
        <v>0</v>
      </c>
      <c r="E122" s="170">
        <f>IFERROR(100/'Skjema total MA'!C122*C122,0)</f>
        <v>0</v>
      </c>
      <c r="F122" s="282">
        <v>16558.812000000042</v>
      </c>
      <c r="G122" s="282">
        <v>11378.930000000017</v>
      </c>
      <c r="H122" s="159">
        <f t="shared" si="14"/>
        <v>-31.3</v>
      </c>
      <c r="I122" s="237">
        <f>IFERROR(100/'Skjema total MA'!F122*G122,0)</f>
        <v>0</v>
      </c>
      <c r="J122" s="291">
        <v>16579.302000000043</v>
      </c>
      <c r="K122" s="291">
        <v>11399.420000000016</v>
      </c>
      <c r="L122" s="159">
        <f t="shared" si="15"/>
        <v>-31.2</v>
      </c>
      <c r="M122" s="159">
        <f>IFERROR(100/'Skjema total MA'!I122*K122,0)</f>
        <v>0</v>
      </c>
    </row>
    <row r="123" spans="1:13" x14ac:dyDescent="0.2">
      <c r="A123" s="298" t="s">
        <v>12</v>
      </c>
      <c r="B123" s="230"/>
      <c r="C123" s="290"/>
      <c r="D123" s="159"/>
      <c r="E123" s="237"/>
      <c r="F123" s="282">
        <v>1294.3598919686401</v>
      </c>
      <c r="G123" s="282">
        <v>209.21849682951699</v>
      </c>
      <c r="H123" s="159">
        <f t="shared" ref="H123" si="33">IF(F123=0, "    ---- ", IF(ABS(ROUND(100/F123*G123-100,1))&lt;999,ROUND(100/F123*G123-100,1),IF(ROUND(100/F123*G123-100,1)&gt;999,999,-999)))</f>
        <v>-83.8</v>
      </c>
      <c r="I123" s="237">
        <f>IFERROR(100/'Skjema total MA'!F123*G123,0)</f>
        <v>0</v>
      </c>
      <c r="J123" s="291">
        <v>1294.3598919686401</v>
      </c>
      <c r="K123" s="291">
        <v>209.21849682951699</v>
      </c>
      <c r="L123" s="159">
        <f t="shared" si="15"/>
        <v>-83.8</v>
      </c>
      <c r="M123" s="159">
        <f>IFERROR(100/'Skjema total MA'!I123*K123,0)</f>
        <v>0</v>
      </c>
    </row>
    <row r="124" spans="1:13" x14ac:dyDescent="0.2">
      <c r="A124" s="298" t="s">
        <v>13</v>
      </c>
      <c r="B124" s="230"/>
      <c r="C124" s="290"/>
      <c r="D124" s="159"/>
      <c r="E124" s="237"/>
      <c r="F124" s="282">
        <v>15264.452108031401</v>
      </c>
      <c r="G124" s="282">
        <v>11169.7115031705</v>
      </c>
      <c r="H124" s="159">
        <f t="shared" ref="H124" si="34">IF(F124=0, "    ---- ", IF(ABS(ROUND(100/F124*G124-100,1))&lt;999,ROUND(100/F124*G124-100,1),IF(ROUND(100/F124*G124-100,1)&gt;999,999,-999)))</f>
        <v>-26.8</v>
      </c>
      <c r="I124" s="237">
        <f>IFERROR(100/'Skjema total MA'!F124*G124,0)</f>
        <v>0</v>
      </c>
      <c r="J124" s="291">
        <v>15264.452108031401</v>
      </c>
      <c r="K124" s="291">
        <v>11169.7115031705</v>
      </c>
      <c r="L124" s="159">
        <f t="shared" si="15"/>
        <v>-26.8</v>
      </c>
      <c r="M124" s="159">
        <f>IFERROR(100/'Skjema total MA'!I124*K124,0)</f>
        <v>0</v>
      </c>
    </row>
    <row r="125" spans="1:13" ht="15.75" x14ac:dyDescent="0.2">
      <c r="A125" s="298" t="s">
        <v>331</v>
      </c>
      <c r="B125" s="282">
        <v>532935.527</v>
      </c>
      <c r="C125" s="282">
        <v>1161775.767</v>
      </c>
      <c r="D125" s="159">
        <f t="shared" si="13"/>
        <v>118</v>
      </c>
      <c r="E125" s="170">
        <f>IFERROR(100/'Skjema total MA'!C125*C125,0)</f>
        <v>0</v>
      </c>
      <c r="F125" s="282">
        <v>22159828.221365463</v>
      </c>
      <c r="G125" s="282">
        <v>26012238.814314343</v>
      </c>
      <c r="H125" s="159">
        <f t="shared" ref="H125" si="35">IF(F125=0, "    ---- ", IF(ABS(ROUND(100/F125*G125-100,1))&lt;999,ROUND(100/F125*G125-100,1),IF(ROUND(100/F125*G125-100,1)&gt;999,999,-999)))</f>
        <v>17.399999999999999</v>
      </c>
      <c r="I125" s="237">
        <f>IFERROR(100/'Skjema total MA'!F125*G125,0)</f>
        <v>0</v>
      </c>
      <c r="J125" s="291">
        <v>22692763.748365462</v>
      </c>
      <c r="K125" s="291">
        <v>27174014.581314344</v>
      </c>
      <c r="L125" s="159">
        <f t="shared" si="15"/>
        <v>19.7</v>
      </c>
      <c r="M125" s="159">
        <f>IFERROR(100/'Skjema total MA'!I125*K125,0)</f>
        <v>0</v>
      </c>
    </row>
    <row r="126" spans="1:13" x14ac:dyDescent="0.2">
      <c r="A126" s="298" t="s">
        <v>12</v>
      </c>
      <c r="B126" s="230"/>
      <c r="C126" s="290"/>
      <c r="D126" s="159"/>
      <c r="E126" s="237"/>
      <c r="F126" s="282">
        <v>3234254.8773876601</v>
      </c>
      <c r="G126" s="282">
        <v>3238491.7370084398</v>
      </c>
      <c r="H126" s="159">
        <f t="shared" ref="H126" si="36">IF(F126=0, "    ---- ", IF(ABS(ROUND(100/F126*G126-100,1))&lt;999,ROUND(100/F126*G126-100,1),IF(ROUND(100/F126*G126-100,1)&gt;999,999,-999)))</f>
        <v>0.1</v>
      </c>
      <c r="I126" s="237">
        <f>IFERROR(100/'Skjema total MA'!F126*G126,0)</f>
        <v>0</v>
      </c>
      <c r="J126" s="291">
        <v>3234254.8773876601</v>
      </c>
      <c r="K126" s="291">
        <v>3238491.7370084398</v>
      </c>
      <c r="L126" s="159">
        <f t="shared" si="15"/>
        <v>0.1</v>
      </c>
      <c r="M126" s="159">
        <f>IFERROR(100/'Skjema total MA'!I126*K126,0)</f>
        <v>0</v>
      </c>
    </row>
    <row r="127" spans="1:13" x14ac:dyDescent="0.2">
      <c r="A127" s="298" t="s">
        <v>13</v>
      </c>
      <c r="B127" s="230"/>
      <c r="C127" s="290"/>
      <c r="D127" s="159"/>
      <c r="E127" s="237"/>
      <c r="F127" s="282">
        <v>18925573.343977802</v>
      </c>
      <c r="G127" s="282">
        <v>22773747.077305902</v>
      </c>
      <c r="H127" s="159">
        <f t="shared" ref="H127" si="37">IF(F127=0, "    ---- ", IF(ABS(ROUND(100/F127*G127-100,1))&lt;999,ROUND(100/F127*G127-100,1),IF(ROUND(100/F127*G127-100,1)&gt;999,999,-999)))</f>
        <v>20.3</v>
      </c>
      <c r="I127" s="237">
        <f>IFERROR(100/'Skjema total MA'!F127*G127,0)</f>
        <v>0</v>
      </c>
      <c r="J127" s="291">
        <v>18925573.343977802</v>
      </c>
      <c r="K127" s="291">
        <v>22773747.077305902</v>
      </c>
      <c r="L127" s="159">
        <f t="shared" si="15"/>
        <v>20.3</v>
      </c>
      <c r="M127" s="159">
        <f>IFERROR(100/'Skjema total MA'!I127*K127,0)</f>
        <v>0</v>
      </c>
    </row>
    <row r="128" spans="1:13" x14ac:dyDescent="0.2">
      <c r="A128" s="18" t="s">
        <v>34</v>
      </c>
      <c r="B128" s="229"/>
      <c r="C128" s="139"/>
      <c r="D128" s="159"/>
      <c r="E128" s="170"/>
      <c r="F128" s="229"/>
      <c r="G128" s="139"/>
      <c r="H128" s="159"/>
      <c r="I128" s="170"/>
      <c r="J128" s="288"/>
      <c r="K128" s="37"/>
      <c r="L128" s="256"/>
      <c r="M128" s="170"/>
    </row>
    <row r="129" spans="1:13" ht="15.75" x14ac:dyDescent="0.2">
      <c r="A129" s="18" t="s">
        <v>332</v>
      </c>
      <c r="B129" s="229">
        <v>41831378.129685797</v>
      </c>
      <c r="C129" s="229">
        <v>43569326.735922001</v>
      </c>
      <c r="D129" s="159">
        <f t="shared" si="13"/>
        <v>4.2</v>
      </c>
      <c r="E129" s="170">
        <f>IFERROR(100/'Skjema total MA'!C129*C129,0)</f>
        <v>11.837927043370257</v>
      </c>
      <c r="F129" s="293">
        <v>22159828.221365463</v>
      </c>
      <c r="G129" s="293">
        <v>26012238.814314343</v>
      </c>
      <c r="H129" s="159">
        <f t="shared" si="14"/>
        <v>17.399999999999999</v>
      </c>
      <c r="I129" s="170">
        <f>IFERROR(100/'Skjema total MA'!F129*G129,0)</f>
        <v>14.685295156246966</v>
      </c>
      <c r="J129" s="288">
        <v>63991206.351051256</v>
      </c>
      <c r="K129" s="37">
        <v>69581565.550236344</v>
      </c>
      <c r="L129" s="256">
        <f t="shared" si="15"/>
        <v>8.6999999999999993</v>
      </c>
      <c r="M129" s="170">
        <f>IFERROR(100/'Skjema total MA'!I129*K129,0)</f>
        <v>12.763048821093445</v>
      </c>
    </row>
    <row r="130" spans="1:13" x14ac:dyDescent="0.2">
      <c r="A130" s="18" t="s">
        <v>9</v>
      </c>
      <c r="B130" s="293">
        <v>41298422.1126858</v>
      </c>
      <c r="C130" s="294">
        <v>42407530.478922002</v>
      </c>
      <c r="D130" s="159">
        <f t="shared" si="13"/>
        <v>2.7</v>
      </c>
      <c r="E130" s="170">
        <f>IFERROR(100/'Skjema total MA'!C130*C130,0)</f>
        <v>11.593870170851046</v>
      </c>
      <c r="F130" s="229"/>
      <c r="G130" s="139"/>
      <c r="H130" s="159"/>
      <c r="I130" s="170"/>
      <c r="J130" s="288">
        <v>41298422.1126858</v>
      </c>
      <c r="K130" s="37">
        <v>42407530.478922002</v>
      </c>
      <c r="L130" s="256">
        <f t="shared" si="15"/>
        <v>2.7</v>
      </c>
      <c r="M130" s="170">
        <f>IFERROR(100/'Skjema total MA'!I130*K130,0)</f>
        <v>11.593870170851046</v>
      </c>
    </row>
    <row r="131" spans="1:13" x14ac:dyDescent="0.2">
      <c r="A131" s="18" t="s">
        <v>10</v>
      </c>
      <c r="B131" s="293">
        <v>532956.01699999999</v>
      </c>
      <c r="C131" s="294">
        <v>1161796.257</v>
      </c>
      <c r="D131" s="159">
        <f t="shared" si="13"/>
        <v>118</v>
      </c>
      <c r="E131" s="170">
        <f>IFERROR(100/'Skjema total MA'!C131*C131,0)</f>
        <v>51.10909185918127</v>
      </c>
      <c r="F131" s="229">
        <v>22159828.221365463</v>
      </c>
      <c r="G131" s="229">
        <v>26012238.814314343</v>
      </c>
      <c r="H131" s="159">
        <f t="shared" si="14"/>
        <v>17.399999999999999</v>
      </c>
      <c r="I131" s="170">
        <f>IFERROR(100/'Skjema total MA'!F131*G131,0)</f>
        <v>14.685295156246966</v>
      </c>
      <c r="J131" s="288">
        <v>22692784.238365464</v>
      </c>
      <c r="K131" s="37">
        <v>27174035.071314342</v>
      </c>
      <c r="L131" s="256">
        <f t="shared" si="15"/>
        <v>19.7</v>
      </c>
      <c r="M131" s="170">
        <f>IFERROR(100/'Skjema total MA'!I131*K131,0)</f>
        <v>15.146808240120404</v>
      </c>
    </row>
    <row r="132" spans="1:13" ht="15.75" x14ac:dyDescent="0.2">
      <c r="A132" s="298" t="s">
        <v>330</v>
      </c>
      <c r="B132" s="282"/>
      <c r="C132" s="282"/>
      <c r="D132" s="159"/>
      <c r="E132" s="237"/>
      <c r="F132" s="282"/>
      <c r="G132" s="282"/>
      <c r="H132" s="159"/>
      <c r="I132" s="237"/>
      <c r="J132" s="291"/>
      <c r="K132" s="291"/>
      <c r="L132" s="159"/>
      <c r="M132" s="159"/>
    </row>
    <row r="133" spans="1:13" x14ac:dyDescent="0.2">
      <c r="A133" s="298" t="s">
        <v>12</v>
      </c>
      <c r="B133" s="230"/>
      <c r="C133" s="290"/>
      <c r="D133" s="159"/>
      <c r="E133" s="237"/>
      <c r="F133" s="282"/>
      <c r="G133" s="282"/>
      <c r="H133" s="159"/>
      <c r="I133" s="237"/>
      <c r="J133" s="291"/>
      <c r="K133" s="291"/>
      <c r="L133" s="159"/>
      <c r="M133" s="159"/>
    </row>
    <row r="134" spans="1:13" x14ac:dyDescent="0.2">
      <c r="A134" s="298" t="s">
        <v>13</v>
      </c>
      <c r="B134" s="230"/>
      <c r="C134" s="290"/>
      <c r="D134" s="159"/>
      <c r="E134" s="237"/>
      <c r="F134" s="282"/>
      <c r="G134" s="282"/>
      <c r="H134" s="159"/>
      <c r="I134" s="237"/>
      <c r="J134" s="291"/>
      <c r="K134" s="291"/>
      <c r="L134" s="159"/>
      <c r="M134" s="159"/>
    </row>
    <row r="135" spans="1:13" ht="15.75" x14ac:dyDescent="0.2">
      <c r="A135" s="298" t="s">
        <v>331</v>
      </c>
      <c r="B135" s="282">
        <v>532956.01699999999</v>
      </c>
      <c r="C135" s="282">
        <v>1161796.257</v>
      </c>
      <c r="D135" s="159">
        <f t="shared" si="13"/>
        <v>118</v>
      </c>
      <c r="E135" s="170">
        <f>IFERROR(100/'Skjema total MA'!C135*C135,0)</f>
        <v>0</v>
      </c>
      <c r="F135" s="282">
        <v>22159828.221365463</v>
      </c>
      <c r="G135" s="282">
        <v>26012238.814314343</v>
      </c>
      <c r="H135" s="159">
        <f t="shared" ref="H135" si="38">IF(F135=0, "    ---- ", IF(ABS(ROUND(100/F135*G135-100,1))&lt;999,ROUND(100/F135*G135-100,1),IF(ROUND(100/F135*G135-100,1)&gt;999,999,-999)))</f>
        <v>17.399999999999999</v>
      </c>
      <c r="I135" s="237">
        <f>IFERROR(100/'Skjema total MA'!F135*G135,0)</f>
        <v>0</v>
      </c>
      <c r="J135" s="291">
        <v>22692784.238365464</v>
      </c>
      <c r="K135" s="291">
        <v>27174035.071314342</v>
      </c>
      <c r="L135" s="159">
        <f t="shared" ref="L135:L137" si="39">IF(J135=0, "    ---- ", IF(ABS(ROUND(100/J135*K135-100,1))&lt;999,ROUND(100/J135*K135-100,1),IF(ROUND(100/J135*K135-100,1)&gt;999,999,-999)))</f>
        <v>19.7</v>
      </c>
      <c r="M135" s="159">
        <f>IFERROR(100/'Skjema total MA'!I135*K135,0)</f>
        <v>0</v>
      </c>
    </row>
    <row r="136" spans="1:13" x14ac:dyDescent="0.2">
      <c r="A136" s="298" t="s">
        <v>12</v>
      </c>
      <c r="B136" s="230"/>
      <c r="C136" s="290"/>
      <c r="D136" s="159"/>
      <c r="E136" s="237"/>
      <c r="F136" s="282">
        <v>3234254.8773876601</v>
      </c>
      <c r="G136" s="282">
        <v>3238491.7370084398</v>
      </c>
      <c r="H136" s="159">
        <f t="shared" ref="H136" si="40">IF(F136=0, "    ---- ", IF(ABS(ROUND(100/F136*G136-100,1))&lt;999,ROUND(100/F136*G136-100,1),IF(ROUND(100/F136*G136-100,1)&gt;999,999,-999)))</f>
        <v>0.1</v>
      </c>
      <c r="I136" s="237">
        <f>IFERROR(100/'Skjema total MA'!F136*G136,0)</f>
        <v>0</v>
      </c>
      <c r="J136" s="291">
        <v>3234254.8773876601</v>
      </c>
      <c r="K136" s="291">
        <v>3238491.7370084398</v>
      </c>
      <c r="L136" s="159">
        <f t="shared" si="39"/>
        <v>0.1</v>
      </c>
      <c r="M136" s="159">
        <f>IFERROR(100/'Skjema total MA'!I136*K136,0)</f>
        <v>0</v>
      </c>
    </row>
    <row r="137" spans="1:13" x14ac:dyDescent="0.2">
      <c r="A137" s="298" t="s">
        <v>13</v>
      </c>
      <c r="B137" s="230"/>
      <c r="C137" s="290"/>
      <c r="D137" s="159"/>
      <c r="E137" s="237"/>
      <c r="F137" s="282">
        <v>18925573.343977802</v>
      </c>
      <c r="G137" s="282">
        <v>22773747.077305902</v>
      </c>
      <c r="H137" s="159">
        <f t="shared" ref="H137" si="41">IF(F137=0, "    ---- ", IF(ABS(ROUND(100/F137*G137-100,1))&lt;999,ROUND(100/F137*G137-100,1),IF(ROUND(100/F137*G137-100,1)&gt;999,999,-999)))</f>
        <v>20.3</v>
      </c>
      <c r="I137" s="237">
        <f>IFERROR(100/'Skjema total MA'!F137*G137,0)</f>
        <v>0</v>
      </c>
      <c r="J137" s="291">
        <v>18925573.343977802</v>
      </c>
      <c r="K137" s="291">
        <v>22773747.077305902</v>
      </c>
      <c r="L137" s="159">
        <f t="shared" si="39"/>
        <v>20.3</v>
      </c>
      <c r="M137" s="159">
        <f>IFERROR(100/'Skjema total MA'!I137*K137,0)</f>
        <v>0</v>
      </c>
    </row>
    <row r="138" spans="1:13" ht="15.75" x14ac:dyDescent="0.2">
      <c r="A138" s="18" t="s">
        <v>342</v>
      </c>
      <c r="B138" s="229">
        <v>25863.513599999998</v>
      </c>
      <c r="C138" s="139">
        <v>49499.144</v>
      </c>
      <c r="D138" s="159">
        <f t="shared" si="13"/>
        <v>91.4</v>
      </c>
      <c r="E138" s="170">
        <f>IFERROR(100/'Skjema total MA'!C138*C138,0)</f>
        <v>1.0239639142223675</v>
      </c>
      <c r="F138" s="229">
        <v>16558.812000000002</v>
      </c>
      <c r="G138" s="139">
        <v>11378.93</v>
      </c>
      <c r="H138" s="159">
        <f t="shared" si="14"/>
        <v>-31.3</v>
      </c>
      <c r="I138" s="170">
        <f>IFERROR(100/'Skjema total MA'!F138*G138,0)</f>
        <v>2.953717788198146</v>
      </c>
      <c r="J138" s="288">
        <v>42422.325599999996</v>
      </c>
      <c r="K138" s="37">
        <v>60878.074000000001</v>
      </c>
      <c r="L138" s="256">
        <f t="shared" si="15"/>
        <v>43.5</v>
      </c>
      <c r="M138" s="170">
        <f>IFERROR(100/'Skjema total MA'!I138*K138,0)</f>
        <v>1.1664003455793575</v>
      </c>
    </row>
    <row r="139" spans="1:13" ht="15.75" x14ac:dyDescent="0.2">
      <c r="A139" s="18" t="s">
        <v>343</v>
      </c>
      <c r="B139" s="229">
        <v>24451190.635659698</v>
      </c>
      <c r="C139" s="229">
        <v>29076989.968773399</v>
      </c>
      <c r="D139" s="159">
        <f t="shared" si="13"/>
        <v>18.899999999999999</v>
      </c>
      <c r="E139" s="170">
        <f>IFERROR(100/'Skjema total MA'!C139*C139,0)</f>
        <v>10.790987131280497</v>
      </c>
      <c r="F139" s="229"/>
      <c r="G139" s="229"/>
      <c r="H139" s="159"/>
      <c r="I139" s="170"/>
      <c r="J139" s="288">
        <v>24451190.635659698</v>
      </c>
      <c r="K139" s="37">
        <v>29076989.968773399</v>
      </c>
      <c r="L139" s="256">
        <f t="shared" si="15"/>
        <v>18.899999999999999</v>
      </c>
      <c r="M139" s="170">
        <f>IFERROR(100/'Skjema total MA'!I139*K139,0)</f>
        <v>10.562851412384116</v>
      </c>
    </row>
    <row r="140" spans="1:13" ht="15.75" x14ac:dyDescent="0.2">
      <c r="A140" s="18" t="s">
        <v>334</v>
      </c>
      <c r="B140" s="229">
        <v>337133.022</v>
      </c>
      <c r="C140" s="229">
        <v>376172.462</v>
      </c>
      <c r="D140" s="159">
        <f t="shared" si="13"/>
        <v>11.6</v>
      </c>
      <c r="E140" s="170">
        <f>IFERROR(100/'Skjema total MA'!C140*C140,0)</f>
        <v>50.375128994983704</v>
      </c>
      <c r="F140" s="229">
        <v>7630400</v>
      </c>
      <c r="G140" s="229">
        <v>9969145.48773719</v>
      </c>
      <c r="H140" s="159">
        <f t="shared" si="14"/>
        <v>30.7</v>
      </c>
      <c r="I140" s="170">
        <f>IFERROR(100/'Skjema total MA'!F140*G140,0)</f>
        <v>17.871755877387727</v>
      </c>
      <c r="J140" s="288">
        <v>7967533.0219999999</v>
      </c>
      <c r="K140" s="37">
        <v>10345317.949737189</v>
      </c>
      <c r="L140" s="256">
        <f t="shared" si="15"/>
        <v>29.8</v>
      </c>
      <c r="M140" s="170">
        <f>IFERROR(100/'Skjema total MA'!I140*K140,0)</f>
        <v>18.30112742634465</v>
      </c>
    </row>
    <row r="141" spans="1:13" ht="15.75" x14ac:dyDescent="0.2">
      <c r="A141" s="18" t="s">
        <v>335</v>
      </c>
      <c r="B141" s="229"/>
      <c r="C141" s="229"/>
      <c r="D141" s="159"/>
      <c r="E141" s="170"/>
      <c r="F141" s="229"/>
      <c r="G141" s="229"/>
      <c r="H141" s="159"/>
      <c r="I141" s="170"/>
      <c r="J141" s="288"/>
      <c r="K141" s="37"/>
      <c r="L141" s="256"/>
      <c r="M141" s="170"/>
    </row>
    <row r="142" spans="1:13" ht="15.75" x14ac:dyDescent="0.2">
      <c r="A142" s="11" t="s">
        <v>27</v>
      </c>
      <c r="B142" s="310">
        <v>7951.0050000000001</v>
      </c>
      <c r="C142" s="152">
        <v>65890.554999999993</v>
      </c>
      <c r="D142" s="159">
        <f t="shared" si="13"/>
        <v>728.7</v>
      </c>
      <c r="E142" s="170">
        <f>IFERROR(100/'Skjema total MA'!C142*C142,0)</f>
        <v>5.3185361802999944</v>
      </c>
      <c r="F142" s="310">
        <v>821294.20103</v>
      </c>
      <c r="G142" s="152">
        <v>850820.66434999998</v>
      </c>
      <c r="H142" s="159">
        <f t="shared" si="14"/>
        <v>3.6</v>
      </c>
      <c r="I142" s="170">
        <f>IFERROR(100/'Skjema total MA'!F142*G142,0)</f>
        <v>14.025748860431641</v>
      </c>
      <c r="J142" s="311">
        <v>829245.20603</v>
      </c>
      <c r="K142" s="231">
        <v>916711.21934999991</v>
      </c>
      <c r="L142" s="256">
        <f t="shared" si="15"/>
        <v>10.5</v>
      </c>
      <c r="M142" s="170">
        <f>IFERROR(100/'Skjema total MA'!I142*K142,0)</f>
        <v>12.549060454213569</v>
      </c>
    </row>
    <row r="143" spans="1:13" x14ac:dyDescent="0.2">
      <c r="A143" s="18" t="s">
        <v>9</v>
      </c>
      <c r="B143" s="229">
        <v>7951.0050000000001</v>
      </c>
      <c r="C143" s="139">
        <v>65890.554999999993</v>
      </c>
      <c r="D143" s="159">
        <f t="shared" ref="D143:D156" si="42">IF(B143=0, "    ---- ", IF(ABS(ROUND(100/B143*C143-100,1))&lt;999,ROUND(100/B143*C143-100,1),IF(ROUND(100/B143*C143-100,1)&gt;999,999,-999)))</f>
        <v>728.7</v>
      </c>
      <c r="E143" s="170">
        <f>IFERROR(100/'Skjema total MA'!C143*C143,0)</f>
        <v>5.3366472667094884</v>
      </c>
      <c r="F143" s="229"/>
      <c r="G143" s="139"/>
      <c r="H143" s="159"/>
      <c r="I143" s="170"/>
      <c r="J143" s="288">
        <v>7951.0050000000001</v>
      </c>
      <c r="K143" s="37">
        <v>65890.554999999993</v>
      </c>
      <c r="L143" s="256">
        <f t="shared" ref="L143:L156" si="43">IF(J143=0, "    ---- ", IF(ABS(ROUND(100/J143*K143-100,1))&lt;999,ROUND(100/J143*K143-100,1),IF(ROUND(100/J143*K143-100,1)&gt;999,999,-999)))</f>
        <v>728.7</v>
      </c>
      <c r="M143" s="170">
        <f>IFERROR(100/'Skjema total MA'!I143*K143,0)</f>
        <v>5.3366472667094884</v>
      </c>
    </row>
    <row r="144" spans="1:13" x14ac:dyDescent="0.2">
      <c r="A144" s="18" t="s">
        <v>10</v>
      </c>
      <c r="B144" s="229"/>
      <c r="C144" s="139"/>
      <c r="D144" s="159"/>
      <c r="E144" s="170"/>
      <c r="F144" s="229">
        <v>821294.20103</v>
      </c>
      <c r="G144" s="139">
        <v>850820.66434999998</v>
      </c>
      <c r="H144" s="159">
        <f t="shared" ref="H144:H156" si="44">IF(F144=0, "    ---- ", IF(ABS(ROUND(100/F144*G144-100,1))&lt;999,ROUND(100/F144*G144-100,1),IF(ROUND(100/F144*G144-100,1)&gt;999,999,-999)))</f>
        <v>3.6</v>
      </c>
      <c r="I144" s="170">
        <f>IFERROR(100/'Skjema total MA'!F144*G144,0)</f>
        <v>14.025748860431641</v>
      </c>
      <c r="J144" s="288">
        <v>821294.20103</v>
      </c>
      <c r="K144" s="37">
        <v>850820.66434999998</v>
      </c>
      <c r="L144" s="256">
        <f t="shared" si="43"/>
        <v>3.6</v>
      </c>
      <c r="M144" s="170">
        <f>IFERROR(100/'Skjema total MA'!I144*K144,0)</f>
        <v>14.016034365309123</v>
      </c>
    </row>
    <row r="145" spans="1:14" x14ac:dyDescent="0.2">
      <c r="A145" s="18" t="s">
        <v>34</v>
      </c>
      <c r="B145" s="229"/>
      <c r="C145" s="139"/>
      <c r="D145" s="159"/>
      <c r="E145" s="170"/>
      <c r="F145" s="229"/>
      <c r="G145" s="139"/>
      <c r="H145" s="159"/>
      <c r="I145" s="170"/>
      <c r="J145" s="288"/>
      <c r="K145" s="37"/>
      <c r="L145" s="256"/>
      <c r="M145" s="170"/>
    </row>
    <row r="146" spans="1:14" x14ac:dyDescent="0.2">
      <c r="A146" s="298" t="s">
        <v>15</v>
      </c>
      <c r="B146" s="282">
        <v>1188.5519999999999</v>
      </c>
      <c r="C146" s="282">
        <v>1786.3810000000001</v>
      </c>
      <c r="D146" s="159">
        <f t="shared" ref="D146:D147" si="45">IF(B146=0, "    ---- ", IF(ABS(ROUND(100/B146*C146-100,1))&lt;999,ROUND(100/B146*C146-100,1),IF(ROUND(100/B146*C146-100,1)&gt;999,999,-999)))</f>
        <v>50.3</v>
      </c>
      <c r="E146" s="170">
        <f>IFERROR(100/'Skjema total MA'!C146*C146,0)</f>
        <v>100</v>
      </c>
      <c r="F146" s="282"/>
      <c r="G146" s="282"/>
      <c r="H146" s="159"/>
      <c r="I146" s="237"/>
      <c r="J146" s="291">
        <v>1188.5519999999999</v>
      </c>
      <c r="K146" s="291">
        <v>1786.3810000000001</v>
      </c>
      <c r="L146" s="159">
        <f t="shared" ref="L146" si="46">IF(J146=0, "    ---- ", IF(ABS(ROUND(100/J146*K146-100,1))&lt;999,ROUND(100/J146*K146-100,1),IF(ROUND(100/J146*K146-100,1)&gt;999,999,-999)))</f>
        <v>50.3</v>
      </c>
      <c r="M146" s="159">
        <f>IFERROR(100/'Skjema total MA'!I146*K146,0)</f>
        <v>0.98573972494048645</v>
      </c>
    </row>
    <row r="147" spans="1:14" ht="15.75" x14ac:dyDescent="0.2">
      <c r="A147" s="18" t="s">
        <v>344</v>
      </c>
      <c r="B147" s="229">
        <v>8067.5690000000004</v>
      </c>
      <c r="C147" s="229">
        <v>1786.3810000000001</v>
      </c>
      <c r="D147" s="159">
        <f t="shared" si="45"/>
        <v>-77.900000000000006</v>
      </c>
      <c r="E147" s="170">
        <f>IFERROR(100/'Skjema total MA'!C147*C147,0)</f>
        <v>0.32038324786022337</v>
      </c>
      <c r="F147" s="229"/>
      <c r="G147" s="229"/>
      <c r="H147" s="159"/>
      <c r="I147" s="170"/>
      <c r="J147" s="288">
        <v>8067.5690000000004</v>
      </c>
      <c r="K147" s="37">
        <v>1786.3810000000001</v>
      </c>
      <c r="L147" s="256">
        <f t="shared" si="43"/>
        <v>-77.900000000000006</v>
      </c>
      <c r="M147" s="170">
        <f>IFERROR(100/'Skjema total MA'!I147*K147,0)</f>
        <v>0.28706376305759101</v>
      </c>
    </row>
    <row r="148" spans="1:14" ht="15.75" x14ac:dyDescent="0.2">
      <c r="A148" s="18" t="s">
        <v>336</v>
      </c>
      <c r="B148" s="229"/>
      <c r="C148" s="229"/>
      <c r="D148" s="159"/>
      <c r="E148" s="170"/>
      <c r="F148" s="229">
        <v>124786.675</v>
      </c>
      <c r="G148" s="229">
        <v>204746.103</v>
      </c>
      <c r="H148" s="159">
        <f t="shared" si="44"/>
        <v>64.099999999999994</v>
      </c>
      <c r="I148" s="170">
        <f>IFERROR(100/'Skjema total MA'!F148*G148,0)</f>
        <v>18.171334944365576</v>
      </c>
      <c r="J148" s="288">
        <v>124786.675</v>
      </c>
      <c r="K148" s="37">
        <v>204746.103</v>
      </c>
      <c r="L148" s="256">
        <f t="shared" si="43"/>
        <v>64.099999999999994</v>
      </c>
      <c r="M148" s="170">
        <f>IFERROR(100/'Skjema total MA'!I148*K148,0)</f>
        <v>18.171110827921112</v>
      </c>
    </row>
    <row r="149" spans="1:14" ht="15.75" x14ac:dyDescent="0.2">
      <c r="A149" s="18" t="s">
        <v>335</v>
      </c>
      <c r="B149" s="229"/>
      <c r="C149" s="229"/>
      <c r="D149" s="159"/>
      <c r="E149" s="170"/>
      <c r="F149" s="229"/>
      <c r="G149" s="229"/>
      <c r="H149" s="159"/>
      <c r="I149" s="170"/>
      <c r="J149" s="288"/>
      <c r="K149" s="37"/>
      <c r="L149" s="256"/>
      <c r="M149" s="170"/>
    </row>
    <row r="150" spans="1:14" ht="15.75" x14ac:dyDescent="0.2">
      <c r="A150" s="11" t="s">
        <v>26</v>
      </c>
      <c r="B150" s="310">
        <v>279442.435</v>
      </c>
      <c r="C150" s="152">
        <v>156609.19600000003</v>
      </c>
      <c r="D150" s="159">
        <f t="shared" si="42"/>
        <v>-44</v>
      </c>
      <c r="E150" s="170">
        <f>IFERROR(100/'Skjema total MA'!C150*C150,0)</f>
        <v>17.939680043753292</v>
      </c>
      <c r="F150" s="310">
        <v>1180160.2120000001</v>
      </c>
      <c r="G150" s="152">
        <v>1463386.513</v>
      </c>
      <c r="H150" s="159">
        <f t="shared" si="44"/>
        <v>24</v>
      </c>
      <c r="I150" s="170">
        <f>IFERROR(100/'Skjema total MA'!F150*G150,0)</f>
        <v>23.591442783518346</v>
      </c>
      <c r="J150" s="311">
        <v>1459602.6470000001</v>
      </c>
      <c r="K150" s="231">
        <v>1619995.709</v>
      </c>
      <c r="L150" s="256">
        <f t="shared" si="43"/>
        <v>11</v>
      </c>
      <c r="M150" s="170">
        <f>IFERROR(100/'Skjema total MA'!I150*K150,0)</f>
        <v>22.894178079899774</v>
      </c>
    </row>
    <row r="151" spans="1:14" x14ac:dyDescent="0.2">
      <c r="A151" s="18" t="s">
        <v>9</v>
      </c>
      <c r="B151" s="229">
        <v>276885.76000000001</v>
      </c>
      <c r="C151" s="139">
        <v>154890.95800000001</v>
      </c>
      <c r="D151" s="159">
        <f t="shared" si="42"/>
        <v>-44.1</v>
      </c>
      <c r="E151" s="170">
        <f>IFERROR(100/'Skjema total MA'!C151*C151,0)</f>
        <v>18.736013472214758</v>
      </c>
      <c r="F151" s="229"/>
      <c r="G151" s="139"/>
      <c r="H151" s="159"/>
      <c r="I151" s="170"/>
      <c r="J151" s="288">
        <v>276885.76000000001</v>
      </c>
      <c r="K151" s="37">
        <v>154890.95800000001</v>
      </c>
      <c r="L151" s="256">
        <f t="shared" si="43"/>
        <v>-44.1</v>
      </c>
      <c r="M151" s="170">
        <f>IFERROR(100/'Skjema total MA'!I151*K151,0)</f>
        <v>18.736013472214758</v>
      </c>
    </row>
    <row r="152" spans="1:14" x14ac:dyDescent="0.2">
      <c r="A152" s="18" t="s">
        <v>10</v>
      </c>
      <c r="B152" s="229">
        <v>2556.6750000000002</v>
      </c>
      <c r="C152" s="139">
        <v>1718.2380000000001</v>
      </c>
      <c r="D152" s="159">
        <f t="shared" si="42"/>
        <v>-32.799999999999997</v>
      </c>
      <c r="E152" s="170">
        <f>IFERROR(100/'Skjema total MA'!C152*C152,0)</f>
        <v>3.7131228001564329</v>
      </c>
      <c r="F152" s="229">
        <v>1180160.2120000001</v>
      </c>
      <c r="G152" s="139">
        <v>1463386.513</v>
      </c>
      <c r="H152" s="159">
        <f t="shared" si="44"/>
        <v>24</v>
      </c>
      <c r="I152" s="170">
        <f>IFERROR(100/'Skjema total MA'!F152*G152,0)</f>
        <v>23.591442783518346</v>
      </c>
      <c r="J152" s="288">
        <v>1182716.8870000001</v>
      </c>
      <c r="K152" s="37">
        <v>1465104.7509999999</v>
      </c>
      <c r="L152" s="256">
        <f t="shared" si="43"/>
        <v>23.9</v>
      </c>
      <c r="M152" s="170">
        <f>IFERROR(100/'Skjema total MA'!I152*K152,0)</f>
        <v>23.444248372084186</v>
      </c>
    </row>
    <row r="153" spans="1:14" x14ac:dyDescent="0.2">
      <c r="A153" s="18" t="s">
        <v>34</v>
      </c>
      <c r="B153" s="229"/>
      <c r="C153" s="139"/>
      <c r="D153" s="159"/>
      <c r="E153" s="170"/>
      <c r="F153" s="229"/>
      <c r="G153" s="139"/>
      <c r="H153" s="159"/>
      <c r="I153" s="170"/>
      <c r="J153" s="288"/>
      <c r="K153" s="37"/>
      <c r="L153" s="256"/>
      <c r="M153" s="170"/>
    </row>
    <row r="154" spans="1:14" x14ac:dyDescent="0.2">
      <c r="A154" s="298" t="s">
        <v>14</v>
      </c>
      <c r="B154" s="282"/>
      <c r="C154" s="282"/>
      <c r="D154" s="159"/>
      <c r="E154" s="237"/>
      <c r="F154" s="282"/>
      <c r="G154" s="282"/>
      <c r="H154" s="159"/>
      <c r="I154" s="237"/>
      <c r="J154" s="291"/>
      <c r="K154" s="291"/>
      <c r="L154" s="159"/>
      <c r="M154" s="159"/>
    </row>
    <row r="155" spans="1:14" ht="15.75" x14ac:dyDescent="0.2">
      <c r="A155" s="18" t="s">
        <v>333</v>
      </c>
      <c r="B155" s="229">
        <v>3776.5230000000001</v>
      </c>
      <c r="C155" s="229">
        <v>7354.7839999999997</v>
      </c>
      <c r="D155" s="159">
        <f t="shared" si="42"/>
        <v>94.8</v>
      </c>
      <c r="E155" s="170">
        <f>IFERROR(100/'Skjema total MA'!C155*C155,0)</f>
        <v>9.8638929219976799</v>
      </c>
      <c r="F155" s="229"/>
      <c r="G155" s="229"/>
      <c r="H155" s="159"/>
      <c r="I155" s="170"/>
      <c r="J155" s="288">
        <v>3776.5230000000001</v>
      </c>
      <c r="K155" s="37">
        <v>7354.7839999999997</v>
      </c>
      <c r="L155" s="256">
        <f t="shared" si="43"/>
        <v>94.8</v>
      </c>
      <c r="M155" s="170">
        <f>IFERROR(100/'Skjema total MA'!I155*K155,0)</f>
        <v>6.6778273341696286</v>
      </c>
    </row>
    <row r="156" spans="1:14" ht="15.75" x14ac:dyDescent="0.2">
      <c r="A156" s="18" t="s">
        <v>334</v>
      </c>
      <c r="B156" s="229">
        <v>2556.6750000000002</v>
      </c>
      <c r="C156" s="229">
        <v>1718.2380000000001</v>
      </c>
      <c r="D156" s="159">
        <f t="shared" si="42"/>
        <v>-32.799999999999997</v>
      </c>
      <c r="E156" s="170">
        <f>IFERROR(100/'Skjema total MA'!C156*C156,0)</f>
        <v>46.743785314911193</v>
      </c>
      <c r="F156" s="229">
        <v>129696.789</v>
      </c>
      <c r="G156" s="229">
        <v>83109.455000000002</v>
      </c>
      <c r="H156" s="159">
        <f t="shared" si="44"/>
        <v>-35.9</v>
      </c>
      <c r="I156" s="170">
        <f>IFERROR(100/'Skjema total MA'!F156*G156,0)</f>
        <v>9.1718547732524396</v>
      </c>
      <c r="J156" s="288">
        <v>132253.46400000001</v>
      </c>
      <c r="K156" s="37">
        <v>84827.692999999999</v>
      </c>
      <c r="L156" s="256">
        <f t="shared" si="43"/>
        <v>-35.9</v>
      </c>
      <c r="M156" s="170">
        <f>IFERROR(100/'Skjema total MA'!I156*K156,0)</f>
        <v>9.3236546697344664</v>
      </c>
    </row>
    <row r="157" spans="1:14" ht="15.75" x14ac:dyDescent="0.2">
      <c r="A157" s="9" t="s">
        <v>335</v>
      </c>
      <c r="B157" s="38"/>
      <c r="C157" s="38"/>
      <c r="D157" s="160"/>
      <c r="E157" s="201"/>
      <c r="F157" s="38"/>
      <c r="G157" s="38"/>
      <c r="H157" s="160"/>
      <c r="I157" s="160"/>
      <c r="J157" s="289"/>
      <c r="K157" s="38"/>
      <c r="L157" s="257"/>
      <c r="M157" s="160"/>
    </row>
    <row r="158" spans="1:14" x14ac:dyDescent="0.2">
      <c r="A158" s="148"/>
      <c r="L158" s="20"/>
      <c r="M158" s="20"/>
      <c r="N158" s="20"/>
    </row>
    <row r="159" spans="1:14" x14ac:dyDescent="0.2">
      <c r="L159" s="20"/>
      <c r="M159" s="20"/>
      <c r="N159" s="20"/>
    </row>
    <row r="160" spans="1:14" ht="15.75" x14ac:dyDescent="0.25">
      <c r="A160" s="158" t="s">
        <v>35</v>
      </c>
    </row>
    <row r="161" spans="1:14" ht="15.75" x14ac:dyDescent="0.25">
      <c r="B161" s="832"/>
      <c r="C161" s="832"/>
      <c r="D161" s="832"/>
      <c r="E161" s="301"/>
      <c r="F161" s="832"/>
      <c r="G161" s="832"/>
      <c r="H161" s="832"/>
      <c r="I161" s="301"/>
      <c r="J161" s="832"/>
      <c r="K161" s="832"/>
      <c r="L161" s="832"/>
      <c r="M161" s="301"/>
    </row>
    <row r="162" spans="1:14" s="3" customFormat="1" x14ac:dyDescent="0.2">
      <c r="A162" s="138"/>
      <c r="B162" s="833" t="s">
        <v>0</v>
      </c>
      <c r="C162" s="834"/>
      <c r="D162" s="834"/>
      <c r="E162" s="303"/>
      <c r="F162" s="833" t="s">
        <v>1</v>
      </c>
      <c r="G162" s="834"/>
      <c r="H162" s="834"/>
      <c r="I162" s="306"/>
      <c r="J162" s="833" t="s">
        <v>2</v>
      </c>
      <c r="K162" s="834"/>
      <c r="L162" s="834"/>
      <c r="M162" s="306"/>
      <c r="N162" s="142"/>
    </row>
    <row r="163" spans="1:14" s="3" customFormat="1" x14ac:dyDescent="0.2">
      <c r="A163" s="134"/>
      <c r="B163" s="145" t="s">
        <v>400</v>
      </c>
      <c r="C163" s="145" t="s">
        <v>401</v>
      </c>
      <c r="D163" s="242" t="s">
        <v>3</v>
      </c>
      <c r="E163" s="307" t="s">
        <v>37</v>
      </c>
      <c r="F163" s="145" t="s">
        <v>400</v>
      </c>
      <c r="G163" s="145" t="s">
        <v>401</v>
      </c>
      <c r="H163" s="242" t="s">
        <v>3</v>
      </c>
      <c r="I163" s="307" t="s">
        <v>37</v>
      </c>
      <c r="J163" s="145" t="s">
        <v>400</v>
      </c>
      <c r="K163" s="145" t="s">
        <v>401</v>
      </c>
      <c r="L163" s="242" t="s">
        <v>3</v>
      </c>
      <c r="M163" s="155" t="s">
        <v>37</v>
      </c>
      <c r="N163" s="142"/>
    </row>
    <row r="164" spans="1:14" s="3" customFormat="1" x14ac:dyDescent="0.2">
      <c r="A164" s="403"/>
      <c r="B164" s="149"/>
      <c r="C164" s="149"/>
      <c r="D164" s="243" t="s">
        <v>4</v>
      </c>
      <c r="E164" s="149" t="s">
        <v>38</v>
      </c>
      <c r="F164" s="154"/>
      <c r="G164" s="154"/>
      <c r="H164" s="242" t="s">
        <v>4</v>
      </c>
      <c r="I164" s="149" t="s">
        <v>38</v>
      </c>
      <c r="J164" s="154"/>
      <c r="K164" s="154"/>
      <c r="L164" s="242" t="s">
        <v>4</v>
      </c>
      <c r="M164" s="149" t="s">
        <v>38</v>
      </c>
      <c r="N164" s="142"/>
    </row>
    <row r="165" spans="1:14" s="3" customFormat="1" ht="15.75" x14ac:dyDescent="0.2">
      <c r="A165" s="12" t="s">
        <v>337</v>
      </c>
      <c r="B165" s="231"/>
      <c r="C165" s="311"/>
      <c r="D165" s="251"/>
      <c r="E165" s="170"/>
      <c r="F165" s="318"/>
      <c r="G165" s="319"/>
      <c r="H165" s="252"/>
      <c r="I165" s="159"/>
      <c r="J165" s="320"/>
      <c r="K165" s="320"/>
      <c r="L165" s="255"/>
      <c r="M165" s="170"/>
      <c r="N165" s="142"/>
    </row>
    <row r="166" spans="1:14" s="3" customFormat="1" ht="15.75" x14ac:dyDescent="0.2">
      <c r="A166" s="11" t="s">
        <v>338</v>
      </c>
      <c r="B166" s="231"/>
      <c r="C166" s="311"/>
      <c r="D166" s="159"/>
      <c r="E166" s="170"/>
      <c r="F166" s="231"/>
      <c r="G166" s="311"/>
      <c r="H166" s="236"/>
      <c r="I166" s="159"/>
      <c r="J166" s="310"/>
      <c r="K166" s="310"/>
      <c r="L166" s="256"/>
      <c r="M166" s="170"/>
      <c r="N166" s="142"/>
    </row>
    <row r="167" spans="1:14" s="3" customFormat="1" ht="15.75" x14ac:dyDescent="0.2">
      <c r="A167" s="11" t="s">
        <v>339</v>
      </c>
      <c r="B167" s="231"/>
      <c r="C167" s="311"/>
      <c r="D167" s="159"/>
      <c r="E167" s="170"/>
      <c r="F167" s="231"/>
      <c r="G167" s="311"/>
      <c r="H167" s="236"/>
      <c r="I167" s="159"/>
      <c r="J167" s="310"/>
      <c r="K167" s="310"/>
      <c r="L167" s="256"/>
      <c r="M167" s="170"/>
      <c r="N167" s="142"/>
    </row>
    <row r="168" spans="1:14" s="3" customFormat="1" ht="15.75" x14ac:dyDescent="0.2">
      <c r="A168" s="11" t="s">
        <v>340</v>
      </c>
      <c r="B168" s="231"/>
      <c r="C168" s="311"/>
      <c r="D168" s="159"/>
      <c r="E168" s="170"/>
      <c r="F168" s="231"/>
      <c r="G168" s="311"/>
      <c r="H168" s="236"/>
      <c r="I168" s="159"/>
      <c r="J168" s="310"/>
      <c r="K168" s="310"/>
      <c r="L168" s="256"/>
      <c r="M168" s="170"/>
      <c r="N168" s="142"/>
    </row>
    <row r="169" spans="1:14" s="3" customFormat="1" ht="15.75" x14ac:dyDescent="0.2">
      <c r="A169" s="34" t="s">
        <v>341</v>
      </c>
      <c r="B169" s="277"/>
      <c r="C169" s="317"/>
      <c r="D169" s="160"/>
      <c r="E169" s="201"/>
      <c r="F169" s="277"/>
      <c r="G169" s="317"/>
      <c r="H169" s="239"/>
      <c r="I169" s="160"/>
      <c r="J169" s="316"/>
      <c r="K169" s="316"/>
      <c r="L169" s="257"/>
      <c r="M169" s="160"/>
      <c r="N169" s="142"/>
    </row>
    <row r="170" spans="1:14" s="3" customFormat="1" x14ac:dyDescent="0.2">
      <c r="A170" s="161"/>
      <c r="B170" s="27"/>
      <c r="C170" s="27"/>
      <c r="D170" s="152"/>
      <c r="E170" s="152"/>
      <c r="F170" s="27"/>
      <c r="G170" s="27"/>
      <c r="H170" s="152"/>
      <c r="I170" s="152"/>
      <c r="J170" s="27"/>
      <c r="K170" s="27"/>
      <c r="L170" s="152"/>
      <c r="M170" s="152"/>
      <c r="N170" s="142"/>
    </row>
    <row r="171" spans="1:14" x14ac:dyDescent="0.2">
      <c r="A171" s="161"/>
      <c r="B171" s="27"/>
      <c r="C171" s="27"/>
      <c r="D171" s="152"/>
      <c r="E171" s="152"/>
      <c r="F171" s="27"/>
      <c r="G171" s="27"/>
      <c r="H171" s="152"/>
      <c r="I171" s="152"/>
      <c r="J171" s="27"/>
      <c r="K171" s="27"/>
      <c r="L171" s="152"/>
      <c r="M171" s="152"/>
      <c r="N171" s="142"/>
    </row>
    <row r="172" spans="1:14" x14ac:dyDescent="0.2">
      <c r="A172" s="161"/>
      <c r="B172" s="27"/>
      <c r="C172" s="27"/>
      <c r="D172" s="152"/>
      <c r="E172" s="152"/>
      <c r="F172" s="27"/>
      <c r="G172" s="27"/>
      <c r="H172" s="152"/>
      <c r="I172" s="152"/>
      <c r="J172" s="27"/>
      <c r="K172" s="27"/>
      <c r="L172" s="152"/>
      <c r="M172" s="152"/>
      <c r="N172" s="142"/>
    </row>
    <row r="173" spans="1:14" x14ac:dyDescent="0.2">
      <c r="A173" s="140"/>
      <c r="B173" s="140"/>
      <c r="C173" s="140"/>
      <c r="D173" s="140"/>
      <c r="E173" s="140"/>
      <c r="F173" s="140"/>
      <c r="G173" s="140"/>
      <c r="H173" s="140"/>
      <c r="I173" s="140"/>
      <c r="J173" s="140"/>
      <c r="K173" s="140"/>
      <c r="L173" s="140"/>
      <c r="M173" s="140"/>
      <c r="N173" s="140"/>
    </row>
    <row r="174" spans="1:14" ht="15.75" x14ac:dyDescent="0.25">
      <c r="B174" s="136"/>
      <c r="C174" s="136"/>
      <c r="D174" s="136"/>
      <c r="E174" s="136"/>
      <c r="F174" s="136"/>
      <c r="G174" s="136"/>
      <c r="H174" s="136"/>
      <c r="I174" s="136"/>
      <c r="J174" s="136"/>
      <c r="K174" s="136"/>
      <c r="L174" s="136"/>
      <c r="M174" s="136"/>
      <c r="N174" s="136"/>
    </row>
    <row r="175" spans="1:14" ht="15.75" x14ac:dyDescent="0.25">
      <c r="B175" s="150"/>
      <c r="C175" s="150"/>
      <c r="D175" s="150"/>
      <c r="E175" s="150"/>
      <c r="F175" s="150"/>
      <c r="G175" s="150"/>
      <c r="H175" s="150"/>
      <c r="I175" s="150"/>
      <c r="J175" s="150"/>
      <c r="K175" s="150"/>
      <c r="L175" s="150"/>
      <c r="M175" s="150"/>
      <c r="N175" s="150"/>
    </row>
    <row r="176" spans="1:14" ht="15.75" x14ac:dyDescent="0.25">
      <c r="B176" s="150"/>
      <c r="C176" s="150"/>
      <c r="D176" s="150"/>
      <c r="E176" s="150"/>
      <c r="F176" s="150"/>
      <c r="G176" s="150"/>
      <c r="H176" s="150"/>
      <c r="I176" s="150"/>
      <c r="J176" s="150"/>
      <c r="K176" s="150"/>
      <c r="L176" s="150"/>
      <c r="M176" s="150"/>
      <c r="N176" s="150"/>
    </row>
  </sheetData>
  <mergeCells count="28">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22:D22"/>
    <mergeCell ref="F22:H22"/>
    <mergeCell ref="J22:L22"/>
    <mergeCell ref="D47:F47"/>
    <mergeCell ref="G47:I47"/>
    <mergeCell ref="J47:L47"/>
  </mergeCells>
  <conditionalFormatting sqref="B57:C59">
    <cfRule type="expression" dxfId="935" priority="132">
      <formula>kvartal &lt; 4</formula>
    </cfRule>
  </conditionalFormatting>
  <conditionalFormatting sqref="B63:C65">
    <cfRule type="expression" dxfId="934" priority="131">
      <formula>kvartal &lt; 4</formula>
    </cfRule>
  </conditionalFormatting>
  <conditionalFormatting sqref="B37">
    <cfRule type="expression" dxfId="933" priority="130">
      <formula>kvartal &lt; 4</formula>
    </cfRule>
  </conditionalFormatting>
  <conditionalFormatting sqref="B38">
    <cfRule type="expression" dxfId="932" priority="129">
      <formula>kvartal &lt; 4</formula>
    </cfRule>
  </conditionalFormatting>
  <conditionalFormatting sqref="B39">
    <cfRule type="expression" dxfId="931" priority="128">
      <formula>kvartal &lt; 4</formula>
    </cfRule>
  </conditionalFormatting>
  <conditionalFormatting sqref="A34">
    <cfRule type="expression" dxfId="930" priority="1">
      <formula>kvartal &lt; 4</formula>
    </cfRule>
  </conditionalFormatting>
  <conditionalFormatting sqref="C37">
    <cfRule type="expression" dxfId="929" priority="127">
      <formula>kvartal &lt; 4</formula>
    </cfRule>
  </conditionalFormatting>
  <conditionalFormatting sqref="C38">
    <cfRule type="expression" dxfId="928" priority="126">
      <formula>kvartal &lt; 4</formula>
    </cfRule>
  </conditionalFormatting>
  <conditionalFormatting sqref="C39">
    <cfRule type="expression" dxfId="927" priority="125">
      <formula>kvartal &lt; 4</formula>
    </cfRule>
  </conditionalFormatting>
  <conditionalFormatting sqref="B26:C28">
    <cfRule type="expression" dxfId="926" priority="124">
      <formula>kvartal &lt; 4</formula>
    </cfRule>
  </conditionalFormatting>
  <conditionalFormatting sqref="B32:C33">
    <cfRule type="expression" dxfId="925" priority="123">
      <formula>kvartal &lt; 4</formula>
    </cfRule>
  </conditionalFormatting>
  <conditionalFormatting sqref="B34">
    <cfRule type="expression" dxfId="924" priority="122">
      <formula>kvartal &lt; 4</formula>
    </cfRule>
  </conditionalFormatting>
  <conditionalFormatting sqref="C34">
    <cfRule type="expression" dxfId="923" priority="121">
      <formula>kvartal &lt; 4</formula>
    </cfRule>
  </conditionalFormatting>
  <conditionalFormatting sqref="F26:G28">
    <cfRule type="expression" dxfId="922" priority="120">
      <formula>kvartal &lt; 4</formula>
    </cfRule>
  </conditionalFormatting>
  <conditionalFormatting sqref="F32">
    <cfRule type="expression" dxfId="921" priority="119">
      <formula>kvartal &lt; 4</formula>
    </cfRule>
  </conditionalFormatting>
  <conditionalFormatting sqref="G32">
    <cfRule type="expression" dxfId="920" priority="118">
      <formula>kvartal &lt; 4</formula>
    </cfRule>
  </conditionalFormatting>
  <conditionalFormatting sqref="F33">
    <cfRule type="expression" dxfId="919" priority="117">
      <formula>kvartal &lt; 4</formula>
    </cfRule>
  </conditionalFormatting>
  <conditionalFormatting sqref="G33">
    <cfRule type="expression" dxfId="918" priority="116">
      <formula>kvartal &lt; 4</formula>
    </cfRule>
  </conditionalFormatting>
  <conditionalFormatting sqref="F34">
    <cfRule type="expression" dxfId="917" priority="115">
      <formula>kvartal &lt; 4</formula>
    </cfRule>
  </conditionalFormatting>
  <conditionalFormatting sqref="G34">
    <cfRule type="expression" dxfId="916" priority="114">
      <formula>kvartal &lt; 4</formula>
    </cfRule>
  </conditionalFormatting>
  <conditionalFormatting sqref="F37">
    <cfRule type="expression" dxfId="915" priority="113">
      <formula>kvartal &lt; 4</formula>
    </cfRule>
  </conditionalFormatting>
  <conditionalFormatting sqref="F38">
    <cfRule type="expression" dxfId="914" priority="112">
      <formula>kvartal &lt; 4</formula>
    </cfRule>
  </conditionalFormatting>
  <conditionalFormatting sqref="F39">
    <cfRule type="expression" dxfId="913" priority="111">
      <formula>kvartal &lt; 4</formula>
    </cfRule>
  </conditionalFormatting>
  <conditionalFormatting sqref="G37">
    <cfRule type="expression" dxfId="912" priority="110">
      <formula>kvartal &lt; 4</formula>
    </cfRule>
  </conditionalFormatting>
  <conditionalFormatting sqref="G38">
    <cfRule type="expression" dxfId="911" priority="109">
      <formula>kvartal &lt; 4</formula>
    </cfRule>
  </conditionalFormatting>
  <conditionalFormatting sqref="G39">
    <cfRule type="expression" dxfId="910" priority="108">
      <formula>kvartal &lt; 4</formula>
    </cfRule>
  </conditionalFormatting>
  <conditionalFormatting sqref="B29">
    <cfRule type="expression" dxfId="909" priority="107">
      <formula>kvartal &lt; 4</formula>
    </cfRule>
  </conditionalFormatting>
  <conditionalFormatting sqref="C29">
    <cfRule type="expression" dxfId="908" priority="106">
      <formula>kvartal &lt; 4</formula>
    </cfRule>
  </conditionalFormatting>
  <conditionalFormatting sqref="F29">
    <cfRule type="expression" dxfId="907" priority="105">
      <formula>kvartal &lt; 4</formula>
    </cfRule>
  </conditionalFormatting>
  <conditionalFormatting sqref="G29">
    <cfRule type="expression" dxfId="906" priority="104">
      <formula>kvartal &lt; 4</formula>
    </cfRule>
  </conditionalFormatting>
  <conditionalFormatting sqref="J26:K29">
    <cfRule type="expression" dxfId="905" priority="103">
      <formula>kvartal &lt; 4</formula>
    </cfRule>
  </conditionalFormatting>
  <conditionalFormatting sqref="J32:K34">
    <cfRule type="expression" dxfId="904" priority="102">
      <formula>kvartal &lt; 4</formula>
    </cfRule>
  </conditionalFormatting>
  <conditionalFormatting sqref="J37:K39">
    <cfRule type="expression" dxfId="903" priority="101">
      <formula>kvartal &lt; 4</formula>
    </cfRule>
  </conditionalFormatting>
  <conditionalFormatting sqref="B82">
    <cfRule type="expression" dxfId="902" priority="100">
      <formula>kvartal &lt; 4</formula>
    </cfRule>
  </conditionalFormatting>
  <conditionalFormatting sqref="C82">
    <cfRule type="expression" dxfId="901" priority="99">
      <formula>kvartal &lt; 4</formula>
    </cfRule>
  </conditionalFormatting>
  <conditionalFormatting sqref="B85">
    <cfRule type="expression" dxfId="900" priority="98">
      <formula>kvartal &lt; 4</formula>
    </cfRule>
  </conditionalFormatting>
  <conditionalFormatting sqref="C85">
    <cfRule type="expression" dxfId="899" priority="97">
      <formula>kvartal &lt; 4</formula>
    </cfRule>
  </conditionalFormatting>
  <conditionalFormatting sqref="B92">
    <cfRule type="expression" dxfId="898" priority="96">
      <formula>kvartal &lt; 4</formula>
    </cfRule>
  </conditionalFormatting>
  <conditionalFormatting sqref="C92">
    <cfRule type="expression" dxfId="897" priority="95">
      <formula>kvartal &lt; 4</formula>
    </cfRule>
  </conditionalFormatting>
  <conditionalFormatting sqref="B95">
    <cfRule type="expression" dxfId="896" priority="94">
      <formula>kvartal &lt; 4</formula>
    </cfRule>
  </conditionalFormatting>
  <conditionalFormatting sqref="C95">
    <cfRule type="expression" dxfId="895" priority="93">
      <formula>kvartal &lt; 4</formula>
    </cfRule>
  </conditionalFormatting>
  <conditionalFormatting sqref="B102">
    <cfRule type="expression" dxfId="894" priority="92">
      <formula>kvartal &lt; 4</formula>
    </cfRule>
  </conditionalFormatting>
  <conditionalFormatting sqref="C102">
    <cfRule type="expression" dxfId="893" priority="91">
      <formula>kvartal &lt; 4</formula>
    </cfRule>
  </conditionalFormatting>
  <conditionalFormatting sqref="B105">
    <cfRule type="expression" dxfId="892" priority="90">
      <formula>kvartal &lt; 4</formula>
    </cfRule>
  </conditionalFormatting>
  <conditionalFormatting sqref="C105">
    <cfRule type="expression" dxfId="891" priority="89">
      <formula>kvartal &lt; 4</formula>
    </cfRule>
  </conditionalFormatting>
  <conditionalFormatting sqref="B112">
    <cfRule type="expression" dxfId="890" priority="88">
      <formula>kvartal &lt; 4</formula>
    </cfRule>
  </conditionalFormatting>
  <conditionalFormatting sqref="C112">
    <cfRule type="expression" dxfId="889" priority="87">
      <formula>kvartal &lt; 4</formula>
    </cfRule>
  </conditionalFormatting>
  <conditionalFormatting sqref="B115">
    <cfRule type="expression" dxfId="888" priority="86">
      <formula>kvartal &lt; 4</formula>
    </cfRule>
  </conditionalFormatting>
  <conditionalFormatting sqref="C115">
    <cfRule type="expression" dxfId="887" priority="85">
      <formula>kvartal &lt; 4</formula>
    </cfRule>
  </conditionalFormatting>
  <conditionalFormatting sqref="B122">
    <cfRule type="expression" dxfId="886" priority="84">
      <formula>kvartal &lt; 4</formula>
    </cfRule>
  </conditionalFormatting>
  <conditionalFormatting sqref="C122">
    <cfRule type="expression" dxfId="885" priority="83">
      <formula>kvartal &lt; 4</formula>
    </cfRule>
  </conditionalFormatting>
  <conditionalFormatting sqref="B125">
    <cfRule type="expression" dxfId="884" priority="82">
      <formula>kvartal &lt; 4</formula>
    </cfRule>
  </conditionalFormatting>
  <conditionalFormatting sqref="C125">
    <cfRule type="expression" dxfId="883" priority="81">
      <formula>kvartal &lt; 4</formula>
    </cfRule>
  </conditionalFormatting>
  <conditionalFormatting sqref="B132">
    <cfRule type="expression" dxfId="882" priority="80">
      <formula>kvartal &lt; 4</formula>
    </cfRule>
  </conditionalFormatting>
  <conditionalFormatting sqref="C132">
    <cfRule type="expression" dxfId="881" priority="79">
      <formula>kvartal &lt; 4</formula>
    </cfRule>
  </conditionalFormatting>
  <conditionalFormatting sqref="B135">
    <cfRule type="expression" dxfId="880" priority="78">
      <formula>kvartal &lt; 4</formula>
    </cfRule>
  </conditionalFormatting>
  <conditionalFormatting sqref="C135">
    <cfRule type="expression" dxfId="879" priority="77">
      <formula>kvartal &lt; 4</formula>
    </cfRule>
  </conditionalFormatting>
  <conditionalFormatting sqref="B146">
    <cfRule type="expression" dxfId="878" priority="76">
      <formula>kvartal &lt; 4</formula>
    </cfRule>
  </conditionalFormatting>
  <conditionalFormatting sqref="C146">
    <cfRule type="expression" dxfId="877" priority="75">
      <formula>kvartal &lt; 4</formula>
    </cfRule>
  </conditionalFormatting>
  <conditionalFormatting sqref="B154">
    <cfRule type="expression" dxfId="876" priority="74">
      <formula>kvartal &lt; 4</formula>
    </cfRule>
  </conditionalFormatting>
  <conditionalFormatting sqref="C154">
    <cfRule type="expression" dxfId="875" priority="73">
      <formula>kvartal &lt; 4</formula>
    </cfRule>
  </conditionalFormatting>
  <conditionalFormatting sqref="F83">
    <cfRule type="expression" dxfId="874" priority="72">
      <formula>kvartal &lt; 4</formula>
    </cfRule>
  </conditionalFormatting>
  <conditionalFormatting sqref="G83">
    <cfRule type="expression" dxfId="873" priority="71">
      <formula>kvartal &lt; 4</formula>
    </cfRule>
  </conditionalFormatting>
  <conditionalFormatting sqref="F84:G84">
    <cfRule type="expression" dxfId="872" priority="70">
      <formula>kvartal &lt; 4</formula>
    </cfRule>
  </conditionalFormatting>
  <conditionalFormatting sqref="F86:G87">
    <cfRule type="expression" dxfId="871" priority="69">
      <formula>kvartal &lt; 4</formula>
    </cfRule>
  </conditionalFormatting>
  <conditionalFormatting sqref="F93:G94">
    <cfRule type="expression" dxfId="870" priority="68">
      <formula>kvartal &lt; 4</formula>
    </cfRule>
  </conditionalFormatting>
  <conditionalFormatting sqref="F96:G97">
    <cfRule type="expression" dxfId="869" priority="67">
      <formula>kvartal &lt; 4</formula>
    </cfRule>
  </conditionalFormatting>
  <conditionalFormatting sqref="F103:G104">
    <cfRule type="expression" dxfId="868" priority="66">
      <formula>kvartal &lt; 4</formula>
    </cfRule>
  </conditionalFormatting>
  <conditionalFormatting sqref="F106:G107">
    <cfRule type="expression" dxfId="867" priority="65">
      <formula>kvartal &lt; 4</formula>
    </cfRule>
  </conditionalFormatting>
  <conditionalFormatting sqref="F113:G114">
    <cfRule type="expression" dxfId="866" priority="64">
      <formula>kvartal &lt; 4</formula>
    </cfRule>
  </conditionalFormatting>
  <conditionalFormatting sqref="F116:G117">
    <cfRule type="expression" dxfId="865" priority="63">
      <formula>kvartal &lt; 4</formula>
    </cfRule>
  </conditionalFormatting>
  <conditionalFormatting sqref="F123:G124">
    <cfRule type="expression" dxfId="864" priority="62">
      <formula>kvartal &lt; 4</formula>
    </cfRule>
  </conditionalFormatting>
  <conditionalFormatting sqref="F126:G127">
    <cfRule type="expression" dxfId="863" priority="61">
      <formula>kvartal &lt; 4</formula>
    </cfRule>
  </conditionalFormatting>
  <conditionalFormatting sqref="F133:G134">
    <cfRule type="expression" dxfId="862" priority="60">
      <formula>kvartal &lt; 4</formula>
    </cfRule>
  </conditionalFormatting>
  <conditionalFormatting sqref="F136:G137">
    <cfRule type="expression" dxfId="861" priority="59">
      <formula>kvartal &lt; 4</formula>
    </cfRule>
  </conditionalFormatting>
  <conditionalFormatting sqref="F146">
    <cfRule type="expression" dxfId="860" priority="58">
      <formula>kvartal &lt; 4</formula>
    </cfRule>
  </conditionalFormatting>
  <conditionalFormatting sqref="G146">
    <cfRule type="expression" dxfId="859" priority="57">
      <formula>kvartal &lt; 4</formula>
    </cfRule>
  </conditionalFormatting>
  <conditionalFormatting sqref="F154:G154">
    <cfRule type="expression" dxfId="858" priority="56">
      <formula>kvartal &lt; 4</formula>
    </cfRule>
  </conditionalFormatting>
  <conditionalFormatting sqref="F82:G82">
    <cfRule type="expression" dxfId="857" priority="55">
      <formula>kvartal &lt; 4</formula>
    </cfRule>
  </conditionalFormatting>
  <conditionalFormatting sqref="F85:G85">
    <cfRule type="expression" dxfId="856" priority="54">
      <formula>kvartal &lt; 4</formula>
    </cfRule>
  </conditionalFormatting>
  <conditionalFormatting sqref="F92:G92">
    <cfRule type="expression" dxfId="855" priority="53">
      <formula>kvartal &lt; 4</formula>
    </cfRule>
  </conditionalFormatting>
  <conditionalFormatting sqref="F95:G95">
    <cfRule type="expression" dxfId="854" priority="52">
      <formula>kvartal &lt; 4</formula>
    </cfRule>
  </conditionalFormatting>
  <conditionalFormatting sqref="F102:G102">
    <cfRule type="expression" dxfId="853" priority="51">
      <formula>kvartal &lt; 4</formula>
    </cfRule>
  </conditionalFormatting>
  <conditionalFormatting sqref="F105:G105">
    <cfRule type="expression" dxfId="852" priority="50">
      <formula>kvartal &lt; 4</formula>
    </cfRule>
  </conditionalFormatting>
  <conditionalFormatting sqref="F112:G112">
    <cfRule type="expression" dxfId="851" priority="49">
      <formula>kvartal &lt; 4</formula>
    </cfRule>
  </conditionalFormatting>
  <conditionalFormatting sqref="F115">
    <cfRule type="expression" dxfId="850" priority="48">
      <formula>kvartal &lt; 4</formula>
    </cfRule>
  </conditionalFormatting>
  <conditionalFormatting sqref="G115">
    <cfRule type="expression" dxfId="849" priority="47">
      <formula>kvartal &lt; 4</formula>
    </cfRule>
  </conditionalFormatting>
  <conditionalFormatting sqref="F122:G122">
    <cfRule type="expression" dxfId="848" priority="46">
      <formula>kvartal &lt; 4</formula>
    </cfRule>
  </conditionalFormatting>
  <conditionalFormatting sqref="F125">
    <cfRule type="expression" dxfId="847" priority="45">
      <formula>kvartal &lt; 4</formula>
    </cfRule>
  </conditionalFormatting>
  <conditionalFormatting sqref="G125">
    <cfRule type="expression" dxfId="846" priority="44">
      <formula>kvartal &lt; 4</formula>
    </cfRule>
  </conditionalFormatting>
  <conditionalFormatting sqref="F132">
    <cfRule type="expression" dxfId="845" priority="43">
      <formula>kvartal &lt; 4</formula>
    </cfRule>
  </conditionalFormatting>
  <conditionalFormatting sqref="G132">
    <cfRule type="expression" dxfId="844" priority="42">
      <formula>kvartal &lt; 4</formula>
    </cfRule>
  </conditionalFormatting>
  <conditionalFormatting sqref="G135">
    <cfRule type="expression" dxfId="843" priority="41">
      <formula>kvartal &lt; 4</formula>
    </cfRule>
  </conditionalFormatting>
  <conditionalFormatting sqref="F135">
    <cfRule type="expression" dxfId="842" priority="40">
      <formula>kvartal &lt; 4</formula>
    </cfRule>
  </conditionalFormatting>
  <conditionalFormatting sqref="J82:K86">
    <cfRule type="expression" dxfId="841" priority="39">
      <formula>kvartal &lt; 4</formula>
    </cfRule>
  </conditionalFormatting>
  <conditionalFormatting sqref="J87:K87">
    <cfRule type="expression" dxfId="840" priority="38">
      <formula>kvartal &lt; 4</formula>
    </cfRule>
  </conditionalFormatting>
  <conditionalFormatting sqref="J92:K97">
    <cfRule type="expression" dxfId="839" priority="37">
      <formula>kvartal &lt; 4</formula>
    </cfRule>
  </conditionalFormatting>
  <conditionalFormatting sqref="J102:K107">
    <cfRule type="expression" dxfId="838" priority="36">
      <formula>kvartal &lt; 4</formula>
    </cfRule>
  </conditionalFormatting>
  <conditionalFormatting sqref="J112:K117">
    <cfRule type="expression" dxfId="837" priority="35">
      <formula>kvartal &lt; 4</formula>
    </cfRule>
  </conditionalFormatting>
  <conditionalFormatting sqref="J122:K127">
    <cfRule type="expression" dxfId="836" priority="34">
      <formula>kvartal &lt; 4</formula>
    </cfRule>
  </conditionalFormatting>
  <conditionalFormatting sqref="J132:K137">
    <cfRule type="expression" dxfId="835" priority="33">
      <formula>kvartal &lt; 4</formula>
    </cfRule>
  </conditionalFormatting>
  <conditionalFormatting sqref="J146:K146">
    <cfRule type="expression" dxfId="834" priority="32">
      <formula>kvartal &lt; 4</formula>
    </cfRule>
  </conditionalFormatting>
  <conditionalFormatting sqref="J154:K154">
    <cfRule type="expression" dxfId="833" priority="31">
      <formula>kvartal &lt; 4</formula>
    </cfRule>
  </conditionalFormatting>
  <conditionalFormatting sqref="A26:A28">
    <cfRule type="expression" dxfId="832" priority="15">
      <formula>kvartal &lt; 4</formula>
    </cfRule>
  </conditionalFormatting>
  <conditionalFormatting sqref="A32:A33">
    <cfRule type="expression" dxfId="831" priority="14">
      <formula>kvartal &lt; 4</formula>
    </cfRule>
  </conditionalFormatting>
  <conditionalFormatting sqref="A37:A39">
    <cfRule type="expression" dxfId="830" priority="13">
      <formula>kvartal &lt; 4</formula>
    </cfRule>
  </conditionalFormatting>
  <conditionalFormatting sqref="A57:A59">
    <cfRule type="expression" dxfId="829" priority="12">
      <formula>kvartal &lt; 4</formula>
    </cfRule>
  </conditionalFormatting>
  <conditionalFormatting sqref="A63:A65">
    <cfRule type="expression" dxfId="828" priority="11">
      <formula>kvartal &lt; 4</formula>
    </cfRule>
  </conditionalFormatting>
  <conditionalFormatting sqref="A82:A87">
    <cfRule type="expression" dxfId="827" priority="10">
      <formula>kvartal &lt; 4</formula>
    </cfRule>
  </conditionalFormatting>
  <conditionalFormatting sqref="A92:A97">
    <cfRule type="expression" dxfId="826" priority="9">
      <formula>kvartal &lt; 4</formula>
    </cfRule>
  </conditionalFormatting>
  <conditionalFormatting sqref="A102:A107">
    <cfRule type="expression" dxfId="825" priority="8">
      <formula>kvartal &lt; 4</formula>
    </cfRule>
  </conditionalFormatting>
  <conditionalFormatting sqref="A112:A117">
    <cfRule type="expression" dxfId="824" priority="7">
      <formula>kvartal &lt; 4</formula>
    </cfRule>
  </conditionalFormatting>
  <conditionalFormatting sqref="A122:A127">
    <cfRule type="expression" dxfId="823" priority="6">
      <formula>kvartal &lt; 4</formula>
    </cfRule>
  </conditionalFormatting>
  <conditionalFormatting sqref="A132:A137">
    <cfRule type="expression" dxfId="822" priority="5">
      <formula>kvartal &lt; 4</formula>
    </cfRule>
  </conditionalFormatting>
  <conditionalFormatting sqref="A146">
    <cfRule type="expression" dxfId="821" priority="4">
      <formula>kvartal &lt; 4</formula>
    </cfRule>
  </conditionalFormatting>
  <conditionalFormatting sqref="A154">
    <cfRule type="expression" dxfId="820" priority="3">
      <formula>kvartal &lt; 4</formula>
    </cfRule>
  </conditionalFormatting>
  <conditionalFormatting sqref="A29">
    <cfRule type="expression" dxfId="819" priority="2">
      <formula>kvartal &lt; 4</formula>
    </cfRule>
  </conditionalFormatting>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6"/>
  <dimension ref="A1:N176"/>
  <sheetViews>
    <sheetView showGridLines="0" zoomScale="90" zoomScaleNormal="90" workbookViewId="0">
      <selection activeCell="A4" sqref="A4"/>
    </sheetView>
  </sheetViews>
  <sheetFormatPr baseColWidth="10" defaultColWidth="11.42578125" defaultRowHeight="12.75" x14ac:dyDescent="0.2"/>
  <cols>
    <col min="1" max="1" width="41.5703125" style="143" customWidth="1"/>
    <col min="2" max="2" width="10.85546875" style="143" customWidth="1"/>
    <col min="3" max="3" width="11" style="143" customWidth="1"/>
    <col min="4" max="5" width="8.7109375" style="143" customWidth="1"/>
    <col min="6" max="7" width="10.85546875" style="143" customWidth="1"/>
    <col min="8" max="9" width="8.7109375" style="143" customWidth="1"/>
    <col min="10" max="11" width="10.85546875" style="143" customWidth="1"/>
    <col min="12" max="13" width="8.7109375" style="143" customWidth="1"/>
    <col min="14" max="14" width="11.42578125" style="143"/>
    <col min="15" max="16384" width="11.42578125" style="1"/>
  </cols>
  <sheetData>
    <row r="1" spans="1:14" x14ac:dyDescent="0.2">
      <c r="A1" s="165" t="s">
        <v>159</v>
      </c>
      <c r="B1" s="401"/>
      <c r="C1" s="245" t="s">
        <v>169</v>
      </c>
      <c r="D1" s="20"/>
      <c r="E1" s="20"/>
      <c r="F1" s="20"/>
      <c r="G1" s="20"/>
      <c r="H1" s="20"/>
      <c r="I1" s="20"/>
      <c r="J1" s="20"/>
      <c r="K1" s="20"/>
      <c r="L1" s="20"/>
      <c r="M1" s="20"/>
    </row>
    <row r="2" spans="1:14" ht="15.75" x14ac:dyDescent="0.25">
      <c r="A2" s="158" t="s">
        <v>36</v>
      </c>
      <c r="B2" s="835"/>
      <c r="C2" s="835"/>
      <c r="D2" s="835"/>
      <c r="E2" s="301"/>
      <c r="F2" s="835"/>
      <c r="G2" s="835"/>
      <c r="H2" s="835"/>
      <c r="I2" s="301"/>
      <c r="J2" s="835"/>
      <c r="K2" s="835"/>
      <c r="L2" s="835"/>
      <c r="M2" s="301"/>
    </row>
    <row r="3" spans="1:14" ht="15.75" x14ac:dyDescent="0.25">
      <c r="A3" s="156"/>
      <c r="B3" s="301"/>
      <c r="C3" s="301"/>
      <c r="D3" s="301"/>
      <c r="E3" s="301"/>
      <c r="F3" s="301"/>
      <c r="G3" s="301"/>
      <c r="H3" s="301"/>
      <c r="I3" s="301"/>
      <c r="J3" s="301"/>
      <c r="K3" s="301"/>
      <c r="L3" s="301"/>
      <c r="M3" s="301"/>
    </row>
    <row r="4" spans="1:14" x14ac:dyDescent="0.2">
      <c r="A4" s="138"/>
      <c r="B4" s="808" t="s">
        <v>0</v>
      </c>
      <c r="C4" s="802"/>
      <c r="D4" s="802"/>
      <c r="E4" s="802"/>
      <c r="F4" s="808" t="s">
        <v>1</v>
      </c>
      <c r="G4" s="802"/>
      <c r="H4" s="802"/>
      <c r="I4" s="803"/>
      <c r="J4" s="801" t="s">
        <v>2</v>
      </c>
      <c r="K4" s="802"/>
      <c r="L4" s="802"/>
      <c r="M4" s="803"/>
    </row>
    <row r="5" spans="1:14" x14ac:dyDescent="0.2">
      <c r="A5" s="151"/>
      <c r="B5" s="145" t="s">
        <v>400</v>
      </c>
      <c r="C5" s="145" t="s">
        <v>401</v>
      </c>
      <c r="D5" s="242" t="s">
        <v>3</v>
      </c>
      <c r="E5" s="307" t="s">
        <v>37</v>
      </c>
      <c r="F5" s="145" t="s">
        <v>400</v>
      </c>
      <c r="G5" s="145" t="s">
        <v>401</v>
      </c>
      <c r="H5" s="242" t="s">
        <v>3</v>
      </c>
      <c r="I5" s="307" t="s">
        <v>37</v>
      </c>
      <c r="J5" s="145" t="s">
        <v>400</v>
      </c>
      <c r="K5" s="145" t="s">
        <v>401</v>
      </c>
      <c r="L5" s="242" t="s">
        <v>3</v>
      </c>
      <c r="M5" s="155" t="s">
        <v>37</v>
      </c>
    </row>
    <row r="6" spans="1:14" x14ac:dyDescent="0.2">
      <c r="A6" s="402"/>
      <c r="B6" s="149"/>
      <c r="C6" s="149"/>
      <c r="D6" s="243" t="s">
        <v>4</v>
      </c>
      <c r="E6" s="149" t="s">
        <v>38</v>
      </c>
      <c r="F6" s="154"/>
      <c r="G6" s="154"/>
      <c r="H6" s="242" t="s">
        <v>4</v>
      </c>
      <c r="I6" s="149" t="s">
        <v>38</v>
      </c>
      <c r="J6" s="154"/>
      <c r="K6" s="154"/>
      <c r="L6" s="242" t="s">
        <v>4</v>
      </c>
      <c r="M6" s="149" t="s">
        <v>38</v>
      </c>
    </row>
    <row r="7" spans="1:14" ht="15.75" x14ac:dyDescent="0.2">
      <c r="A7" s="12" t="s">
        <v>30</v>
      </c>
      <c r="B7" s="308"/>
      <c r="C7" s="309"/>
      <c r="D7" s="251"/>
      <c r="E7" s="170"/>
      <c r="F7" s="308"/>
      <c r="G7" s="309"/>
      <c r="H7" s="251"/>
      <c r="I7" s="170"/>
      <c r="J7" s="310"/>
      <c r="K7" s="311"/>
      <c r="L7" s="255"/>
      <c r="M7" s="170"/>
    </row>
    <row r="8" spans="1:14" ht="15.75" x14ac:dyDescent="0.2">
      <c r="A8" s="18" t="s">
        <v>32</v>
      </c>
      <c r="B8" s="282"/>
      <c r="C8" s="283"/>
      <c r="D8" s="159"/>
      <c r="E8" s="170"/>
      <c r="F8" s="286"/>
      <c r="G8" s="287"/>
      <c r="H8" s="159"/>
      <c r="I8" s="170"/>
      <c r="J8" s="229"/>
      <c r="K8" s="288"/>
      <c r="L8" s="256"/>
      <c r="M8" s="170"/>
    </row>
    <row r="9" spans="1:14" ht="15.75" x14ac:dyDescent="0.2">
      <c r="A9" s="18" t="s">
        <v>31</v>
      </c>
      <c r="B9" s="282"/>
      <c r="C9" s="283"/>
      <c r="D9" s="159"/>
      <c r="E9" s="170"/>
      <c r="F9" s="286"/>
      <c r="G9" s="287"/>
      <c r="H9" s="159"/>
      <c r="I9" s="170"/>
      <c r="J9" s="229"/>
      <c r="K9" s="288"/>
      <c r="L9" s="256"/>
      <c r="M9" s="170"/>
    </row>
    <row r="10" spans="1:14" ht="15.75" x14ac:dyDescent="0.2">
      <c r="A10" s="11" t="s">
        <v>29</v>
      </c>
      <c r="B10" s="312"/>
      <c r="C10" s="313"/>
      <c r="D10" s="159"/>
      <c r="E10" s="170"/>
      <c r="F10" s="312"/>
      <c r="G10" s="313"/>
      <c r="H10" s="159"/>
      <c r="I10" s="170"/>
      <c r="J10" s="310"/>
      <c r="K10" s="311"/>
      <c r="L10" s="256"/>
      <c r="M10" s="170"/>
    </row>
    <row r="11" spans="1:14" ht="15.75" x14ac:dyDescent="0.2">
      <c r="A11" s="18" t="s">
        <v>32</v>
      </c>
      <c r="B11" s="282"/>
      <c r="C11" s="283"/>
      <c r="D11" s="159"/>
      <c r="E11" s="170"/>
      <c r="F11" s="286"/>
      <c r="G11" s="287"/>
      <c r="H11" s="159"/>
      <c r="I11" s="170"/>
      <c r="J11" s="229"/>
      <c r="K11" s="288"/>
      <c r="L11" s="256"/>
      <c r="M11" s="170"/>
    </row>
    <row r="12" spans="1:14" ht="15.75" x14ac:dyDescent="0.2">
      <c r="A12" s="18" t="s">
        <v>31</v>
      </c>
      <c r="B12" s="282"/>
      <c r="C12" s="283"/>
      <c r="D12" s="159"/>
      <c r="E12" s="170"/>
      <c r="F12" s="286"/>
      <c r="G12" s="287"/>
      <c r="H12" s="159"/>
      <c r="I12" s="170"/>
      <c r="J12" s="229"/>
      <c r="K12" s="288"/>
      <c r="L12" s="256"/>
      <c r="M12" s="170"/>
    </row>
    <row r="13" spans="1:14" ht="15.75" x14ac:dyDescent="0.2">
      <c r="A13" s="11" t="s">
        <v>28</v>
      </c>
      <c r="B13" s="312"/>
      <c r="C13" s="313"/>
      <c r="D13" s="159"/>
      <c r="E13" s="170"/>
      <c r="F13" s="312"/>
      <c r="G13" s="313"/>
      <c r="H13" s="159"/>
      <c r="I13" s="170"/>
      <c r="J13" s="310"/>
      <c r="K13" s="311"/>
      <c r="L13" s="256"/>
      <c r="M13" s="170"/>
    </row>
    <row r="14" spans="1:14" s="36" customFormat="1" ht="15.75" x14ac:dyDescent="0.2">
      <c r="A14" s="11" t="s">
        <v>27</v>
      </c>
      <c r="B14" s="312"/>
      <c r="C14" s="313"/>
      <c r="D14" s="159"/>
      <c r="E14" s="170"/>
      <c r="F14" s="312"/>
      <c r="G14" s="313"/>
      <c r="H14" s="159"/>
      <c r="I14" s="170"/>
      <c r="J14" s="310"/>
      <c r="K14" s="311"/>
      <c r="L14" s="256"/>
      <c r="M14" s="170"/>
      <c r="N14" s="137"/>
    </row>
    <row r="15" spans="1:14" s="36" customFormat="1" ht="15.75" x14ac:dyDescent="0.2">
      <c r="A15" s="34" t="s">
        <v>26</v>
      </c>
      <c r="B15" s="314"/>
      <c r="C15" s="315"/>
      <c r="D15" s="160"/>
      <c r="E15" s="160"/>
      <c r="F15" s="314"/>
      <c r="G15" s="315"/>
      <c r="H15" s="160"/>
      <c r="I15" s="160"/>
      <c r="J15" s="316"/>
      <c r="K15" s="317"/>
      <c r="L15" s="257"/>
      <c r="M15" s="160"/>
      <c r="N15" s="137"/>
    </row>
    <row r="16" spans="1:14" s="36" customFormat="1" x14ac:dyDescent="0.2">
      <c r="A16" s="161"/>
      <c r="B16" s="139"/>
      <c r="C16" s="27"/>
      <c r="D16" s="152"/>
      <c r="E16" s="152"/>
      <c r="F16" s="139"/>
      <c r="G16" s="27"/>
      <c r="H16" s="152"/>
      <c r="I16" s="152"/>
      <c r="J16" s="41"/>
      <c r="K16" s="41"/>
      <c r="L16" s="152"/>
      <c r="M16" s="152"/>
      <c r="N16" s="137"/>
    </row>
    <row r="17" spans="1:14" x14ac:dyDescent="0.2">
      <c r="A17" s="146" t="s">
        <v>307</v>
      </c>
      <c r="B17" s="20"/>
    </row>
    <row r="18" spans="1:14" x14ac:dyDescent="0.2">
      <c r="F18" s="140"/>
      <c r="G18" s="140"/>
      <c r="H18" s="140"/>
      <c r="I18" s="140"/>
      <c r="J18" s="140"/>
      <c r="K18" s="140"/>
      <c r="L18" s="140"/>
      <c r="M18" s="140"/>
    </row>
    <row r="19" spans="1:14" s="3" customFormat="1" ht="15.75" x14ac:dyDescent="0.25">
      <c r="A19" s="157"/>
      <c r="B19" s="142"/>
      <c r="C19" s="147"/>
      <c r="D19" s="147"/>
      <c r="E19" s="147"/>
      <c r="F19" s="147"/>
      <c r="G19" s="147"/>
      <c r="H19" s="147"/>
      <c r="I19" s="147"/>
      <c r="J19" s="147"/>
      <c r="K19" s="147"/>
      <c r="L19" s="147"/>
      <c r="M19" s="147"/>
      <c r="N19" s="142"/>
    </row>
    <row r="20" spans="1:14" ht="15.75" x14ac:dyDescent="0.25">
      <c r="A20" s="141" t="s">
        <v>304</v>
      </c>
      <c r="B20" s="150"/>
      <c r="C20" s="150"/>
      <c r="D20" s="144"/>
      <c r="E20" s="144"/>
      <c r="F20" s="150"/>
      <c r="G20" s="150"/>
      <c r="H20" s="150"/>
      <c r="I20" s="150"/>
      <c r="J20" s="150"/>
      <c r="K20" s="150"/>
      <c r="L20" s="150"/>
      <c r="M20" s="150"/>
    </row>
    <row r="21" spans="1:14" ht="15.75" x14ac:dyDescent="0.25">
      <c r="B21" s="832"/>
      <c r="C21" s="832"/>
      <c r="D21" s="832"/>
      <c r="E21" s="301"/>
      <c r="F21" s="832"/>
      <c r="G21" s="832"/>
      <c r="H21" s="832"/>
      <c r="I21" s="301"/>
      <c r="J21" s="832"/>
      <c r="K21" s="832"/>
      <c r="L21" s="832"/>
      <c r="M21" s="301"/>
    </row>
    <row r="22" spans="1:14" x14ac:dyDescent="0.2">
      <c r="A22" s="138"/>
      <c r="B22" s="833" t="s">
        <v>0</v>
      </c>
      <c r="C22" s="834"/>
      <c r="D22" s="834"/>
      <c r="E22" s="303"/>
      <c r="F22" s="833" t="s">
        <v>1</v>
      </c>
      <c r="G22" s="834"/>
      <c r="H22" s="834"/>
      <c r="I22" s="306"/>
      <c r="J22" s="833" t="s">
        <v>2</v>
      </c>
      <c r="K22" s="834"/>
      <c r="L22" s="834"/>
      <c r="M22" s="306"/>
    </row>
    <row r="23" spans="1:14" x14ac:dyDescent="0.2">
      <c r="A23" s="134" t="s">
        <v>5</v>
      </c>
      <c r="B23" s="145" t="s">
        <v>400</v>
      </c>
      <c r="C23" s="145" t="s">
        <v>401</v>
      </c>
      <c r="D23" s="242" t="s">
        <v>3</v>
      </c>
      <c r="E23" s="307" t="s">
        <v>37</v>
      </c>
      <c r="F23" s="145" t="s">
        <v>400</v>
      </c>
      <c r="G23" s="145" t="s">
        <v>401</v>
      </c>
      <c r="H23" s="242" t="s">
        <v>3</v>
      </c>
      <c r="I23" s="307" t="s">
        <v>37</v>
      </c>
      <c r="J23" s="145" t="s">
        <v>400</v>
      </c>
      <c r="K23" s="145" t="s">
        <v>401</v>
      </c>
      <c r="L23" s="242" t="s">
        <v>3</v>
      </c>
      <c r="M23" s="155" t="s">
        <v>37</v>
      </c>
    </row>
    <row r="24" spans="1:14" x14ac:dyDescent="0.2">
      <c r="A24" s="403"/>
      <c r="B24" s="149"/>
      <c r="C24" s="149"/>
      <c r="D24" s="243" t="s">
        <v>4</v>
      </c>
      <c r="E24" s="149" t="s">
        <v>38</v>
      </c>
      <c r="F24" s="154"/>
      <c r="G24" s="154"/>
      <c r="H24" s="242" t="s">
        <v>4</v>
      </c>
      <c r="I24" s="149" t="s">
        <v>38</v>
      </c>
      <c r="J24" s="154"/>
      <c r="K24" s="154"/>
      <c r="L24" s="242" t="s">
        <v>4</v>
      </c>
      <c r="M24" s="149" t="s">
        <v>38</v>
      </c>
    </row>
    <row r="25" spans="1:14" ht="15.75" x14ac:dyDescent="0.2">
      <c r="A25" s="12" t="s">
        <v>30</v>
      </c>
      <c r="B25" s="318"/>
      <c r="C25" s="319"/>
      <c r="D25" s="251"/>
      <c r="E25" s="170"/>
      <c r="F25" s="320"/>
      <c r="G25" s="319"/>
      <c r="H25" s="251"/>
      <c r="I25" s="170"/>
      <c r="J25" s="318"/>
      <c r="K25" s="318"/>
      <c r="L25" s="255"/>
      <c r="M25" s="159"/>
    </row>
    <row r="26" spans="1:14" ht="15.75" x14ac:dyDescent="0.2">
      <c r="A26" s="298" t="s">
        <v>318</v>
      </c>
      <c r="B26" s="291"/>
      <c r="C26" s="291"/>
      <c r="D26" s="159"/>
      <c r="E26" s="237"/>
      <c r="F26" s="291"/>
      <c r="G26" s="291"/>
      <c r="H26" s="159"/>
      <c r="I26" s="237"/>
      <c r="J26" s="291"/>
      <c r="K26" s="291"/>
      <c r="L26" s="159"/>
      <c r="M26" s="159"/>
    </row>
    <row r="27" spans="1:14" ht="15.75" x14ac:dyDescent="0.2">
      <c r="A27" s="298" t="s">
        <v>319</v>
      </c>
      <c r="B27" s="291"/>
      <c r="C27" s="291"/>
      <c r="D27" s="159"/>
      <c r="E27" s="237"/>
      <c r="F27" s="291"/>
      <c r="G27" s="291"/>
      <c r="H27" s="159"/>
      <c r="I27" s="237"/>
      <c r="J27" s="291"/>
      <c r="K27" s="291"/>
      <c r="L27" s="159"/>
      <c r="M27" s="159"/>
    </row>
    <row r="28" spans="1:14" ht="15.75" x14ac:dyDescent="0.2">
      <c r="A28" s="298" t="s">
        <v>320</v>
      </c>
      <c r="B28" s="291"/>
      <c r="C28" s="291"/>
      <c r="D28" s="159"/>
      <c r="E28" s="237"/>
      <c r="F28" s="291"/>
      <c r="G28" s="291"/>
      <c r="H28" s="159"/>
      <c r="I28" s="237"/>
      <c r="J28" s="291"/>
      <c r="K28" s="291"/>
      <c r="L28" s="159"/>
      <c r="M28" s="159"/>
    </row>
    <row r="29" spans="1:14" x14ac:dyDescent="0.2">
      <c r="A29" s="298" t="s">
        <v>11</v>
      </c>
      <c r="B29" s="291"/>
      <c r="C29" s="291"/>
      <c r="D29" s="159"/>
      <c r="E29" s="237"/>
      <c r="F29" s="291"/>
      <c r="G29" s="291"/>
      <c r="H29" s="159"/>
      <c r="I29" s="237"/>
      <c r="J29" s="291"/>
      <c r="K29" s="291"/>
      <c r="L29" s="159"/>
      <c r="M29" s="159"/>
    </row>
    <row r="30" spans="1:14" ht="15.75" x14ac:dyDescent="0.2">
      <c r="A30" s="42" t="s">
        <v>308</v>
      </c>
      <c r="B30" s="37"/>
      <c r="C30" s="288"/>
      <c r="D30" s="159"/>
      <c r="E30" s="170"/>
      <c r="F30" s="229"/>
      <c r="G30" s="288"/>
      <c r="H30" s="159"/>
      <c r="I30" s="170"/>
      <c r="J30" s="37"/>
      <c r="K30" s="37"/>
      <c r="L30" s="256"/>
      <c r="M30" s="159"/>
    </row>
    <row r="31" spans="1:14" ht="15.75" x14ac:dyDescent="0.2">
      <c r="A31" s="11" t="s">
        <v>29</v>
      </c>
      <c r="B31" s="231"/>
      <c r="C31" s="231"/>
      <c r="D31" s="159"/>
      <c r="E31" s="170"/>
      <c r="F31" s="310"/>
      <c r="G31" s="310"/>
      <c r="H31" s="159"/>
      <c r="I31" s="170"/>
      <c r="J31" s="231"/>
      <c r="K31" s="231"/>
      <c r="L31" s="256"/>
      <c r="M31" s="159"/>
    </row>
    <row r="32" spans="1:14" ht="15.75" x14ac:dyDescent="0.2">
      <c r="A32" s="298" t="s">
        <v>318</v>
      </c>
      <c r="B32" s="291"/>
      <c r="C32" s="291"/>
      <c r="D32" s="159"/>
      <c r="E32" s="237"/>
      <c r="F32" s="291"/>
      <c r="G32" s="291"/>
      <c r="H32" s="159"/>
      <c r="I32" s="237"/>
      <c r="J32" s="291"/>
      <c r="K32" s="291"/>
      <c r="L32" s="159"/>
      <c r="M32" s="159"/>
    </row>
    <row r="33" spans="1:14" ht="15.75" x14ac:dyDescent="0.2">
      <c r="A33" s="298" t="s">
        <v>320</v>
      </c>
      <c r="B33" s="291"/>
      <c r="C33" s="291"/>
      <c r="D33" s="159"/>
      <c r="E33" s="237"/>
      <c r="F33" s="291"/>
      <c r="G33" s="291"/>
      <c r="H33" s="159"/>
      <c r="I33" s="237"/>
      <c r="J33" s="291"/>
      <c r="K33" s="291"/>
      <c r="L33" s="159"/>
      <c r="M33" s="159"/>
    </row>
    <row r="34" spans="1:14" s="21" customFormat="1" x14ac:dyDescent="0.2">
      <c r="A34" s="298" t="s">
        <v>16</v>
      </c>
      <c r="B34" s="291"/>
      <c r="C34" s="291"/>
      <c r="D34" s="159"/>
      <c r="E34" s="237"/>
      <c r="F34" s="291"/>
      <c r="G34" s="291"/>
      <c r="H34" s="159"/>
      <c r="I34" s="237"/>
      <c r="J34" s="291"/>
      <c r="K34" s="291"/>
      <c r="L34" s="159"/>
      <c r="M34" s="159"/>
      <c r="N34" s="166"/>
    </row>
    <row r="35" spans="1:14" ht="15.75" x14ac:dyDescent="0.2">
      <c r="A35" s="42" t="s">
        <v>308</v>
      </c>
      <c r="B35" s="37"/>
      <c r="C35" s="288"/>
      <c r="D35" s="159"/>
      <c r="E35" s="170"/>
      <c r="F35" s="229"/>
      <c r="G35" s="288"/>
      <c r="H35" s="159"/>
      <c r="I35" s="170"/>
      <c r="J35" s="37"/>
      <c r="K35" s="37"/>
      <c r="L35" s="256"/>
      <c r="M35" s="159"/>
    </row>
    <row r="36" spans="1:14" s="3" customFormat="1" ht="15.75" x14ac:dyDescent="0.2">
      <c r="A36" s="11" t="s">
        <v>28</v>
      </c>
      <c r="B36" s="231"/>
      <c r="C36" s="311"/>
      <c r="D36" s="159"/>
      <c r="E36" s="170"/>
      <c r="F36" s="310"/>
      <c r="G36" s="311"/>
      <c r="H36" s="159"/>
      <c r="I36" s="170"/>
      <c r="J36" s="231"/>
      <c r="K36" s="231"/>
      <c r="L36" s="256"/>
      <c r="M36" s="159"/>
      <c r="N36" s="142"/>
    </row>
    <row r="37" spans="1:14" s="3" customFormat="1" ht="15.75" x14ac:dyDescent="0.2">
      <c r="A37" s="298" t="s">
        <v>318</v>
      </c>
      <c r="B37" s="291"/>
      <c r="C37" s="291"/>
      <c r="D37" s="159"/>
      <c r="E37" s="237"/>
      <c r="F37" s="291"/>
      <c r="G37" s="291"/>
      <c r="H37" s="159"/>
      <c r="I37" s="237"/>
      <c r="J37" s="291"/>
      <c r="K37" s="291"/>
      <c r="L37" s="159"/>
      <c r="M37" s="159"/>
      <c r="N37" s="142"/>
    </row>
    <row r="38" spans="1:14" s="3" customFormat="1" ht="15.75" x14ac:dyDescent="0.2">
      <c r="A38" s="298" t="s">
        <v>319</v>
      </c>
      <c r="B38" s="291"/>
      <c r="C38" s="291"/>
      <c r="D38" s="159"/>
      <c r="E38" s="237"/>
      <c r="F38" s="291"/>
      <c r="G38" s="291"/>
      <c r="H38" s="159"/>
      <c r="I38" s="237"/>
      <c r="J38" s="291"/>
      <c r="K38" s="291"/>
      <c r="L38" s="159"/>
      <c r="M38" s="159"/>
      <c r="N38" s="142"/>
    </row>
    <row r="39" spans="1:14" ht="15.75" x14ac:dyDescent="0.2">
      <c r="A39" s="298" t="s">
        <v>320</v>
      </c>
      <c r="B39" s="291"/>
      <c r="C39" s="291"/>
      <c r="D39" s="159"/>
      <c r="E39" s="237"/>
      <c r="F39" s="291"/>
      <c r="G39" s="291"/>
      <c r="H39" s="159"/>
      <c r="I39" s="237"/>
      <c r="J39" s="291"/>
      <c r="K39" s="291"/>
      <c r="L39" s="159"/>
      <c r="M39" s="159"/>
    </row>
    <row r="40" spans="1:14" ht="15.75" x14ac:dyDescent="0.2">
      <c r="A40" s="11" t="s">
        <v>27</v>
      </c>
      <c r="B40" s="231"/>
      <c r="C40" s="311"/>
      <c r="D40" s="159"/>
      <c r="E40" s="170"/>
      <c r="F40" s="310"/>
      <c r="G40" s="311"/>
      <c r="H40" s="159"/>
      <c r="I40" s="170"/>
      <c r="J40" s="231"/>
      <c r="K40" s="231"/>
      <c r="L40" s="256"/>
      <c r="M40" s="159"/>
    </row>
    <row r="41" spans="1:14" ht="15.75" x14ac:dyDescent="0.2">
      <c r="A41" s="11" t="s">
        <v>26</v>
      </c>
      <c r="B41" s="231"/>
      <c r="C41" s="311"/>
      <c r="D41" s="159"/>
      <c r="E41" s="170"/>
      <c r="F41" s="310"/>
      <c r="G41" s="311"/>
      <c r="H41" s="159"/>
      <c r="I41" s="170"/>
      <c r="J41" s="231"/>
      <c r="K41" s="231"/>
      <c r="L41" s="256"/>
      <c r="M41" s="159"/>
    </row>
    <row r="42" spans="1:14" ht="15.75" x14ac:dyDescent="0.2">
      <c r="A42" s="10" t="s">
        <v>321</v>
      </c>
      <c r="B42" s="231"/>
      <c r="C42" s="311"/>
      <c r="D42" s="159"/>
      <c r="E42" s="170"/>
      <c r="F42" s="321"/>
      <c r="G42" s="322"/>
      <c r="H42" s="159"/>
      <c r="I42" s="237"/>
      <c r="J42" s="231"/>
      <c r="K42" s="231"/>
      <c r="L42" s="256"/>
      <c r="M42" s="159"/>
    </row>
    <row r="43" spans="1:14" ht="15.75" x14ac:dyDescent="0.2">
      <c r="A43" s="10" t="s">
        <v>322</v>
      </c>
      <c r="B43" s="231"/>
      <c r="C43" s="311"/>
      <c r="D43" s="159"/>
      <c r="E43" s="170"/>
      <c r="F43" s="321"/>
      <c r="G43" s="322"/>
      <c r="H43" s="159"/>
      <c r="I43" s="237"/>
      <c r="J43" s="231"/>
      <c r="K43" s="231"/>
      <c r="L43" s="256"/>
      <c r="M43" s="159"/>
    </row>
    <row r="44" spans="1:14" ht="15.75" x14ac:dyDescent="0.2">
      <c r="A44" s="10" t="s">
        <v>323</v>
      </c>
      <c r="B44" s="231"/>
      <c r="C44" s="311"/>
      <c r="D44" s="159"/>
      <c r="E44" s="170"/>
      <c r="F44" s="321"/>
      <c r="G44" s="323"/>
      <c r="H44" s="159"/>
      <c r="I44" s="237"/>
      <c r="J44" s="231"/>
      <c r="K44" s="231"/>
      <c r="L44" s="256"/>
      <c r="M44" s="159"/>
    </row>
    <row r="45" spans="1:14" ht="15.75" x14ac:dyDescent="0.2">
      <c r="A45" s="10" t="s">
        <v>324</v>
      </c>
      <c r="B45" s="231"/>
      <c r="C45" s="311"/>
      <c r="D45" s="159"/>
      <c r="E45" s="170"/>
      <c r="F45" s="321"/>
      <c r="G45" s="322"/>
      <c r="H45" s="159"/>
      <c r="I45" s="237"/>
      <c r="J45" s="231"/>
      <c r="K45" s="231"/>
      <c r="L45" s="256"/>
      <c r="M45" s="159"/>
    </row>
    <row r="46" spans="1:14" ht="15.75" x14ac:dyDescent="0.2">
      <c r="A46" s="16" t="s">
        <v>325</v>
      </c>
      <c r="B46" s="277"/>
      <c r="C46" s="317"/>
      <c r="D46" s="160"/>
      <c r="E46" s="201"/>
      <c r="F46" s="324"/>
      <c r="G46" s="325"/>
      <c r="H46" s="160"/>
      <c r="I46" s="160"/>
      <c r="J46" s="231"/>
      <c r="K46" s="231"/>
      <c r="L46" s="257"/>
      <c r="M46" s="160"/>
    </row>
    <row r="47" spans="1:14" ht="15.75" x14ac:dyDescent="0.25">
      <c r="A47" s="40"/>
      <c r="B47" s="254"/>
      <c r="C47" s="254"/>
      <c r="D47" s="836"/>
      <c r="E47" s="836"/>
      <c r="F47" s="836"/>
      <c r="G47" s="836"/>
      <c r="H47" s="836"/>
      <c r="I47" s="836"/>
      <c r="J47" s="836"/>
      <c r="K47" s="836"/>
      <c r="L47" s="836"/>
      <c r="M47" s="304"/>
    </row>
    <row r="48" spans="1:14" x14ac:dyDescent="0.2">
      <c r="A48" s="148"/>
    </row>
    <row r="49" spans="1:14" ht="15.75" x14ac:dyDescent="0.25">
      <c r="A49" s="141" t="s">
        <v>305</v>
      </c>
      <c r="B49" s="835"/>
      <c r="C49" s="835"/>
      <c r="D49" s="835"/>
      <c r="E49" s="301"/>
      <c r="F49" s="837"/>
      <c r="G49" s="837"/>
      <c r="H49" s="837"/>
      <c r="I49" s="304"/>
      <c r="J49" s="837"/>
      <c r="K49" s="837"/>
      <c r="L49" s="837"/>
      <c r="M49" s="304"/>
    </row>
    <row r="50" spans="1:14" ht="15.75" x14ac:dyDescent="0.25">
      <c r="A50" s="156"/>
      <c r="B50" s="305"/>
      <c r="C50" s="305"/>
      <c r="D50" s="305"/>
      <c r="E50" s="305"/>
      <c r="F50" s="304"/>
      <c r="G50" s="304"/>
      <c r="H50" s="304"/>
      <c r="I50" s="304"/>
      <c r="J50" s="304"/>
      <c r="K50" s="304"/>
      <c r="L50" s="304"/>
      <c r="M50" s="304"/>
    </row>
    <row r="51" spans="1:14" ht="15.75" x14ac:dyDescent="0.25">
      <c r="A51" s="244"/>
      <c r="B51" s="833" t="s">
        <v>0</v>
      </c>
      <c r="C51" s="834"/>
      <c r="D51" s="834"/>
      <c r="E51" s="240"/>
      <c r="F51" s="304"/>
      <c r="G51" s="304"/>
      <c r="H51" s="304"/>
      <c r="I51" s="304"/>
      <c r="J51" s="304"/>
      <c r="K51" s="304"/>
      <c r="L51" s="304"/>
      <c r="M51" s="304"/>
    </row>
    <row r="52" spans="1:14" s="3" customFormat="1" x14ac:dyDescent="0.2">
      <c r="A52" s="134"/>
      <c r="B52" s="167" t="s">
        <v>400</v>
      </c>
      <c r="C52" s="167" t="s">
        <v>401</v>
      </c>
      <c r="D52" s="155" t="s">
        <v>3</v>
      </c>
      <c r="E52" s="155" t="s">
        <v>37</v>
      </c>
      <c r="F52" s="169"/>
      <c r="G52" s="169"/>
      <c r="H52" s="168"/>
      <c r="I52" s="168"/>
      <c r="J52" s="169"/>
      <c r="K52" s="169"/>
      <c r="L52" s="168"/>
      <c r="M52" s="168"/>
      <c r="N52" s="142"/>
    </row>
    <row r="53" spans="1:14" s="3" customFormat="1" x14ac:dyDescent="0.2">
      <c r="A53" s="403"/>
      <c r="B53" s="241"/>
      <c r="C53" s="241"/>
      <c r="D53" s="242" t="s">
        <v>4</v>
      </c>
      <c r="E53" s="149" t="s">
        <v>38</v>
      </c>
      <c r="F53" s="168"/>
      <c r="G53" s="168"/>
      <c r="H53" s="168"/>
      <c r="I53" s="168"/>
      <c r="J53" s="168"/>
      <c r="K53" s="168"/>
      <c r="L53" s="168"/>
      <c r="M53" s="168"/>
      <c r="N53" s="142"/>
    </row>
    <row r="54" spans="1:14" s="3" customFormat="1" ht="15.75" x14ac:dyDescent="0.2">
      <c r="A54" s="12" t="s">
        <v>30</v>
      </c>
      <c r="B54" s="312"/>
      <c r="C54" s="313"/>
      <c r="D54" s="255"/>
      <c r="E54" s="170"/>
      <c r="F54" s="139"/>
      <c r="G54" s="27"/>
      <c r="H54" s="152"/>
      <c r="I54" s="152"/>
      <c r="J54" s="30"/>
      <c r="K54" s="30"/>
      <c r="L54" s="152"/>
      <c r="M54" s="152"/>
      <c r="N54" s="142"/>
    </row>
    <row r="55" spans="1:14" s="3" customFormat="1" ht="15.75" x14ac:dyDescent="0.2">
      <c r="A55" s="31" t="s">
        <v>326</v>
      </c>
      <c r="B55" s="282"/>
      <c r="C55" s="283"/>
      <c r="D55" s="256"/>
      <c r="E55" s="170"/>
      <c r="F55" s="139"/>
      <c r="G55" s="27"/>
      <c r="H55" s="139"/>
      <c r="I55" s="139"/>
      <c r="J55" s="27"/>
      <c r="K55" s="27"/>
      <c r="L55" s="152"/>
      <c r="M55" s="152"/>
      <c r="N55" s="142"/>
    </row>
    <row r="56" spans="1:14" s="3" customFormat="1" ht="15.75" x14ac:dyDescent="0.2">
      <c r="A56" s="31" t="s">
        <v>327</v>
      </c>
      <c r="B56" s="37"/>
      <c r="C56" s="288"/>
      <c r="D56" s="256"/>
      <c r="E56" s="170"/>
      <c r="F56" s="139"/>
      <c r="G56" s="27"/>
      <c r="H56" s="139"/>
      <c r="I56" s="139"/>
      <c r="J56" s="30"/>
      <c r="K56" s="30"/>
      <c r="L56" s="152"/>
      <c r="M56" s="152"/>
      <c r="N56" s="142"/>
    </row>
    <row r="57" spans="1:14" s="3" customFormat="1" x14ac:dyDescent="0.2">
      <c r="A57" s="298" t="s">
        <v>6</v>
      </c>
      <c r="B57" s="291"/>
      <c r="C57" s="292"/>
      <c r="D57" s="256"/>
      <c r="E57" s="159"/>
      <c r="F57" s="139"/>
      <c r="G57" s="27"/>
      <c r="H57" s="139"/>
      <c r="I57" s="139"/>
      <c r="J57" s="27"/>
      <c r="K57" s="27"/>
      <c r="L57" s="152"/>
      <c r="M57" s="152"/>
      <c r="N57" s="142"/>
    </row>
    <row r="58" spans="1:14" s="3" customFormat="1" x14ac:dyDescent="0.2">
      <c r="A58" s="298" t="s">
        <v>7</v>
      </c>
      <c r="B58" s="291"/>
      <c r="C58" s="292"/>
      <c r="D58" s="256"/>
      <c r="E58" s="159"/>
      <c r="F58" s="139"/>
      <c r="G58" s="27"/>
      <c r="H58" s="139"/>
      <c r="I58" s="139"/>
      <c r="J58" s="27"/>
      <c r="K58" s="27"/>
      <c r="L58" s="152"/>
      <c r="M58" s="152"/>
      <c r="N58" s="142"/>
    </row>
    <row r="59" spans="1:14" s="3" customFormat="1" x14ac:dyDescent="0.2">
      <c r="A59" s="298" t="s">
        <v>8</v>
      </c>
      <c r="B59" s="291"/>
      <c r="C59" s="292"/>
      <c r="D59" s="256"/>
      <c r="E59" s="159"/>
      <c r="F59" s="139"/>
      <c r="G59" s="27"/>
      <c r="H59" s="139"/>
      <c r="I59" s="139"/>
      <c r="J59" s="27"/>
      <c r="K59" s="27"/>
      <c r="L59" s="152"/>
      <c r="M59" s="152"/>
      <c r="N59" s="142"/>
    </row>
    <row r="60" spans="1:14" s="3" customFormat="1" ht="15.75" x14ac:dyDescent="0.2">
      <c r="A60" s="11" t="s">
        <v>29</v>
      </c>
      <c r="B60" s="312"/>
      <c r="C60" s="313"/>
      <c r="D60" s="256"/>
      <c r="E60" s="170"/>
      <c r="F60" s="139"/>
      <c r="G60" s="27"/>
      <c r="H60" s="139"/>
      <c r="I60" s="139"/>
      <c r="J60" s="27"/>
      <c r="K60" s="27"/>
      <c r="L60" s="152"/>
      <c r="M60" s="152"/>
      <c r="N60" s="142"/>
    </row>
    <row r="61" spans="1:14" s="3" customFormat="1" ht="15.75" x14ac:dyDescent="0.2">
      <c r="A61" s="31" t="s">
        <v>326</v>
      </c>
      <c r="B61" s="282"/>
      <c r="C61" s="283"/>
      <c r="D61" s="256"/>
      <c r="E61" s="170"/>
      <c r="F61" s="139"/>
      <c r="G61" s="27"/>
      <c r="H61" s="139"/>
      <c r="I61" s="139"/>
      <c r="J61" s="27"/>
      <c r="K61" s="27"/>
      <c r="L61" s="152"/>
      <c r="M61" s="152"/>
      <c r="N61" s="142"/>
    </row>
    <row r="62" spans="1:14" s="3" customFormat="1" ht="15.75" x14ac:dyDescent="0.2">
      <c r="A62" s="31" t="s">
        <v>327</v>
      </c>
      <c r="B62" s="37"/>
      <c r="C62" s="288"/>
      <c r="D62" s="256"/>
      <c r="E62" s="170"/>
      <c r="F62" s="139"/>
      <c r="G62" s="27"/>
      <c r="H62" s="139"/>
      <c r="I62" s="139"/>
      <c r="J62" s="27"/>
      <c r="K62" s="27"/>
      <c r="L62" s="152"/>
      <c r="M62" s="152"/>
      <c r="N62" s="142"/>
    </row>
    <row r="63" spans="1:14" s="3" customFormat="1" x14ac:dyDescent="0.2">
      <c r="A63" s="298" t="s">
        <v>6</v>
      </c>
      <c r="B63" s="282"/>
      <c r="C63" s="283"/>
      <c r="D63" s="256"/>
      <c r="E63" s="159"/>
      <c r="F63" s="139"/>
      <c r="G63" s="27"/>
      <c r="H63" s="139"/>
      <c r="I63" s="139"/>
      <c r="J63" s="27"/>
      <c r="K63" s="27"/>
      <c r="L63" s="152"/>
      <c r="M63" s="152"/>
      <c r="N63" s="142"/>
    </row>
    <row r="64" spans="1:14" s="3" customFormat="1" x14ac:dyDescent="0.2">
      <c r="A64" s="298" t="s">
        <v>7</v>
      </c>
      <c r="B64" s="282"/>
      <c r="C64" s="283"/>
      <c r="D64" s="256"/>
      <c r="E64" s="159"/>
      <c r="F64" s="139"/>
      <c r="G64" s="27"/>
      <c r="H64" s="139"/>
      <c r="I64" s="139"/>
      <c r="J64" s="27"/>
      <c r="K64" s="27"/>
      <c r="L64" s="152"/>
      <c r="M64" s="152"/>
      <c r="N64" s="142"/>
    </row>
    <row r="65" spans="1:14" s="3" customFormat="1" x14ac:dyDescent="0.2">
      <c r="A65" s="298" t="s">
        <v>8</v>
      </c>
      <c r="B65" s="282"/>
      <c r="C65" s="283"/>
      <c r="D65" s="256"/>
      <c r="E65" s="159"/>
      <c r="F65" s="139"/>
      <c r="G65" s="27"/>
      <c r="H65" s="139"/>
      <c r="I65" s="139"/>
      <c r="J65" s="27"/>
      <c r="K65" s="27"/>
      <c r="L65" s="152"/>
      <c r="M65" s="152"/>
      <c r="N65" s="142"/>
    </row>
    <row r="66" spans="1:14" s="3" customFormat="1" ht="15.75" x14ac:dyDescent="0.2">
      <c r="A66" s="32" t="s">
        <v>328</v>
      </c>
      <c r="B66" s="312"/>
      <c r="C66" s="313"/>
      <c r="D66" s="256"/>
      <c r="E66" s="170"/>
      <c r="F66" s="139"/>
      <c r="G66" s="27"/>
      <c r="H66" s="139"/>
      <c r="I66" s="139"/>
      <c r="J66" s="27"/>
      <c r="K66" s="27"/>
      <c r="L66" s="152"/>
      <c r="M66" s="152"/>
      <c r="N66" s="142"/>
    </row>
    <row r="67" spans="1:14" s="3" customFormat="1" ht="15.75" x14ac:dyDescent="0.2">
      <c r="A67" s="31" t="s">
        <v>326</v>
      </c>
      <c r="B67" s="282"/>
      <c r="C67" s="283"/>
      <c r="D67" s="256"/>
      <c r="E67" s="170"/>
      <c r="F67" s="139"/>
      <c r="G67" s="27"/>
      <c r="H67" s="139"/>
      <c r="I67" s="139"/>
      <c r="J67" s="27"/>
      <c r="K67" s="27"/>
      <c r="L67" s="152"/>
      <c r="M67" s="152"/>
      <c r="N67" s="142"/>
    </row>
    <row r="68" spans="1:14" s="3" customFormat="1" ht="15.75" x14ac:dyDescent="0.2">
      <c r="A68" s="31" t="s">
        <v>327</v>
      </c>
      <c r="B68" s="282"/>
      <c r="C68" s="283"/>
      <c r="D68" s="256"/>
      <c r="E68" s="170"/>
      <c r="F68" s="139"/>
      <c r="G68" s="27"/>
      <c r="H68" s="139"/>
      <c r="I68" s="139"/>
      <c r="J68" s="27"/>
      <c r="K68" s="27"/>
      <c r="L68" s="152"/>
      <c r="M68" s="152"/>
      <c r="N68" s="142"/>
    </row>
    <row r="69" spans="1:14" s="3" customFormat="1" ht="15.75" x14ac:dyDescent="0.2">
      <c r="A69" s="32" t="s">
        <v>329</v>
      </c>
      <c r="B69" s="312"/>
      <c r="C69" s="313"/>
      <c r="D69" s="256"/>
      <c r="E69" s="170"/>
      <c r="F69" s="139"/>
      <c r="G69" s="27"/>
      <c r="H69" s="139"/>
      <c r="I69" s="139"/>
      <c r="J69" s="27"/>
      <c r="K69" s="27"/>
      <c r="L69" s="152"/>
      <c r="M69" s="152"/>
      <c r="N69" s="142"/>
    </row>
    <row r="70" spans="1:14" s="3" customFormat="1" ht="15.75" x14ac:dyDescent="0.2">
      <c r="A70" s="31" t="s">
        <v>326</v>
      </c>
      <c r="B70" s="282"/>
      <c r="C70" s="283"/>
      <c r="D70" s="256"/>
      <c r="E70" s="170"/>
      <c r="F70" s="139"/>
      <c r="G70" s="27"/>
      <c r="H70" s="139"/>
      <c r="I70" s="139"/>
      <c r="J70" s="27"/>
      <c r="K70" s="27"/>
      <c r="L70" s="152"/>
      <c r="M70" s="152"/>
      <c r="N70" s="142"/>
    </row>
    <row r="71" spans="1:14" s="3" customFormat="1" ht="15.75" x14ac:dyDescent="0.2">
      <c r="A71" s="39" t="s">
        <v>327</v>
      </c>
      <c r="B71" s="284"/>
      <c r="C71" s="285"/>
      <c r="D71" s="257"/>
      <c r="E71" s="160"/>
      <c r="F71" s="139"/>
      <c r="G71" s="27"/>
      <c r="H71" s="139"/>
      <c r="I71" s="139"/>
      <c r="J71" s="27"/>
      <c r="K71" s="27"/>
      <c r="L71" s="152"/>
      <c r="M71" s="152"/>
      <c r="N71" s="142"/>
    </row>
    <row r="72" spans="1:14" s="3" customFormat="1" ht="15.75" x14ac:dyDescent="0.25">
      <c r="A72" s="157"/>
      <c r="B72" s="147"/>
      <c r="C72" s="147"/>
      <c r="D72" s="147"/>
      <c r="E72" s="147"/>
      <c r="F72" s="136"/>
      <c r="G72" s="136"/>
      <c r="H72" s="136"/>
      <c r="I72" s="136"/>
      <c r="J72" s="136"/>
      <c r="K72" s="136"/>
      <c r="L72" s="136"/>
      <c r="M72" s="136"/>
      <c r="N72" s="142"/>
    </row>
    <row r="73" spans="1:14" x14ac:dyDescent="0.2">
      <c r="A73" s="148"/>
    </row>
    <row r="74" spans="1:14" ht="15.75" x14ac:dyDescent="0.25">
      <c r="A74" s="141" t="s">
        <v>306</v>
      </c>
      <c r="C74" s="20"/>
      <c r="D74" s="20"/>
      <c r="E74" s="20"/>
      <c r="F74" s="20"/>
      <c r="G74" s="20"/>
      <c r="H74" s="20"/>
      <c r="I74" s="20"/>
      <c r="J74" s="20"/>
      <c r="K74" s="20"/>
      <c r="L74" s="20"/>
      <c r="M74" s="20"/>
    </row>
    <row r="75" spans="1:14" ht="15.75" x14ac:dyDescent="0.25">
      <c r="B75" s="832"/>
      <c r="C75" s="832"/>
      <c r="D75" s="832"/>
      <c r="E75" s="301"/>
      <c r="F75" s="832"/>
      <c r="G75" s="832"/>
      <c r="H75" s="832"/>
      <c r="I75" s="301"/>
      <c r="J75" s="832"/>
      <c r="K75" s="832"/>
      <c r="L75" s="832"/>
      <c r="M75" s="301"/>
    </row>
    <row r="76" spans="1:14" x14ac:dyDescent="0.2">
      <c r="A76" s="138"/>
      <c r="B76" s="833" t="s">
        <v>0</v>
      </c>
      <c r="C76" s="834"/>
      <c r="D76" s="838"/>
      <c r="E76" s="302"/>
      <c r="F76" s="834" t="s">
        <v>1</v>
      </c>
      <c r="G76" s="834"/>
      <c r="H76" s="834"/>
      <c r="I76" s="306"/>
      <c r="J76" s="833" t="s">
        <v>2</v>
      </c>
      <c r="K76" s="834"/>
      <c r="L76" s="834"/>
      <c r="M76" s="306"/>
    </row>
    <row r="77" spans="1:14" x14ac:dyDescent="0.2">
      <c r="A77" s="134"/>
      <c r="B77" s="145" t="s">
        <v>400</v>
      </c>
      <c r="C77" s="145" t="s">
        <v>401</v>
      </c>
      <c r="D77" s="242" t="s">
        <v>3</v>
      </c>
      <c r="E77" s="307" t="s">
        <v>37</v>
      </c>
      <c r="F77" s="145" t="s">
        <v>400</v>
      </c>
      <c r="G77" s="145" t="s">
        <v>401</v>
      </c>
      <c r="H77" s="242" t="s">
        <v>3</v>
      </c>
      <c r="I77" s="307" t="s">
        <v>37</v>
      </c>
      <c r="J77" s="145" t="s">
        <v>400</v>
      </c>
      <c r="K77" s="145" t="s">
        <v>401</v>
      </c>
      <c r="L77" s="242" t="s">
        <v>3</v>
      </c>
      <c r="M77" s="155" t="s">
        <v>37</v>
      </c>
    </row>
    <row r="78" spans="1:14" x14ac:dyDescent="0.2">
      <c r="A78" s="403"/>
      <c r="B78" s="149"/>
      <c r="C78" s="149"/>
      <c r="D78" s="243" t="s">
        <v>4</v>
      </c>
      <c r="E78" s="149" t="s">
        <v>38</v>
      </c>
      <c r="F78" s="154"/>
      <c r="G78" s="154"/>
      <c r="H78" s="242" t="s">
        <v>4</v>
      </c>
      <c r="I78" s="149" t="s">
        <v>38</v>
      </c>
      <c r="J78" s="154"/>
      <c r="K78" s="154"/>
      <c r="L78" s="242" t="s">
        <v>4</v>
      </c>
      <c r="M78" s="149" t="s">
        <v>38</v>
      </c>
    </row>
    <row r="79" spans="1:14" ht="15.75" x14ac:dyDescent="0.2">
      <c r="A79" s="12" t="s">
        <v>30</v>
      </c>
      <c r="B79" s="355"/>
      <c r="C79" s="355"/>
      <c r="D79" s="251"/>
      <c r="E79" s="170"/>
      <c r="F79" s="354"/>
      <c r="G79" s="354"/>
      <c r="H79" s="251"/>
      <c r="I79" s="170"/>
      <c r="J79" s="311"/>
      <c r="K79" s="318"/>
      <c r="L79" s="255"/>
      <c r="M79" s="170"/>
    </row>
    <row r="80" spans="1:14" x14ac:dyDescent="0.2">
      <c r="A80" s="18" t="s">
        <v>9</v>
      </c>
      <c r="B80" s="37"/>
      <c r="C80" s="139"/>
      <c r="D80" s="159"/>
      <c r="E80" s="170"/>
      <c r="F80" s="229"/>
      <c r="G80" s="139"/>
      <c r="H80" s="159"/>
      <c r="I80" s="170"/>
      <c r="J80" s="288"/>
      <c r="K80" s="37"/>
      <c r="L80" s="256"/>
      <c r="M80" s="170"/>
    </row>
    <row r="81" spans="1:14" x14ac:dyDescent="0.2">
      <c r="A81" s="18" t="s">
        <v>10</v>
      </c>
      <c r="B81" s="293"/>
      <c r="C81" s="294"/>
      <c r="D81" s="159"/>
      <c r="E81" s="170"/>
      <c r="F81" s="293"/>
      <c r="G81" s="294"/>
      <c r="H81" s="159"/>
      <c r="I81" s="170"/>
      <c r="J81" s="288"/>
      <c r="K81" s="37"/>
      <c r="L81" s="256"/>
      <c r="M81" s="170"/>
    </row>
    <row r="82" spans="1:14" ht="15.75" x14ac:dyDescent="0.2">
      <c r="A82" s="298" t="s">
        <v>330</v>
      </c>
      <c r="B82" s="282"/>
      <c r="C82" s="282"/>
      <c r="D82" s="159"/>
      <c r="E82" s="237"/>
      <c r="F82" s="282"/>
      <c r="G82" s="282"/>
      <c r="H82" s="159"/>
      <c r="I82" s="237"/>
      <c r="J82" s="291"/>
      <c r="K82" s="291"/>
      <c r="L82" s="159"/>
      <c r="M82" s="159"/>
    </row>
    <row r="83" spans="1:14" x14ac:dyDescent="0.2">
      <c r="A83" s="298" t="s">
        <v>12</v>
      </c>
      <c r="B83" s="295"/>
      <c r="C83" s="296"/>
      <c r="D83" s="159"/>
      <c r="E83" s="237"/>
      <c r="F83" s="282"/>
      <c r="G83" s="282"/>
      <c r="H83" s="159"/>
      <c r="I83" s="237"/>
      <c r="J83" s="291"/>
      <c r="K83" s="291"/>
      <c r="L83" s="159"/>
      <c r="M83" s="159"/>
    </row>
    <row r="84" spans="1:14" x14ac:dyDescent="0.2">
      <c r="A84" s="298" t="s">
        <v>13</v>
      </c>
      <c r="B84" s="230"/>
      <c r="C84" s="290"/>
      <c r="D84" s="159"/>
      <c r="E84" s="237"/>
      <c r="F84" s="282"/>
      <c r="G84" s="282"/>
      <c r="H84" s="159"/>
      <c r="I84" s="237"/>
      <c r="J84" s="291"/>
      <c r="K84" s="291"/>
      <c r="L84" s="159"/>
      <c r="M84" s="159"/>
    </row>
    <row r="85" spans="1:14" ht="15.75" x14ac:dyDescent="0.2">
      <c r="A85" s="298" t="s">
        <v>331</v>
      </c>
      <c r="B85" s="282"/>
      <c r="C85" s="282"/>
      <c r="D85" s="159"/>
      <c r="E85" s="237"/>
      <c r="F85" s="282"/>
      <c r="G85" s="282"/>
      <c r="H85" s="159"/>
      <c r="I85" s="237"/>
      <c r="J85" s="291"/>
      <c r="K85" s="291"/>
      <c r="L85" s="159"/>
      <c r="M85" s="159"/>
    </row>
    <row r="86" spans="1:14" x14ac:dyDescent="0.2">
      <c r="A86" s="298" t="s">
        <v>12</v>
      </c>
      <c r="B86" s="230"/>
      <c r="C86" s="290"/>
      <c r="D86" s="159"/>
      <c r="E86" s="237"/>
      <c r="F86" s="282"/>
      <c r="G86" s="282"/>
      <c r="H86" s="159"/>
      <c r="I86" s="237"/>
      <c r="J86" s="291"/>
      <c r="K86" s="291"/>
      <c r="L86" s="159"/>
      <c r="M86" s="159"/>
    </row>
    <row r="87" spans="1:14" s="3" customFormat="1" x14ac:dyDescent="0.2">
      <c r="A87" s="298" t="s">
        <v>13</v>
      </c>
      <c r="B87" s="230"/>
      <c r="C87" s="290"/>
      <c r="D87" s="159"/>
      <c r="E87" s="237"/>
      <c r="F87" s="282"/>
      <c r="G87" s="282"/>
      <c r="H87" s="159"/>
      <c r="I87" s="237"/>
      <c r="J87" s="291"/>
      <c r="K87" s="291"/>
      <c r="L87" s="159"/>
      <c r="M87" s="159"/>
      <c r="N87" s="142"/>
    </row>
    <row r="88" spans="1:14" s="3" customFormat="1" x14ac:dyDescent="0.2">
      <c r="A88" s="18" t="s">
        <v>33</v>
      </c>
      <c r="B88" s="229"/>
      <c r="C88" s="139"/>
      <c r="D88" s="159"/>
      <c r="E88" s="170"/>
      <c r="F88" s="229"/>
      <c r="G88" s="139"/>
      <c r="H88" s="159"/>
      <c r="I88" s="170"/>
      <c r="J88" s="288"/>
      <c r="K88" s="37"/>
      <c r="L88" s="256"/>
      <c r="M88" s="170"/>
      <c r="N88" s="142"/>
    </row>
    <row r="89" spans="1:14" ht="15.75" x14ac:dyDescent="0.2">
      <c r="A89" s="18" t="s">
        <v>332</v>
      </c>
      <c r="B89" s="229"/>
      <c r="C89" s="229"/>
      <c r="D89" s="159"/>
      <c r="E89" s="170"/>
      <c r="F89" s="229"/>
      <c r="G89" s="139"/>
      <c r="H89" s="159"/>
      <c r="I89" s="170"/>
      <c r="J89" s="288"/>
      <c r="K89" s="37"/>
      <c r="L89" s="256"/>
      <c r="M89" s="170"/>
    </row>
    <row r="90" spans="1:14" x14ac:dyDescent="0.2">
      <c r="A90" s="18" t="s">
        <v>9</v>
      </c>
      <c r="B90" s="229"/>
      <c r="C90" s="139"/>
      <c r="D90" s="159"/>
      <c r="E90" s="170"/>
      <c r="F90" s="229"/>
      <c r="G90" s="139"/>
      <c r="H90" s="159"/>
      <c r="I90" s="170"/>
      <c r="J90" s="288"/>
      <c r="K90" s="37"/>
      <c r="L90" s="256"/>
      <c r="M90" s="170"/>
    </row>
    <row r="91" spans="1:14" x14ac:dyDescent="0.2">
      <c r="A91" s="18" t="s">
        <v>10</v>
      </c>
      <c r="B91" s="293"/>
      <c r="C91" s="294"/>
      <c r="D91" s="159"/>
      <c r="E91" s="170"/>
      <c r="F91" s="293"/>
      <c r="G91" s="294"/>
      <c r="H91" s="159"/>
      <c r="I91" s="170"/>
      <c r="J91" s="288"/>
      <c r="K91" s="37"/>
      <c r="L91" s="256"/>
      <c r="M91" s="170"/>
    </row>
    <row r="92" spans="1:14" ht="15.75" x14ac:dyDescent="0.2">
      <c r="A92" s="298" t="s">
        <v>330</v>
      </c>
      <c r="B92" s="282"/>
      <c r="C92" s="282"/>
      <c r="D92" s="159"/>
      <c r="E92" s="237"/>
      <c r="F92" s="282"/>
      <c r="G92" s="282"/>
      <c r="H92" s="159"/>
      <c r="I92" s="237"/>
      <c r="J92" s="291"/>
      <c r="K92" s="291"/>
      <c r="L92" s="159"/>
      <c r="M92" s="159"/>
    </row>
    <row r="93" spans="1:14" x14ac:dyDescent="0.2">
      <c r="A93" s="298" t="s">
        <v>12</v>
      </c>
      <c r="B93" s="230"/>
      <c r="C93" s="290"/>
      <c r="D93" s="159"/>
      <c r="E93" s="237"/>
      <c r="F93" s="282"/>
      <c r="G93" s="282"/>
      <c r="H93" s="159"/>
      <c r="I93" s="237"/>
      <c r="J93" s="291"/>
      <c r="K93" s="291"/>
      <c r="L93" s="159"/>
      <c r="M93" s="159"/>
    </row>
    <row r="94" spans="1:14" x14ac:dyDescent="0.2">
      <c r="A94" s="298" t="s">
        <v>13</v>
      </c>
      <c r="B94" s="230"/>
      <c r="C94" s="290"/>
      <c r="D94" s="159"/>
      <c r="E94" s="237"/>
      <c r="F94" s="282"/>
      <c r="G94" s="282"/>
      <c r="H94" s="159"/>
      <c r="I94" s="237"/>
      <c r="J94" s="291"/>
      <c r="K94" s="291"/>
      <c r="L94" s="159"/>
      <c r="M94" s="159"/>
    </row>
    <row r="95" spans="1:14" ht="15.75" x14ac:dyDescent="0.2">
      <c r="A95" s="298" t="s">
        <v>331</v>
      </c>
      <c r="B95" s="282"/>
      <c r="C95" s="282"/>
      <c r="D95" s="159"/>
      <c r="E95" s="237"/>
      <c r="F95" s="282"/>
      <c r="G95" s="282"/>
      <c r="H95" s="159"/>
      <c r="I95" s="237"/>
      <c r="J95" s="291"/>
      <c r="K95" s="291"/>
      <c r="L95" s="159"/>
      <c r="M95" s="159"/>
    </row>
    <row r="96" spans="1:14" x14ac:dyDescent="0.2">
      <c r="A96" s="298" t="s">
        <v>12</v>
      </c>
      <c r="B96" s="230"/>
      <c r="C96" s="290"/>
      <c r="D96" s="159"/>
      <c r="E96" s="237"/>
      <c r="F96" s="282"/>
      <c r="G96" s="282"/>
      <c r="H96" s="159"/>
      <c r="I96" s="237"/>
      <c r="J96" s="291"/>
      <c r="K96" s="291"/>
      <c r="L96" s="159"/>
      <c r="M96" s="159"/>
    </row>
    <row r="97" spans="1:13" x14ac:dyDescent="0.2">
      <c r="A97" s="298" t="s">
        <v>13</v>
      </c>
      <c r="B97" s="230"/>
      <c r="C97" s="290"/>
      <c r="D97" s="159"/>
      <c r="E97" s="237"/>
      <c r="F97" s="282"/>
      <c r="G97" s="282"/>
      <c r="H97" s="159"/>
      <c r="I97" s="237"/>
      <c r="J97" s="291"/>
      <c r="K97" s="291"/>
      <c r="L97" s="159"/>
      <c r="M97" s="159"/>
    </row>
    <row r="98" spans="1:13" ht="15.75" x14ac:dyDescent="0.2">
      <c r="A98" s="18" t="s">
        <v>342</v>
      </c>
      <c r="B98" s="229"/>
      <c r="C98" s="139"/>
      <c r="D98" s="159"/>
      <c r="E98" s="170"/>
      <c r="F98" s="229"/>
      <c r="G98" s="139"/>
      <c r="H98" s="159"/>
      <c r="I98" s="170"/>
      <c r="J98" s="288"/>
      <c r="K98" s="37"/>
      <c r="L98" s="256"/>
      <c r="M98" s="170"/>
    </row>
    <row r="99" spans="1:13" ht="15.75" x14ac:dyDescent="0.2">
      <c r="A99" s="11" t="s">
        <v>29</v>
      </c>
      <c r="B99" s="310"/>
      <c r="C99" s="310"/>
      <c r="D99" s="159"/>
      <c r="E99" s="170"/>
      <c r="F99" s="310"/>
      <c r="G99" s="310"/>
      <c r="H99" s="159"/>
      <c r="I99" s="170"/>
      <c r="J99" s="311"/>
      <c r="K99" s="231"/>
      <c r="L99" s="256"/>
      <c r="M99" s="170"/>
    </row>
    <row r="100" spans="1:13" x14ac:dyDescent="0.2">
      <c r="A100" s="18" t="s">
        <v>9</v>
      </c>
      <c r="B100" s="229"/>
      <c r="C100" s="139"/>
      <c r="D100" s="159"/>
      <c r="E100" s="170"/>
      <c r="F100" s="229"/>
      <c r="G100" s="139"/>
      <c r="H100" s="159"/>
      <c r="I100" s="170"/>
      <c r="J100" s="288"/>
      <c r="K100" s="37"/>
      <c r="L100" s="256"/>
      <c r="M100" s="170"/>
    </row>
    <row r="101" spans="1:13" x14ac:dyDescent="0.2">
      <c r="A101" s="18" t="s">
        <v>10</v>
      </c>
      <c r="B101" s="229"/>
      <c r="C101" s="139"/>
      <c r="D101" s="159"/>
      <c r="E101" s="170"/>
      <c r="F101" s="293"/>
      <c r="G101" s="293"/>
      <c r="H101" s="159"/>
      <c r="I101" s="170"/>
      <c r="J101" s="288"/>
      <c r="K101" s="37"/>
      <c r="L101" s="256"/>
      <c r="M101" s="170"/>
    </row>
    <row r="102" spans="1:13" ht="15.75" x14ac:dyDescent="0.2">
      <c r="A102" s="298" t="s">
        <v>330</v>
      </c>
      <c r="B102" s="282"/>
      <c r="C102" s="282"/>
      <c r="D102" s="159"/>
      <c r="E102" s="237"/>
      <c r="F102" s="282"/>
      <c r="G102" s="282"/>
      <c r="H102" s="159"/>
      <c r="I102" s="237"/>
      <c r="J102" s="291"/>
      <c r="K102" s="291"/>
      <c r="L102" s="159"/>
      <c r="M102" s="159"/>
    </row>
    <row r="103" spans="1:13" x14ac:dyDescent="0.2">
      <c r="A103" s="298" t="s">
        <v>12</v>
      </c>
      <c r="B103" s="230"/>
      <c r="C103" s="290"/>
      <c r="D103" s="159"/>
      <c r="E103" s="237"/>
      <c r="F103" s="282"/>
      <c r="G103" s="282"/>
      <c r="H103" s="159"/>
      <c r="I103" s="237"/>
      <c r="J103" s="291"/>
      <c r="K103" s="291"/>
      <c r="L103" s="159"/>
      <c r="M103" s="159"/>
    </row>
    <row r="104" spans="1:13" x14ac:dyDescent="0.2">
      <c r="A104" s="298" t="s">
        <v>13</v>
      </c>
      <c r="B104" s="230"/>
      <c r="C104" s="290"/>
      <c r="D104" s="159"/>
      <c r="E104" s="237"/>
      <c r="F104" s="282"/>
      <c r="G104" s="282"/>
      <c r="H104" s="159"/>
      <c r="I104" s="237"/>
      <c r="J104" s="291"/>
      <c r="K104" s="291"/>
      <c r="L104" s="159"/>
      <c r="M104" s="159"/>
    </row>
    <row r="105" spans="1:13" ht="15.75" x14ac:dyDescent="0.2">
      <c r="A105" s="298" t="s">
        <v>331</v>
      </c>
      <c r="B105" s="282"/>
      <c r="C105" s="282"/>
      <c r="D105" s="159"/>
      <c r="E105" s="237"/>
      <c r="F105" s="282"/>
      <c r="G105" s="282"/>
      <c r="H105" s="159"/>
      <c r="I105" s="237"/>
      <c r="J105" s="291"/>
      <c r="K105" s="291"/>
      <c r="L105" s="159"/>
      <c r="M105" s="159"/>
    </row>
    <row r="106" spans="1:13" x14ac:dyDescent="0.2">
      <c r="A106" s="298" t="s">
        <v>12</v>
      </c>
      <c r="B106" s="230"/>
      <c r="C106" s="290"/>
      <c r="D106" s="159"/>
      <c r="E106" s="237"/>
      <c r="F106" s="282"/>
      <c r="G106" s="282"/>
      <c r="H106" s="159"/>
      <c r="I106" s="237"/>
      <c r="J106" s="291"/>
      <c r="K106" s="291"/>
      <c r="L106" s="159"/>
      <c r="M106" s="159"/>
    </row>
    <row r="107" spans="1:13" x14ac:dyDescent="0.2">
      <c r="A107" s="298" t="s">
        <v>13</v>
      </c>
      <c r="B107" s="230"/>
      <c r="C107" s="290"/>
      <c r="D107" s="159"/>
      <c r="E107" s="237"/>
      <c r="F107" s="282"/>
      <c r="G107" s="282"/>
      <c r="H107" s="159"/>
      <c r="I107" s="237"/>
      <c r="J107" s="291"/>
      <c r="K107" s="291"/>
      <c r="L107" s="159"/>
      <c r="M107" s="159"/>
    </row>
    <row r="108" spans="1:13" x14ac:dyDescent="0.2">
      <c r="A108" s="18" t="s">
        <v>33</v>
      </c>
      <c r="B108" s="229"/>
      <c r="C108" s="139"/>
      <c r="D108" s="159"/>
      <c r="E108" s="170"/>
      <c r="F108" s="229"/>
      <c r="G108" s="139"/>
      <c r="H108" s="159"/>
      <c r="I108" s="170"/>
      <c r="J108" s="288"/>
      <c r="K108" s="37"/>
      <c r="L108" s="256"/>
      <c r="M108" s="170"/>
    </row>
    <row r="109" spans="1:13" ht="15.75" x14ac:dyDescent="0.2">
      <c r="A109" s="18" t="s">
        <v>332</v>
      </c>
      <c r="B109" s="229"/>
      <c r="C109" s="139"/>
      <c r="D109" s="159"/>
      <c r="E109" s="170"/>
      <c r="F109" s="293"/>
      <c r="G109" s="293"/>
      <c r="H109" s="159"/>
      <c r="I109" s="170"/>
      <c r="J109" s="288"/>
      <c r="K109" s="37"/>
      <c r="L109" s="256"/>
      <c r="M109" s="170"/>
    </row>
    <row r="110" spans="1:13" x14ac:dyDescent="0.2">
      <c r="A110" s="18" t="s">
        <v>9</v>
      </c>
      <c r="B110" s="229"/>
      <c r="C110" s="139"/>
      <c r="D110" s="159"/>
      <c r="E110" s="170"/>
      <c r="F110" s="293"/>
      <c r="G110" s="294"/>
      <c r="H110" s="159"/>
      <c r="I110" s="170"/>
      <c r="J110" s="288"/>
      <c r="K110" s="37"/>
      <c r="L110" s="256"/>
      <c r="M110" s="170"/>
    </row>
    <row r="111" spans="1:13" x14ac:dyDescent="0.2">
      <c r="A111" s="18" t="s">
        <v>10</v>
      </c>
      <c r="B111" s="293"/>
      <c r="C111" s="294"/>
      <c r="D111" s="159"/>
      <c r="E111" s="170"/>
      <c r="F111" s="293"/>
      <c r="G111" s="294"/>
      <c r="H111" s="159"/>
      <c r="I111" s="170"/>
      <c r="J111" s="288"/>
      <c r="K111" s="37"/>
      <c r="L111" s="256"/>
      <c r="M111" s="170"/>
    </row>
    <row r="112" spans="1:13" ht="15.75" x14ac:dyDescent="0.2">
      <c r="A112" s="298" t="s">
        <v>330</v>
      </c>
      <c r="B112" s="282"/>
      <c r="C112" s="282"/>
      <c r="D112" s="159"/>
      <c r="E112" s="237"/>
      <c r="F112" s="282"/>
      <c r="G112" s="282"/>
      <c r="H112" s="159"/>
      <c r="I112" s="237"/>
      <c r="J112" s="291"/>
      <c r="K112" s="291"/>
      <c r="L112" s="159"/>
      <c r="M112" s="159"/>
    </row>
    <row r="113" spans="1:13" x14ac:dyDescent="0.2">
      <c r="A113" s="298" t="s">
        <v>12</v>
      </c>
      <c r="B113" s="230"/>
      <c r="C113" s="290"/>
      <c r="D113" s="159"/>
      <c r="E113" s="237"/>
      <c r="F113" s="282"/>
      <c r="G113" s="282"/>
      <c r="H113" s="159"/>
      <c r="I113" s="237"/>
      <c r="J113" s="291"/>
      <c r="K113" s="291"/>
      <c r="L113" s="159"/>
      <c r="M113" s="159"/>
    </row>
    <row r="114" spans="1:13" x14ac:dyDescent="0.2">
      <c r="A114" s="298" t="s">
        <v>13</v>
      </c>
      <c r="B114" s="230"/>
      <c r="C114" s="290"/>
      <c r="D114" s="159"/>
      <c r="E114" s="237"/>
      <c r="F114" s="282"/>
      <c r="G114" s="282"/>
      <c r="H114" s="159"/>
      <c r="I114" s="237"/>
      <c r="J114" s="291"/>
      <c r="K114" s="291"/>
      <c r="L114" s="159"/>
      <c r="M114" s="159"/>
    </row>
    <row r="115" spans="1:13" ht="15.75" x14ac:dyDescent="0.2">
      <c r="A115" s="298" t="s">
        <v>331</v>
      </c>
      <c r="B115" s="282"/>
      <c r="C115" s="282"/>
      <c r="D115" s="159"/>
      <c r="E115" s="237"/>
      <c r="F115" s="282"/>
      <c r="G115" s="282"/>
      <c r="H115" s="159"/>
      <c r="I115" s="237"/>
      <c r="J115" s="291"/>
      <c r="K115" s="291"/>
      <c r="L115" s="159"/>
      <c r="M115" s="159"/>
    </row>
    <row r="116" spans="1:13" x14ac:dyDescent="0.2">
      <c r="A116" s="298" t="s">
        <v>12</v>
      </c>
      <c r="B116" s="230"/>
      <c r="C116" s="290"/>
      <c r="D116" s="159"/>
      <c r="E116" s="237"/>
      <c r="F116" s="282"/>
      <c r="G116" s="282"/>
      <c r="H116" s="159"/>
      <c r="I116" s="237"/>
      <c r="J116" s="291"/>
      <c r="K116" s="291"/>
      <c r="L116" s="159"/>
      <c r="M116" s="159"/>
    </row>
    <row r="117" spans="1:13" x14ac:dyDescent="0.2">
      <c r="A117" s="298" t="s">
        <v>13</v>
      </c>
      <c r="B117" s="232"/>
      <c r="C117" s="297"/>
      <c r="D117" s="159"/>
      <c r="E117" s="237"/>
      <c r="F117" s="282"/>
      <c r="G117" s="282"/>
      <c r="H117" s="159"/>
      <c r="I117" s="237"/>
      <c r="J117" s="291"/>
      <c r="K117" s="291"/>
      <c r="L117" s="159"/>
      <c r="M117" s="159"/>
    </row>
    <row r="118" spans="1:13" ht="15.75" x14ac:dyDescent="0.2">
      <c r="A118" s="18" t="s">
        <v>342</v>
      </c>
      <c r="B118" s="229"/>
      <c r="C118" s="139"/>
      <c r="D118" s="159"/>
      <c r="E118" s="170"/>
      <c r="F118" s="229"/>
      <c r="G118" s="139"/>
      <c r="H118" s="159"/>
      <c r="I118" s="170"/>
      <c r="J118" s="288"/>
      <c r="K118" s="37"/>
      <c r="L118" s="256"/>
      <c r="M118" s="170"/>
    </row>
    <row r="119" spans="1:13" ht="15.75" x14ac:dyDescent="0.2">
      <c r="A119" s="11" t="s">
        <v>28</v>
      </c>
      <c r="B119" s="355"/>
      <c r="C119" s="355"/>
      <c r="D119" s="159"/>
      <c r="E119" s="170"/>
      <c r="F119" s="354"/>
      <c r="G119" s="354"/>
      <c r="H119" s="159"/>
      <c r="I119" s="170"/>
      <c r="J119" s="311"/>
      <c r="K119" s="231"/>
      <c r="L119" s="256"/>
      <c r="M119" s="170"/>
    </row>
    <row r="120" spans="1:13" x14ac:dyDescent="0.2">
      <c r="A120" s="18" t="s">
        <v>9</v>
      </c>
      <c r="B120" s="229"/>
      <c r="C120" s="139"/>
      <c r="D120" s="159"/>
      <c r="E120" s="170"/>
      <c r="F120" s="229"/>
      <c r="G120" s="139"/>
      <c r="H120" s="159"/>
      <c r="I120" s="170"/>
      <c r="J120" s="288"/>
      <c r="K120" s="37"/>
      <c r="L120" s="256"/>
      <c r="M120" s="170"/>
    </row>
    <row r="121" spans="1:13" x14ac:dyDescent="0.2">
      <c r="A121" s="18" t="s">
        <v>10</v>
      </c>
      <c r="B121" s="229"/>
      <c r="C121" s="139"/>
      <c r="D121" s="159"/>
      <c r="E121" s="170"/>
      <c r="F121" s="229"/>
      <c r="G121" s="139"/>
      <c r="H121" s="159"/>
      <c r="I121" s="170"/>
      <c r="J121" s="288"/>
      <c r="K121" s="37"/>
      <c r="L121" s="256"/>
      <c r="M121" s="170"/>
    </row>
    <row r="122" spans="1:13" ht="15.75" x14ac:dyDescent="0.2">
      <c r="A122" s="298" t="s">
        <v>330</v>
      </c>
      <c r="B122" s="282"/>
      <c r="C122" s="282"/>
      <c r="D122" s="159"/>
      <c r="E122" s="237"/>
      <c r="F122" s="282"/>
      <c r="G122" s="282"/>
      <c r="H122" s="159"/>
      <c r="I122" s="237"/>
      <c r="J122" s="291"/>
      <c r="K122" s="291"/>
      <c r="L122" s="159"/>
      <c r="M122" s="159"/>
    </row>
    <row r="123" spans="1:13" x14ac:dyDescent="0.2">
      <c r="A123" s="298" t="s">
        <v>12</v>
      </c>
      <c r="B123" s="230"/>
      <c r="C123" s="290"/>
      <c r="D123" s="159"/>
      <c r="E123" s="237"/>
      <c r="F123" s="282"/>
      <c r="G123" s="282"/>
      <c r="H123" s="159"/>
      <c r="I123" s="237"/>
      <c r="J123" s="291"/>
      <c r="K123" s="291"/>
      <c r="L123" s="159"/>
      <c r="M123" s="159"/>
    </row>
    <row r="124" spans="1:13" x14ac:dyDescent="0.2">
      <c r="A124" s="298" t="s">
        <v>13</v>
      </c>
      <c r="B124" s="230"/>
      <c r="C124" s="290"/>
      <c r="D124" s="159"/>
      <c r="E124" s="237"/>
      <c r="F124" s="282"/>
      <c r="G124" s="282"/>
      <c r="H124" s="159"/>
      <c r="I124" s="237"/>
      <c r="J124" s="291"/>
      <c r="K124" s="291"/>
      <c r="L124" s="159"/>
      <c r="M124" s="159"/>
    </row>
    <row r="125" spans="1:13" ht="15.75" x14ac:dyDescent="0.2">
      <c r="A125" s="298" t="s">
        <v>331</v>
      </c>
      <c r="B125" s="282"/>
      <c r="C125" s="282"/>
      <c r="D125" s="159"/>
      <c r="E125" s="237"/>
      <c r="F125" s="282"/>
      <c r="G125" s="282"/>
      <c r="H125" s="159"/>
      <c r="I125" s="237"/>
      <c r="J125" s="291"/>
      <c r="K125" s="291"/>
      <c r="L125" s="159"/>
      <c r="M125" s="159"/>
    </row>
    <row r="126" spans="1:13" x14ac:dyDescent="0.2">
      <c r="A126" s="298" t="s">
        <v>12</v>
      </c>
      <c r="B126" s="230"/>
      <c r="C126" s="290"/>
      <c r="D126" s="159"/>
      <c r="E126" s="237"/>
      <c r="F126" s="282"/>
      <c r="G126" s="282"/>
      <c r="H126" s="159"/>
      <c r="I126" s="237"/>
      <c r="J126" s="291"/>
      <c r="K126" s="291"/>
      <c r="L126" s="159"/>
      <c r="M126" s="159"/>
    </row>
    <row r="127" spans="1:13" x14ac:dyDescent="0.2">
      <c r="A127" s="298" t="s">
        <v>13</v>
      </c>
      <c r="B127" s="230"/>
      <c r="C127" s="290"/>
      <c r="D127" s="159"/>
      <c r="E127" s="237"/>
      <c r="F127" s="282"/>
      <c r="G127" s="282"/>
      <c r="H127" s="159"/>
      <c r="I127" s="237"/>
      <c r="J127" s="291"/>
      <c r="K127" s="291"/>
      <c r="L127" s="159"/>
      <c r="M127" s="159"/>
    </row>
    <row r="128" spans="1:13" x14ac:dyDescent="0.2">
      <c r="A128" s="18" t="s">
        <v>34</v>
      </c>
      <c r="B128" s="229"/>
      <c r="C128" s="139"/>
      <c r="D128" s="159"/>
      <c r="E128" s="170"/>
      <c r="F128" s="229"/>
      <c r="G128" s="139"/>
      <c r="H128" s="159"/>
      <c r="I128" s="170"/>
      <c r="J128" s="288"/>
      <c r="K128" s="37"/>
      <c r="L128" s="256"/>
      <c r="M128" s="170"/>
    </row>
    <row r="129" spans="1:13" ht="15.75" x14ac:dyDescent="0.2">
      <c r="A129" s="18" t="s">
        <v>332</v>
      </c>
      <c r="B129" s="229"/>
      <c r="C129" s="229"/>
      <c r="D129" s="159"/>
      <c r="E129" s="170"/>
      <c r="F129" s="293"/>
      <c r="G129" s="293"/>
      <c r="H129" s="159"/>
      <c r="I129" s="170"/>
      <c r="J129" s="288"/>
      <c r="K129" s="37"/>
      <c r="L129" s="256"/>
      <c r="M129" s="170"/>
    </row>
    <row r="130" spans="1:13" x14ac:dyDescent="0.2">
      <c r="A130" s="18" t="s">
        <v>9</v>
      </c>
      <c r="B130" s="293"/>
      <c r="C130" s="294"/>
      <c r="D130" s="159"/>
      <c r="E130" s="170"/>
      <c r="F130" s="229"/>
      <c r="G130" s="139"/>
      <c r="H130" s="159"/>
      <c r="I130" s="170"/>
      <c r="J130" s="288"/>
      <c r="K130" s="37"/>
      <c r="L130" s="256"/>
      <c r="M130" s="170"/>
    </row>
    <row r="131" spans="1:13" x14ac:dyDescent="0.2">
      <c r="A131" s="18" t="s">
        <v>10</v>
      </c>
      <c r="B131" s="293"/>
      <c r="C131" s="294"/>
      <c r="D131" s="159"/>
      <c r="E131" s="170"/>
      <c r="F131" s="229"/>
      <c r="G131" s="229"/>
      <c r="H131" s="159"/>
      <c r="I131" s="170"/>
      <c r="J131" s="288"/>
      <c r="K131" s="37"/>
      <c r="L131" s="256"/>
      <c r="M131" s="170"/>
    </row>
    <row r="132" spans="1:13" ht="15.75" x14ac:dyDescent="0.2">
      <c r="A132" s="298" t="s">
        <v>330</v>
      </c>
      <c r="B132" s="282"/>
      <c r="C132" s="282"/>
      <c r="D132" s="159"/>
      <c r="E132" s="237"/>
      <c r="F132" s="282"/>
      <c r="G132" s="282"/>
      <c r="H132" s="159"/>
      <c r="I132" s="237"/>
      <c r="J132" s="291"/>
      <c r="K132" s="291"/>
      <c r="L132" s="159"/>
      <c r="M132" s="159"/>
    </row>
    <row r="133" spans="1:13" x14ac:dyDescent="0.2">
      <c r="A133" s="298" t="s">
        <v>12</v>
      </c>
      <c r="B133" s="230"/>
      <c r="C133" s="290"/>
      <c r="D133" s="159"/>
      <c r="E133" s="237"/>
      <c r="F133" s="282"/>
      <c r="G133" s="282"/>
      <c r="H133" s="159"/>
      <c r="I133" s="237"/>
      <c r="J133" s="291"/>
      <c r="K133" s="291"/>
      <c r="L133" s="159"/>
      <c r="M133" s="159"/>
    </row>
    <row r="134" spans="1:13" x14ac:dyDescent="0.2">
      <c r="A134" s="298" t="s">
        <v>13</v>
      </c>
      <c r="B134" s="230"/>
      <c r="C134" s="290"/>
      <c r="D134" s="159"/>
      <c r="E134" s="237"/>
      <c r="F134" s="282"/>
      <c r="G134" s="282"/>
      <c r="H134" s="159"/>
      <c r="I134" s="237"/>
      <c r="J134" s="291"/>
      <c r="K134" s="291"/>
      <c r="L134" s="159"/>
      <c r="M134" s="159"/>
    </row>
    <row r="135" spans="1:13" ht="15.75" x14ac:dyDescent="0.2">
      <c r="A135" s="298" t="s">
        <v>331</v>
      </c>
      <c r="B135" s="282"/>
      <c r="C135" s="282"/>
      <c r="D135" s="159"/>
      <c r="E135" s="237"/>
      <c r="F135" s="282"/>
      <c r="G135" s="282"/>
      <c r="H135" s="159"/>
      <c r="I135" s="237"/>
      <c r="J135" s="291"/>
      <c r="K135" s="291"/>
      <c r="L135" s="159"/>
      <c r="M135" s="159"/>
    </row>
    <row r="136" spans="1:13" x14ac:dyDescent="0.2">
      <c r="A136" s="298" t="s">
        <v>12</v>
      </c>
      <c r="B136" s="230"/>
      <c r="C136" s="290"/>
      <c r="D136" s="159"/>
      <c r="E136" s="237"/>
      <c r="F136" s="282"/>
      <c r="G136" s="282"/>
      <c r="H136" s="159"/>
      <c r="I136" s="237"/>
      <c r="J136" s="291"/>
      <c r="K136" s="291"/>
      <c r="L136" s="159"/>
      <c r="M136" s="159"/>
    </row>
    <row r="137" spans="1:13" x14ac:dyDescent="0.2">
      <c r="A137" s="298" t="s">
        <v>13</v>
      </c>
      <c r="B137" s="230"/>
      <c r="C137" s="290"/>
      <c r="D137" s="159"/>
      <c r="E137" s="237"/>
      <c r="F137" s="282"/>
      <c r="G137" s="282"/>
      <c r="H137" s="159"/>
      <c r="I137" s="237"/>
      <c r="J137" s="291"/>
      <c r="K137" s="291"/>
      <c r="L137" s="159"/>
      <c r="M137" s="159"/>
    </row>
    <row r="138" spans="1:13" ht="15.75" x14ac:dyDescent="0.2">
      <c r="A138" s="18" t="s">
        <v>342</v>
      </c>
      <c r="B138" s="229"/>
      <c r="C138" s="139"/>
      <c r="D138" s="159"/>
      <c r="E138" s="170"/>
      <c r="F138" s="229"/>
      <c r="G138" s="139"/>
      <c r="H138" s="159"/>
      <c r="I138" s="170"/>
      <c r="J138" s="288"/>
      <c r="K138" s="37"/>
      <c r="L138" s="256"/>
      <c r="M138" s="170"/>
    </row>
    <row r="139" spans="1:13" ht="15.75" x14ac:dyDescent="0.2">
      <c r="A139" s="18" t="s">
        <v>343</v>
      </c>
      <c r="B139" s="229"/>
      <c r="C139" s="229"/>
      <c r="D139" s="159"/>
      <c r="E139" s="170"/>
      <c r="F139" s="229"/>
      <c r="G139" s="229"/>
      <c r="H139" s="159"/>
      <c r="I139" s="170"/>
      <c r="J139" s="288"/>
      <c r="K139" s="37"/>
      <c r="L139" s="256"/>
      <c r="M139" s="170"/>
    </row>
    <row r="140" spans="1:13" ht="15.75" x14ac:dyDescent="0.2">
      <c r="A140" s="18" t="s">
        <v>334</v>
      </c>
      <c r="B140" s="229"/>
      <c r="C140" s="229"/>
      <c r="D140" s="159"/>
      <c r="E140" s="170"/>
      <c r="F140" s="229"/>
      <c r="G140" s="229"/>
      <c r="H140" s="159"/>
      <c r="I140" s="170"/>
      <c r="J140" s="288"/>
      <c r="K140" s="37"/>
      <c r="L140" s="256"/>
      <c r="M140" s="170"/>
    </row>
    <row r="141" spans="1:13" ht="15.75" x14ac:dyDescent="0.2">
      <c r="A141" s="18" t="s">
        <v>335</v>
      </c>
      <c r="B141" s="229"/>
      <c r="C141" s="229"/>
      <c r="D141" s="159"/>
      <c r="E141" s="170"/>
      <c r="F141" s="229"/>
      <c r="G141" s="229"/>
      <c r="H141" s="159"/>
      <c r="I141" s="170"/>
      <c r="J141" s="288"/>
      <c r="K141" s="37"/>
      <c r="L141" s="256"/>
      <c r="M141" s="170"/>
    </row>
    <row r="142" spans="1:13" ht="15.75" x14ac:dyDescent="0.2">
      <c r="A142" s="11" t="s">
        <v>27</v>
      </c>
      <c r="B142" s="310"/>
      <c r="C142" s="152"/>
      <c r="D142" s="159"/>
      <c r="E142" s="170"/>
      <c r="F142" s="310"/>
      <c r="G142" s="152"/>
      <c r="H142" s="159"/>
      <c r="I142" s="170"/>
      <c r="J142" s="311"/>
      <c r="K142" s="231"/>
      <c r="L142" s="256"/>
      <c r="M142" s="170"/>
    </row>
    <row r="143" spans="1:13" x14ac:dyDescent="0.2">
      <c r="A143" s="18" t="s">
        <v>9</v>
      </c>
      <c r="B143" s="229"/>
      <c r="C143" s="139"/>
      <c r="D143" s="159"/>
      <c r="E143" s="170"/>
      <c r="F143" s="229"/>
      <c r="G143" s="139"/>
      <c r="H143" s="159"/>
      <c r="I143" s="170"/>
      <c r="J143" s="288"/>
      <c r="K143" s="37"/>
      <c r="L143" s="256"/>
      <c r="M143" s="170"/>
    </row>
    <row r="144" spans="1:13" x14ac:dyDescent="0.2">
      <c r="A144" s="18" t="s">
        <v>10</v>
      </c>
      <c r="B144" s="229"/>
      <c r="C144" s="139"/>
      <c r="D144" s="159"/>
      <c r="E144" s="170"/>
      <c r="F144" s="229"/>
      <c r="G144" s="139"/>
      <c r="H144" s="159"/>
      <c r="I144" s="170"/>
      <c r="J144" s="288"/>
      <c r="K144" s="37"/>
      <c r="L144" s="256"/>
      <c r="M144" s="170"/>
    </row>
    <row r="145" spans="1:14" x14ac:dyDescent="0.2">
      <c r="A145" s="18" t="s">
        <v>34</v>
      </c>
      <c r="B145" s="229"/>
      <c r="C145" s="139"/>
      <c r="D145" s="159"/>
      <c r="E145" s="170"/>
      <c r="F145" s="229"/>
      <c r="G145" s="139"/>
      <c r="H145" s="159"/>
      <c r="I145" s="170"/>
      <c r="J145" s="288"/>
      <c r="K145" s="37"/>
      <c r="L145" s="256"/>
      <c r="M145" s="170"/>
    </row>
    <row r="146" spans="1:14" x14ac:dyDescent="0.2">
      <c r="A146" s="298" t="s">
        <v>15</v>
      </c>
      <c r="B146" s="282"/>
      <c r="C146" s="282"/>
      <c r="D146" s="159"/>
      <c r="E146" s="237"/>
      <c r="F146" s="282"/>
      <c r="G146" s="282"/>
      <c r="H146" s="159"/>
      <c r="I146" s="237"/>
      <c r="J146" s="291"/>
      <c r="K146" s="291"/>
      <c r="L146" s="159"/>
      <c r="M146" s="159"/>
    </row>
    <row r="147" spans="1:14" ht="15.75" x14ac:dyDescent="0.2">
      <c r="A147" s="18" t="s">
        <v>344</v>
      </c>
      <c r="B147" s="229"/>
      <c r="C147" s="229"/>
      <c r="D147" s="159"/>
      <c r="E147" s="170"/>
      <c r="F147" s="229"/>
      <c r="G147" s="229"/>
      <c r="H147" s="159"/>
      <c r="I147" s="170"/>
      <c r="J147" s="288"/>
      <c r="K147" s="37"/>
      <c r="L147" s="256"/>
      <c r="M147" s="170"/>
    </row>
    <row r="148" spans="1:14" ht="15.75" x14ac:dyDescent="0.2">
      <c r="A148" s="18" t="s">
        <v>336</v>
      </c>
      <c r="B148" s="229"/>
      <c r="C148" s="229"/>
      <c r="D148" s="159"/>
      <c r="E148" s="170"/>
      <c r="F148" s="229"/>
      <c r="G148" s="229"/>
      <c r="H148" s="159"/>
      <c r="I148" s="170"/>
      <c r="J148" s="288"/>
      <c r="K148" s="37"/>
      <c r="L148" s="256"/>
      <c r="M148" s="170"/>
    </row>
    <row r="149" spans="1:14" ht="15.75" x14ac:dyDescent="0.2">
      <c r="A149" s="18" t="s">
        <v>335</v>
      </c>
      <c r="B149" s="229"/>
      <c r="C149" s="229"/>
      <c r="D149" s="159"/>
      <c r="E149" s="170"/>
      <c r="F149" s="229"/>
      <c r="G149" s="229"/>
      <c r="H149" s="159"/>
      <c r="I149" s="170"/>
      <c r="J149" s="288"/>
      <c r="K149" s="37"/>
      <c r="L149" s="256"/>
      <c r="M149" s="170"/>
    </row>
    <row r="150" spans="1:14" ht="15.75" x14ac:dyDescent="0.2">
      <c r="A150" s="11" t="s">
        <v>26</v>
      </c>
      <c r="B150" s="310"/>
      <c r="C150" s="152"/>
      <c r="D150" s="159"/>
      <c r="E150" s="170"/>
      <c r="F150" s="310"/>
      <c r="G150" s="152"/>
      <c r="H150" s="159"/>
      <c r="I150" s="170"/>
      <c r="J150" s="311"/>
      <c r="K150" s="231"/>
      <c r="L150" s="256"/>
      <c r="M150" s="170"/>
    </row>
    <row r="151" spans="1:14" x14ac:dyDescent="0.2">
      <c r="A151" s="18" t="s">
        <v>9</v>
      </c>
      <c r="B151" s="229"/>
      <c r="C151" s="139"/>
      <c r="D151" s="159"/>
      <c r="E151" s="170"/>
      <c r="F151" s="229"/>
      <c r="G151" s="139"/>
      <c r="H151" s="159"/>
      <c r="I151" s="170"/>
      <c r="J151" s="288"/>
      <c r="K151" s="37"/>
      <c r="L151" s="256"/>
      <c r="M151" s="170"/>
    </row>
    <row r="152" spans="1:14" x14ac:dyDescent="0.2">
      <c r="A152" s="18" t="s">
        <v>10</v>
      </c>
      <c r="B152" s="229"/>
      <c r="C152" s="139"/>
      <c r="D152" s="159"/>
      <c r="E152" s="170"/>
      <c r="F152" s="229"/>
      <c r="G152" s="139"/>
      <c r="H152" s="159"/>
      <c r="I152" s="170"/>
      <c r="J152" s="288"/>
      <c r="K152" s="37"/>
      <c r="L152" s="256"/>
      <c r="M152" s="170"/>
    </row>
    <row r="153" spans="1:14" x14ac:dyDescent="0.2">
      <c r="A153" s="18" t="s">
        <v>34</v>
      </c>
      <c r="B153" s="229"/>
      <c r="C153" s="139"/>
      <c r="D153" s="159"/>
      <c r="E153" s="170"/>
      <c r="F153" s="229"/>
      <c r="G153" s="139"/>
      <c r="H153" s="159"/>
      <c r="I153" s="170"/>
      <c r="J153" s="288"/>
      <c r="K153" s="37"/>
      <c r="L153" s="256"/>
      <c r="M153" s="170"/>
    </row>
    <row r="154" spans="1:14" x14ac:dyDescent="0.2">
      <c r="A154" s="298" t="s">
        <v>14</v>
      </c>
      <c r="B154" s="282"/>
      <c r="C154" s="282"/>
      <c r="D154" s="159"/>
      <c r="E154" s="237"/>
      <c r="F154" s="282"/>
      <c r="G154" s="282"/>
      <c r="H154" s="159"/>
      <c r="I154" s="237"/>
      <c r="J154" s="291"/>
      <c r="K154" s="291"/>
      <c r="L154" s="159"/>
      <c r="M154" s="159"/>
    </row>
    <row r="155" spans="1:14" ht="15.75" x14ac:dyDescent="0.2">
      <c r="A155" s="18" t="s">
        <v>333</v>
      </c>
      <c r="B155" s="229"/>
      <c r="C155" s="229"/>
      <c r="D155" s="159"/>
      <c r="E155" s="170"/>
      <c r="F155" s="229"/>
      <c r="G155" s="229"/>
      <c r="H155" s="159"/>
      <c r="I155" s="170"/>
      <c r="J155" s="288"/>
      <c r="K155" s="37"/>
      <c r="L155" s="256"/>
      <c r="M155" s="170"/>
    </row>
    <row r="156" spans="1:14" ht="15.75" x14ac:dyDescent="0.2">
      <c r="A156" s="18" t="s">
        <v>334</v>
      </c>
      <c r="B156" s="229"/>
      <c r="C156" s="229"/>
      <c r="D156" s="159"/>
      <c r="E156" s="170"/>
      <c r="F156" s="229"/>
      <c r="G156" s="229"/>
      <c r="H156" s="159"/>
      <c r="I156" s="170"/>
      <c r="J156" s="288"/>
      <c r="K156" s="37"/>
      <c r="L156" s="256"/>
      <c r="M156" s="170"/>
    </row>
    <row r="157" spans="1:14" ht="15.75" x14ac:dyDescent="0.2">
      <c r="A157" s="9" t="s">
        <v>335</v>
      </c>
      <c r="B157" s="38"/>
      <c r="C157" s="38"/>
      <c r="D157" s="160"/>
      <c r="E157" s="201"/>
      <c r="F157" s="38"/>
      <c r="G157" s="38"/>
      <c r="H157" s="160"/>
      <c r="I157" s="160"/>
      <c r="J157" s="289"/>
      <c r="K157" s="38"/>
      <c r="L157" s="257"/>
      <c r="M157" s="160"/>
    </row>
    <row r="158" spans="1:14" x14ac:dyDescent="0.2">
      <c r="A158" s="148"/>
      <c r="L158" s="20"/>
      <c r="M158" s="20"/>
      <c r="N158" s="20"/>
    </row>
    <row r="159" spans="1:14" x14ac:dyDescent="0.2">
      <c r="L159" s="20"/>
      <c r="M159" s="20"/>
      <c r="N159" s="20"/>
    </row>
    <row r="160" spans="1:14" ht="15.75" x14ac:dyDescent="0.25">
      <c r="A160" s="158" t="s">
        <v>35</v>
      </c>
    </row>
    <row r="161" spans="1:14" ht="15.75" x14ac:dyDescent="0.25">
      <c r="B161" s="832"/>
      <c r="C161" s="832"/>
      <c r="D161" s="832"/>
      <c r="E161" s="301"/>
      <c r="F161" s="832"/>
      <c r="G161" s="832"/>
      <c r="H161" s="832"/>
      <c r="I161" s="301"/>
      <c r="J161" s="832"/>
      <c r="K161" s="832"/>
      <c r="L161" s="832"/>
      <c r="M161" s="301"/>
    </row>
    <row r="162" spans="1:14" s="3" customFormat="1" x14ac:dyDescent="0.2">
      <c r="A162" s="138"/>
      <c r="B162" s="833" t="s">
        <v>0</v>
      </c>
      <c r="C162" s="834"/>
      <c r="D162" s="834"/>
      <c r="E162" s="303"/>
      <c r="F162" s="833" t="s">
        <v>1</v>
      </c>
      <c r="G162" s="834"/>
      <c r="H162" s="834"/>
      <c r="I162" s="306"/>
      <c r="J162" s="833" t="s">
        <v>2</v>
      </c>
      <c r="K162" s="834"/>
      <c r="L162" s="834"/>
      <c r="M162" s="306"/>
      <c r="N162" s="142"/>
    </row>
    <row r="163" spans="1:14" s="3" customFormat="1" x14ac:dyDescent="0.2">
      <c r="A163" s="134"/>
      <c r="B163" s="145" t="s">
        <v>400</v>
      </c>
      <c r="C163" s="145" t="s">
        <v>401</v>
      </c>
      <c r="D163" s="242" t="s">
        <v>3</v>
      </c>
      <c r="E163" s="307" t="s">
        <v>37</v>
      </c>
      <c r="F163" s="145" t="s">
        <v>400</v>
      </c>
      <c r="G163" s="145" t="s">
        <v>401</v>
      </c>
      <c r="H163" s="242" t="s">
        <v>3</v>
      </c>
      <c r="I163" s="307" t="s">
        <v>37</v>
      </c>
      <c r="J163" s="145" t="s">
        <v>400</v>
      </c>
      <c r="K163" s="145" t="s">
        <v>401</v>
      </c>
      <c r="L163" s="242" t="s">
        <v>3</v>
      </c>
      <c r="M163" s="155" t="s">
        <v>37</v>
      </c>
      <c r="N163" s="142"/>
    </row>
    <row r="164" spans="1:14" s="3" customFormat="1" x14ac:dyDescent="0.2">
      <c r="A164" s="403"/>
      <c r="B164" s="149"/>
      <c r="C164" s="149"/>
      <c r="D164" s="243" t="s">
        <v>4</v>
      </c>
      <c r="E164" s="149" t="s">
        <v>38</v>
      </c>
      <c r="F164" s="154"/>
      <c r="G164" s="154"/>
      <c r="H164" s="242" t="s">
        <v>4</v>
      </c>
      <c r="I164" s="149" t="s">
        <v>38</v>
      </c>
      <c r="J164" s="154"/>
      <c r="K164" s="154"/>
      <c r="L164" s="242" t="s">
        <v>4</v>
      </c>
      <c r="M164" s="149" t="s">
        <v>38</v>
      </c>
      <c r="N164" s="142"/>
    </row>
    <row r="165" spans="1:14" s="3" customFormat="1" ht="15.75" x14ac:dyDescent="0.2">
      <c r="A165" s="12" t="s">
        <v>337</v>
      </c>
      <c r="B165" s="231">
        <v>4084610</v>
      </c>
      <c r="C165" s="311">
        <v>4018088</v>
      </c>
      <c r="D165" s="251">
        <f t="shared" ref="D165:D168" si="0">IF(B165=0, "    ---- ", IF(ABS(ROUND(100/B165*C165-100,1))&lt;999,ROUND(100/B165*C165-100,1),IF(ROUND(100/B165*C165-100,1)&gt;999,999,-999)))</f>
        <v>-1.6</v>
      </c>
      <c r="E165" s="170">
        <f>IFERROR(100/'Skjema total MA'!C165*C165,0)</f>
        <v>10.654760869186465</v>
      </c>
      <c r="F165" s="318"/>
      <c r="G165" s="319"/>
      <c r="H165" s="252"/>
      <c r="I165" s="159"/>
      <c r="J165" s="320">
        <v>4084610</v>
      </c>
      <c r="K165" s="320">
        <v>4018088</v>
      </c>
      <c r="L165" s="255">
        <f t="shared" ref="L165:L168" si="1">IF(J165=0, "    ---- ", IF(ABS(ROUND(100/J165*K165-100,1))&lt;999,ROUND(100/J165*K165-100,1),IF(ROUND(100/J165*K165-100,1)&gt;999,999,-999)))</f>
        <v>-1.6</v>
      </c>
      <c r="M165" s="170">
        <f>IFERROR(100/'Skjema total MA'!I165*K165,0)</f>
        <v>10.617139591933496</v>
      </c>
      <c r="N165" s="142"/>
    </row>
    <row r="166" spans="1:14" s="3" customFormat="1" ht="15.75" x14ac:dyDescent="0.2">
      <c r="A166" s="11" t="s">
        <v>338</v>
      </c>
      <c r="B166" s="231"/>
      <c r="C166" s="311"/>
      <c r="D166" s="159"/>
      <c r="E166" s="170"/>
      <c r="F166" s="231"/>
      <c r="G166" s="311"/>
      <c r="H166" s="236"/>
      <c r="I166" s="159"/>
      <c r="J166" s="310"/>
      <c r="K166" s="310"/>
      <c r="L166" s="256"/>
      <c r="M166" s="170"/>
      <c r="N166" s="142"/>
    </row>
    <row r="167" spans="1:14" s="3" customFormat="1" ht="15.75" x14ac:dyDescent="0.2">
      <c r="A167" s="11" t="s">
        <v>339</v>
      </c>
      <c r="B167" s="231">
        <v>60552187</v>
      </c>
      <c r="C167" s="311">
        <v>64732970</v>
      </c>
      <c r="D167" s="159">
        <f t="shared" si="0"/>
        <v>6.9</v>
      </c>
      <c r="E167" s="170">
        <f>IFERROR(100/'Skjema total MA'!C167*C167,0)</f>
        <v>13.227894259444422</v>
      </c>
      <c r="F167" s="231"/>
      <c r="G167" s="311"/>
      <c r="H167" s="236"/>
      <c r="I167" s="159"/>
      <c r="J167" s="310">
        <v>60552187</v>
      </c>
      <c r="K167" s="310">
        <v>64732970</v>
      </c>
      <c r="L167" s="256">
        <f t="shared" si="1"/>
        <v>6.9</v>
      </c>
      <c r="M167" s="170">
        <f>IFERROR(100/'Skjema total MA'!I167*K167,0)</f>
        <v>13.169189499668644</v>
      </c>
      <c r="N167" s="142"/>
    </row>
    <row r="168" spans="1:14" s="3" customFormat="1" ht="15.75" x14ac:dyDescent="0.2">
      <c r="A168" s="11" t="s">
        <v>340</v>
      </c>
      <c r="B168" s="231">
        <v>9898</v>
      </c>
      <c r="C168" s="311">
        <v>0</v>
      </c>
      <c r="D168" s="159">
        <f t="shared" si="0"/>
        <v>-100</v>
      </c>
      <c r="E168" s="170">
        <f>IFERROR(100/'Skjema total MA'!C168*C168,0)</f>
        <v>0</v>
      </c>
      <c r="F168" s="231"/>
      <c r="G168" s="311"/>
      <c r="H168" s="236"/>
      <c r="I168" s="159"/>
      <c r="J168" s="310">
        <v>9898</v>
      </c>
      <c r="K168" s="310">
        <v>0</v>
      </c>
      <c r="L168" s="256">
        <f t="shared" si="1"/>
        <v>-100</v>
      </c>
      <c r="M168" s="170">
        <f>IFERROR(100/'Skjema total MA'!I168*K168,0)</f>
        <v>0</v>
      </c>
      <c r="N168" s="142"/>
    </row>
    <row r="169" spans="1:14" s="3" customFormat="1" ht="15.75" x14ac:dyDescent="0.2">
      <c r="A169" s="34" t="s">
        <v>341</v>
      </c>
      <c r="B169" s="277"/>
      <c r="C169" s="317"/>
      <c r="D169" s="160"/>
      <c r="E169" s="201"/>
      <c r="F169" s="277"/>
      <c r="G169" s="317"/>
      <c r="H169" s="239"/>
      <c r="I169" s="160"/>
      <c r="J169" s="316"/>
      <c r="K169" s="316"/>
      <c r="L169" s="257"/>
      <c r="M169" s="160"/>
      <c r="N169" s="142"/>
    </row>
    <row r="170" spans="1:14" s="3" customFormat="1" x14ac:dyDescent="0.2">
      <c r="A170" s="161"/>
      <c r="B170" s="27"/>
      <c r="C170" s="27"/>
      <c r="D170" s="152"/>
      <c r="E170" s="152"/>
      <c r="F170" s="27"/>
      <c r="G170" s="27"/>
      <c r="H170" s="152"/>
      <c r="I170" s="152"/>
      <c r="J170" s="27"/>
      <c r="K170" s="27"/>
      <c r="L170" s="152"/>
      <c r="M170" s="152"/>
      <c r="N170" s="142"/>
    </row>
    <row r="171" spans="1:14" x14ac:dyDescent="0.2">
      <c r="A171" s="161"/>
      <c r="B171" s="27"/>
      <c r="C171" s="27"/>
      <c r="D171" s="152"/>
      <c r="E171" s="152"/>
      <c r="F171" s="27"/>
      <c r="G171" s="27"/>
      <c r="H171" s="152"/>
      <c r="I171" s="152"/>
      <c r="J171" s="27"/>
      <c r="K171" s="27"/>
      <c r="L171" s="152"/>
      <c r="M171" s="152"/>
      <c r="N171" s="142"/>
    </row>
    <row r="172" spans="1:14" x14ac:dyDescent="0.2">
      <c r="A172" s="161"/>
      <c r="B172" s="27"/>
      <c r="C172" s="27"/>
      <c r="D172" s="152"/>
      <c r="E172" s="152"/>
      <c r="F172" s="27"/>
      <c r="G172" s="27"/>
      <c r="H172" s="152"/>
      <c r="I172" s="152"/>
      <c r="J172" s="27"/>
      <c r="K172" s="27"/>
      <c r="L172" s="152"/>
      <c r="M172" s="152"/>
      <c r="N172" s="142"/>
    </row>
    <row r="173" spans="1:14" x14ac:dyDescent="0.2">
      <c r="A173" s="140"/>
      <c r="B173" s="140"/>
      <c r="C173" s="140"/>
      <c r="D173" s="140"/>
      <c r="E173" s="140"/>
      <c r="F173" s="140"/>
      <c r="G173" s="140"/>
      <c r="H173" s="140"/>
      <c r="I173" s="140"/>
      <c r="J173" s="140"/>
      <c r="K173" s="140"/>
      <c r="L173" s="140"/>
      <c r="M173" s="140"/>
      <c r="N173" s="140"/>
    </row>
    <row r="174" spans="1:14" ht="15.75" x14ac:dyDescent="0.25">
      <c r="B174" s="136"/>
      <c r="C174" s="136"/>
      <c r="D174" s="136"/>
      <c r="E174" s="136"/>
      <c r="F174" s="136"/>
      <c r="G174" s="136"/>
      <c r="H174" s="136"/>
      <c r="I174" s="136"/>
      <c r="J174" s="136"/>
      <c r="K174" s="136"/>
      <c r="L174" s="136"/>
      <c r="M174" s="136"/>
      <c r="N174" s="136"/>
    </row>
    <row r="175" spans="1:14" ht="15.75" x14ac:dyDescent="0.25">
      <c r="B175" s="150"/>
      <c r="C175" s="150"/>
      <c r="D175" s="150"/>
      <c r="E175" s="150"/>
      <c r="F175" s="150"/>
      <c r="G175" s="150"/>
      <c r="H175" s="150"/>
      <c r="I175" s="150"/>
      <c r="J175" s="150"/>
      <c r="K175" s="150"/>
      <c r="L175" s="150"/>
      <c r="M175" s="150"/>
      <c r="N175" s="150"/>
    </row>
    <row r="176" spans="1:14" ht="15.75" x14ac:dyDescent="0.25">
      <c r="B176" s="150"/>
      <c r="C176" s="150"/>
      <c r="D176" s="150"/>
      <c r="E176" s="150"/>
      <c r="F176" s="150"/>
      <c r="G176" s="150"/>
      <c r="H176" s="150"/>
      <c r="I176" s="150"/>
      <c r="J176" s="150"/>
      <c r="K176" s="150"/>
      <c r="L176" s="150"/>
      <c r="M176" s="150"/>
      <c r="N176" s="150"/>
    </row>
  </sheetData>
  <mergeCells count="28">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22:D22"/>
    <mergeCell ref="F22:H22"/>
    <mergeCell ref="J22:L22"/>
    <mergeCell ref="D47:F47"/>
    <mergeCell ref="G47:I47"/>
    <mergeCell ref="J47:L47"/>
  </mergeCells>
  <conditionalFormatting sqref="B57:C59">
    <cfRule type="expression" dxfId="818" priority="132">
      <formula>kvartal &lt; 4</formula>
    </cfRule>
  </conditionalFormatting>
  <conditionalFormatting sqref="B63:C65">
    <cfRule type="expression" dxfId="817" priority="131">
      <formula>kvartal &lt; 4</formula>
    </cfRule>
  </conditionalFormatting>
  <conditionalFormatting sqref="B37">
    <cfRule type="expression" dxfId="816" priority="130">
      <formula>kvartal &lt; 4</formula>
    </cfRule>
  </conditionalFormatting>
  <conditionalFormatting sqref="B38">
    <cfRule type="expression" dxfId="815" priority="129">
      <formula>kvartal &lt; 4</formula>
    </cfRule>
  </conditionalFormatting>
  <conditionalFormatting sqref="B39">
    <cfRule type="expression" dxfId="814" priority="128">
      <formula>kvartal &lt; 4</formula>
    </cfRule>
  </conditionalFormatting>
  <conditionalFormatting sqref="A34">
    <cfRule type="expression" dxfId="813" priority="1">
      <formula>kvartal &lt; 4</formula>
    </cfRule>
  </conditionalFormatting>
  <conditionalFormatting sqref="C37">
    <cfRule type="expression" dxfId="812" priority="127">
      <formula>kvartal &lt; 4</formula>
    </cfRule>
  </conditionalFormatting>
  <conditionalFormatting sqref="C38">
    <cfRule type="expression" dxfId="811" priority="126">
      <formula>kvartal &lt; 4</formula>
    </cfRule>
  </conditionalFormatting>
  <conditionalFormatting sqref="C39">
    <cfRule type="expression" dxfId="810" priority="125">
      <formula>kvartal &lt; 4</formula>
    </cfRule>
  </conditionalFormatting>
  <conditionalFormatting sqref="B26:C28">
    <cfRule type="expression" dxfId="809" priority="124">
      <formula>kvartal &lt; 4</formula>
    </cfRule>
  </conditionalFormatting>
  <conditionalFormatting sqref="B32:C33">
    <cfRule type="expression" dxfId="808" priority="123">
      <formula>kvartal &lt; 4</formula>
    </cfRule>
  </conditionalFormatting>
  <conditionalFormatting sqref="B34">
    <cfRule type="expression" dxfId="807" priority="122">
      <formula>kvartal &lt; 4</formula>
    </cfRule>
  </conditionalFormatting>
  <conditionalFormatting sqref="C34">
    <cfRule type="expression" dxfId="806" priority="121">
      <formula>kvartal &lt; 4</formula>
    </cfRule>
  </conditionalFormatting>
  <conditionalFormatting sqref="F26:G28">
    <cfRule type="expression" dxfId="805" priority="120">
      <formula>kvartal &lt; 4</formula>
    </cfRule>
  </conditionalFormatting>
  <conditionalFormatting sqref="F32">
    <cfRule type="expression" dxfId="804" priority="119">
      <formula>kvartal &lt; 4</formula>
    </cfRule>
  </conditionalFormatting>
  <conditionalFormatting sqref="G32">
    <cfRule type="expression" dxfId="803" priority="118">
      <formula>kvartal &lt; 4</formula>
    </cfRule>
  </conditionalFormatting>
  <conditionalFormatting sqref="F33">
    <cfRule type="expression" dxfId="802" priority="117">
      <formula>kvartal &lt; 4</formula>
    </cfRule>
  </conditionalFormatting>
  <conditionalFormatting sqref="G33">
    <cfRule type="expression" dxfId="801" priority="116">
      <formula>kvartal &lt; 4</formula>
    </cfRule>
  </conditionalFormatting>
  <conditionalFormatting sqref="F34">
    <cfRule type="expression" dxfId="800" priority="115">
      <formula>kvartal &lt; 4</formula>
    </cfRule>
  </conditionalFormatting>
  <conditionalFormatting sqref="G34">
    <cfRule type="expression" dxfId="799" priority="114">
      <formula>kvartal &lt; 4</formula>
    </cfRule>
  </conditionalFormatting>
  <conditionalFormatting sqref="F37">
    <cfRule type="expression" dxfId="798" priority="113">
      <formula>kvartal &lt; 4</formula>
    </cfRule>
  </conditionalFormatting>
  <conditionalFormatting sqref="F38">
    <cfRule type="expression" dxfId="797" priority="112">
      <formula>kvartal &lt; 4</formula>
    </cfRule>
  </conditionalFormatting>
  <conditionalFormatting sqref="F39">
    <cfRule type="expression" dxfId="796" priority="111">
      <formula>kvartal &lt; 4</formula>
    </cfRule>
  </conditionalFormatting>
  <conditionalFormatting sqref="G37">
    <cfRule type="expression" dxfId="795" priority="110">
      <formula>kvartal &lt; 4</formula>
    </cfRule>
  </conditionalFormatting>
  <conditionalFormatting sqref="G38">
    <cfRule type="expression" dxfId="794" priority="109">
      <formula>kvartal &lt; 4</formula>
    </cfRule>
  </conditionalFormatting>
  <conditionalFormatting sqref="G39">
    <cfRule type="expression" dxfId="793" priority="108">
      <formula>kvartal &lt; 4</formula>
    </cfRule>
  </conditionalFormatting>
  <conditionalFormatting sqref="B29">
    <cfRule type="expression" dxfId="792" priority="107">
      <formula>kvartal &lt; 4</formula>
    </cfRule>
  </conditionalFormatting>
  <conditionalFormatting sqref="C29">
    <cfRule type="expression" dxfId="791" priority="106">
      <formula>kvartal &lt; 4</formula>
    </cfRule>
  </conditionalFormatting>
  <conditionalFormatting sqref="F29">
    <cfRule type="expression" dxfId="790" priority="105">
      <formula>kvartal &lt; 4</formula>
    </cfRule>
  </conditionalFormatting>
  <conditionalFormatting sqref="G29">
    <cfRule type="expression" dxfId="789" priority="104">
      <formula>kvartal &lt; 4</formula>
    </cfRule>
  </conditionalFormatting>
  <conditionalFormatting sqref="J26:K29">
    <cfRule type="expression" dxfId="788" priority="103">
      <formula>kvartal &lt; 4</formula>
    </cfRule>
  </conditionalFormatting>
  <conditionalFormatting sqref="J32:K34">
    <cfRule type="expression" dxfId="787" priority="102">
      <formula>kvartal &lt; 4</formula>
    </cfRule>
  </conditionalFormatting>
  <conditionalFormatting sqref="J37:K39">
    <cfRule type="expression" dxfId="786" priority="101">
      <formula>kvartal &lt; 4</formula>
    </cfRule>
  </conditionalFormatting>
  <conditionalFormatting sqref="B82">
    <cfRule type="expression" dxfId="785" priority="100">
      <formula>kvartal &lt; 4</formula>
    </cfRule>
  </conditionalFormatting>
  <conditionalFormatting sqref="C82">
    <cfRule type="expression" dxfId="784" priority="99">
      <formula>kvartal &lt; 4</formula>
    </cfRule>
  </conditionalFormatting>
  <conditionalFormatting sqref="B85">
    <cfRule type="expression" dxfId="783" priority="98">
      <formula>kvartal &lt; 4</formula>
    </cfRule>
  </conditionalFormatting>
  <conditionalFormatting sqref="C85">
    <cfRule type="expression" dxfId="782" priority="97">
      <formula>kvartal &lt; 4</formula>
    </cfRule>
  </conditionalFormatting>
  <conditionalFormatting sqref="B92">
    <cfRule type="expression" dxfId="781" priority="96">
      <formula>kvartal &lt; 4</formula>
    </cfRule>
  </conditionalFormatting>
  <conditionalFormatting sqref="C92">
    <cfRule type="expression" dxfId="780" priority="95">
      <formula>kvartal &lt; 4</formula>
    </cfRule>
  </conditionalFormatting>
  <conditionalFormatting sqref="B95">
    <cfRule type="expression" dxfId="779" priority="94">
      <formula>kvartal &lt; 4</formula>
    </cfRule>
  </conditionalFormatting>
  <conditionalFormatting sqref="C95">
    <cfRule type="expression" dxfId="778" priority="93">
      <formula>kvartal &lt; 4</formula>
    </cfRule>
  </conditionalFormatting>
  <conditionalFormatting sqref="B102">
    <cfRule type="expression" dxfId="777" priority="92">
      <formula>kvartal &lt; 4</formula>
    </cfRule>
  </conditionalFormatting>
  <conditionalFormatting sqref="C102">
    <cfRule type="expression" dxfId="776" priority="91">
      <formula>kvartal &lt; 4</formula>
    </cfRule>
  </conditionalFormatting>
  <conditionalFormatting sqref="B105">
    <cfRule type="expression" dxfId="775" priority="90">
      <formula>kvartal &lt; 4</formula>
    </cfRule>
  </conditionalFormatting>
  <conditionalFormatting sqref="C105">
    <cfRule type="expression" dxfId="774" priority="89">
      <formula>kvartal &lt; 4</formula>
    </cfRule>
  </conditionalFormatting>
  <conditionalFormatting sqref="B112">
    <cfRule type="expression" dxfId="773" priority="88">
      <formula>kvartal &lt; 4</formula>
    </cfRule>
  </conditionalFormatting>
  <conditionalFormatting sqref="C112">
    <cfRule type="expression" dxfId="772" priority="87">
      <formula>kvartal &lt; 4</formula>
    </cfRule>
  </conditionalFormatting>
  <conditionalFormatting sqref="B115">
    <cfRule type="expression" dxfId="771" priority="86">
      <formula>kvartal &lt; 4</formula>
    </cfRule>
  </conditionalFormatting>
  <conditionalFormatting sqref="C115">
    <cfRule type="expression" dxfId="770" priority="85">
      <formula>kvartal &lt; 4</formula>
    </cfRule>
  </conditionalFormatting>
  <conditionalFormatting sqref="B122">
    <cfRule type="expression" dxfId="769" priority="84">
      <formula>kvartal &lt; 4</formula>
    </cfRule>
  </conditionalFormatting>
  <conditionalFormatting sqref="C122">
    <cfRule type="expression" dxfId="768" priority="83">
      <formula>kvartal &lt; 4</formula>
    </cfRule>
  </conditionalFormatting>
  <conditionalFormatting sqref="B125">
    <cfRule type="expression" dxfId="767" priority="82">
      <formula>kvartal &lt; 4</formula>
    </cfRule>
  </conditionalFormatting>
  <conditionalFormatting sqref="C125">
    <cfRule type="expression" dxfId="766" priority="81">
      <formula>kvartal &lt; 4</formula>
    </cfRule>
  </conditionalFormatting>
  <conditionalFormatting sqref="B132">
    <cfRule type="expression" dxfId="765" priority="80">
      <formula>kvartal &lt; 4</formula>
    </cfRule>
  </conditionalFormatting>
  <conditionalFormatting sqref="C132">
    <cfRule type="expression" dxfId="764" priority="79">
      <formula>kvartal &lt; 4</formula>
    </cfRule>
  </conditionalFormatting>
  <conditionalFormatting sqref="B135">
    <cfRule type="expression" dxfId="763" priority="78">
      <formula>kvartal &lt; 4</formula>
    </cfRule>
  </conditionalFormatting>
  <conditionalFormatting sqref="C135">
    <cfRule type="expression" dxfId="762" priority="77">
      <formula>kvartal &lt; 4</formula>
    </cfRule>
  </conditionalFormatting>
  <conditionalFormatting sqref="B146">
    <cfRule type="expression" dxfId="761" priority="76">
      <formula>kvartal &lt; 4</formula>
    </cfRule>
  </conditionalFormatting>
  <conditionalFormatting sqref="C146">
    <cfRule type="expression" dxfId="760" priority="75">
      <formula>kvartal &lt; 4</formula>
    </cfRule>
  </conditionalFormatting>
  <conditionalFormatting sqref="B154">
    <cfRule type="expression" dxfId="759" priority="74">
      <formula>kvartal &lt; 4</formula>
    </cfRule>
  </conditionalFormatting>
  <conditionalFormatting sqref="C154">
    <cfRule type="expression" dxfId="758" priority="73">
      <formula>kvartal &lt; 4</formula>
    </cfRule>
  </conditionalFormatting>
  <conditionalFormatting sqref="F83">
    <cfRule type="expression" dxfId="757" priority="72">
      <formula>kvartal &lt; 4</formula>
    </cfRule>
  </conditionalFormatting>
  <conditionalFormatting sqref="G83">
    <cfRule type="expression" dxfId="756" priority="71">
      <formula>kvartal &lt; 4</formula>
    </cfRule>
  </conditionalFormatting>
  <conditionalFormatting sqref="F84:G84">
    <cfRule type="expression" dxfId="755" priority="70">
      <formula>kvartal &lt; 4</formula>
    </cfRule>
  </conditionalFormatting>
  <conditionalFormatting sqref="F86:G87">
    <cfRule type="expression" dxfId="754" priority="69">
      <formula>kvartal &lt; 4</formula>
    </cfRule>
  </conditionalFormatting>
  <conditionalFormatting sqref="F93:G94">
    <cfRule type="expression" dxfId="753" priority="68">
      <formula>kvartal &lt; 4</formula>
    </cfRule>
  </conditionalFormatting>
  <conditionalFormatting sqref="F96:G97">
    <cfRule type="expression" dxfId="752" priority="67">
      <formula>kvartal &lt; 4</formula>
    </cfRule>
  </conditionalFormatting>
  <conditionalFormatting sqref="F103:G104">
    <cfRule type="expression" dxfId="751" priority="66">
      <formula>kvartal &lt; 4</formula>
    </cfRule>
  </conditionalFormatting>
  <conditionalFormatting sqref="F106:G107">
    <cfRule type="expression" dxfId="750" priority="65">
      <formula>kvartal &lt; 4</formula>
    </cfRule>
  </conditionalFormatting>
  <conditionalFormatting sqref="F113:G114">
    <cfRule type="expression" dxfId="749" priority="64">
      <formula>kvartal &lt; 4</formula>
    </cfRule>
  </conditionalFormatting>
  <conditionalFormatting sqref="F116:G117">
    <cfRule type="expression" dxfId="748" priority="63">
      <formula>kvartal &lt; 4</formula>
    </cfRule>
  </conditionalFormatting>
  <conditionalFormatting sqref="F123:G124">
    <cfRule type="expression" dxfId="747" priority="62">
      <formula>kvartal &lt; 4</formula>
    </cfRule>
  </conditionalFormatting>
  <conditionalFormatting sqref="F126:G127">
    <cfRule type="expression" dxfId="746" priority="61">
      <formula>kvartal &lt; 4</formula>
    </cfRule>
  </conditionalFormatting>
  <conditionalFormatting sqref="F133:G134">
    <cfRule type="expression" dxfId="745" priority="60">
      <formula>kvartal &lt; 4</formula>
    </cfRule>
  </conditionalFormatting>
  <conditionalFormatting sqref="F136:G137">
    <cfRule type="expression" dxfId="744" priority="59">
      <formula>kvartal &lt; 4</formula>
    </cfRule>
  </conditionalFormatting>
  <conditionalFormatting sqref="F146">
    <cfRule type="expression" dxfId="743" priority="58">
      <formula>kvartal &lt; 4</formula>
    </cfRule>
  </conditionalFormatting>
  <conditionalFormatting sqref="G146">
    <cfRule type="expression" dxfId="742" priority="57">
      <formula>kvartal &lt; 4</formula>
    </cfRule>
  </conditionalFormatting>
  <conditionalFormatting sqref="F154:G154">
    <cfRule type="expression" dxfId="741" priority="56">
      <formula>kvartal &lt; 4</formula>
    </cfRule>
  </conditionalFormatting>
  <conditionalFormatting sqref="F82:G82">
    <cfRule type="expression" dxfId="740" priority="55">
      <formula>kvartal &lt; 4</formula>
    </cfRule>
  </conditionalFormatting>
  <conditionalFormatting sqref="F85:G85">
    <cfRule type="expression" dxfId="739" priority="54">
      <formula>kvartal &lt; 4</formula>
    </cfRule>
  </conditionalFormatting>
  <conditionalFormatting sqref="F92:G92">
    <cfRule type="expression" dxfId="738" priority="53">
      <formula>kvartal &lt; 4</formula>
    </cfRule>
  </conditionalFormatting>
  <conditionalFormatting sqref="F95:G95">
    <cfRule type="expression" dxfId="737" priority="52">
      <formula>kvartal &lt; 4</formula>
    </cfRule>
  </conditionalFormatting>
  <conditionalFormatting sqref="F102:G102">
    <cfRule type="expression" dxfId="736" priority="51">
      <formula>kvartal &lt; 4</formula>
    </cfRule>
  </conditionalFormatting>
  <conditionalFormatting sqref="F105:G105">
    <cfRule type="expression" dxfId="735" priority="50">
      <formula>kvartal &lt; 4</formula>
    </cfRule>
  </conditionalFormatting>
  <conditionalFormatting sqref="F112:G112">
    <cfRule type="expression" dxfId="734" priority="49">
      <formula>kvartal &lt; 4</formula>
    </cfRule>
  </conditionalFormatting>
  <conditionalFormatting sqref="F115">
    <cfRule type="expression" dxfId="733" priority="48">
      <formula>kvartal &lt; 4</formula>
    </cfRule>
  </conditionalFormatting>
  <conditionalFormatting sqref="G115">
    <cfRule type="expression" dxfId="732" priority="47">
      <formula>kvartal &lt; 4</formula>
    </cfRule>
  </conditionalFormatting>
  <conditionalFormatting sqref="F122:G122">
    <cfRule type="expression" dxfId="731" priority="46">
      <formula>kvartal &lt; 4</formula>
    </cfRule>
  </conditionalFormatting>
  <conditionalFormatting sqref="F125">
    <cfRule type="expression" dxfId="730" priority="45">
      <formula>kvartal &lt; 4</formula>
    </cfRule>
  </conditionalFormatting>
  <conditionalFormatting sqref="G125">
    <cfRule type="expression" dxfId="729" priority="44">
      <formula>kvartal &lt; 4</formula>
    </cfRule>
  </conditionalFormatting>
  <conditionalFormatting sqref="F132">
    <cfRule type="expression" dxfId="728" priority="43">
      <formula>kvartal &lt; 4</formula>
    </cfRule>
  </conditionalFormatting>
  <conditionalFormatting sqref="G132">
    <cfRule type="expression" dxfId="727" priority="42">
      <formula>kvartal &lt; 4</formula>
    </cfRule>
  </conditionalFormatting>
  <conditionalFormatting sqref="G135">
    <cfRule type="expression" dxfId="726" priority="41">
      <formula>kvartal &lt; 4</formula>
    </cfRule>
  </conditionalFormatting>
  <conditionalFormatting sqref="F135">
    <cfRule type="expression" dxfId="725" priority="40">
      <formula>kvartal &lt; 4</formula>
    </cfRule>
  </conditionalFormatting>
  <conditionalFormatting sqref="J82:K86">
    <cfRule type="expression" dxfId="724" priority="39">
      <formula>kvartal &lt; 4</formula>
    </cfRule>
  </conditionalFormatting>
  <conditionalFormatting sqref="J87:K87">
    <cfRule type="expression" dxfId="723" priority="38">
      <formula>kvartal &lt; 4</formula>
    </cfRule>
  </conditionalFormatting>
  <conditionalFormatting sqref="J92:K97">
    <cfRule type="expression" dxfId="722" priority="37">
      <formula>kvartal &lt; 4</formula>
    </cfRule>
  </conditionalFormatting>
  <conditionalFormatting sqref="J102:K107">
    <cfRule type="expression" dxfId="721" priority="36">
      <formula>kvartal &lt; 4</formula>
    </cfRule>
  </conditionalFormatting>
  <conditionalFormatting sqref="J112:K117">
    <cfRule type="expression" dxfId="720" priority="35">
      <formula>kvartal &lt; 4</formula>
    </cfRule>
  </conditionalFormatting>
  <conditionalFormatting sqref="J122:K127">
    <cfRule type="expression" dxfId="719" priority="34">
      <formula>kvartal &lt; 4</formula>
    </cfRule>
  </conditionalFormatting>
  <conditionalFormatting sqref="J132:K137">
    <cfRule type="expression" dxfId="718" priority="33">
      <formula>kvartal &lt; 4</formula>
    </cfRule>
  </conditionalFormatting>
  <conditionalFormatting sqref="J146:K146">
    <cfRule type="expression" dxfId="717" priority="32">
      <formula>kvartal &lt; 4</formula>
    </cfRule>
  </conditionalFormatting>
  <conditionalFormatting sqref="J154:K154">
    <cfRule type="expression" dxfId="716" priority="31">
      <formula>kvartal &lt; 4</formula>
    </cfRule>
  </conditionalFormatting>
  <conditionalFormatting sqref="A26:A28">
    <cfRule type="expression" dxfId="715" priority="15">
      <formula>kvartal &lt; 4</formula>
    </cfRule>
  </conditionalFormatting>
  <conditionalFormatting sqref="A32:A33">
    <cfRule type="expression" dxfId="714" priority="14">
      <formula>kvartal &lt; 4</formula>
    </cfRule>
  </conditionalFormatting>
  <conditionalFormatting sqref="A37:A39">
    <cfRule type="expression" dxfId="713" priority="13">
      <formula>kvartal &lt; 4</formula>
    </cfRule>
  </conditionalFormatting>
  <conditionalFormatting sqref="A57:A59">
    <cfRule type="expression" dxfId="712" priority="12">
      <formula>kvartal &lt; 4</formula>
    </cfRule>
  </conditionalFormatting>
  <conditionalFormatting sqref="A63:A65">
    <cfRule type="expression" dxfId="711" priority="11">
      <formula>kvartal &lt; 4</formula>
    </cfRule>
  </conditionalFormatting>
  <conditionalFormatting sqref="A82:A87">
    <cfRule type="expression" dxfId="710" priority="10">
      <formula>kvartal &lt; 4</formula>
    </cfRule>
  </conditionalFormatting>
  <conditionalFormatting sqref="A92:A97">
    <cfRule type="expression" dxfId="709" priority="9">
      <formula>kvartal &lt; 4</formula>
    </cfRule>
  </conditionalFormatting>
  <conditionalFormatting sqref="A102:A107">
    <cfRule type="expression" dxfId="708" priority="8">
      <formula>kvartal &lt; 4</formula>
    </cfRule>
  </conditionalFormatting>
  <conditionalFormatting sqref="A112:A117">
    <cfRule type="expression" dxfId="707" priority="7">
      <formula>kvartal &lt; 4</formula>
    </cfRule>
  </conditionalFormatting>
  <conditionalFormatting sqref="A122:A127">
    <cfRule type="expression" dxfId="706" priority="6">
      <formula>kvartal &lt; 4</formula>
    </cfRule>
  </conditionalFormatting>
  <conditionalFormatting sqref="A132:A137">
    <cfRule type="expression" dxfId="705" priority="5">
      <formula>kvartal &lt; 4</formula>
    </cfRule>
  </conditionalFormatting>
  <conditionalFormatting sqref="A146">
    <cfRule type="expression" dxfId="704" priority="4">
      <formula>kvartal &lt; 4</formula>
    </cfRule>
  </conditionalFormatting>
  <conditionalFormatting sqref="A154">
    <cfRule type="expression" dxfId="703" priority="3">
      <formula>kvartal &lt; 4</formula>
    </cfRule>
  </conditionalFormatting>
  <conditionalFormatting sqref="A29">
    <cfRule type="expression" dxfId="702" priority="2">
      <formula>kvartal &lt; 4</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7"/>
  <dimension ref="A1:N176"/>
  <sheetViews>
    <sheetView showGridLines="0" zoomScale="90" zoomScaleNormal="90" workbookViewId="0">
      <selection activeCell="A4" sqref="A4"/>
    </sheetView>
  </sheetViews>
  <sheetFormatPr baseColWidth="10" defaultColWidth="11.42578125" defaultRowHeight="12.75" x14ac:dyDescent="0.2"/>
  <cols>
    <col min="1" max="1" width="41.5703125" style="143" customWidth="1"/>
    <col min="2" max="2" width="10.85546875" style="143" customWidth="1"/>
    <col min="3" max="3" width="11" style="143" customWidth="1"/>
    <col min="4" max="5" width="8.7109375" style="143" customWidth="1"/>
    <col min="6" max="7" width="10.85546875" style="143" customWidth="1"/>
    <col min="8" max="9" width="8.7109375" style="143" customWidth="1"/>
    <col min="10" max="11" width="10.85546875" style="143" customWidth="1"/>
    <col min="12" max="13" width="8.7109375" style="143" customWidth="1"/>
    <col min="14" max="14" width="11.42578125" style="143"/>
    <col min="15" max="16384" width="11.42578125" style="1"/>
  </cols>
  <sheetData>
    <row r="1" spans="1:14" x14ac:dyDescent="0.2">
      <c r="A1" s="165" t="s">
        <v>159</v>
      </c>
      <c r="B1" s="401"/>
      <c r="C1" s="245" t="s">
        <v>160</v>
      </c>
      <c r="D1" s="20"/>
      <c r="E1" s="20"/>
      <c r="F1" s="20"/>
      <c r="G1" s="20"/>
      <c r="H1" s="20"/>
      <c r="I1" s="20"/>
      <c r="J1" s="20"/>
      <c r="K1" s="20"/>
      <c r="L1" s="20"/>
      <c r="M1" s="20"/>
    </row>
    <row r="2" spans="1:14" ht="15.75" x14ac:dyDescent="0.25">
      <c r="A2" s="158" t="s">
        <v>36</v>
      </c>
      <c r="B2" s="835"/>
      <c r="C2" s="835"/>
      <c r="D2" s="835"/>
      <c r="E2" s="301"/>
      <c r="F2" s="835"/>
      <c r="G2" s="835"/>
      <c r="H2" s="835"/>
      <c r="I2" s="301"/>
      <c r="J2" s="835"/>
      <c r="K2" s="835"/>
      <c r="L2" s="835"/>
      <c r="M2" s="301"/>
    </row>
    <row r="3" spans="1:14" ht="15.75" x14ac:dyDescent="0.25">
      <c r="A3" s="156"/>
      <c r="B3" s="301"/>
      <c r="C3" s="301"/>
      <c r="D3" s="301"/>
      <c r="E3" s="301"/>
      <c r="F3" s="301"/>
      <c r="G3" s="301"/>
      <c r="H3" s="301"/>
      <c r="I3" s="301"/>
      <c r="J3" s="301"/>
      <c r="K3" s="301"/>
      <c r="L3" s="301"/>
      <c r="M3" s="301"/>
    </row>
    <row r="4" spans="1:14" x14ac:dyDescent="0.2">
      <c r="A4" s="138"/>
      <c r="B4" s="808" t="s">
        <v>0</v>
      </c>
      <c r="C4" s="802"/>
      <c r="D4" s="802"/>
      <c r="E4" s="802"/>
      <c r="F4" s="808" t="s">
        <v>1</v>
      </c>
      <c r="G4" s="802"/>
      <c r="H4" s="802"/>
      <c r="I4" s="803"/>
      <c r="J4" s="801" t="s">
        <v>2</v>
      </c>
      <c r="K4" s="802"/>
      <c r="L4" s="802"/>
      <c r="M4" s="803"/>
    </row>
    <row r="5" spans="1:14" x14ac:dyDescent="0.2">
      <c r="A5" s="151"/>
      <c r="B5" s="145" t="s">
        <v>400</v>
      </c>
      <c r="C5" s="145" t="s">
        <v>401</v>
      </c>
      <c r="D5" s="242" t="s">
        <v>3</v>
      </c>
      <c r="E5" s="307" t="s">
        <v>37</v>
      </c>
      <c r="F5" s="145" t="s">
        <v>400</v>
      </c>
      <c r="G5" s="145" t="s">
        <v>401</v>
      </c>
      <c r="H5" s="242" t="s">
        <v>3</v>
      </c>
      <c r="I5" s="307" t="s">
        <v>37</v>
      </c>
      <c r="J5" s="145" t="s">
        <v>400</v>
      </c>
      <c r="K5" s="145" t="s">
        <v>401</v>
      </c>
      <c r="L5" s="242" t="s">
        <v>3</v>
      </c>
      <c r="M5" s="155" t="s">
        <v>37</v>
      </c>
    </row>
    <row r="6" spans="1:14" x14ac:dyDescent="0.2">
      <c r="A6" s="402"/>
      <c r="B6" s="149"/>
      <c r="C6" s="149"/>
      <c r="D6" s="243" t="s">
        <v>4</v>
      </c>
      <c r="E6" s="149" t="s">
        <v>38</v>
      </c>
      <c r="F6" s="154"/>
      <c r="G6" s="154"/>
      <c r="H6" s="242" t="s">
        <v>4</v>
      </c>
      <c r="I6" s="149" t="s">
        <v>38</v>
      </c>
      <c r="J6" s="154"/>
      <c r="K6" s="154"/>
      <c r="L6" s="242" t="s">
        <v>4</v>
      </c>
      <c r="M6" s="149" t="s">
        <v>38</v>
      </c>
    </row>
    <row r="7" spans="1:14" ht="15.75" x14ac:dyDescent="0.2">
      <c r="A7" s="12" t="s">
        <v>30</v>
      </c>
      <c r="B7" s="308"/>
      <c r="C7" s="309"/>
      <c r="D7" s="251"/>
      <c r="E7" s="170"/>
      <c r="F7" s="308">
        <v>154252</v>
      </c>
      <c r="G7" s="309">
        <v>171895</v>
      </c>
      <c r="H7" s="251">
        <f>IF(F7=0, "    ---- ", IF(ABS(ROUND(100/F7*G7-100,1))&lt;999,ROUND(100/F7*G7-100,1),IF(ROUND(100/F7*G7-100,1)&gt;999,999,-999)))</f>
        <v>11.4</v>
      </c>
      <c r="I7" s="170">
        <f>IFERROR(100/'Skjema total MA'!F7*G7,0)</f>
        <v>1.8897288339328571</v>
      </c>
      <c r="J7" s="310">
        <v>154252</v>
      </c>
      <c r="K7" s="311">
        <v>171895</v>
      </c>
      <c r="L7" s="255">
        <f>IF(J7=0, "    ---- ", IF(ABS(ROUND(100/J7*K7-100,1))&lt;999,ROUND(100/J7*K7-100,1),IF(ROUND(100/J7*K7-100,1)&gt;999,999,-999)))</f>
        <v>11.4</v>
      </c>
      <c r="M7" s="170">
        <f>IFERROR(100/'Skjema total MA'!I7*K7,0)</f>
        <v>1.2179982799555014</v>
      </c>
    </row>
    <row r="8" spans="1:14" ht="15.75" x14ac:dyDescent="0.2">
      <c r="A8" s="18" t="s">
        <v>32</v>
      </c>
      <c r="B8" s="282"/>
      <c r="C8" s="283"/>
      <c r="D8" s="159"/>
      <c r="E8" s="170"/>
      <c r="F8" s="286"/>
      <c r="G8" s="287"/>
      <c r="H8" s="159"/>
      <c r="I8" s="170"/>
      <c r="J8" s="229"/>
      <c r="K8" s="288"/>
      <c r="L8" s="256" t="str">
        <f t="shared" ref="L8:L9" si="0">IF(J8=0, "    ---- ", IF(ABS(ROUND(100/J8*K8-100,1))&lt;999,ROUND(100/J8*K8-100,1),IF(ROUND(100/J8*K8-100,1)&gt;999,999,-999)))</f>
        <v xml:space="preserve">    ---- </v>
      </c>
      <c r="M8" s="170">
        <f>IFERROR(100/'Skjema total MA'!I8*K8,0)</f>
        <v>0</v>
      </c>
    </row>
    <row r="9" spans="1:14" ht="15.75" x14ac:dyDescent="0.2">
      <c r="A9" s="18" t="s">
        <v>31</v>
      </c>
      <c r="B9" s="282"/>
      <c r="C9" s="283"/>
      <c r="D9" s="159"/>
      <c r="E9" s="170"/>
      <c r="F9" s="286"/>
      <c r="G9" s="287"/>
      <c r="H9" s="159"/>
      <c r="I9" s="170"/>
      <c r="J9" s="229"/>
      <c r="K9" s="288"/>
      <c r="L9" s="256" t="str">
        <f t="shared" si="0"/>
        <v xml:space="preserve">    ---- </v>
      </c>
      <c r="M9" s="170">
        <f>IFERROR(100/'Skjema total MA'!I9*K9,0)</f>
        <v>0</v>
      </c>
    </row>
    <row r="10" spans="1:14" ht="15.75" x14ac:dyDescent="0.2">
      <c r="A10" s="11" t="s">
        <v>29</v>
      </c>
      <c r="B10" s="312"/>
      <c r="C10" s="313"/>
      <c r="D10" s="159"/>
      <c r="E10" s="170"/>
      <c r="F10" s="312">
        <v>91161</v>
      </c>
      <c r="G10" s="313">
        <v>172618</v>
      </c>
      <c r="H10" s="159">
        <f t="shared" ref="H10:H15" si="1">IF(F10=0, "    ---- ", IF(ABS(ROUND(100/F10*G10-100,1))&lt;999,ROUND(100/F10*G10-100,1),IF(ROUND(100/F10*G10-100,1)&gt;999,999,-999)))</f>
        <v>89.4</v>
      </c>
      <c r="I10" s="170">
        <f>IFERROR(100/'Skjema total MA'!F10*G10,0)</f>
        <v>2.2514081480115475</v>
      </c>
      <c r="J10" s="310">
        <v>91161</v>
      </c>
      <c r="K10" s="311">
        <v>172618</v>
      </c>
      <c r="L10" s="256">
        <f t="shared" ref="L10:L15" si="2">IF(J10=0, "    ---- ", IF(ABS(ROUND(100/J10*K10-100,1))&lt;999,ROUND(100/J10*K10-100,1),IF(ROUND(100/J10*K10-100,1)&gt;999,999,-999)))</f>
        <v>89.4</v>
      </c>
      <c r="M10" s="170">
        <f>IFERROR(100/'Skjema total MA'!I10*K10,0)</f>
        <v>2.1516109407231991</v>
      </c>
    </row>
    <row r="11" spans="1:14" ht="15.75" x14ac:dyDescent="0.2">
      <c r="A11" s="18" t="s">
        <v>32</v>
      </c>
      <c r="B11" s="282"/>
      <c r="C11" s="283"/>
      <c r="D11" s="159"/>
      <c r="E11" s="170"/>
      <c r="F11" s="286"/>
      <c r="G11" s="287"/>
      <c r="H11" s="159"/>
      <c r="I11" s="170"/>
      <c r="J11" s="229"/>
      <c r="K11" s="288"/>
      <c r="L11" s="256" t="str">
        <f t="shared" ref="L11:L12" si="3">IF(J11=0, "    ---- ", IF(ABS(ROUND(100/J11*K11-100,1))&lt;999,ROUND(100/J11*K11-100,1),IF(ROUND(100/J11*K11-100,1)&gt;999,999,-999)))</f>
        <v xml:space="preserve">    ---- </v>
      </c>
      <c r="M11" s="170">
        <f>IFERROR(100/'Skjema total MA'!I11*K11,0)</f>
        <v>0</v>
      </c>
    </row>
    <row r="12" spans="1:14" ht="15.75" x14ac:dyDescent="0.2">
      <c r="A12" s="18" t="s">
        <v>31</v>
      </c>
      <c r="B12" s="282"/>
      <c r="C12" s="283"/>
      <c r="D12" s="159"/>
      <c r="E12" s="170"/>
      <c r="F12" s="286"/>
      <c r="G12" s="287"/>
      <c r="H12" s="159"/>
      <c r="I12" s="170"/>
      <c r="J12" s="229"/>
      <c r="K12" s="288"/>
      <c r="L12" s="256" t="str">
        <f t="shared" si="3"/>
        <v xml:space="preserve">    ---- </v>
      </c>
      <c r="M12" s="170">
        <f>IFERROR(100/'Skjema total MA'!I12*K12,0)</f>
        <v>0</v>
      </c>
    </row>
    <row r="13" spans="1:14" ht="15.75" x14ac:dyDescent="0.2">
      <c r="A13" s="11" t="s">
        <v>28</v>
      </c>
      <c r="B13" s="312"/>
      <c r="C13" s="313"/>
      <c r="D13" s="159"/>
      <c r="E13" s="170"/>
      <c r="F13" s="312">
        <v>535090</v>
      </c>
      <c r="G13" s="313">
        <v>751634</v>
      </c>
      <c r="H13" s="159">
        <f t="shared" si="1"/>
        <v>40.5</v>
      </c>
      <c r="I13" s="170">
        <f>IFERROR(100/'Skjema total MA'!F13*G13,0)</f>
        <v>2.2695248053665202</v>
      </c>
      <c r="J13" s="310">
        <v>535090</v>
      </c>
      <c r="K13" s="311">
        <v>751634</v>
      </c>
      <c r="L13" s="256">
        <f t="shared" si="2"/>
        <v>40.5</v>
      </c>
      <c r="M13" s="170">
        <f>IFERROR(100/'Skjema total MA'!I13*K13,0)</f>
        <v>1.274332246798515</v>
      </c>
    </row>
    <row r="14" spans="1:14" s="36" customFormat="1" ht="15.75" x14ac:dyDescent="0.2">
      <c r="A14" s="11" t="s">
        <v>27</v>
      </c>
      <c r="B14" s="312"/>
      <c r="C14" s="313"/>
      <c r="D14" s="159"/>
      <c r="E14" s="170"/>
      <c r="F14" s="312">
        <v>3058</v>
      </c>
      <c r="G14" s="313">
        <v>7321</v>
      </c>
      <c r="H14" s="159">
        <f t="shared" si="1"/>
        <v>139.4</v>
      </c>
      <c r="I14" s="170">
        <f>IFERROR(100/'Skjema total MA'!F14*G14,0)</f>
        <v>1.6082260686172747</v>
      </c>
      <c r="J14" s="310">
        <v>3058</v>
      </c>
      <c r="K14" s="311">
        <v>7321</v>
      </c>
      <c r="L14" s="256">
        <f t="shared" si="2"/>
        <v>139.4</v>
      </c>
      <c r="M14" s="170">
        <f>IFERROR(100/'Skjema total MA'!I14*K14,0)</f>
        <v>1.3641833430108641</v>
      </c>
      <c r="N14" s="137"/>
    </row>
    <row r="15" spans="1:14" s="36" customFormat="1" ht="15.75" x14ac:dyDescent="0.2">
      <c r="A15" s="34" t="s">
        <v>26</v>
      </c>
      <c r="B15" s="314"/>
      <c r="C15" s="315"/>
      <c r="D15" s="160"/>
      <c r="E15" s="160"/>
      <c r="F15" s="314">
        <v>2017</v>
      </c>
      <c r="G15" s="315">
        <v>795</v>
      </c>
      <c r="H15" s="160">
        <f t="shared" si="1"/>
        <v>-60.6</v>
      </c>
      <c r="I15" s="160">
        <f>IFERROR(100/'Skjema total MA'!F15*G15,0)</f>
        <v>0.46517336793230196</v>
      </c>
      <c r="J15" s="316">
        <v>2017</v>
      </c>
      <c r="K15" s="317">
        <v>795</v>
      </c>
      <c r="L15" s="257">
        <f t="shared" si="2"/>
        <v>-60.6</v>
      </c>
      <c r="M15" s="160">
        <f>IFERROR(100/'Skjema total MA'!I15*K15,0)</f>
        <v>0.37400366218270226</v>
      </c>
      <c r="N15" s="137"/>
    </row>
    <row r="16" spans="1:14" s="36" customFormat="1" x14ac:dyDescent="0.2">
      <c r="A16" s="161"/>
      <c r="B16" s="139"/>
      <c r="C16" s="27"/>
      <c r="D16" s="152"/>
      <c r="E16" s="152"/>
      <c r="F16" s="139"/>
      <c r="G16" s="27"/>
      <c r="H16" s="152"/>
      <c r="I16" s="152"/>
      <c r="J16" s="41"/>
      <c r="K16" s="41"/>
      <c r="L16" s="152"/>
      <c r="M16" s="152"/>
      <c r="N16" s="137"/>
    </row>
    <row r="17" spans="1:14" x14ac:dyDescent="0.2">
      <c r="A17" s="146" t="s">
        <v>307</v>
      </c>
      <c r="B17" s="20"/>
    </row>
    <row r="18" spans="1:14" x14ac:dyDescent="0.2">
      <c r="F18" s="140"/>
      <c r="G18" s="140"/>
      <c r="H18" s="140"/>
      <c r="I18" s="140"/>
      <c r="J18" s="140"/>
      <c r="K18" s="140"/>
      <c r="L18" s="140"/>
      <c r="M18" s="140"/>
    </row>
    <row r="19" spans="1:14" s="3" customFormat="1" ht="15.75" x14ac:dyDescent="0.25">
      <c r="A19" s="157"/>
      <c r="B19" s="142"/>
      <c r="C19" s="147"/>
      <c r="D19" s="147"/>
      <c r="E19" s="147"/>
      <c r="F19" s="147"/>
      <c r="G19" s="147"/>
      <c r="H19" s="147"/>
      <c r="I19" s="147"/>
      <c r="J19" s="147"/>
      <c r="K19" s="147"/>
      <c r="L19" s="147"/>
      <c r="M19" s="147"/>
      <c r="N19" s="142"/>
    </row>
    <row r="20" spans="1:14" ht="15.75" x14ac:dyDescent="0.25">
      <c r="A20" s="141" t="s">
        <v>304</v>
      </c>
      <c r="B20" s="150"/>
      <c r="C20" s="150"/>
      <c r="D20" s="144"/>
      <c r="E20" s="144"/>
      <c r="F20" s="150"/>
      <c r="G20" s="150"/>
      <c r="H20" s="150"/>
      <c r="I20" s="150"/>
      <c r="J20" s="150"/>
      <c r="K20" s="150"/>
      <c r="L20" s="150"/>
      <c r="M20" s="150"/>
    </row>
    <row r="21" spans="1:14" ht="15.75" x14ac:dyDescent="0.25">
      <c r="B21" s="832"/>
      <c r="C21" s="832"/>
      <c r="D21" s="832"/>
      <c r="E21" s="301"/>
      <c r="F21" s="832"/>
      <c r="G21" s="832"/>
      <c r="H21" s="832"/>
      <c r="I21" s="301"/>
      <c r="J21" s="832"/>
      <c r="K21" s="832"/>
      <c r="L21" s="832"/>
      <c r="M21" s="301"/>
    </row>
    <row r="22" spans="1:14" x14ac:dyDescent="0.2">
      <c r="A22" s="138"/>
      <c r="B22" s="833" t="s">
        <v>0</v>
      </c>
      <c r="C22" s="834"/>
      <c r="D22" s="834"/>
      <c r="E22" s="303"/>
      <c r="F22" s="833" t="s">
        <v>1</v>
      </c>
      <c r="G22" s="834"/>
      <c r="H22" s="834"/>
      <c r="I22" s="306"/>
      <c r="J22" s="833" t="s">
        <v>2</v>
      </c>
      <c r="K22" s="834"/>
      <c r="L22" s="834"/>
      <c r="M22" s="306"/>
    </row>
    <row r="23" spans="1:14" x14ac:dyDescent="0.2">
      <c r="A23" s="134" t="s">
        <v>5</v>
      </c>
      <c r="B23" s="145" t="s">
        <v>400</v>
      </c>
      <c r="C23" s="145" t="s">
        <v>401</v>
      </c>
      <c r="D23" s="242" t="s">
        <v>3</v>
      </c>
      <c r="E23" s="307" t="s">
        <v>37</v>
      </c>
      <c r="F23" s="145" t="s">
        <v>400</v>
      </c>
      <c r="G23" s="145" t="s">
        <v>401</v>
      </c>
      <c r="H23" s="242" t="s">
        <v>3</v>
      </c>
      <c r="I23" s="307" t="s">
        <v>37</v>
      </c>
      <c r="J23" s="145" t="s">
        <v>400</v>
      </c>
      <c r="K23" s="145" t="s">
        <v>401</v>
      </c>
      <c r="L23" s="242" t="s">
        <v>3</v>
      </c>
      <c r="M23" s="155" t="s">
        <v>37</v>
      </c>
    </row>
    <row r="24" spans="1:14" x14ac:dyDescent="0.2">
      <c r="A24" s="403"/>
      <c r="B24" s="149"/>
      <c r="C24" s="149"/>
      <c r="D24" s="243" t="s">
        <v>4</v>
      </c>
      <c r="E24" s="149" t="s">
        <v>38</v>
      </c>
      <c r="F24" s="154"/>
      <c r="G24" s="154"/>
      <c r="H24" s="242" t="s">
        <v>4</v>
      </c>
      <c r="I24" s="149" t="s">
        <v>38</v>
      </c>
      <c r="J24" s="154"/>
      <c r="K24" s="154"/>
      <c r="L24" s="242" t="s">
        <v>4</v>
      </c>
      <c r="M24" s="149" t="s">
        <v>38</v>
      </c>
    </row>
    <row r="25" spans="1:14" ht="15.75" x14ac:dyDescent="0.2">
      <c r="A25" s="12" t="s">
        <v>30</v>
      </c>
      <c r="B25" s="318"/>
      <c r="C25" s="319"/>
      <c r="D25" s="251"/>
      <c r="E25" s="170"/>
      <c r="F25" s="320">
        <v>892</v>
      </c>
      <c r="G25" s="319">
        <v>1129</v>
      </c>
      <c r="H25" s="251">
        <f t="shared" ref="H25:H41" si="4">IF(F25=0, "    ---- ", IF(ABS(ROUND(100/F25*G25-100,1))&lt;999,ROUND(100/F25*G25-100,1),IF(ROUND(100/F25*G25-100,1)&gt;999,999,-999)))</f>
        <v>26.6</v>
      </c>
      <c r="I25" s="170">
        <f>IFERROR(100/'Skjema total MA'!F25*G25,0)</f>
        <v>0.28323538913172014</v>
      </c>
      <c r="J25" s="318">
        <v>892</v>
      </c>
      <c r="K25" s="318">
        <v>1129</v>
      </c>
      <c r="L25" s="255">
        <f t="shared" ref="L25:L41" si="5">IF(J25=0, "    ---- ", IF(ABS(ROUND(100/J25*K25-100,1))&lt;999,ROUND(100/J25*K25-100,1),IF(ROUND(100/J25*K25-100,1)&gt;999,999,-999)))</f>
        <v>26.6</v>
      </c>
      <c r="M25" s="159">
        <f>IFERROR(100/'Skjema total MA'!I25*K25,0)</f>
        <v>6.155804564769099E-2</v>
      </c>
    </row>
    <row r="26" spans="1:14" ht="15.75" x14ac:dyDescent="0.2">
      <c r="A26" s="298" t="s">
        <v>318</v>
      </c>
      <c r="B26" s="291"/>
      <c r="C26" s="291"/>
      <c r="D26" s="159"/>
      <c r="E26" s="237"/>
      <c r="F26" s="291">
        <v>892</v>
      </c>
      <c r="G26" s="291">
        <v>1129</v>
      </c>
      <c r="H26" s="159">
        <f t="shared" si="4"/>
        <v>26.6</v>
      </c>
      <c r="I26" s="237">
        <f>IFERROR(100/'Skjema total MA'!F26*G26,0)</f>
        <v>0.71404220439053179</v>
      </c>
      <c r="J26" s="291">
        <v>892</v>
      </c>
      <c r="K26" s="291">
        <v>1129</v>
      </c>
      <c r="L26" s="159">
        <f t="shared" si="5"/>
        <v>26.6</v>
      </c>
      <c r="M26" s="159">
        <f>IFERROR(100/'Skjema total MA'!I26*K26,0)</f>
        <v>7.7464574227375835E-2</v>
      </c>
    </row>
    <row r="27" spans="1:14" ht="15.75" x14ac:dyDescent="0.2">
      <c r="A27" s="298" t="s">
        <v>319</v>
      </c>
      <c r="B27" s="291"/>
      <c r="C27" s="291"/>
      <c r="D27" s="159"/>
      <c r="E27" s="237"/>
      <c r="F27" s="291"/>
      <c r="G27" s="291"/>
      <c r="H27" s="159"/>
      <c r="I27" s="237"/>
      <c r="J27" s="291"/>
      <c r="K27" s="291"/>
      <c r="L27" s="159"/>
      <c r="M27" s="159"/>
    </row>
    <row r="28" spans="1:14" ht="15.75" x14ac:dyDescent="0.2">
      <c r="A28" s="298" t="s">
        <v>320</v>
      </c>
      <c r="B28" s="291"/>
      <c r="C28" s="291"/>
      <c r="D28" s="159"/>
      <c r="E28" s="237"/>
      <c r="F28" s="291"/>
      <c r="G28" s="291"/>
      <c r="H28" s="159"/>
      <c r="I28" s="237"/>
      <c r="J28" s="291"/>
      <c r="K28" s="291"/>
      <c r="L28" s="159"/>
      <c r="M28" s="159"/>
    </row>
    <row r="29" spans="1:14" x14ac:dyDescent="0.2">
      <c r="A29" s="298" t="s">
        <v>11</v>
      </c>
      <c r="B29" s="291"/>
      <c r="C29" s="291"/>
      <c r="D29" s="159"/>
      <c r="E29" s="237"/>
      <c r="F29" s="291"/>
      <c r="G29" s="291"/>
      <c r="H29" s="159"/>
      <c r="I29" s="237"/>
      <c r="J29" s="291"/>
      <c r="K29" s="291"/>
      <c r="L29" s="159"/>
      <c r="M29" s="159"/>
    </row>
    <row r="30" spans="1:14" ht="15.75" x14ac:dyDescent="0.2">
      <c r="A30" s="42" t="s">
        <v>308</v>
      </c>
      <c r="B30" s="37"/>
      <c r="C30" s="288"/>
      <c r="D30" s="159"/>
      <c r="E30" s="170"/>
      <c r="F30" s="229"/>
      <c r="G30" s="288"/>
      <c r="H30" s="159"/>
      <c r="I30" s="170"/>
      <c r="J30" s="37"/>
      <c r="K30" s="37"/>
      <c r="L30" s="256"/>
      <c r="M30" s="159"/>
    </row>
    <row r="31" spans="1:14" ht="15.75" x14ac:dyDescent="0.2">
      <c r="A31" s="11" t="s">
        <v>29</v>
      </c>
      <c r="B31" s="231"/>
      <c r="C31" s="231"/>
      <c r="D31" s="159"/>
      <c r="E31" s="170"/>
      <c r="F31" s="310"/>
      <c r="G31" s="310"/>
      <c r="H31" s="159"/>
      <c r="I31" s="170"/>
      <c r="J31" s="231"/>
      <c r="K31" s="231"/>
      <c r="L31" s="256"/>
      <c r="M31" s="159"/>
    </row>
    <row r="32" spans="1:14" ht="15.75" x14ac:dyDescent="0.2">
      <c r="A32" s="298" t="s">
        <v>318</v>
      </c>
      <c r="B32" s="291"/>
      <c r="C32" s="291"/>
      <c r="D32" s="159"/>
      <c r="E32" s="237"/>
      <c r="F32" s="291"/>
      <c r="G32" s="291"/>
      <c r="H32" s="159"/>
      <c r="I32" s="237"/>
      <c r="J32" s="291"/>
      <c r="K32" s="291"/>
      <c r="L32" s="159"/>
      <c r="M32" s="159"/>
    </row>
    <row r="33" spans="1:14" ht="15.75" x14ac:dyDescent="0.2">
      <c r="A33" s="298" t="s">
        <v>320</v>
      </c>
      <c r="B33" s="291"/>
      <c r="C33" s="291"/>
      <c r="D33" s="159"/>
      <c r="E33" s="237"/>
      <c r="F33" s="291"/>
      <c r="G33" s="291"/>
      <c r="H33" s="159"/>
      <c r="I33" s="237"/>
      <c r="J33" s="291"/>
      <c r="K33" s="291"/>
      <c r="L33" s="159"/>
      <c r="M33" s="159"/>
    </row>
    <row r="34" spans="1:14" s="21" customFormat="1" x14ac:dyDescent="0.2">
      <c r="A34" s="298" t="s">
        <v>16</v>
      </c>
      <c r="B34" s="291"/>
      <c r="C34" s="291"/>
      <c r="D34" s="159"/>
      <c r="E34" s="237"/>
      <c r="F34" s="291"/>
      <c r="G34" s="291"/>
      <c r="H34" s="159"/>
      <c r="I34" s="237"/>
      <c r="J34" s="291"/>
      <c r="K34" s="291"/>
      <c r="L34" s="159"/>
      <c r="M34" s="159"/>
      <c r="N34" s="166"/>
    </row>
    <row r="35" spans="1:14" ht="15.75" x14ac:dyDescent="0.2">
      <c r="A35" s="42" t="s">
        <v>308</v>
      </c>
      <c r="B35" s="37"/>
      <c r="C35" s="288"/>
      <c r="D35" s="159"/>
      <c r="E35" s="170"/>
      <c r="F35" s="229"/>
      <c r="G35" s="288"/>
      <c r="H35" s="159"/>
      <c r="I35" s="170"/>
      <c r="J35" s="37"/>
      <c r="K35" s="37"/>
      <c r="L35" s="256"/>
      <c r="M35" s="159"/>
    </row>
    <row r="36" spans="1:14" s="3" customFormat="1" ht="15.75" x14ac:dyDescent="0.2">
      <c r="A36" s="11" t="s">
        <v>28</v>
      </c>
      <c r="B36" s="231"/>
      <c r="C36" s="311"/>
      <c r="D36" s="159"/>
      <c r="E36" s="170"/>
      <c r="F36" s="310">
        <v>908925</v>
      </c>
      <c r="G36" s="311">
        <v>849443</v>
      </c>
      <c r="H36" s="159">
        <f t="shared" si="4"/>
        <v>-6.5</v>
      </c>
      <c r="I36" s="170">
        <f>IFERROR(100/'Skjema total MA'!F36*G36,0)</f>
        <v>4.4441573337507014</v>
      </c>
      <c r="J36" s="231">
        <v>908925</v>
      </c>
      <c r="K36" s="231">
        <v>849443</v>
      </c>
      <c r="L36" s="256">
        <f t="shared" si="5"/>
        <v>-6.5</v>
      </c>
      <c r="M36" s="159">
        <f>IFERROR(100/'Skjema total MA'!I36*K36,0)</f>
        <v>1.2190169251127945</v>
      </c>
      <c r="N36" s="142"/>
    </row>
    <row r="37" spans="1:14" s="3" customFormat="1" ht="15.75" x14ac:dyDescent="0.2">
      <c r="A37" s="298" t="s">
        <v>318</v>
      </c>
      <c r="B37" s="291"/>
      <c r="C37" s="291"/>
      <c r="D37" s="159"/>
      <c r="E37" s="237"/>
      <c r="F37" s="291">
        <v>141307</v>
      </c>
      <c r="G37" s="291">
        <v>129470</v>
      </c>
      <c r="H37" s="159">
        <f t="shared" si="4"/>
        <v>-8.4</v>
      </c>
      <c r="I37" s="237">
        <f>IFERROR(100/'Skjema total MA'!F37*G37,0)</f>
        <v>3.0173523342296877</v>
      </c>
      <c r="J37" s="291">
        <v>141307</v>
      </c>
      <c r="K37" s="291">
        <v>129470</v>
      </c>
      <c r="L37" s="159">
        <f t="shared" si="5"/>
        <v>-8.4</v>
      </c>
      <c r="M37" s="159">
        <f>IFERROR(100/'Skjema total MA'!I37*K37,0)</f>
        <v>0.75448479247622879</v>
      </c>
      <c r="N37" s="142"/>
    </row>
    <row r="38" spans="1:14" s="3" customFormat="1" ht="15.75" x14ac:dyDescent="0.2">
      <c r="A38" s="298" t="s">
        <v>319</v>
      </c>
      <c r="B38" s="291"/>
      <c r="C38" s="291"/>
      <c r="D38" s="159"/>
      <c r="E38" s="237"/>
      <c r="F38" s="291">
        <v>767618</v>
      </c>
      <c r="G38" s="291">
        <v>719973</v>
      </c>
      <c r="H38" s="159">
        <f t="shared" si="4"/>
        <v>-6.2</v>
      </c>
      <c r="I38" s="237">
        <f>IFERROR(100/'Skjema total MA'!F38*G38,0)</f>
        <v>6.3227475807743421</v>
      </c>
      <c r="J38" s="291">
        <v>767618</v>
      </c>
      <c r="K38" s="291">
        <v>719973</v>
      </c>
      <c r="L38" s="159">
        <f t="shared" si="5"/>
        <v>-6.2</v>
      </c>
      <c r="M38" s="159">
        <f>IFERROR(100/'Skjema total MA'!I38*K38,0)</f>
        <v>1.5082703582978874</v>
      </c>
      <c r="N38" s="142"/>
    </row>
    <row r="39" spans="1:14" ht="15.75" x14ac:dyDescent="0.2">
      <c r="A39" s="298" t="s">
        <v>320</v>
      </c>
      <c r="B39" s="291"/>
      <c r="C39" s="291"/>
      <c r="D39" s="159"/>
      <c r="E39" s="237"/>
      <c r="F39" s="291"/>
      <c r="G39" s="291"/>
      <c r="H39" s="159"/>
      <c r="I39" s="237"/>
      <c r="J39" s="291"/>
      <c r="K39" s="291"/>
      <c r="L39" s="159"/>
      <c r="M39" s="159"/>
    </row>
    <row r="40" spans="1:14" ht="15.75" x14ac:dyDescent="0.2">
      <c r="A40" s="11" t="s">
        <v>27</v>
      </c>
      <c r="B40" s="231"/>
      <c r="C40" s="311"/>
      <c r="D40" s="159"/>
      <c r="E40" s="170"/>
      <c r="F40" s="310">
        <v>2556</v>
      </c>
      <c r="G40" s="311">
        <v>8129</v>
      </c>
      <c r="H40" s="159">
        <f t="shared" si="4"/>
        <v>218</v>
      </c>
      <c r="I40" s="170">
        <f>IFERROR(100/'Skjema total MA'!F40*G40,0)</f>
        <v>10.329381082815146</v>
      </c>
      <c r="J40" s="231">
        <v>2556</v>
      </c>
      <c r="K40" s="231">
        <v>8129</v>
      </c>
      <c r="L40" s="256">
        <f t="shared" si="5"/>
        <v>218</v>
      </c>
      <c r="M40" s="159">
        <f>IFERROR(100/'Skjema total MA'!I40*K40,0)</f>
        <v>6.6084400146816114</v>
      </c>
    </row>
    <row r="41" spans="1:14" ht="15.75" x14ac:dyDescent="0.2">
      <c r="A41" s="11" t="s">
        <v>26</v>
      </c>
      <c r="B41" s="231"/>
      <c r="C41" s="311"/>
      <c r="D41" s="159"/>
      <c r="E41" s="170"/>
      <c r="F41" s="310">
        <v>10387</v>
      </c>
      <c r="G41" s="311">
        <v>3383</v>
      </c>
      <c r="H41" s="159">
        <f t="shared" si="4"/>
        <v>-67.400000000000006</v>
      </c>
      <c r="I41" s="170">
        <f>IFERROR(100/'Skjema total MA'!F41*G41,0)</f>
        <v>3.2382687872953375</v>
      </c>
      <c r="J41" s="231">
        <v>10387</v>
      </c>
      <c r="K41" s="231">
        <v>3383</v>
      </c>
      <c r="L41" s="256">
        <f t="shared" si="5"/>
        <v>-67.400000000000006</v>
      </c>
      <c r="M41" s="159">
        <f>IFERROR(100/'Skjema total MA'!I41*K41,0)</f>
        <v>7.6622365143209334</v>
      </c>
    </row>
    <row r="42" spans="1:14" ht="15.75" x14ac:dyDescent="0.2">
      <c r="A42" s="10" t="s">
        <v>321</v>
      </c>
      <c r="B42" s="231"/>
      <c r="C42" s="311"/>
      <c r="D42" s="159"/>
      <c r="E42" s="170"/>
      <c r="F42" s="321"/>
      <c r="G42" s="322"/>
      <c r="H42" s="159"/>
      <c r="I42" s="237"/>
      <c r="J42" s="231"/>
      <c r="K42" s="231"/>
      <c r="L42" s="256"/>
      <c r="M42" s="159"/>
    </row>
    <row r="43" spans="1:14" ht="15.75" x14ac:dyDescent="0.2">
      <c r="A43" s="10" t="s">
        <v>322</v>
      </c>
      <c r="B43" s="231"/>
      <c r="C43" s="311"/>
      <c r="D43" s="159"/>
      <c r="E43" s="170"/>
      <c r="F43" s="321"/>
      <c r="G43" s="322"/>
      <c r="H43" s="159"/>
      <c r="I43" s="237"/>
      <c r="J43" s="231"/>
      <c r="K43" s="231"/>
      <c r="L43" s="256"/>
      <c r="M43" s="159"/>
    </row>
    <row r="44" spans="1:14" ht="15.75" x14ac:dyDescent="0.2">
      <c r="A44" s="10" t="s">
        <v>323</v>
      </c>
      <c r="B44" s="231"/>
      <c r="C44" s="311"/>
      <c r="D44" s="159"/>
      <c r="E44" s="170"/>
      <c r="F44" s="321"/>
      <c r="G44" s="323"/>
      <c r="H44" s="159"/>
      <c r="I44" s="237"/>
      <c r="J44" s="231"/>
      <c r="K44" s="231"/>
      <c r="L44" s="256"/>
      <c r="M44" s="159"/>
    </row>
    <row r="45" spans="1:14" ht="15.75" x14ac:dyDescent="0.2">
      <c r="A45" s="10" t="s">
        <v>324</v>
      </c>
      <c r="B45" s="231"/>
      <c r="C45" s="311"/>
      <c r="D45" s="159"/>
      <c r="E45" s="170"/>
      <c r="F45" s="321"/>
      <c r="G45" s="322"/>
      <c r="H45" s="159"/>
      <c r="I45" s="237"/>
      <c r="J45" s="231"/>
      <c r="K45" s="231"/>
      <c r="L45" s="256"/>
      <c r="M45" s="159"/>
    </row>
    <row r="46" spans="1:14" ht="15.75" x14ac:dyDescent="0.2">
      <c r="A46" s="16" t="s">
        <v>325</v>
      </c>
      <c r="B46" s="277"/>
      <c r="C46" s="317"/>
      <c r="D46" s="160"/>
      <c r="E46" s="201"/>
      <c r="F46" s="324"/>
      <c r="G46" s="325"/>
      <c r="H46" s="160"/>
      <c r="I46" s="160"/>
      <c r="J46" s="231"/>
      <c r="K46" s="231"/>
      <c r="L46" s="257"/>
      <c r="M46" s="160"/>
    </row>
    <row r="47" spans="1:14" ht="15.75" x14ac:dyDescent="0.25">
      <c r="A47" s="40"/>
      <c r="B47" s="254"/>
      <c r="C47" s="254"/>
      <c r="D47" s="836"/>
      <c r="E47" s="836"/>
      <c r="F47" s="836"/>
      <c r="G47" s="836"/>
      <c r="H47" s="836"/>
      <c r="I47" s="836"/>
      <c r="J47" s="836"/>
      <c r="K47" s="836"/>
      <c r="L47" s="836"/>
      <c r="M47" s="304"/>
    </row>
    <row r="48" spans="1:14" x14ac:dyDescent="0.2">
      <c r="A48" s="148"/>
    </row>
    <row r="49" spans="1:14" ht="15.75" x14ac:dyDescent="0.25">
      <c r="A49" s="141" t="s">
        <v>305</v>
      </c>
      <c r="B49" s="835"/>
      <c r="C49" s="835"/>
      <c r="D49" s="835"/>
      <c r="E49" s="301"/>
      <c r="F49" s="837"/>
      <c r="G49" s="837"/>
      <c r="H49" s="837"/>
      <c r="I49" s="304"/>
      <c r="J49" s="837"/>
      <c r="K49" s="837"/>
      <c r="L49" s="837"/>
      <c r="M49" s="304"/>
    </row>
    <row r="50" spans="1:14" ht="15.75" x14ac:dyDescent="0.25">
      <c r="A50" s="156"/>
      <c r="B50" s="305"/>
      <c r="C50" s="305"/>
      <c r="D50" s="305"/>
      <c r="E50" s="305"/>
      <c r="F50" s="304"/>
      <c r="G50" s="304"/>
      <c r="H50" s="304"/>
      <c r="I50" s="304"/>
      <c r="J50" s="304"/>
      <c r="K50" s="304"/>
      <c r="L50" s="304"/>
      <c r="M50" s="304"/>
    </row>
    <row r="51" spans="1:14" ht="15.75" x14ac:dyDescent="0.25">
      <c r="A51" s="244"/>
      <c r="B51" s="833" t="s">
        <v>0</v>
      </c>
      <c r="C51" s="834"/>
      <c r="D51" s="834"/>
      <c r="E51" s="240"/>
      <c r="F51" s="304"/>
      <c r="G51" s="304"/>
      <c r="H51" s="304"/>
      <c r="I51" s="304"/>
      <c r="J51" s="304"/>
      <c r="K51" s="304"/>
      <c r="L51" s="304"/>
      <c r="M51" s="304"/>
    </row>
    <row r="52" spans="1:14" s="3" customFormat="1" x14ac:dyDescent="0.2">
      <c r="A52" s="134"/>
      <c r="B52" s="167" t="s">
        <v>400</v>
      </c>
      <c r="C52" s="167" t="s">
        <v>401</v>
      </c>
      <c r="D52" s="155" t="s">
        <v>3</v>
      </c>
      <c r="E52" s="155" t="s">
        <v>37</v>
      </c>
      <c r="F52" s="169"/>
      <c r="G52" s="169"/>
      <c r="H52" s="168"/>
      <c r="I52" s="168"/>
      <c r="J52" s="169"/>
      <c r="K52" s="169"/>
      <c r="L52" s="168"/>
      <c r="M52" s="168"/>
      <c r="N52" s="142"/>
    </row>
    <row r="53" spans="1:14" s="3" customFormat="1" x14ac:dyDescent="0.2">
      <c r="A53" s="403"/>
      <c r="B53" s="241"/>
      <c r="C53" s="241"/>
      <c r="D53" s="242" t="s">
        <v>4</v>
      </c>
      <c r="E53" s="149" t="s">
        <v>38</v>
      </c>
      <c r="F53" s="168"/>
      <c r="G53" s="168"/>
      <c r="H53" s="168"/>
      <c r="I53" s="168"/>
      <c r="J53" s="168"/>
      <c r="K53" s="168"/>
      <c r="L53" s="168"/>
      <c r="M53" s="168"/>
      <c r="N53" s="142"/>
    </row>
    <row r="54" spans="1:14" s="3" customFormat="1" ht="15.75" x14ac:dyDescent="0.2">
      <c r="A54" s="12" t="s">
        <v>30</v>
      </c>
      <c r="B54" s="312"/>
      <c r="C54" s="313"/>
      <c r="D54" s="255"/>
      <c r="E54" s="170"/>
      <c r="F54" s="139"/>
      <c r="G54" s="27"/>
      <c r="H54" s="152"/>
      <c r="I54" s="152"/>
      <c r="J54" s="30"/>
      <c r="K54" s="30"/>
      <c r="L54" s="152"/>
      <c r="M54" s="152"/>
      <c r="N54" s="142"/>
    </row>
    <row r="55" spans="1:14" s="3" customFormat="1" ht="15.75" x14ac:dyDescent="0.2">
      <c r="A55" s="31" t="s">
        <v>326</v>
      </c>
      <c r="B55" s="282"/>
      <c r="C55" s="283"/>
      <c r="D55" s="256"/>
      <c r="E55" s="170"/>
      <c r="F55" s="139"/>
      <c r="G55" s="27"/>
      <c r="H55" s="139"/>
      <c r="I55" s="139"/>
      <c r="J55" s="27"/>
      <c r="K55" s="27"/>
      <c r="L55" s="152"/>
      <c r="M55" s="152"/>
      <c r="N55" s="142"/>
    </row>
    <row r="56" spans="1:14" s="3" customFormat="1" ht="15.75" x14ac:dyDescent="0.2">
      <c r="A56" s="31" t="s">
        <v>327</v>
      </c>
      <c r="B56" s="37"/>
      <c r="C56" s="288"/>
      <c r="D56" s="256"/>
      <c r="E56" s="170"/>
      <c r="F56" s="139"/>
      <c r="G56" s="27"/>
      <c r="H56" s="139"/>
      <c r="I56" s="139"/>
      <c r="J56" s="30"/>
      <c r="K56" s="30"/>
      <c r="L56" s="152"/>
      <c r="M56" s="152"/>
      <c r="N56" s="142"/>
    </row>
    <row r="57" spans="1:14" s="3" customFormat="1" x14ac:dyDescent="0.2">
      <c r="A57" s="298" t="s">
        <v>6</v>
      </c>
      <c r="B57" s="291"/>
      <c r="C57" s="292"/>
      <c r="D57" s="256"/>
      <c r="E57" s="159"/>
      <c r="F57" s="139"/>
      <c r="G57" s="27"/>
      <c r="H57" s="139"/>
      <c r="I57" s="139"/>
      <c r="J57" s="27"/>
      <c r="K57" s="27"/>
      <c r="L57" s="152"/>
      <c r="M57" s="152"/>
      <c r="N57" s="142"/>
    </row>
    <row r="58" spans="1:14" s="3" customFormat="1" x14ac:dyDescent="0.2">
      <c r="A58" s="298" t="s">
        <v>7</v>
      </c>
      <c r="B58" s="291"/>
      <c r="C58" s="292"/>
      <c r="D58" s="256"/>
      <c r="E58" s="159"/>
      <c r="F58" s="139"/>
      <c r="G58" s="27"/>
      <c r="H58" s="139"/>
      <c r="I58" s="139"/>
      <c r="J58" s="27"/>
      <c r="K58" s="27"/>
      <c r="L58" s="152"/>
      <c r="M58" s="152"/>
      <c r="N58" s="142"/>
    </row>
    <row r="59" spans="1:14" s="3" customFormat="1" x14ac:dyDescent="0.2">
      <c r="A59" s="298" t="s">
        <v>8</v>
      </c>
      <c r="B59" s="291"/>
      <c r="C59" s="292"/>
      <c r="D59" s="256"/>
      <c r="E59" s="159"/>
      <c r="F59" s="139"/>
      <c r="G59" s="27"/>
      <c r="H59" s="139"/>
      <c r="I59" s="139"/>
      <c r="J59" s="27"/>
      <c r="K59" s="27"/>
      <c r="L59" s="152"/>
      <c r="M59" s="152"/>
      <c r="N59" s="142"/>
    </row>
    <row r="60" spans="1:14" s="3" customFormat="1" ht="15.75" x14ac:dyDescent="0.2">
      <c r="A60" s="11" t="s">
        <v>29</v>
      </c>
      <c r="B60" s="312"/>
      <c r="C60" s="313"/>
      <c r="D60" s="256"/>
      <c r="E60" s="170"/>
      <c r="F60" s="139"/>
      <c r="G60" s="27"/>
      <c r="H60" s="139"/>
      <c r="I60" s="139"/>
      <c r="J60" s="27"/>
      <c r="K60" s="27"/>
      <c r="L60" s="152"/>
      <c r="M60" s="152"/>
      <c r="N60" s="142"/>
    </row>
    <row r="61" spans="1:14" s="3" customFormat="1" ht="15.75" x14ac:dyDescent="0.2">
      <c r="A61" s="31" t="s">
        <v>326</v>
      </c>
      <c r="B61" s="282"/>
      <c r="C61" s="283"/>
      <c r="D61" s="256"/>
      <c r="E61" s="170"/>
      <c r="F61" s="139"/>
      <c r="G61" s="27"/>
      <c r="H61" s="139"/>
      <c r="I61" s="139"/>
      <c r="J61" s="27"/>
      <c r="K61" s="27"/>
      <c r="L61" s="152"/>
      <c r="M61" s="152"/>
      <c r="N61" s="142"/>
    </row>
    <row r="62" spans="1:14" s="3" customFormat="1" ht="15.75" x14ac:dyDescent="0.2">
      <c r="A62" s="31" t="s">
        <v>327</v>
      </c>
      <c r="B62" s="37"/>
      <c r="C62" s="288"/>
      <c r="D62" s="256"/>
      <c r="E62" s="170"/>
      <c r="F62" s="139"/>
      <c r="G62" s="27"/>
      <c r="H62" s="139"/>
      <c r="I62" s="139"/>
      <c r="J62" s="27"/>
      <c r="K62" s="27"/>
      <c r="L62" s="152"/>
      <c r="M62" s="152"/>
      <c r="N62" s="142"/>
    </row>
    <row r="63" spans="1:14" s="3" customFormat="1" x14ac:dyDescent="0.2">
      <c r="A63" s="298" t="s">
        <v>6</v>
      </c>
      <c r="B63" s="282"/>
      <c r="C63" s="283"/>
      <c r="D63" s="256"/>
      <c r="E63" s="159"/>
      <c r="F63" s="139"/>
      <c r="G63" s="27"/>
      <c r="H63" s="139"/>
      <c r="I63" s="139"/>
      <c r="J63" s="27"/>
      <c r="K63" s="27"/>
      <c r="L63" s="152"/>
      <c r="M63" s="152"/>
      <c r="N63" s="142"/>
    </row>
    <row r="64" spans="1:14" s="3" customFormat="1" x14ac:dyDescent="0.2">
      <c r="A64" s="298" t="s">
        <v>7</v>
      </c>
      <c r="B64" s="282"/>
      <c r="C64" s="283"/>
      <c r="D64" s="256"/>
      <c r="E64" s="159"/>
      <c r="F64" s="139"/>
      <c r="G64" s="27"/>
      <c r="H64" s="139"/>
      <c r="I64" s="139"/>
      <c r="J64" s="27"/>
      <c r="K64" s="27"/>
      <c r="L64" s="152"/>
      <c r="M64" s="152"/>
      <c r="N64" s="142"/>
    </row>
    <row r="65" spans="1:14" s="3" customFormat="1" x14ac:dyDescent="0.2">
      <c r="A65" s="298" t="s">
        <v>8</v>
      </c>
      <c r="B65" s="282"/>
      <c r="C65" s="283"/>
      <c r="D65" s="256"/>
      <c r="E65" s="159"/>
      <c r="F65" s="139"/>
      <c r="G65" s="27"/>
      <c r="H65" s="139"/>
      <c r="I65" s="139"/>
      <c r="J65" s="27"/>
      <c r="K65" s="27"/>
      <c r="L65" s="152"/>
      <c r="M65" s="152"/>
      <c r="N65" s="142"/>
    </row>
    <row r="66" spans="1:14" s="3" customFormat="1" ht="15.75" x14ac:dyDescent="0.2">
      <c r="A66" s="32" t="s">
        <v>328</v>
      </c>
      <c r="B66" s="312"/>
      <c r="C66" s="313"/>
      <c r="D66" s="256"/>
      <c r="E66" s="170"/>
      <c r="F66" s="139"/>
      <c r="G66" s="27"/>
      <c r="H66" s="139"/>
      <c r="I66" s="139"/>
      <c r="J66" s="27"/>
      <c r="K66" s="27"/>
      <c r="L66" s="152"/>
      <c r="M66" s="152"/>
      <c r="N66" s="142"/>
    </row>
    <row r="67" spans="1:14" s="3" customFormat="1" ht="15.75" x14ac:dyDescent="0.2">
      <c r="A67" s="31" t="s">
        <v>326</v>
      </c>
      <c r="B67" s="282"/>
      <c r="C67" s="283"/>
      <c r="D67" s="256"/>
      <c r="E67" s="170"/>
      <c r="F67" s="139"/>
      <c r="G67" s="27"/>
      <c r="H67" s="139"/>
      <c r="I67" s="139"/>
      <c r="J67" s="27"/>
      <c r="K67" s="27"/>
      <c r="L67" s="152"/>
      <c r="M67" s="152"/>
      <c r="N67" s="142"/>
    </row>
    <row r="68" spans="1:14" s="3" customFormat="1" ht="15.75" x14ac:dyDescent="0.2">
      <c r="A68" s="31" t="s">
        <v>327</v>
      </c>
      <c r="B68" s="282"/>
      <c r="C68" s="283"/>
      <c r="D68" s="256"/>
      <c r="E68" s="170"/>
      <c r="F68" s="139"/>
      <c r="G68" s="27"/>
      <c r="H68" s="139"/>
      <c r="I68" s="139"/>
      <c r="J68" s="27"/>
      <c r="K68" s="27"/>
      <c r="L68" s="152"/>
      <c r="M68" s="152"/>
      <c r="N68" s="142"/>
    </row>
    <row r="69" spans="1:14" s="3" customFormat="1" ht="15.75" x14ac:dyDescent="0.2">
      <c r="A69" s="32" t="s">
        <v>329</v>
      </c>
      <c r="B69" s="312"/>
      <c r="C69" s="313"/>
      <c r="D69" s="256"/>
      <c r="E69" s="170"/>
      <c r="F69" s="139"/>
      <c r="G69" s="27"/>
      <c r="H69" s="139"/>
      <c r="I69" s="139"/>
      <c r="J69" s="27"/>
      <c r="K69" s="27"/>
      <c r="L69" s="152"/>
      <c r="M69" s="152"/>
      <c r="N69" s="142"/>
    </row>
    <row r="70" spans="1:14" s="3" customFormat="1" ht="15.75" x14ac:dyDescent="0.2">
      <c r="A70" s="31" t="s">
        <v>326</v>
      </c>
      <c r="B70" s="282"/>
      <c r="C70" s="283"/>
      <c r="D70" s="256"/>
      <c r="E70" s="170"/>
      <c r="F70" s="139"/>
      <c r="G70" s="27"/>
      <c r="H70" s="139"/>
      <c r="I70" s="139"/>
      <c r="J70" s="27"/>
      <c r="K70" s="27"/>
      <c r="L70" s="152"/>
      <c r="M70" s="152"/>
      <c r="N70" s="142"/>
    </row>
    <row r="71" spans="1:14" s="3" customFormat="1" ht="15.75" x14ac:dyDescent="0.2">
      <c r="A71" s="39" t="s">
        <v>327</v>
      </c>
      <c r="B71" s="284"/>
      <c r="C71" s="285"/>
      <c r="D71" s="257"/>
      <c r="E71" s="160"/>
      <c r="F71" s="139"/>
      <c r="G71" s="27"/>
      <c r="H71" s="139"/>
      <c r="I71" s="139"/>
      <c r="J71" s="27"/>
      <c r="K71" s="27"/>
      <c r="L71" s="152"/>
      <c r="M71" s="152"/>
      <c r="N71" s="142"/>
    </row>
    <row r="72" spans="1:14" s="3" customFormat="1" ht="15.75" x14ac:dyDescent="0.25">
      <c r="A72" s="157"/>
      <c r="B72" s="147"/>
      <c r="C72" s="147"/>
      <c r="D72" s="147"/>
      <c r="E72" s="147"/>
      <c r="F72" s="136"/>
      <c r="G72" s="136"/>
      <c r="H72" s="136"/>
      <c r="I72" s="136"/>
      <c r="J72" s="136"/>
      <c r="K72" s="136"/>
      <c r="L72" s="136"/>
      <c r="M72" s="136"/>
      <c r="N72" s="142"/>
    </row>
    <row r="73" spans="1:14" x14ac:dyDescent="0.2">
      <c r="A73" s="148"/>
    </row>
    <row r="74" spans="1:14" ht="15.75" x14ac:dyDescent="0.25">
      <c r="A74" s="141" t="s">
        <v>306</v>
      </c>
      <c r="C74" s="20"/>
      <c r="D74" s="20"/>
      <c r="E74" s="20"/>
      <c r="F74" s="20"/>
      <c r="G74" s="20"/>
      <c r="H74" s="20"/>
      <c r="I74" s="20"/>
      <c r="J74" s="20"/>
      <c r="K74" s="20"/>
      <c r="L74" s="20"/>
      <c r="M74" s="20"/>
    </row>
    <row r="75" spans="1:14" ht="15.75" x14ac:dyDescent="0.25">
      <c r="B75" s="832"/>
      <c r="C75" s="832"/>
      <c r="D75" s="832"/>
      <c r="E75" s="301"/>
      <c r="F75" s="832"/>
      <c r="G75" s="832"/>
      <c r="H75" s="832"/>
      <c r="I75" s="301"/>
      <c r="J75" s="832"/>
      <c r="K75" s="832"/>
      <c r="L75" s="832"/>
      <c r="M75" s="301"/>
    </row>
    <row r="76" spans="1:14" x14ac:dyDescent="0.2">
      <c r="A76" s="138"/>
      <c r="B76" s="833" t="s">
        <v>0</v>
      </c>
      <c r="C76" s="834"/>
      <c r="D76" s="838"/>
      <c r="E76" s="302"/>
      <c r="F76" s="834" t="s">
        <v>1</v>
      </c>
      <c r="G76" s="834"/>
      <c r="H76" s="834"/>
      <c r="I76" s="306"/>
      <c r="J76" s="833" t="s">
        <v>2</v>
      </c>
      <c r="K76" s="834"/>
      <c r="L76" s="834"/>
      <c r="M76" s="306"/>
    </row>
    <row r="77" spans="1:14" x14ac:dyDescent="0.2">
      <c r="A77" s="134"/>
      <c r="B77" s="145" t="s">
        <v>400</v>
      </c>
      <c r="C77" s="145" t="s">
        <v>401</v>
      </c>
      <c r="D77" s="242" t="s">
        <v>3</v>
      </c>
      <c r="E77" s="307" t="s">
        <v>37</v>
      </c>
      <c r="F77" s="145" t="s">
        <v>400</v>
      </c>
      <c r="G77" s="145" t="s">
        <v>401</v>
      </c>
      <c r="H77" s="242" t="s">
        <v>3</v>
      </c>
      <c r="I77" s="307" t="s">
        <v>37</v>
      </c>
      <c r="J77" s="145" t="s">
        <v>400</v>
      </c>
      <c r="K77" s="145" t="s">
        <v>401</v>
      </c>
      <c r="L77" s="242" t="s">
        <v>3</v>
      </c>
      <c r="M77" s="155" t="s">
        <v>37</v>
      </c>
    </row>
    <row r="78" spans="1:14" x14ac:dyDescent="0.2">
      <c r="A78" s="403"/>
      <c r="B78" s="149"/>
      <c r="C78" s="149"/>
      <c r="D78" s="243" t="s">
        <v>4</v>
      </c>
      <c r="E78" s="149" t="s">
        <v>38</v>
      </c>
      <c r="F78" s="154"/>
      <c r="G78" s="154"/>
      <c r="H78" s="242" t="s">
        <v>4</v>
      </c>
      <c r="I78" s="149" t="s">
        <v>38</v>
      </c>
      <c r="J78" s="154"/>
      <c r="K78" s="154"/>
      <c r="L78" s="242" t="s">
        <v>4</v>
      </c>
      <c r="M78" s="149" t="s">
        <v>38</v>
      </c>
    </row>
    <row r="79" spans="1:14" ht="15.75" x14ac:dyDescent="0.2">
      <c r="A79" s="12" t="s">
        <v>30</v>
      </c>
      <c r="B79" s="355"/>
      <c r="C79" s="355"/>
      <c r="D79" s="251"/>
      <c r="E79" s="170"/>
      <c r="F79" s="354">
        <v>62</v>
      </c>
      <c r="G79" s="354">
        <v>86</v>
      </c>
      <c r="H79" s="251">
        <f t="shared" ref="H79:H142" si="6">IF(F79=0, "    ---- ", IF(ABS(ROUND(100/F79*G79-100,1))&lt;999,ROUND(100/F79*G79-100,1),IF(ROUND(100/F79*G79-100,1)&gt;999,999,-999)))</f>
        <v>38.700000000000003</v>
      </c>
      <c r="I79" s="170">
        <f>IFERROR(100/'Skjema total MA'!F79*G79,0)</f>
        <v>3.7220649153438175E-4</v>
      </c>
      <c r="J79" s="311">
        <v>62</v>
      </c>
      <c r="K79" s="318">
        <v>86</v>
      </c>
      <c r="L79" s="255">
        <f t="shared" ref="L79:L142" si="7">IF(J79=0, "    ---- ", IF(ABS(ROUND(100/J79*K79-100,1))&lt;999,ROUND(100/J79*K79-100,1),IF(ROUND(100/J79*K79-100,1)&gt;999,999,-999)))</f>
        <v>38.700000000000003</v>
      </c>
      <c r="M79" s="170">
        <f>IFERROR(100/'Skjema total MA'!I79*K79,0)</f>
        <v>2.4727383039249657E-4</v>
      </c>
    </row>
    <row r="80" spans="1:14" x14ac:dyDescent="0.2">
      <c r="A80" s="18" t="s">
        <v>9</v>
      </c>
      <c r="B80" s="37"/>
      <c r="C80" s="139"/>
      <c r="D80" s="159"/>
      <c r="E80" s="170"/>
      <c r="F80" s="229"/>
      <c r="G80" s="139"/>
      <c r="H80" s="159"/>
      <c r="I80" s="170"/>
      <c r="J80" s="288"/>
      <c r="K80" s="37"/>
      <c r="L80" s="256"/>
      <c r="M80" s="170"/>
    </row>
    <row r="81" spans="1:14" x14ac:dyDescent="0.2">
      <c r="A81" s="18" t="s">
        <v>10</v>
      </c>
      <c r="B81" s="293"/>
      <c r="C81" s="294"/>
      <c r="D81" s="159"/>
      <c r="E81" s="170"/>
      <c r="F81" s="293">
        <v>62</v>
      </c>
      <c r="G81" s="294">
        <v>86</v>
      </c>
      <c r="H81" s="159">
        <f t="shared" si="6"/>
        <v>38.700000000000003</v>
      </c>
      <c r="I81" s="170">
        <f>IFERROR(100/'Skjema total MA'!F81*G81,0)</f>
        <v>3.7559773598539158E-4</v>
      </c>
      <c r="J81" s="288">
        <v>62</v>
      </c>
      <c r="K81" s="37">
        <v>86</v>
      </c>
      <c r="L81" s="256">
        <f t="shared" si="7"/>
        <v>38.700000000000003</v>
      </c>
      <c r="M81" s="170">
        <f>IFERROR(100/'Skjema total MA'!I81*K81,0)</f>
        <v>3.7279415677256381E-4</v>
      </c>
    </row>
    <row r="82" spans="1:14" ht="15.75" x14ac:dyDescent="0.2">
      <c r="A82" s="298" t="s">
        <v>330</v>
      </c>
      <c r="B82" s="282"/>
      <c r="C82" s="282"/>
      <c r="D82" s="159"/>
      <c r="E82" s="237"/>
      <c r="F82" s="282"/>
      <c r="G82" s="282"/>
      <c r="H82" s="159"/>
      <c r="I82" s="237"/>
      <c r="J82" s="291"/>
      <c r="K82" s="291"/>
      <c r="L82" s="159"/>
      <c r="M82" s="159"/>
    </row>
    <row r="83" spans="1:14" x14ac:dyDescent="0.2">
      <c r="A83" s="298" t="s">
        <v>12</v>
      </c>
      <c r="B83" s="295"/>
      <c r="C83" s="296"/>
      <c r="D83" s="159"/>
      <c r="E83" s="237"/>
      <c r="F83" s="282"/>
      <c r="G83" s="282"/>
      <c r="H83" s="159"/>
      <c r="I83" s="237"/>
      <c r="J83" s="291"/>
      <c r="K83" s="291"/>
      <c r="L83" s="159"/>
      <c r="M83" s="159"/>
    </row>
    <row r="84" spans="1:14" x14ac:dyDescent="0.2">
      <c r="A84" s="298" t="s">
        <v>13</v>
      </c>
      <c r="B84" s="230"/>
      <c r="C84" s="290"/>
      <c r="D84" s="159"/>
      <c r="E84" s="237"/>
      <c r="F84" s="282"/>
      <c r="G84" s="282"/>
      <c r="H84" s="159"/>
      <c r="I84" s="237"/>
      <c r="J84" s="291"/>
      <c r="K84" s="291"/>
      <c r="L84" s="159"/>
      <c r="M84" s="159"/>
    </row>
    <row r="85" spans="1:14" ht="15.75" x14ac:dyDescent="0.2">
      <c r="A85" s="298" t="s">
        <v>331</v>
      </c>
      <c r="B85" s="282"/>
      <c r="C85" s="282"/>
      <c r="D85" s="159"/>
      <c r="E85" s="237"/>
      <c r="F85" s="282">
        <v>62</v>
      </c>
      <c r="G85" s="282">
        <v>86</v>
      </c>
      <c r="H85" s="159">
        <f t="shared" si="6"/>
        <v>38.700000000000003</v>
      </c>
      <c r="I85" s="237">
        <f>IFERROR(100/'Skjema total MA'!F85*G85,0)</f>
        <v>0</v>
      </c>
      <c r="J85" s="291">
        <v>62</v>
      </c>
      <c r="K85" s="291">
        <v>86</v>
      </c>
      <c r="L85" s="159">
        <f t="shared" ref="L85:L86" si="8">IF(J85=0, "    ---- ", IF(ABS(ROUND(100/J85*K85-100,1))&lt;999,ROUND(100/J85*K85-100,1),IF(ROUND(100/J85*K85-100,1)&gt;999,999,-999)))</f>
        <v>38.700000000000003</v>
      </c>
      <c r="M85" s="159">
        <f>IFERROR(100/'Skjema total MA'!I85*K85,0)</f>
        <v>0</v>
      </c>
    </row>
    <row r="86" spans="1:14" x14ac:dyDescent="0.2">
      <c r="A86" s="298" t="s">
        <v>12</v>
      </c>
      <c r="B86" s="230"/>
      <c r="C86" s="290"/>
      <c r="D86" s="159"/>
      <c r="E86" s="237"/>
      <c r="F86" s="282">
        <v>62</v>
      </c>
      <c r="G86" s="282">
        <v>86</v>
      </c>
      <c r="H86" s="159">
        <f t="shared" si="6"/>
        <v>38.700000000000003</v>
      </c>
      <c r="I86" s="237">
        <f>IFERROR(100/'Skjema total MA'!F86*G86,0)</f>
        <v>0</v>
      </c>
      <c r="J86" s="291">
        <v>62</v>
      </c>
      <c r="K86" s="291">
        <v>86</v>
      </c>
      <c r="L86" s="159">
        <f t="shared" si="8"/>
        <v>38.700000000000003</v>
      </c>
      <c r="M86" s="159">
        <f>IFERROR(100/'Skjema total MA'!I86*K86,0)</f>
        <v>0</v>
      </c>
    </row>
    <row r="87" spans="1:14" s="3" customFormat="1" x14ac:dyDescent="0.2">
      <c r="A87" s="298" t="s">
        <v>13</v>
      </c>
      <c r="B87" s="230"/>
      <c r="C87" s="290"/>
      <c r="D87" s="159"/>
      <c r="E87" s="237"/>
      <c r="F87" s="282"/>
      <c r="G87" s="282"/>
      <c r="H87" s="159"/>
      <c r="I87" s="237"/>
      <c r="J87" s="291"/>
      <c r="K87" s="291"/>
      <c r="L87" s="159"/>
      <c r="M87" s="159"/>
      <c r="N87" s="142"/>
    </row>
    <row r="88" spans="1:14" s="3" customFormat="1" x14ac:dyDescent="0.2">
      <c r="A88" s="18" t="s">
        <v>33</v>
      </c>
      <c r="B88" s="229"/>
      <c r="C88" s="139"/>
      <c r="D88" s="159"/>
      <c r="E88" s="170"/>
      <c r="F88" s="229"/>
      <c r="G88" s="139"/>
      <c r="H88" s="159"/>
      <c r="I88" s="170"/>
      <c r="J88" s="288"/>
      <c r="K88" s="37"/>
      <c r="L88" s="256"/>
      <c r="M88" s="170"/>
      <c r="N88" s="142"/>
    </row>
    <row r="89" spans="1:14" ht="15.75" x14ac:dyDescent="0.2">
      <c r="A89" s="18" t="s">
        <v>332</v>
      </c>
      <c r="B89" s="229"/>
      <c r="C89" s="229"/>
      <c r="D89" s="159"/>
      <c r="E89" s="170"/>
      <c r="F89" s="229"/>
      <c r="G89" s="139"/>
      <c r="H89" s="159"/>
      <c r="I89" s="170"/>
      <c r="J89" s="288"/>
      <c r="K89" s="37"/>
      <c r="L89" s="256"/>
      <c r="M89" s="170"/>
    </row>
    <row r="90" spans="1:14" x14ac:dyDescent="0.2">
      <c r="A90" s="18" t="s">
        <v>9</v>
      </c>
      <c r="B90" s="229"/>
      <c r="C90" s="139"/>
      <c r="D90" s="159"/>
      <c r="E90" s="170"/>
      <c r="F90" s="229"/>
      <c r="G90" s="139"/>
      <c r="H90" s="159"/>
      <c r="I90" s="170"/>
      <c r="J90" s="288"/>
      <c r="K90" s="37"/>
      <c r="L90" s="256"/>
      <c r="M90" s="170"/>
    </row>
    <row r="91" spans="1:14" x14ac:dyDescent="0.2">
      <c r="A91" s="18" t="s">
        <v>10</v>
      </c>
      <c r="B91" s="293"/>
      <c r="C91" s="294"/>
      <c r="D91" s="159"/>
      <c r="E91" s="170"/>
      <c r="F91" s="293"/>
      <c r="G91" s="294"/>
      <c r="H91" s="159"/>
      <c r="I91" s="170"/>
      <c r="J91" s="288"/>
      <c r="K91" s="37"/>
      <c r="L91" s="256"/>
      <c r="M91" s="170"/>
    </row>
    <row r="92" spans="1:14" ht="15.75" x14ac:dyDescent="0.2">
      <c r="A92" s="298" t="s">
        <v>330</v>
      </c>
      <c r="B92" s="282"/>
      <c r="C92" s="282"/>
      <c r="D92" s="159"/>
      <c r="E92" s="237"/>
      <c r="F92" s="282"/>
      <c r="G92" s="282"/>
      <c r="H92" s="159"/>
      <c r="I92" s="237"/>
      <c r="J92" s="291"/>
      <c r="K92" s="291"/>
      <c r="L92" s="159"/>
      <c r="M92" s="159"/>
    </row>
    <row r="93" spans="1:14" x14ac:dyDescent="0.2">
      <c r="A93" s="298" t="s">
        <v>12</v>
      </c>
      <c r="B93" s="230"/>
      <c r="C93" s="290"/>
      <c r="D93" s="159"/>
      <c r="E93" s="237"/>
      <c r="F93" s="282"/>
      <c r="G93" s="282"/>
      <c r="H93" s="159"/>
      <c r="I93" s="237"/>
      <c r="J93" s="291"/>
      <c r="K93" s="291"/>
      <c r="L93" s="159"/>
      <c r="M93" s="159"/>
    </row>
    <row r="94" spans="1:14" x14ac:dyDescent="0.2">
      <c r="A94" s="298" t="s">
        <v>13</v>
      </c>
      <c r="B94" s="230"/>
      <c r="C94" s="290"/>
      <c r="D94" s="159"/>
      <c r="E94" s="237"/>
      <c r="F94" s="282"/>
      <c r="G94" s="282"/>
      <c r="H94" s="159"/>
      <c r="I94" s="237"/>
      <c r="J94" s="291"/>
      <c r="K94" s="291"/>
      <c r="L94" s="159"/>
      <c r="M94" s="159"/>
    </row>
    <row r="95" spans="1:14" ht="15.75" x14ac:dyDescent="0.2">
      <c r="A95" s="298" t="s">
        <v>331</v>
      </c>
      <c r="B95" s="282"/>
      <c r="C95" s="282"/>
      <c r="D95" s="159"/>
      <c r="E95" s="237"/>
      <c r="F95" s="282"/>
      <c r="G95" s="282"/>
      <c r="H95" s="159"/>
      <c r="I95" s="237"/>
      <c r="J95" s="291"/>
      <c r="K95" s="291"/>
      <c r="L95" s="159"/>
      <c r="M95" s="159"/>
    </row>
    <row r="96" spans="1:14" x14ac:dyDescent="0.2">
      <c r="A96" s="298" t="s">
        <v>12</v>
      </c>
      <c r="B96" s="230"/>
      <c r="C96" s="290"/>
      <c r="D96" s="159"/>
      <c r="E96" s="237"/>
      <c r="F96" s="282"/>
      <c r="G96" s="282"/>
      <c r="H96" s="159"/>
      <c r="I96" s="237"/>
      <c r="J96" s="291"/>
      <c r="K96" s="291"/>
      <c r="L96" s="159"/>
      <c r="M96" s="159"/>
    </row>
    <row r="97" spans="1:13" x14ac:dyDescent="0.2">
      <c r="A97" s="298" t="s">
        <v>13</v>
      </c>
      <c r="B97" s="230"/>
      <c r="C97" s="290"/>
      <c r="D97" s="159"/>
      <c r="E97" s="237"/>
      <c r="F97" s="282"/>
      <c r="G97" s="282"/>
      <c r="H97" s="159"/>
      <c r="I97" s="237"/>
      <c r="J97" s="291"/>
      <c r="K97" s="291"/>
      <c r="L97" s="159"/>
      <c r="M97" s="159"/>
    </row>
    <row r="98" spans="1:13" ht="15.75" x14ac:dyDescent="0.2">
      <c r="A98" s="18" t="s">
        <v>342</v>
      </c>
      <c r="B98" s="229"/>
      <c r="C98" s="139"/>
      <c r="D98" s="159"/>
      <c r="E98" s="170"/>
      <c r="F98" s="229">
        <v>62</v>
      </c>
      <c r="G98" s="139">
        <v>86</v>
      </c>
      <c r="H98" s="159">
        <f t="shared" si="6"/>
        <v>38.700000000000003</v>
      </c>
      <c r="I98" s="170">
        <f>IFERROR(100/'Skjema total MA'!F98*G98,0)</f>
        <v>0.64263260334267369</v>
      </c>
      <c r="J98" s="288">
        <v>62</v>
      </c>
      <c r="K98" s="37">
        <v>86</v>
      </c>
      <c r="L98" s="256">
        <f t="shared" si="7"/>
        <v>38.700000000000003</v>
      </c>
      <c r="M98" s="170">
        <f>IFERROR(100/'Skjema total MA'!I98*K98,0)</f>
        <v>2.4769409609663218E-2</v>
      </c>
    </row>
    <row r="99" spans="1:13" ht="15.75" x14ac:dyDescent="0.2">
      <c r="A99" s="11" t="s">
        <v>29</v>
      </c>
      <c r="B99" s="310"/>
      <c r="C99" s="310"/>
      <c r="D99" s="159"/>
      <c r="E99" s="170"/>
      <c r="F99" s="310"/>
      <c r="G99" s="310"/>
      <c r="H99" s="159"/>
      <c r="I99" s="170"/>
      <c r="J99" s="311"/>
      <c r="K99" s="231"/>
      <c r="L99" s="256"/>
      <c r="M99" s="170"/>
    </row>
    <row r="100" spans="1:13" x14ac:dyDescent="0.2">
      <c r="A100" s="18" t="s">
        <v>9</v>
      </c>
      <c r="B100" s="229"/>
      <c r="C100" s="139"/>
      <c r="D100" s="159"/>
      <c r="E100" s="170"/>
      <c r="F100" s="229"/>
      <c r="G100" s="139"/>
      <c r="H100" s="159"/>
      <c r="I100" s="170"/>
      <c r="J100" s="288"/>
      <c r="K100" s="37"/>
      <c r="L100" s="256"/>
      <c r="M100" s="170"/>
    </row>
    <row r="101" spans="1:13" x14ac:dyDescent="0.2">
      <c r="A101" s="18" t="s">
        <v>10</v>
      </c>
      <c r="B101" s="229"/>
      <c r="C101" s="139"/>
      <c r="D101" s="159"/>
      <c r="E101" s="170"/>
      <c r="F101" s="293"/>
      <c r="G101" s="293"/>
      <c r="H101" s="159"/>
      <c r="I101" s="170"/>
      <c r="J101" s="288"/>
      <c r="K101" s="37"/>
      <c r="L101" s="256"/>
      <c r="M101" s="170"/>
    </row>
    <row r="102" spans="1:13" ht="15.75" x14ac:dyDescent="0.2">
      <c r="A102" s="298" t="s">
        <v>330</v>
      </c>
      <c r="B102" s="282"/>
      <c r="C102" s="282"/>
      <c r="D102" s="159"/>
      <c r="E102" s="237"/>
      <c r="F102" s="282"/>
      <c r="G102" s="282"/>
      <c r="H102" s="159"/>
      <c r="I102" s="237"/>
      <c r="J102" s="291"/>
      <c r="K102" s="291"/>
      <c r="L102" s="159"/>
      <c r="M102" s="159"/>
    </row>
    <row r="103" spans="1:13" x14ac:dyDescent="0.2">
      <c r="A103" s="298" t="s">
        <v>12</v>
      </c>
      <c r="B103" s="230"/>
      <c r="C103" s="290"/>
      <c r="D103" s="159"/>
      <c r="E103" s="237"/>
      <c r="F103" s="282"/>
      <c r="G103" s="282"/>
      <c r="H103" s="159"/>
      <c r="I103" s="237"/>
      <c r="J103" s="291"/>
      <c r="K103" s="291"/>
      <c r="L103" s="159"/>
      <c r="M103" s="159"/>
    </row>
    <row r="104" spans="1:13" x14ac:dyDescent="0.2">
      <c r="A104" s="298" t="s">
        <v>13</v>
      </c>
      <c r="B104" s="230"/>
      <c r="C104" s="290"/>
      <c r="D104" s="159"/>
      <c r="E104" s="237"/>
      <c r="F104" s="282"/>
      <c r="G104" s="282"/>
      <c r="H104" s="159"/>
      <c r="I104" s="237"/>
      <c r="J104" s="291"/>
      <c r="K104" s="291"/>
      <c r="L104" s="159"/>
      <c r="M104" s="159"/>
    </row>
    <row r="105" spans="1:13" ht="15.75" x14ac:dyDescent="0.2">
      <c r="A105" s="298" t="s">
        <v>331</v>
      </c>
      <c r="B105" s="282"/>
      <c r="C105" s="282"/>
      <c r="D105" s="159"/>
      <c r="E105" s="237"/>
      <c r="F105" s="282"/>
      <c r="G105" s="282"/>
      <c r="H105" s="159"/>
      <c r="I105" s="237"/>
      <c r="J105" s="291"/>
      <c r="K105" s="291"/>
      <c r="L105" s="159"/>
      <c r="M105" s="159"/>
    </row>
    <row r="106" spans="1:13" x14ac:dyDescent="0.2">
      <c r="A106" s="298" t="s">
        <v>12</v>
      </c>
      <c r="B106" s="230"/>
      <c r="C106" s="290"/>
      <c r="D106" s="159"/>
      <c r="E106" s="237"/>
      <c r="F106" s="282"/>
      <c r="G106" s="282"/>
      <c r="H106" s="159"/>
      <c r="I106" s="237"/>
      <c r="J106" s="291"/>
      <c r="K106" s="291"/>
      <c r="L106" s="159"/>
      <c r="M106" s="159"/>
    </row>
    <row r="107" spans="1:13" x14ac:dyDescent="0.2">
      <c r="A107" s="298" t="s">
        <v>13</v>
      </c>
      <c r="B107" s="230"/>
      <c r="C107" s="290"/>
      <c r="D107" s="159"/>
      <c r="E107" s="237"/>
      <c r="F107" s="282"/>
      <c r="G107" s="282"/>
      <c r="H107" s="159"/>
      <c r="I107" s="237"/>
      <c r="J107" s="291"/>
      <c r="K107" s="291"/>
      <c r="L107" s="159"/>
      <c r="M107" s="159"/>
    </row>
    <row r="108" spans="1:13" x14ac:dyDescent="0.2">
      <c r="A108" s="18" t="s">
        <v>33</v>
      </c>
      <c r="B108" s="229"/>
      <c r="C108" s="139"/>
      <c r="D108" s="159"/>
      <c r="E108" s="170"/>
      <c r="F108" s="229"/>
      <c r="G108" s="139"/>
      <c r="H108" s="159"/>
      <c r="I108" s="170"/>
      <c r="J108" s="288"/>
      <c r="K108" s="37"/>
      <c r="L108" s="256"/>
      <c r="M108" s="170"/>
    </row>
    <row r="109" spans="1:13" ht="15.75" x14ac:dyDescent="0.2">
      <c r="A109" s="18" t="s">
        <v>332</v>
      </c>
      <c r="B109" s="229"/>
      <c r="C109" s="139"/>
      <c r="D109" s="159"/>
      <c r="E109" s="170"/>
      <c r="F109" s="293"/>
      <c r="G109" s="293"/>
      <c r="H109" s="159"/>
      <c r="I109" s="170"/>
      <c r="J109" s="288"/>
      <c r="K109" s="37"/>
      <c r="L109" s="256"/>
      <c r="M109" s="170"/>
    </row>
    <row r="110" spans="1:13" x14ac:dyDescent="0.2">
      <c r="A110" s="18" t="s">
        <v>9</v>
      </c>
      <c r="B110" s="229"/>
      <c r="C110" s="139"/>
      <c r="D110" s="159"/>
      <c r="E110" s="170"/>
      <c r="F110" s="293"/>
      <c r="G110" s="294"/>
      <c r="H110" s="159"/>
      <c r="I110" s="170"/>
      <c r="J110" s="288"/>
      <c r="K110" s="37"/>
      <c r="L110" s="256"/>
      <c r="M110" s="170"/>
    </row>
    <row r="111" spans="1:13" x14ac:dyDescent="0.2">
      <c r="A111" s="18" t="s">
        <v>10</v>
      </c>
      <c r="B111" s="293"/>
      <c r="C111" s="294"/>
      <c r="D111" s="159"/>
      <c r="E111" s="170"/>
      <c r="F111" s="293"/>
      <c r="G111" s="294"/>
      <c r="H111" s="159"/>
      <c r="I111" s="170"/>
      <c r="J111" s="288"/>
      <c r="K111" s="37"/>
      <c r="L111" s="256"/>
      <c r="M111" s="170"/>
    </row>
    <row r="112" spans="1:13" ht="15.75" x14ac:dyDescent="0.2">
      <c r="A112" s="298" t="s">
        <v>330</v>
      </c>
      <c r="B112" s="282"/>
      <c r="C112" s="282"/>
      <c r="D112" s="159"/>
      <c r="E112" s="237"/>
      <c r="F112" s="282"/>
      <c r="G112" s="282"/>
      <c r="H112" s="159"/>
      <c r="I112" s="237"/>
      <c r="J112" s="291"/>
      <c r="K112" s="291"/>
      <c r="L112" s="159"/>
      <c r="M112" s="159"/>
    </row>
    <row r="113" spans="1:13" x14ac:dyDescent="0.2">
      <c r="A113" s="298" t="s">
        <v>12</v>
      </c>
      <c r="B113" s="230"/>
      <c r="C113" s="290"/>
      <c r="D113" s="159"/>
      <c r="E113" s="237"/>
      <c r="F113" s="282"/>
      <c r="G113" s="282"/>
      <c r="H113" s="159"/>
      <c r="I113" s="237"/>
      <c r="J113" s="291"/>
      <c r="K113" s="291"/>
      <c r="L113" s="159"/>
      <c r="M113" s="159"/>
    </row>
    <row r="114" spans="1:13" x14ac:dyDescent="0.2">
      <c r="A114" s="298" t="s">
        <v>13</v>
      </c>
      <c r="B114" s="230"/>
      <c r="C114" s="290"/>
      <c r="D114" s="159"/>
      <c r="E114" s="237"/>
      <c r="F114" s="282"/>
      <c r="G114" s="282"/>
      <c r="H114" s="159"/>
      <c r="I114" s="237"/>
      <c r="J114" s="291"/>
      <c r="K114" s="291"/>
      <c r="L114" s="159"/>
      <c r="M114" s="159"/>
    </row>
    <row r="115" spans="1:13" ht="15.75" x14ac:dyDescent="0.2">
      <c r="A115" s="298" t="s">
        <v>331</v>
      </c>
      <c r="B115" s="282"/>
      <c r="C115" s="282"/>
      <c r="D115" s="159"/>
      <c r="E115" s="237"/>
      <c r="F115" s="282"/>
      <c r="G115" s="282"/>
      <c r="H115" s="159"/>
      <c r="I115" s="237"/>
      <c r="J115" s="291"/>
      <c r="K115" s="291"/>
      <c r="L115" s="159"/>
      <c r="M115" s="159"/>
    </row>
    <row r="116" spans="1:13" x14ac:dyDescent="0.2">
      <c r="A116" s="298" t="s">
        <v>12</v>
      </c>
      <c r="B116" s="230"/>
      <c r="C116" s="290"/>
      <c r="D116" s="159"/>
      <c r="E116" s="237"/>
      <c r="F116" s="282"/>
      <c r="G116" s="282"/>
      <c r="H116" s="159"/>
      <c r="I116" s="237"/>
      <c r="J116" s="291"/>
      <c r="K116" s="291"/>
      <c r="L116" s="159"/>
      <c r="M116" s="159"/>
    </row>
    <row r="117" spans="1:13" x14ac:dyDescent="0.2">
      <c r="A117" s="298" t="s">
        <v>13</v>
      </c>
      <c r="B117" s="232"/>
      <c r="C117" s="297"/>
      <c r="D117" s="159"/>
      <c r="E117" s="237"/>
      <c r="F117" s="282"/>
      <c r="G117" s="282"/>
      <c r="H117" s="159"/>
      <c r="I117" s="237"/>
      <c r="J117" s="291"/>
      <c r="K117" s="291"/>
      <c r="L117" s="159"/>
      <c r="M117" s="159"/>
    </row>
    <row r="118" spans="1:13" ht="15.75" x14ac:dyDescent="0.2">
      <c r="A118" s="18" t="s">
        <v>342</v>
      </c>
      <c r="B118" s="229"/>
      <c r="C118" s="139"/>
      <c r="D118" s="159"/>
      <c r="E118" s="170"/>
      <c r="F118" s="229"/>
      <c r="G118" s="139"/>
      <c r="H118" s="159"/>
      <c r="I118" s="170"/>
      <c r="J118" s="288"/>
      <c r="K118" s="37"/>
      <c r="L118" s="256"/>
      <c r="M118" s="170"/>
    </row>
    <row r="119" spans="1:13" ht="15.75" x14ac:dyDescent="0.2">
      <c r="A119" s="11" t="s">
        <v>28</v>
      </c>
      <c r="B119" s="355"/>
      <c r="C119" s="355"/>
      <c r="D119" s="159"/>
      <c r="E119" s="170"/>
      <c r="F119" s="354">
        <v>166941</v>
      </c>
      <c r="G119" s="354">
        <v>162923</v>
      </c>
      <c r="H119" s="159">
        <f t="shared" si="6"/>
        <v>-2.4</v>
      </c>
      <c r="I119" s="170">
        <f>IFERROR(100/'Skjema total MA'!F119*G119,0)</f>
        <v>9.1668015566844577E-2</v>
      </c>
      <c r="J119" s="311">
        <v>166941</v>
      </c>
      <c r="K119" s="231">
        <v>162923</v>
      </c>
      <c r="L119" s="256">
        <f t="shared" si="7"/>
        <v>-2.4</v>
      </c>
      <c r="M119" s="170">
        <f>IFERROR(100/'Skjema total MA'!I119*K119,0)</f>
        <v>2.958397071108659E-2</v>
      </c>
    </row>
    <row r="120" spans="1:13" x14ac:dyDescent="0.2">
      <c r="A120" s="18" t="s">
        <v>9</v>
      </c>
      <c r="B120" s="229"/>
      <c r="C120" s="139"/>
      <c r="D120" s="159"/>
      <c r="E120" s="170"/>
      <c r="F120" s="229"/>
      <c r="G120" s="139"/>
      <c r="H120" s="159"/>
      <c r="I120" s="170"/>
      <c r="J120" s="288"/>
      <c r="K120" s="37"/>
      <c r="L120" s="256"/>
      <c r="M120" s="170"/>
    </row>
    <row r="121" spans="1:13" x14ac:dyDescent="0.2">
      <c r="A121" s="18" t="s">
        <v>10</v>
      </c>
      <c r="B121" s="229"/>
      <c r="C121" s="139"/>
      <c r="D121" s="159"/>
      <c r="E121" s="170"/>
      <c r="F121" s="229">
        <v>166941</v>
      </c>
      <c r="G121" s="139">
        <v>162923</v>
      </c>
      <c r="H121" s="159">
        <f t="shared" si="6"/>
        <v>-2.4</v>
      </c>
      <c r="I121" s="170">
        <f>IFERROR(100/'Skjema total MA'!F121*G121,0)</f>
        <v>9.1779107129024415E-2</v>
      </c>
      <c r="J121" s="288">
        <v>166941</v>
      </c>
      <c r="K121" s="37">
        <v>162923</v>
      </c>
      <c r="L121" s="256">
        <f t="shared" si="7"/>
        <v>-2.4</v>
      </c>
      <c r="M121" s="170">
        <f>IFERROR(100/'Skjema total MA'!I121*K121,0)</f>
        <v>9.0618698129576375E-2</v>
      </c>
    </row>
    <row r="122" spans="1:13" ht="15.75" x14ac:dyDescent="0.2">
      <c r="A122" s="298" t="s">
        <v>330</v>
      </c>
      <c r="B122" s="282"/>
      <c r="C122" s="282"/>
      <c r="D122" s="159"/>
      <c r="E122" s="237"/>
      <c r="F122" s="282"/>
      <c r="G122" s="282"/>
      <c r="H122" s="159"/>
      <c r="I122" s="237"/>
      <c r="J122" s="291"/>
      <c r="K122" s="291"/>
      <c r="L122" s="159"/>
      <c r="M122" s="159"/>
    </row>
    <row r="123" spans="1:13" x14ac:dyDescent="0.2">
      <c r="A123" s="298" t="s">
        <v>12</v>
      </c>
      <c r="B123" s="230"/>
      <c r="C123" s="290"/>
      <c r="D123" s="159"/>
      <c r="E123" s="237"/>
      <c r="F123" s="282"/>
      <c r="G123" s="282"/>
      <c r="H123" s="159"/>
      <c r="I123" s="237"/>
      <c r="J123" s="291"/>
      <c r="K123" s="291"/>
      <c r="L123" s="159"/>
      <c r="M123" s="159"/>
    </row>
    <row r="124" spans="1:13" x14ac:dyDescent="0.2">
      <c r="A124" s="298" t="s">
        <v>13</v>
      </c>
      <c r="B124" s="230"/>
      <c r="C124" s="290"/>
      <c r="D124" s="159"/>
      <c r="E124" s="237"/>
      <c r="F124" s="282"/>
      <c r="G124" s="282"/>
      <c r="H124" s="159"/>
      <c r="I124" s="237"/>
      <c r="J124" s="291"/>
      <c r="K124" s="291"/>
      <c r="L124" s="159"/>
      <c r="M124" s="159"/>
    </row>
    <row r="125" spans="1:13" ht="15.75" x14ac:dyDescent="0.2">
      <c r="A125" s="298" t="s">
        <v>331</v>
      </c>
      <c r="B125" s="282"/>
      <c r="C125" s="282"/>
      <c r="D125" s="159"/>
      <c r="E125" s="237"/>
      <c r="F125" s="282">
        <v>166941</v>
      </c>
      <c r="G125" s="282">
        <v>162923</v>
      </c>
      <c r="H125" s="159">
        <f t="shared" si="6"/>
        <v>-2.4</v>
      </c>
      <c r="I125" s="237">
        <f>IFERROR(100/'Skjema total MA'!F125*G125,0)</f>
        <v>0</v>
      </c>
      <c r="J125" s="291">
        <v>166941</v>
      </c>
      <c r="K125" s="291">
        <v>162923</v>
      </c>
      <c r="L125" s="159">
        <f t="shared" ref="L125:L126" si="9">IF(J125=0, "    ---- ", IF(ABS(ROUND(100/J125*K125-100,1))&lt;999,ROUND(100/J125*K125-100,1),IF(ROUND(100/J125*K125-100,1)&gt;999,999,-999)))</f>
        <v>-2.4</v>
      </c>
      <c r="M125" s="159">
        <f>IFERROR(100/'Skjema total MA'!I125*K125,0)</f>
        <v>0</v>
      </c>
    </row>
    <row r="126" spans="1:13" x14ac:dyDescent="0.2">
      <c r="A126" s="298" t="s">
        <v>12</v>
      </c>
      <c r="B126" s="230"/>
      <c r="C126" s="290"/>
      <c r="D126" s="159"/>
      <c r="E126" s="237"/>
      <c r="F126" s="282">
        <v>166941</v>
      </c>
      <c r="G126" s="282">
        <v>162923</v>
      </c>
      <c r="H126" s="159">
        <f t="shared" si="6"/>
        <v>-2.4</v>
      </c>
      <c r="I126" s="237">
        <f>IFERROR(100/'Skjema total MA'!F126*G126,0)</f>
        <v>0</v>
      </c>
      <c r="J126" s="291">
        <v>166941</v>
      </c>
      <c r="K126" s="291">
        <v>162923</v>
      </c>
      <c r="L126" s="159">
        <f t="shared" si="9"/>
        <v>-2.4</v>
      </c>
      <c r="M126" s="159">
        <f>IFERROR(100/'Skjema total MA'!I126*K126,0)</f>
        <v>0</v>
      </c>
    </row>
    <row r="127" spans="1:13" x14ac:dyDescent="0.2">
      <c r="A127" s="298" t="s">
        <v>13</v>
      </c>
      <c r="B127" s="230"/>
      <c r="C127" s="290"/>
      <c r="D127" s="159"/>
      <c r="E127" s="237"/>
      <c r="F127" s="282"/>
      <c r="G127" s="282"/>
      <c r="H127" s="159"/>
      <c r="I127" s="237"/>
      <c r="J127" s="291"/>
      <c r="K127" s="291"/>
      <c r="L127" s="159"/>
      <c r="M127" s="159"/>
    </row>
    <row r="128" spans="1:13" x14ac:dyDescent="0.2">
      <c r="A128" s="18" t="s">
        <v>34</v>
      </c>
      <c r="B128" s="229"/>
      <c r="C128" s="139"/>
      <c r="D128" s="159"/>
      <c r="E128" s="170"/>
      <c r="F128" s="229"/>
      <c r="G128" s="139"/>
      <c r="H128" s="159"/>
      <c r="I128" s="170"/>
      <c r="J128" s="288"/>
      <c r="K128" s="37"/>
      <c r="L128" s="256"/>
      <c r="M128" s="170"/>
    </row>
    <row r="129" spans="1:13" ht="15.75" x14ac:dyDescent="0.2">
      <c r="A129" s="18" t="s">
        <v>332</v>
      </c>
      <c r="B129" s="229"/>
      <c r="C129" s="229"/>
      <c r="D129" s="159"/>
      <c r="E129" s="170"/>
      <c r="F129" s="293"/>
      <c r="G129" s="293"/>
      <c r="H129" s="159"/>
      <c r="I129" s="170"/>
      <c r="J129" s="288"/>
      <c r="K129" s="37"/>
      <c r="L129" s="256"/>
      <c r="M129" s="170"/>
    </row>
    <row r="130" spans="1:13" x14ac:dyDescent="0.2">
      <c r="A130" s="18" t="s">
        <v>9</v>
      </c>
      <c r="B130" s="293"/>
      <c r="C130" s="294"/>
      <c r="D130" s="159"/>
      <c r="E130" s="170"/>
      <c r="F130" s="229"/>
      <c r="G130" s="139"/>
      <c r="H130" s="159"/>
      <c r="I130" s="170"/>
      <c r="J130" s="288"/>
      <c r="K130" s="37"/>
      <c r="L130" s="256"/>
      <c r="M130" s="170"/>
    </row>
    <row r="131" spans="1:13" x14ac:dyDescent="0.2">
      <c r="A131" s="18" t="s">
        <v>10</v>
      </c>
      <c r="B131" s="293"/>
      <c r="C131" s="294"/>
      <c r="D131" s="159"/>
      <c r="E131" s="170"/>
      <c r="F131" s="229"/>
      <c r="G131" s="229"/>
      <c r="H131" s="159"/>
      <c r="I131" s="170"/>
      <c r="J131" s="288"/>
      <c r="K131" s="37"/>
      <c r="L131" s="256"/>
      <c r="M131" s="170"/>
    </row>
    <row r="132" spans="1:13" ht="15.75" x14ac:dyDescent="0.2">
      <c r="A132" s="298" t="s">
        <v>330</v>
      </c>
      <c r="B132" s="282"/>
      <c r="C132" s="282"/>
      <c r="D132" s="159"/>
      <c r="E132" s="237"/>
      <c r="F132" s="282"/>
      <c r="G132" s="282"/>
      <c r="H132" s="159"/>
      <c r="I132" s="237"/>
      <c r="J132" s="291"/>
      <c r="K132" s="291"/>
      <c r="L132" s="159"/>
      <c r="M132" s="159"/>
    </row>
    <row r="133" spans="1:13" x14ac:dyDescent="0.2">
      <c r="A133" s="298" t="s">
        <v>12</v>
      </c>
      <c r="B133" s="230"/>
      <c r="C133" s="290"/>
      <c r="D133" s="159"/>
      <c r="E133" s="237"/>
      <c r="F133" s="282"/>
      <c r="G133" s="282"/>
      <c r="H133" s="159"/>
      <c r="I133" s="237"/>
      <c r="J133" s="291"/>
      <c r="K133" s="291"/>
      <c r="L133" s="159"/>
      <c r="M133" s="159"/>
    </row>
    <row r="134" spans="1:13" x14ac:dyDescent="0.2">
      <c r="A134" s="298" t="s">
        <v>13</v>
      </c>
      <c r="B134" s="230"/>
      <c r="C134" s="290"/>
      <c r="D134" s="159"/>
      <c r="E134" s="237"/>
      <c r="F134" s="282"/>
      <c r="G134" s="282"/>
      <c r="H134" s="159"/>
      <c r="I134" s="237"/>
      <c r="J134" s="291"/>
      <c r="K134" s="291"/>
      <c r="L134" s="159"/>
      <c r="M134" s="159"/>
    </row>
    <row r="135" spans="1:13" ht="15.75" x14ac:dyDescent="0.2">
      <c r="A135" s="298" t="s">
        <v>331</v>
      </c>
      <c r="B135" s="282"/>
      <c r="C135" s="282"/>
      <c r="D135" s="159"/>
      <c r="E135" s="237"/>
      <c r="F135" s="282"/>
      <c r="G135" s="282"/>
      <c r="H135" s="159"/>
      <c r="I135" s="237"/>
      <c r="J135" s="291"/>
      <c r="K135" s="291"/>
      <c r="L135" s="159"/>
      <c r="M135" s="159"/>
    </row>
    <row r="136" spans="1:13" x14ac:dyDescent="0.2">
      <c r="A136" s="298" t="s">
        <v>12</v>
      </c>
      <c r="B136" s="230"/>
      <c r="C136" s="290"/>
      <c r="D136" s="159"/>
      <c r="E136" s="237"/>
      <c r="F136" s="282"/>
      <c r="G136" s="282"/>
      <c r="H136" s="159"/>
      <c r="I136" s="237"/>
      <c r="J136" s="291"/>
      <c r="K136" s="291"/>
      <c r="L136" s="159"/>
      <c r="M136" s="159"/>
    </row>
    <row r="137" spans="1:13" x14ac:dyDescent="0.2">
      <c r="A137" s="298" t="s">
        <v>13</v>
      </c>
      <c r="B137" s="230"/>
      <c r="C137" s="290"/>
      <c r="D137" s="159"/>
      <c r="E137" s="237"/>
      <c r="F137" s="282"/>
      <c r="G137" s="282"/>
      <c r="H137" s="159"/>
      <c r="I137" s="237"/>
      <c r="J137" s="291"/>
      <c r="K137" s="291"/>
      <c r="L137" s="159"/>
      <c r="M137" s="159"/>
    </row>
    <row r="138" spans="1:13" ht="15.75" x14ac:dyDescent="0.2">
      <c r="A138" s="18" t="s">
        <v>342</v>
      </c>
      <c r="B138" s="229"/>
      <c r="C138" s="139"/>
      <c r="D138" s="159"/>
      <c r="E138" s="170"/>
      <c r="F138" s="229">
        <v>166941</v>
      </c>
      <c r="G138" s="139">
        <v>162923</v>
      </c>
      <c r="H138" s="159">
        <f t="shared" si="6"/>
        <v>-2.4</v>
      </c>
      <c r="I138" s="170">
        <f>IFERROR(100/'Skjema total MA'!F138*G138,0)</f>
        <v>42.29119637844741</v>
      </c>
      <c r="J138" s="288">
        <v>166941</v>
      </c>
      <c r="K138" s="37">
        <v>162923</v>
      </c>
      <c r="L138" s="256">
        <f t="shared" si="7"/>
        <v>-2.4</v>
      </c>
      <c r="M138" s="170">
        <f>IFERROR(100/'Skjema total MA'!I138*K138,0)</f>
        <v>3.1215416490151391</v>
      </c>
    </row>
    <row r="139" spans="1:13" ht="15.75" x14ac:dyDescent="0.2">
      <c r="A139" s="18" t="s">
        <v>343</v>
      </c>
      <c r="B139" s="229"/>
      <c r="C139" s="229"/>
      <c r="D139" s="159"/>
      <c r="E139" s="170"/>
      <c r="F139" s="229"/>
      <c r="G139" s="229"/>
      <c r="H139" s="159"/>
      <c r="I139" s="170"/>
      <c r="J139" s="288"/>
      <c r="K139" s="37"/>
      <c r="L139" s="256"/>
      <c r="M139" s="170"/>
    </row>
    <row r="140" spans="1:13" ht="15.75" x14ac:dyDescent="0.2">
      <c r="A140" s="18" t="s">
        <v>334</v>
      </c>
      <c r="B140" s="229"/>
      <c r="C140" s="229"/>
      <c r="D140" s="159"/>
      <c r="E140" s="170"/>
      <c r="F140" s="229">
        <v>166941</v>
      </c>
      <c r="G140" s="229">
        <v>162923</v>
      </c>
      <c r="H140" s="159">
        <f t="shared" si="6"/>
        <v>-2.4</v>
      </c>
      <c r="I140" s="170">
        <f>IFERROR(100/'Skjema total MA'!F140*G140,0)</f>
        <v>0.29207318585061065</v>
      </c>
      <c r="J140" s="288">
        <v>166941</v>
      </c>
      <c r="K140" s="37">
        <v>162923</v>
      </c>
      <c r="L140" s="256">
        <f t="shared" si="7"/>
        <v>-2.4</v>
      </c>
      <c r="M140" s="170">
        <f>IFERROR(100/'Skjema total MA'!I140*K140,0)</f>
        <v>0.28821488118285382</v>
      </c>
    </row>
    <row r="141" spans="1:13" ht="15.75" x14ac:dyDescent="0.2">
      <c r="A141" s="18" t="s">
        <v>335</v>
      </c>
      <c r="B141" s="229"/>
      <c r="C141" s="229"/>
      <c r="D141" s="159"/>
      <c r="E141" s="170"/>
      <c r="F141" s="229"/>
      <c r="G141" s="229"/>
      <c r="H141" s="159"/>
      <c r="I141" s="170"/>
      <c r="J141" s="288"/>
      <c r="K141" s="37"/>
      <c r="L141" s="256"/>
      <c r="M141" s="170"/>
    </row>
    <row r="142" spans="1:13" ht="15.75" x14ac:dyDescent="0.2">
      <c r="A142" s="11" t="s">
        <v>27</v>
      </c>
      <c r="B142" s="310"/>
      <c r="C142" s="152"/>
      <c r="D142" s="159"/>
      <c r="E142" s="170"/>
      <c r="F142" s="310">
        <v>545</v>
      </c>
      <c r="G142" s="152">
        <v>76983</v>
      </c>
      <c r="H142" s="159">
        <f t="shared" si="6"/>
        <v>999</v>
      </c>
      <c r="I142" s="170">
        <f>IFERROR(100/'Skjema total MA'!F142*G142,0)</f>
        <v>1.2690620594499775</v>
      </c>
      <c r="J142" s="311">
        <v>545</v>
      </c>
      <c r="K142" s="231">
        <v>76983</v>
      </c>
      <c r="L142" s="256">
        <f t="shared" si="7"/>
        <v>999</v>
      </c>
      <c r="M142" s="170">
        <f>IFERROR(100/'Skjema total MA'!I142*K142,0)</f>
        <v>1.0538371305542844</v>
      </c>
    </row>
    <row r="143" spans="1:13" x14ac:dyDescent="0.2">
      <c r="A143" s="18" t="s">
        <v>9</v>
      </c>
      <c r="B143" s="229"/>
      <c r="C143" s="139"/>
      <c r="D143" s="159"/>
      <c r="E143" s="170"/>
      <c r="F143" s="229"/>
      <c r="G143" s="139"/>
      <c r="H143" s="159"/>
      <c r="I143" s="170"/>
      <c r="J143" s="288"/>
      <c r="K143" s="37"/>
      <c r="L143" s="256"/>
      <c r="M143" s="170"/>
    </row>
    <row r="144" spans="1:13" x14ac:dyDescent="0.2">
      <c r="A144" s="18" t="s">
        <v>10</v>
      </c>
      <c r="B144" s="229"/>
      <c r="C144" s="139"/>
      <c r="D144" s="159"/>
      <c r="E144" s="170"/>
      <c r="F144" s="229">
        <v>545</v>
      </c>
      <c r="G144" s="139">
        <v>76983</v>
      </c>
      <c r="H144" s="159">
        <f t="shared" ref="H144:H152" si="10">IF(F144=0, "    ---- ", IF(ABS(ROUND(100/F144*G144-100,1))&lt;999,ROUND(100/F144*G144-100,1),IF(ROUND(100/F144*G144-100,1)&gt;999,999,-999)))</f>
        <v>999</v>
      </c>
      <c r="I144" s="170">
        <f>IFERROR(100/'Skjema total MA'!F144*G144,0)</f>
        <v>1.2690620594499775</v>
      </c>
      <c r="J144" s="288">
        <v>545</v>
      </c>
      <c r="K144" s="37">
        <v>76983</v>
      </c>
      <c r="L144" s="256">
        <f t="shared" ref="L144:L152" si="11">IF(J144=0, "    ---- ", IF(ABS(ROUND(100/J144*K144-100,1))&lt;999,ROUND(100/J144*K144-100,1),IF(ROUND(100/J144*K144-100,1)&gt;999,999,-999)))</f>
        <v>999</v>
      </c>
      <c r="M144" s="170">
        <f>IFERROR(100/'Skjema total MA'!I144*K144,0)</f>
        <v>1.2681830834103109</v>
      </c>
    </row>
    <row r="145" spans="1:14" x14ac:dyDescent="0.2">
      <c r="A145" s="18" t="s">
        <v>34</v>
      </c>
      <c r="B145" s="229"/>
      <c r="C145" s="139"/>
      <c r="D145" s="159"/>
      <c r="E145" s="170"/>
      <c r="F145" s="229"/>
      <c r="G145" s="139"/>
      <c r="H145" s="159"/>
      <c r="I145" s="170"/>
      <c r="J145" s="288"/>
      <c r="K145" s="37"/>
      <c r="L145" s="256"/>
      <c r="M145" s="170"/>
    </row>
    <row r="146" spans="1:14" x14ac:dyDescent="0.2">
      <c r="A146" s="298" t="s">
        <v>15</v>
      </c>
      <c r="B146" s="282"/>
      <c r="C146" s="282"/>
      <c r="D146" s="159"/>
      <c r="E146" s="237"/>
      <c r="F146" s="282"/>
      <c r="G146" s="282"/>
      <c r="H146" s="159"/>
      <c r="I146" s="237"/>
      <c r="J146" s="291"/>
      <c r="K146" s="291"/>
      <c r="L146" s="159"/>
      <c r="M146" s="159"/>
    </row>
    <row r="147" spans="1:14" ht="15.75" x14ac:dyDescent="0.2">
      <c r="A147" s="18" t="s">
        <v>344</v>
      </c>
      <c r="B147" s="229"/>
      <c r="C147" s="229"/>
      <c r="D147" s="159"/>
      <c r="E147" s="170"/>
      <c r="F147" s="229"/>
      <c r="G147" s="229"/>
      <c r="H147" s="159"/>
      <c r="I147" s="170"/>
      <c r="J147" s="288"/>
      <c r="K147" s="37"/>
      <c r="L147" s="256"/>
      <c r="M147" s="170"/>
    </row>
    <row r="148" spans="1:14" ht="15.75" x14ac:dyDescent="0.2">
      <c r="A148" s="18" t="s">
        <v>336</v>
      </c>
      <c r="B148" s="229"/>
      <c r="C148" s="229"/>
      <c r="D148" s="159"/>
      <c r="E148" s="170"/>
      <c r="F148" s="229">
        <v>0</v>
      </c>
      <c r="G148" s="229">
        <v>76983</v>
      </c>
      <c r="H148" s="159" t="str">
        <f t="shared" si="10"/>
        <v xml:space="preserve">    ---- </v>
      </c>
      <c r="I148" s="170">
        <f>IFERROR(100/'Skjema total MA'!F148*G148,0)</f>
        <v>6.8322857310846841</v>
      </c>
      <c r="J148" s="288">
        <v>0</v>
      </c>
      <c r="K148" s="37">
        <v>76983</v>
      </c>
      <c r="L148" s="256" t="str">
        <f t="shared" si="11"/>
        <v xml:space="preserve">    ---- </v>
      </c>
      <c r="M148" s="170">
        <f>IFERROR(100/'Skjema total MA'!I148*K148,0)</f>
        <v>6.8322014649814893</v>
      </c>
    </row>
    <row r="149" spans="1:14" ht="15.75" x14ac:dyDescent="0.2">
      <c r="A149" s="18" t="s">
        <v>335</v>
      </c>
      <c r="B149" s="229"/>
      <c r="C149" s="229"/>
      <c r="D149" s="159"/>
      <c r="E149" s="170"/>
      <c r="F149" s="229"/>
      <c r="G149" s="229"/>
      <c r="H149" s="159"/>
      <c r="I149" s="170"/>
      <c r="J149" s="288"/>
      <c r="K149" s="37"/>
      <c r="L149" s="256"/>
      <c r="M149" s="170"/>
    </row>
    <row r="150" spans="1:14" ht="15.75" x14ac:dyDescent="0.2">
      <c r="A150" s="11" t="s">
        <v>26</v>
      </c>
      <c r="B150" s="310"/>
      <c r="C150" s="152"/>
      <c r="D150" s="159"/>
      <c r="E150" s="170"/>
      <c r="F150" s="310">
        <v>0</v>
      </c>
      <c r="G150" s="152">
        <v>695</v>
      </c>
      <c r="H150" s="159" t="str">
        <f t="shared" si="10"/>
        <v xml:space="preserve">    ---- </v>
      </c>
      <c r="I150" s="170">
        <f>IFERROR(100/'Skjema total MA'!F150*G150,0)</f>
        <v>1.1204184669525686E-2</v>
      </c>
      <c r="J150" s="311">
        <v>0</v>
      </c>
      <c r="K150" s="231">
        <v>695</v>
      </c>
      <c r="L150" s="256" t="str">
        <f t="shared" si="11"/>
        <v xml:space="preserve">    ---- </v>
      </c>
      <c r="M150" s="170">
        <f>IFERROR(100/'Skjema total MA'!I150*K150,0)</f>
        <v>9.8219110563893108E-3</v>
      </c>
    </row>
    <row r="151" spans="1:14" x14ac:dyDescent="0.2">
      <c r="A151" s="18" t="s">
        <v>9</v>
      </c>
      <c r="B151" s="229"/>
      <c r="C151" s="139"/>
      <c r="D151" s="159"/>
      <c r="E151" s="170"/>
      <c r="F151" s="229"/>
      <c r="G151" s="139"/>
      <c r="H151" s="159"/>
      <c r="I151" s="170"/>
      <c r="J151" s="288"/>
      <c r="K151" s="37"/>
      <c r="L151" s="256"/>
      <c r="M151" s="170"/>
    </row>
    <row r="152" spans="1:14" x14ac:dyDescent="0.2">
      <c r="A152" s="18" t="s">
        <v>10</v>
      </c>
      <c r="B152" s="229"/>
      <c r="C152" s="139"/>
      <c r="D152" s="159"/>
      <c r="E152" s="170"/>
      <c r="F152" s="229">
        <v>0</v>
      </c>
      <c r="G152" s="139">
        <v>695</v>
      </c>
      <c r="H152" s="159" t="str">
        <f t="shared" si="10"/>
        <v xml:space="preserve">    ---- </v>
      </c>
      <c r="I152" s="170">
        <f>IFERROR(100/'Skjema total MA'!F152*G152,0)</f>
        <v>1.1204184669525686E-2</v>
      </c>
      <c r="J152" s="288">
        <v>0</v>
      </c>
      <c r="K152" s="37">
        <v>695</v>
      </c>
      <c r="L152" s="256" t="str">
        <f t="shared" si="11"/>
        <v xml:space="preserve">    ---- </v>
      </c>
      <c r="M152" s="170">
        <f>IFERROR(100/'Skjema total MA'!I152*K152,0)</f>
        <v>1.1121220245499367E-2</v>
      </c>
    </row>
    <row r="153" spans="1:14" x14ac:dyDescent="0.2">
      <c r="A153" s="18" t="s">
        <v>34</v>
      </c>
      <c r="B153" s="229"/>
      <c r="C153" s="139"/>
      <c r="D153" s="159"/>
      <c r="E153" s="170"/>
      <c r="F153" s="229"/>
      <c r="G153" s="139"/>
      <c r="H153" s="159"/>
      <c r="I153" s="170"/>
      <c r="J153" s="288"/>
      <c r="K153" s="37"/>
      <c r="L153" s="256"/>
      <c r="M153" s="170"/>
    </row>
    <row r="154" spans="1:14" x14ac:dyDescent="0.2">
      <c r="A154" s="298" t="s">
        <v>14</v>
      </c>
      <c r="B154" s="282"/>
      <c r="C154" s="282"/>
      <c r="D154" s="159"/>
      <c r="E154" s="237"/>
      <c r="F154" s="282"/>
      <c r="G154" s="282"/>
      <c r="H154" s="159"/>
      <c r="I154" s="237"/>
      <c r="J154" s="291"/>
      <c r="K154" s="291"/>
      <c r="L154" s="159"/>
      <c r="M154" s="159"/>
    </row>
    <row r="155" spans="1:14" ht="15.75" x14ac:dyDescent="0.2">
      <c r="A155" s="18" t="s">
        <v>333</v>
      </c>
      <c r="B155" s="229"/>
      <c r="C155" s="229"/>
      <c r="D155" s="159"/>
      <c r="E155" s="170"/>
      <c r="F155" s="229"/>
      <c r="G155" s="229"/>
      <c r="H155" s="159"/>
      <c r="I155" s="170"/>
      <c r="J155" s="288"/>
      <c r="K155" s="37"/>
      <c r="L155" s="256"/>
      <c r="M155" s="170"/>
    </row>
    <row r="156" spans="1:14" ht="15.75" x14ac:dyDescent="0.2">
      <c r="A156" s="18" t="s">
        <v>334</v>
      </c>
      <c r="B156" s="229"/>
      <c r="C156" s="229"/>
      <c r="D156" s="159"/>
      <c r="E156" s="170"/>
      <c r="F156" s="229"/>
      <c r="G156" s="229"/>
      <c r="H156" s="159"/>
      <c r="I156" s="170"/>
      <c r="J156" s="288"/>
      <c r="K156" s="37"/>
      <c r="L156" s="256"/>
      <c r="M156" s="170"/>
    </row>
    <row r="157" spans="1:14" ht="15.75" x14ac:dyDescent="0.2">
      <c r="A157" s="9" t="s">
        <v>335</v>
      </c>
      <c r="B157" s="38"/>
      <c r="C157" s="38"/>
      <c r="D157" s="160"/>
      <c r="E157" s="201"/>
      <c r="F157" s="38"/>
      <c r="G157" s="38"/>
      <c r="H157" s="160"/>
      <c r="I157" s="160"/>
      <c r="J157" s="289"/>
      <c r="K157" s="38"/>
      <c r="L157" s="257"/>
      <c r="M157" s="160"/>
    </row>
    <row r="158" spans="1:14" x14ac:dyDescent="0.2">
      <c r="A158" s="148"/>
      <c r="L158" s="20"/>
      <c r="M158" s="20"/>
      <c r="N158" s="20"/>
    </row>
    <row r="159" spans="1:14" x14ac:dyDescent="0.2">
      <c r="L159" s="20"/>
      <c r="M159" s="20"/>
      <c r="N159" s="20"/>
    </row>
    <row r="160" spans="1:14" ht="15.75" x14ac:dyDescent="0.25">
      <c r="A160" s="158" t="s">
        <v>35</v>
      </c>
    </row>
    <row r="161" spans="1:14" ht="15.75" x14ac:dyDescent="0.25">
      <c r="B161" s="832"/>
      <c r="C161" s="832"/>
      <c r="D161" s="832"/>
      <c r="E161" s="301"/>
      <c r="F161" s="832"/>
      <c r="G161" s="832"/>
      <c r="H161" s="832"/>
      <c r="I161" s="301"/>
      <c r="J161" s="832"/>
      <c r="K161" s="832"/>
      <c r="L161" s="832"/>
      <c r="M161" s="301"/>
    </row>
    <row r="162" spans="1:14" s="3" customFormat="1" x14ac:dyDescent="0.2">
      <c r="A162" s="138"/>
      <c r="B162" s="833" t="s">
        <v>0</v>
      </c>
      <c r="C162" s="834"/>
      <c r="D162" s="834"/>
      <c r="E162" s="303"/>
      <c r="F162" s="833" t="s">
        <v>1</v>
      </c>
      <c r="G162" s="834"/>
      <c r="H162" s="834"/>
      <c r="I162" s="306"/>
      <c r="J162" s="833" t="s">
        <v>2</v>
      </c>
      <c r="K162" s="834"/>
      <c r="L162" s="834"/>
      <c r="M162" s="306"/>
      <c r="N162" s="142"/>
    </row>
    <row r="163" spans="1:14" s="3" customFormat="1" x14ac:dyDescent="0.2">
      <c r="A163" s="134"/>
      <c r="B163" s="145" t="s">
        <v>400</v>
      </c>
      <c r="C163" s="145" t="s">
        <v>401</v>
      </c>
      <c r="D163" s="242" t="s">
        <v>3</v>
      </c>
      <c r="E163" s="307" t="s">
        <v>37</v>
      </c>
      <c r="F163" s="145" t="s">
        <v>400</v>
      </c>
      <c r="G163" s="145" t="s">
        <v>401</v>
      </c>
      <c r="H163" s="242" t="s">
        <v>3</v>
      </c>
      <c r="I163" s="307" t="s">
        <v>37</v>
      </c>
      <c r="J163" s="145" t="s">
        <v>400</v>
      </c>
      <c r="K163" s="145" t="s">
        <v>401</v>
      </c>
      <c r="L163" s="242" t="s">
        <v>3</v>
      </c>
      <c r="M163" s="155" t="s">
        <v>37</v>
      </c>
      <c r="N163" s="142"/>
    </row>
    <row r="164" spans="1:14" s="3" customFormat="1" x14ac:dyDescent="0.2">
      <c r="A164" s="403"/>
      <c r="B164" s="149"/>
      <c r="C164" s="149"/>
      <c r="D164" s="243" t="s">
        <v>4</v>
      </c>
      <c r="E164" s="149" t="s">
        <v>38</v>
      </c>
      <c r="F164" s="154"/>
      <c r="G164" s="154"/>
      <c r="H164" s="242" t="s">
        <v>4</v>
      </c>
      <c r="I164" s="149" t="s">
        <v>38</v>
      </c>
      <c r="J164" s="154"/>
      <c r="K164" s="154"/>
      <c r="L164" s="242" t="s">
        <v>4</v>
      </c>
      <c r="M164" s="149" t="s">
        <v>38</v>
      </c>
      <c r="N164" s="142"/>
    </row>
    <row r="165" spans="1:14" s="3" customFormat="1" ht="15.75" x14ac:dyDescent="0.2">
      <c r="A165" s="12" t="s">
        <v>337</v>
      </c>
      <c r="B165" s="231"/>
      <c r="C165" s="311"/>
      <c r="D165" s="251"/>
      <c r="E165" s="170"/>
      <c r="F165" s="318"/>
      <c r="G165" s="319"/>
      <c r="H165" s="252"/>
      <c r="I165" s="159"/>
      <c r="J165" s="320"/>
      <c r="K165" s="320"/>
      <c r="L165" s="255"/>
      <c r="M165" s="170"/>
      <c r="N165" s="142"/>
    </row>
    <row r="166" spans="1:14" s="3" customFormat="1" ht="15.75" x14ac:dyDescent="0.2">
      <c r="A166" s="11" t="s">
        <v>338</v>
      </c>
      <c r="B166" s="231"/>
      <c r="C166" s="311"/>
      <c r="D166" s="159"/>
      <c r="E166" s="170"/>
      <c r="F166" s="231"/>
      <c r="G166" s="311"/>
      <c r="H166" s="236"/>
      <c r="I166" s="159"/>
      <c r="J166" s="310"/>
      <c r="K166" s="310"/>
      <c r="L166" s="256"/>
      <c r="M166" s="170"/>
      <c r="N166" s="142"/>
    </row>
    <row r="167" spans="1:14" s="3" customFormat="1" ht="15.75" x14ac:dyDescent="0.2">
      <c r="A167" s="11" t="s">
        <v>339</v>
      </c>
      <c r="B167" s="231"/>
      <c r="C167" s="311"/>
      <c r="D167" s="159"/>
      <c r="E167" s="170"/>
      <c r="F167" s="231"/>
      <c r="G167" s="311"/>
      <c r="H167" s="236"/>
      <c r="I167" s="159"/>
      <c r="J167" s="310"/>
      <c r="K167" s="310"/>
      <c r="L167" s="256"/>
      <c r="M167" s="170"/>
      <c r="N167" s="142"/>
    </row>
    <row r="168" spans="1:14" s="3" customFormat="1" ht="15.75" x14ac:dyDescent="0.2">
      <c r="A168" s="11" t="s">
        <v>340</v>
      </c>
      <c r="B168" s="231"/>
      <c r="C168" s="311"/>
      <c r="D168" s="159"/>
      <c r="E168" s="170"/>
      <c r="F168" s="231"/>
      <c r="G168" s="311"/>
      <c r="H168" s="236"/>
      <c r="I168" s="159"/>
      <c r="J168" s="310"/>
      <c r="K168" s="310"/>
      <c r="L168" s="256"/>
      <c r="M168" s="170"/>
      <c r="N168" s="142"/>
    </row>
    <row r="169" spans="1:14" s="3" customFormat="1" ht="15.75" x14ac:dyDescent="0.2">
      <c r="A169" s="34" t="s">
        <v>341</v>
      </c>
      <c r="B169" s="277"/>
      <c r="C169" s="317"/>
      <c r="D169" s="160"/>
      <c r="E169" s="201"/>
      <c r="F169" s="277"/>
      <c r="G169" s="317"/>
      <c r="H169" s="239"/>
      <c r="I169" s="160"/>
      <c r="J169" s="316"/>
      <c r="K169" s="316"/>
      <c r="L169" s="257"/>
      <c r="M169" s="160"/>
      <c r="N169" s="142"/>
    </row>
    <row r="170" spans="1:14" s="3" customFormat="1" x14ac:dyDescent="0.2">
      <c r="A170" s="161"/>
      <c r="B170" s="27"/>
      <c r="C170" s="27"/>
      <c r="D170" s="152"/>
      <c r="E170" s="152"/>
      <c r="F170" s="27"/>
      <c r="G170" s="27"/>
      <c r="H170" s="152"/>
      <c r="I170" s="152"/>
      <c r="J170" s="27"/>
      <c r="K170" s="27"/>
      <c r="L170" s="152"/>
      <c r="M170" s="152"/>
      <c r="N170" s="142"/>
    </row>
    <row r="171" spans="1:14" x14ac:dyDescent="0.2">
      <c r="A171" s="161"/>
      <c r="B171" s="27"/>
      <c r="C171" s="27"/>
      <c r="D171" s="152"/>
      <c r="E171" s="152"/>
      <c r="F171" s="27"/>
      <c r="G171" s="27"/>
      <c r="H171" s="152"/>
      <c r="I171" s="152"/>
      <c r="J171" s="27"/>
      <c r="K171" s="27"/>
      <c r="L171" s="152"/>
      <c r="M171" s="152"/>
      <c r="N171" s="142"/>
    </row>
    <row r="172" spans="1:14" x14ac:dyDescent="0.2">
      <c r="A172" s="161"/>
      <c r="B172" s="27"/>
      <c r="C172" s="27"/>
      <c r="D172" s="152"/>
      <c r="E172" s="152"/>
      <c r="F172" s="27"/>
      <c r="G172" s="27"/>
      <c r="H172" s="152"/>
      <c r="I172" s="152"/>
      <c r="J172" s="27"/>
      <c r="K172" s="27"/>
      <c r="L172" s="152"/>
      <c r="M172" s="152"/>
      <c r="N172" s="142"/>
    </row>
    <row r="173" spans="1:14" x14ac:dyDescent="0.2">
      <c r="A173" s="140"/>
      <c r="B173" s="140"/>
      <c r="C173" s="140"/>
      <c r="D173" s="140"/>
      <c r="E173" s="140"/>
      <c r="F173" s="140"/>
      <c r="G173" s="140"/>
      <c r="H173" s="140"/>
      <c r="I173" s="140"/>
      <c r="J173" s="140"/>
      <c r="K173" s="140"/>
      <c r="L173" s="140"/>
      <c r="M173" s="140"/>
      <c r="N173" s="140"/>
    </row>
    <row r="174" spans="1:14" ht="15.75" x14ac:dyDescent="0.25">
      <c r="B174" s="136"/>
      <c r="C174" s="136"/>
      <c r="D174" s="136"/>
      <c r="E174" s="136"/>
      <c r="F174" s="136"/>
      <c r="G174" s="136"/>
      <c r="H174" s="136"/>
      <c r="I174" s="136"/>
      <c r="J174" s="136"/>
      <c r="K174" s="136"/>
      <c r="L174" s="136"/>
      <c r="M174" s="136"/>
      <c r="N174" s="136"/>
    </row>
    <row r="175" spans="1:14" ht="15.75" x14ac:dyDescent="0.25">
      <c r="B175" s="150"/>
      <c r="C175" s="150"/>
      <c r="D175" s="150"/>
      <c r="E175" s="150"/>
      <c r="F175" s="150"/>
      <c r="G175" s="150"/>
      <c r="H175" s="150"/>
      <c r="I175" s="150"/>
      <c r="J175" s="150"/>
      <c r="K175" s="150"/>
      <c r="L175" s="150"/>
      <c r="M175" s="150"/>
      <c r="N175" s="150"/>
    </row>
    <row r="176" spans="1:14" ht="15.75" x14ac:dyDescent="0.25">
      <c r="B176" s="150"/>
      <c r="C176" s="150"/>
      <c r="D176" s="150"/>
      <c r="E176" s="150"/>
      <c r="F176" s="150"/>
      <c r="G176" s="150"/>
      <c r="H176" s="150"/>
      <c r="I176" s="150"/>
      <c r="J176" s="150"/>
      <c r="K176" s="150"/>
      <c r="L176" s="150"/>
      <c r="M176" s="150"/>
      <c r="N176" s="150"/>
    </row>
  </sheetData>
  <mergeCells count="28">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22:D22"/>
    <mergeCell ref="F22:H22"/>
    <mergeCell ref="J22:L22"/>
    <mergeCell ref="D47:F47"/>
    <mergeCell ref="G47:I47"/>
    <mergeCell ref="J47:L47"/>
  </mergeCells>
  <conditionalFormatting sqref="B57:C59">
    <cfRule type="expression" dxfId="701" priority="132">
      <formula>kvartal &lt; 4</formula>
    </cfRule>
  </conditionalFormatting>
  <conditionalFormatting sqref="B63:C65">
    <cfRule type="expression" dxfId="700" priority="131">
      <formula>kvartal &lt; 4</formula>
    </cfRule>
  </conditionalFormatting>
  <conditionalFormatting sqref="B37">
    <cfRule type="expression" dxfId="699" priority="130">
      <formula>kvartal &lt; 4</formula>
    </cfRule>
  </conditionalFormatting>
  <conditionalFormatting sqref="B38">
    <cfRule type="expression" dxfId="698" priority="129">
      <formula>kvartal &lt; 4</formula>
    </cfRule>
  </conditionalFormatting>
  <conditionalFormatting sqref="B39">
    <cfRule type="expression" dxfId="697" priority="128">
      <formula>kvartal &lt; 4</formula>
    </cfRule>
  </conditionalFormatting>
  <conditionalFormatting sqref="A34">
    <cfRule type="expression" dxfId="696" priority="1">
      <formula>kvartal &lt; 4</formula>
    </cfRule>
  </conditionalFormatting>
  <conditionalFormatting sqref="C37">
    <cfRule type="expression" dxfId="695" priority="127">
      <formula>kvartal &lt; 4</formula>
    </cfRule>
  </conditionalFormatting>
  <conditionalFormatting sqref="C38">
    <cfRule type="expression" dxfId="694" priority="126">
      <formula>kvartal &lt; 4</formula>
    </cfRule>
  </conditionalFormatting>
  <conditionalFormatting sqref="C39">
    <cfRule type="expression" dxfId="693" priority="125">
      <formula>kvartal &lt; 4</formula>
    </cfRule>
  </conditionalFormatting>
  <conditionalFormatting sqref="B26:C28">
    <cfRule type="expression" dxfId="692" priority="124">
      <formula>kvartal &lt; 4</formula>
    </cfRule>
  </conditionalFormatting>
  <conditionalFormatting sqref="B32:C33">
    <cfRule type="expression" dxfId="691" priority="123">
      <formula>kvartal &lt; 4</formula>
    </cfRule>
  </conditionalFormatting>
  <conditionalFormatting sqref="B34">
    <cfRule type="expression" dxfId="690" priority="122">
      <formula>kvartal &lt; 4</formula>
    </cfRule>
  </conditionalFormatting>
  <conditionalFormatting sqref="C34">
    <cfRule type="expression" dxfId="689" priority="121">
      <formula>kvartal &lt; 4</formula>
    </cfRule>
  </conditionalFormatting>
  <conditionalFormatting sqref="F26:G28">
    <cfRule type="expression" dxfId="688" priority="120">
      <formula>kvartal &lt; 4</formula>
    </cfRule>
  </conditionalFormatting>
  <conditionalFormatting sqref="F32">
    <cfRule type="expression" dxfId="687" priority="119">
      <formula>kvartal &lt; 4</formula>
    </cfRule>
  </conditionalFormatting>
  <conditionalFormatting sqref="G32">
    <cfRule type="expression" dxfId="686" priority="118">
      <formula>kvartal &lt; 4</formula>
    </cfRule>
  </conditionalFormatting>
  <conditionalFormatting sqref="F33">
    <cfRule type="expression" dxfId="685" priority="117">
      <formula>kvartal &lt; 4</formula>
    </cfRule>
  </conditionalFormatting>
  <conditionalFormatting sqref="G33">
    <cfRule type="expression" dxfId="684" priority="116">
      <formula>kvartal &lt; 4</formula>
    </cfRule>
  </conditionalFormatting>
  <conditionalFormatting sqref="F34">
    <cfRule type="expression" dxfId="683" priority="115">
      <formula>kvartal &lt; 4</formula>
    </cfRule>
  </conditionalFormatting>
  <conditionalFormatting sqref="G34">
    <cfRule type="expression" dxfId="682" priority="114">
      <formula>kvartal &lt; 4</formula>
    </cfRule>
  </conditionalFormatting>
  <conditionalFormatting sqref="F37">
    <cfRule type="expression" dxfId="681" priority="113">
      <formula>kvartal &lt; 4</formula>
    </cfRule>
  </conditionalFormatting>
  <conditionalFormatting sqref="F38">
    <cfRule type="expression" dxfId="680" priority="112">
      <formula>kvartal &lt; 4</formula>
    </cfRule>
  </conditionalFormatting>
  <conditionalFormatting sqref="F39">
    <cfRule type="expression" dxfId="679" priority="111">
      <formula>kvartal &lt; 4</formula>
    </cfRule>
  </conditionalFormatting>
  <conditionalFormatting sqref="G37">
    <cfRule type="expression" dxfId="678" priority="110">
      <formula>kvartal &lt; 4</formula>
    </cfRule>
  </conditionalFormatting>
  <conditionalFormatting sqref="G38">
    <cfRule type="expression" dxfId="677" priority="109">
      <formula>kvartal &lt; 4</formula>
    </cfRule>
  </conditionalFormatting>
  <conditionalFormatting sqref="G39">
    <cfRule type="expression" dxfId="676" priority="108">
      <formula>kvartal &lt; 4</formula>
    </cfRule>
  </conditionalFormatting>
  <conditionalFormatting sqref="B29">
    <cfRule type="expression" dxfId="675" priority="107">
      <formula>kvartal &lt; 4</formula>
    </cfRule>
  </conditionalFormatting>
  <conditionalFormatting sqref="C29">
    <cfRule type="expression" dxfId="674" priority="106">
      <formula>kvartal &lt; 4</formula>
    </cfRule>
  </conditionalFormatting>
  <conditionalFormatting sqref="F29">
    <cfRule type="expression" dxfId="673" priority="105">
      <formula>kvartal &lt; 4</formula>
    </cfRule>
  </conditionalFormatting>
  <conditionalFormatting sqref="G29">
    <cfRule type="expression" dxfId="672" priority="104">
      <formula>kvartal &lt; 4</formula>
    </cfRule>
  </conditionalFormatting>
  <conditionalFormatting sqref="J26:K29">
    <cfRule type="expression" dxfId="671" priority="103">
      <formula>kvartal &lt; 4</formula>
    </cfRule>
  </conditionalFormatting>
  <conditionalFormatting sqref="J32:K34">
    <cfRule type="expression" dxfId="670" priority="102">
      <formula>kvartal &lt; 4</formula>
    </cfRule>
  </conditionalFormatting>
  <conditionalFormatting sqref="J37:K39">
    <cfRule type="expression" dxfId="669" priority="101">
      <formula>kvartal &lt; 4</formula>
    </cfRule>
  </conditionalFormatting>
  <conditionalFormatting sqref="B82">
    <cfRule type="expression" dxfId="668" priority="100">
      <formula>kvartal &lt; 4</formula>
    </cfRule>
  </conditionalFormatting>
  <conditionalFormatting sqref="C82">
    <cfRule type="expression" dxfId="667" priority="99">
      <formula>kvartal &lt; 4</formula>
    </cfRule>
  </conditionalFormatting>
  <conditionalFormatting sqref="B85">
    <cfRule type="expression" dxfId="666" priority="98">
      <formula>kvartal &lt; 4</formula>
    </cfRule>
  </conditionalFormatting>
  <conditionalFormatting sqref="C85">
    <cfRule type="expression" dxfId="665" priority="97">
      <formula>kvartal &lt; 4</formula>
    </cfRule>
  </conditionalFormatting>
  <conditionalFormatting sqref="B92">
    <cfRule type="expression" dxfId="664" priority="96">
      <formula>kvartal &lt; 4</formula>
    </cfRule>
  </conditionalFormatting>
  <conditionalFormatting sqref="C92">
    <cfRule type="expression" dxfId="663" priority="95">
      <formula>kvartal &lt; 4</formula>
    </cfRule>
  </conditionalFormatting>
  <conditionalFormatting sqref="B95">
    <cfRule type="expression" dxfId="662" priority="94">
      <formula>kvartal &lt; 4</formula>
    </cfRule>
  </conditionalFormatting>
  <conditionalFormatting sqref="C95">
    <cfRule type="expression" dxfId="661" priority="93">
      <formula>kvartal &lt; 4</formula>
    </cfRule>
  </conditionalFormatting>
  <conditionalFormatting sqref="B102">
    <cfRule type="expression" dxfId="660" priority="92">
      <formula>kvartal &lt; 4</formula>
    </cfRule>
  </conditionalFormatting>
  <conditionalFormatting sqref="C102">
    <cfRule type="expression" dxfId="659" priority="91">
      <formula>kvartal &lt; 4</formula>
    </cfRule>
  </conditionalFormatting>
  <conditionalFormatting sqref="B105">
    <cfRule type="expression" dxfId="658" priority="90">
      <formula>kvartal &lt; 4</formula>
    </cfRule>
  </conditionalFormatting>
  <conditionalFormatting sqref="C105">
    <cfRule type="expression" dxfId="657" priority="89">
      <formula>kvartal &lt; 4</formula>
    </cfRule>
  </conditionalFormatting>
  <conditionalFormatting sqref="B112">
    <cfRule type="expression" dxfId="656" priority="88">
      <formula>kvartal &lt; 4</formula>
    </cfRule>
  </conditionalFormatting>
  <conditionalFormatting sqref="C112">
    <cfRule type="expression" dxfId="655" priority="87">
      <formula>kvartal &lt; 4</formula>
    </cfRule>
  </conditionalFormatting>
  <conditionalFormatting sqref="B115">
    <cfRule type="expression" dxfId="654" priority="86">
      <formula>kvartal &lt; 4</formula>
    </cfRule>
  </conditionalFormatting>
  <conditionalFormatting sqref="C115">
    <cfRule type="expression" dxfId="653" priority="85">
      <formula>kvartal &lt; 4</formula>
    </cfRule>
  </conditionalFormatting>
  <conditionalFormatting sqref="B122">
    <cfRule type="expression" dxfId="652" priority="84">
      <formula>kvartal &lt; 4</formula>
    </cfRule>
  </conditionalFormatting>
  <conditionalFormatting sqref="C122">
    <cfRule type="expression" dxfId="651" priority="83">
      <formula>kvartal &lt; 4</formula>
    </cfRule>
  </conditionalFormatting>
  <conditionalFormatting sqref="B125">
    <cfRule type="expression" dxfId="650" priority="82">
      <formula>kvartal &lt; 4</formula>
    </cfRule>
  </conditionalFormatting>
  <conditionalFormatting sqref="C125">
    <cfRule type="expression" dxfId="649" priority="81">
      <formula>kvartal &lt; 4</formula>
    </cfRule>
  </conditionalFormatting>
  <conditionalFormatting sqref="B132">
    <cfRule type="expression" dxfId="648" priority="80">
      <formula>kvartal &lt; 4</formula>
    </cfRule>
  </conditionalFormatting>
  <conditionalFormatting sqref="C132">
    <cfRule type="expression" dxfId="647" priority="79">
      <formula>kvartal &lt; 4</formula>
    </cfRule>
  </conditionalFormatting>
  <conditionalFormatting sqref="B135">
    <cfRule type="expression" dxfId="646" priority="78">
      <formula>kvartal &lt; 4</formula>
    </cfRule>
  </conditionalFormatting>
  <conditionalFormatting sqref="C135">
    <cfRule type="expression" dxfId="645" priority="77">
      <formula>kvartal &lt; 4</formula>
    </cfRule>
  </conditionalFormatting>
  <conditionalFormatting sqref="B146">
    <cfRule type="expression" dxfId="644" priority="76">
      <formula>kvartal &lt; 4</formula>
    </cfRule>
  </conditionalFormatting>
  <conditionalFormatting sqref="C146">
    <cfRule type="expression" dxfId="643" priority="75">
      <formula>kvartal &lt; 4</formula>
    </cfRule>
  </conditionalFormatting>
  <conditionalFormatting sqref="B154">
    <cfRule type="expression" dxfId="642" priority="74">
      <formula>kvartal &lt; 4</formula>
    </cfRule>
  </conditionalFormatting>
  <conditionalFormatting sqref="C154">
    <cfRule type="expression" dxfId="641" priority="73">
      <formula>kvartal &lt; 4</formula>
    </cfRule>
  </conditionalFormatting>
  <conditionalFormatting sqref="F83">
    <cfRule type="expression" dxfId="640" priority="72">
      <formula>kvartal &lt; 4</formula>
    </cfRule>
  </conditionalFormatting>
  <conditionalFormatting sqref="G83">
    <cfRule type="expression" dxfId="639" priority="71">
      <formula>kvartal &lt; 4</formula>
    </cfRule>
  </conditionalFormatting>
  <conditionalFormatting sqref="F84:G84">
    <cfRule type="expression" dxfId="638" priority="70">
      <formula>kvartal &lt; 4</formula>
    </cfRule>
  </conditionalFormatting>
  <conditionalFormatting sqref="F86:G87">
    <cfRule type="expression" dxfId="637" priority="69">
      <formula>kvartal &lt; 4</formula>
    </cfRule>
  </conditionalFormatting>
  <conditionalFormatting sqref="F93:G94">
    <cfRule type="expression" dxfId="636" priority="68">
      <formula>kvartal &lt; 4</formula>
    </cfRule>
  </conditionalFormatting>
  <conditionalFormatting sqref="F96:G97">
    <cfRule type="expression" dxfId="635" priority="67">
      <formula>kvartal &lt; 4</formula>
    </cfRule>
  </conditionalFormatting>
  <conditionalFormatting sqref="F103:G104">
    <cfRule type="expression" dxfId="634" priority="66">
      <formula>kvartal &lt; 4</formula>
    </cfRule>
  </conditionalFormatting>
  <conditionalFormatting sqref="F106:G107">
    <cfRule type="expression" dxfId="633" priority="65">
      <formula>kvartal &lt; 4</formula>
    </cfRule>
  </conditionalFormatting>
  <conditionalFormatting sqref="F113:G114">
    <cfRule type="expression" dxfId="632" priority="64">
      <formula>kvartal &lt; 4</formula>
    </cfRule>
  </conditionalFormatting>
  <conditionalFormatting sqref="F116:G117">
    <cfRule type="expression" dxfId="631" priority="63">
      <formula>kvartal &lt; 4</formula>
    </cfRule>
  </conditionalFormatting>
  <conditionalFormatting sqref="F123:G124">
    <cfRule type="expression" dxfId="630" priority="62">
      <formula>kvartal &lt; 4</formula>
    </cfRule>
  </conditionalFormatting>
  <conditionalFormatting sqref="F126:G127">
    <cfRule type="expression" dxfId="629" priority="61">
      <formula>kvartal &lt; 4</formula>
    </cfRule>
  </conditionalFormatting>
  <conditionalFormatting sqref="F133:G134">
    <cfRule type="expression" dxfId="628" priority="60">
      <formula>kvartal &lt; 4</formula>
    </cfRule>
  </conditionalFormatting>
  <conditionalFormatting sqref="F136:G137">
    <cfRule type="expression" dxfId="627" priority="59">
      <formula>kvartal &lt; 4</formula>
    </cfRule>
  </conditionalFormatting>
  <conditionalFormatting sqref="F146">
    <cfRule type="expression" dxfId="626" priority="58">
      <formula>kvartal &lt; 4</formula>
    </cfRule>
  </conditionalFormatting>
  <conditionalFormatting sqref="G146">
    <cfRule type="expression" dxfId="625" priority="57">
      <formula>kvartal &lt; 4</formula>
    </cfRule>
  </conditionalFormatting>
  <conditionalFormatting sqref="F154:G154">
    <cfRule type="expression" dxfId="624" priority="56">
      <formula>kvartal &lt; 4</formula>
    </cfRule>
  </conditionalFormatting>
  <conditionalFormatting sqref="F82:G82">
    <cfRule type="expression" dxfId="623" priority="55">
      <formula>kvartal &lt; 4</formula>
    </cfRule>
  </conditionalFormatting>
  <conditionalFormatting sqref="F85:G85">
    <cfRule type="expression" dxfId="622" priority="54">
      <formula>kvartal &lt; 4</formula>
    </cfRule>
  </conditionalFormatting>
  <conditionalFormatting sqref="F92:G92">
    <cfRule type="expression" dxfId="621" priority="53">
      <formula>kvartal &lt; 4</formula>
    </cfRule>
  </conditionalFormatting>
  <conditionalFormatting sqref="F95:G95">
    <cfRule type="expression" dxfId="620" priority="52">
      <formula>kvartal &lt; 4</formula>
    </cfRule>
  </conditionalFormatting>
  <conditionalFormatting sqref="F102:G102">
    <cfRule type="expression" dxfId="619" priority="51">
      <formula>kvartal &lt; 4</formula>
    </cfRule>
  </conditionalFormatting>
  <conditionalFormatting sqref="F105:G105">
    <cfRule type="expression" dxfId="618" priority="50">
      <formula>kvartal &lt; 4</formula>
    </cfRule>
  </conditionalFormatting>
  <conditionalFormatting sqref="F112:G112">
    <cfRule type="expression" dxfId="617" priority="49">
      <formula>kvartal &lt; 4</formula>
    </cfRule>
  </conditionalFormatting>
  <conditionalFormatting sqref="F115">
    <cfRule type="expression" dxfId="616" priority="48">
      <formula>kvartal &lt; 4</formula>
    </cfRule>
  </conditionalFormatting>
  <conditionalFormatting sqref="G115">
    <cfRule type="expression" dxfId="615" priority="47">
      <formula>kvartal &lt; 4</formula>
    </cfRule>
  </conditionalFormatting>
  <conditionalFormatting sqref="F122:G122">
    <cfRule type="expression" dxfId="614" priority="46">
      <formula>kvartal &lt; 4</formula>
    </cfRule>
  </conditionalFormatting>
  <conditionalFormatting sqref="F125">
    <cfRule type="expression" dxfId="613" priority="45">
      <formula>kvartal &lt; 4</formula>
    </cfRule>
  </conditionalFormatting>
  <conditionalFormatting sqref="G125">
    <cfRule type="expression" dxfId="612" priority="44">
      <formula>kvartal &lt; 4</formula>
    </cfRule>
  </conditionalFormatting>
  <conditionalFormatting sqref="F132">
    <cfRule type="expression" dxfId="611" priority="43">
      <formula>kvartal &lt; 4</formula>
    </cfRule>
  </conditionalFormatting>
  <conditionalFormatting sqref="G132">
    <cfRule type="expression" dxfId="610" priority="42">
      <formula>kvartal &lt; 4</formula>
    </cfRule>
  </conditionalFormatting>
  <conditionalFormatting sqref="G135">
    <cfRule type="expression" dxfId="609" priority="41">
      <formula>kvartal &lt; 4</formula>
    </cfRule>
  </conditionalFormatting>
  <conditionalFormatting sqref="F135">
    <cfRule type="expression" dxfId="608" priority="40">
      <formula>kvartal &lt; 4</formula>
    </cfRule>
  </conditionalFormatting>
  <conditionalFormatting sqref="J82:K86">
    <cfRule type="expression" dxfId="607" priority="39">
      <formula>kvartal &lt; 4</formula>
    </cfRule>
  </conditionalFormatting>
  <conditionalFormatting sqref="J87:K87">
    <cfRule type="expression" dxfId="606" priority="38">
      <formula>kvartal &lt; 4</formula>
    </cfRule>
  </conditionalFormatting>
  <conditionalFormatting sqref="J92:K97">
    <cfRule type="expression" dxfId="605" priority="37">
      <formula>kvartal &lt; 4</formula>
    </cfRule>
  </conditionalFormatting>
  <conditionalFormatting sqref="J102:K107">
    <cfRule type="expression" dxfId="604" priority="36">
      <formula>kvartal &lt; 4</formula>
    </cfRule>
  </conditionalFormatting>
  <conditionalFormatting sqref="J112:K117">
    <cfRule type="expression" dxfId="603" priority="35">
      <formula>kvartal &lt; 4</formula>
    </cfRule>
  </conditionalFormatting>
  <conditionalFormatting sqref="J122:K127">
    <cfRule type="expression" dxfId="602" priority="34">
      <formula>kvartal &lt; 4</formula>
    </cfRule>
  </conditionalFormatting>
  <conditionalFormatting sqref="J132:K137">
    <cfRule type="expression" dxfId="601" priority="33">
      <formula>kvartal &lt; 4</formula>
    </cfRule>
  </conditionalFormatting>
  <conditionalFormatting sqref="J146:K146">
    <cfRule type="expression" dxfId="600" priority="32">
      <formula>kvartal &lt; 4</formula>
    </cfRule>
  </conditionalFormatting>
  <conditionalFormatting sqref="J154:K154">
    <cfRule type="expression" dxfId="599" priority="31">
      <formula>kvartal &lt; 4</formula>
    </cfRule>
  </conditionalFormatting>
  <conditionalFormatting sqref="A26:A28">
    <cfRule type="expression" dxfId="598" priority="15">
      <formula>kvartal &lt; 4</formula>
    </cfRule>
  </conditionalFormatting>
  <conditionalFormatting sqref="A32:A33">
    <cfRule type="expression" dxfId="597" priority="14">
      <formula>kvartal &lt; 4</formula>
    </cfRule>
  </conditionalFormatting>
  <conditionalFormatting sqref="A37:A39">
    <cfRule type="expression" dxfId="596" priority="13">
      <formula>kvartal &lt; 4</formula>
    </cfRule>
  </conditionalFormatting>
  <conditionalFormatting sqref="A57:A59">
    <cfRule type="expression" dxfId="595" priority="12">
      <formula>kvartal &lt; 4</formula>
    </cfRule>
  </conditionalFormatting>
  <conditionalFormatting sqref="A63:A65">
    <cfRule type="expression" dxfId="594" priority="11">
      <formula>kvartal &lt; 4</formula>
    </cfRule>
  </conditionalFormatting>
  <conditionalFormatting sqref="A82:A87">
    <cfRule type="expression" dxfId="593" priority="10">
      <formula>kvartal &lt; 4</formula>
    </cfRule>
  </conditionalFormatting>
  <conditionalFormatting sqref="A92:A97">
    <cfRule type="expression" dxfId="592" priority="9">
      <formula>kvartal &lt; 4</formula>
    </cfRule>
  </conditionalFormatting>
  <conditionalFormatting sqref="A102:A107">
    <cfRule type="expression" dxfId="591" priority="8">
      <formula>kvartal &lt; 4</formula>
    </cfRule>
  </conditionalFormatting>
  <conditionalFormatting sqref="A112:A117">
    <cfRule type="expression" dxfId="590" priority="7">
      <formula>kvartal &lt; 4</formula>
    </cfRule>
  </conditionalFormatting>
  <conditionalFormatting sqref="A122:A127">
    <cfRule type="expression" dxfId="589" priority="6">
      <formula>kvartal &lt; 4</formula>
    </cfRule>
  </conditionalFormatting>
  <conditionalFormatting sqref="A132:A137">
    <cfRule type="expression" dxfId="588" priority="5">
      <formula>kvartal &lt; 4</formula>
    </cfRule>
  </conditionalFormatting>
  <conditionalFormatting sqref="A146">
    <cfRule type="expression" dxfId="587" priority="4">
      <formula>kvartal &lt; 4</formula>
    </cfRule>
  </conditionalFormatting>
  <conditionalFormatting sqref="A154">
    <cfRule type="expression" dxfId="586" priority="3">
      <formula>kvartal &lt; 4</formula>
    </cfRule>
  </conditionalFormatting>
  <conditionalFormatting sqref="A29">
    <cfRule type="expression" dxfId="585" priority="2">
      <formula>kvartal &lt; 4</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8"/>
  <dimension ref="A1:N176"/>
  <sheetViews>
    <sheetView showGridLines="0" zoomScale="90" zoomScaleNormal="90" workbookViewId="0">
      <selection activeCell="A4" sqref="A4"/>
    </sheetView>
  </sheetViews>
  <sheetFormatPr baseColWidth="10" defaultColWidth="11.42578125" defaultRowHeight="12.75" x14ac:dyDescent="0.2"/>
  <cols>
    <col min="1" max="1" width="41.5703125" style="143" customWidth="1"/>
    <col min="2" max="2" width="10.85546875" style="143" customWidth="1"/>
    <col min="3" max="3" width="11" style="143" customWidth="1"/>
    <col min="4" max="5" width="8.7109375" style="143" customWidth="1"/>
    <col min="6" max="7" width="10.85546875" style="143" customWidth="1"/>
    <col min="8" max="9" width="8.7109375" style="143" customWidth="1"/>
    <col min="10" max="11" width="10.85546875" style="143" customWidth="1"/>
    <col min="12" max="13" width="8.7109375" style="143" customWidth="1"/>
    <col min="14" max="14" width="11.42578125" style="143"/>
    <col min="15" max="16384" width="11.42578125" style="1"/>
  </cols>
  <sheetData>
    <row r="1" spans="1:14" x14ac:dyDescent="0.2">
      <c r="A1" s="165" t="s">
        <v>159</v>
      </c>
      <c r="B1" s="401"/>
      <c r="C1" s="245" t="s">
        <v>119</v>
      </c>
      <c r="D1" s="20"/>
      <c r="E1" s="20"/>
      <c r="F1" s="20"/>
      <c r="G1" s="20"/>
      <c r="H1" s="20"/>
      <c r="I1" s="20"/>
      <c r="J1" s="20"/>
      <c r="K1" s="20"/>
      <c r="L1" s="20"/>
      <c r="M1" s="20"/>
    </row>
    <row r="2" spans="1:14" ht="15.75" x14ac:dyDescent="0.25">
      <c r="A2" s="158" t="s">
        <v>36</v>
      </c>
      <c r="B2" s="835"/>
      <c r="C2" s="835"/>
      <c r="D2" s="835"/>
      <c r="E2" s="301"/>
      <c r="F2" s="835"/>
      <c r="G2" s="835"/>
      <c r="H2" s="835"/>
      <c r="I2" s="301"/>
      <c r="J2" s="835"/>
      <c r="K2" s="835"/>
      <c r="L2" s="835"/>
      <c r="M2" s="301"/>
    </row>
    <row r="3" spans="1:14" ht="15.75" x14ac:dyDescent="0.25">
      <c r="A3" s="156"/>
      <c r="B3" s="301"/>
      <c r="C3" s="301"/>
      <c r="D3" s="301"/>
      <c r="E3" s="301"/>
      <c r="F3" s="301"/>
      <c r="G3" s="301"/>
      <c r="H3" s="301"/>
      <c r="I3" s="301"/>
      <c r="J3" s="301"/>
      <c r="K3" s="301"/>
      <c r="L3" s="301"/>
      <c r="M3" s="301"/>
    </row>
    <row r="4" spans="1:14" x14ac:dyDescent="0.2">
      <c r="A4" s="138"/>
      <c r="B4" s="808" t="s">
        <v>0</v>
      </c>
      <c r="C4" s="802"/>
      <c r="D4" s="802"/>
      <c r="E4" s="802"/>
      <c r="F4" s="808" t="s">
        <v>1</v>
      </c>
      <c r="G4" s="802"/>
      <c r="H4" s="802"/>
      <c r="I4" s="803"/>
      <c r="J4" s="801" t="s">
        <v>2</v>
      </c>
      <c r="K4" s="802"/>
      <c r="L4" s="802"/>
      <c r="M4" s="803"/>
    </row>
    <row r="5" spans="1:14" x14ac:dyDescent="0.2">
      <c r="A5" s="151"/>
      <c r="B5" s="145" t="s">
        <v>400</v>
      </c>
      <c r="C5" s="145" t="s">
        <v>401</v>
      </c>
      <c r="D5" s="242" t="s">
        <v>3</v>
      </c>
      <c r="E5" s="307" t="s">
        <v>37</v>
      </c>
      <c r="F5" s="145" t="s">
        <v>400</v>
      </c>
      <c r="G5" s="145" t="s">
        <v>401</v>
      </c>
      <c r="H5" s="242" t="s">
        <v>3</v>
      </c>
      <c r="I5" s="307" t="s">
        <v>37</v>
      </c>
      <c r="J5" s="145" t="s">
        <v>400</v>
      </c>
      <c r="K5" s="145" t="s">
        <v>401</v>
      </c>
      <c r="L5" s="242" t="s">
        <v>3</v>
      </c>
      <c r="M5" s="155" t="s">
        <v>37</v>
      </c>
    </row>
    <row r="6" spans="1:14" x14ac:dyDescent="0.2">
      <c r="A6" s="402"/>
      <c r="B6" s="149"/>
      <c r="C6" s="149"/>
      <c r="D6" s="243" t="s">
        <v>4</v>
      </c>
      <c r="E6" s="149" t="s">
        <v>38</v>
      </c>
      <c r="F6" s="154"/>
      <c r="G6" s="154"/>
      <c r="H6" s="242" t="s">
        <v>4</v>
      </c>
      <c r="I6" s="149" t="s">
        <v>38</v>
      </c>
      <c r="J6" s="154"/>
      <c r="K6" s="154"/>
      <c r="L6" s="242" t="s">
        <v>4</v>
      </c>
      <c r="M6" s="149" t="s">
        <v>38</v>
      </c>
    </row>
    <row r="7" spans="1:14" ht="15.75" x14ac:dyDescent="0.2">
      <c r="A7" s="12" t="s">
        <v>30</v>
      </c>
      <c r="B7" s="308"/>
      <c r="C7" s="309"/>
      <c r="D7" s="251"/>
      <c r="E7" s="170"/>
      <c r="F7" s="308"/>
      <c r="G7" s="309"/>
      <c r="H7" s="251"/>
      <c r="I7" s="170"/>
      <c r="J7" s="310"/>
      <c r="K7" s="311"/>
      <c r="L7" s="255"/>
      <c r="M7" s="170"/>
    </row>
    <row r="8" spans="1:14" ht="15.75" x14ac:dyDescent="0.2">
      <c r="A8" s="18" t="s">
        <v>32</v>
      </c>
      <c r="B8" s="282"/>
      <c r="C8" s="283"/>
      <c r="D8" s="159"/>
      <c r="E8" s="170"/>
      <c r="F8" s="286"/>
      <c r="G8" s="287"/>
      <c r="H8" s="159"/>
      <c r="I8" s="170"/>
      <c r="J8" s="229"/>
      <c r="K8" s="288"/>
      <c r="L8" s="256"/>
      <c r="M8" s="170"/>
    </row>
    <row r="9" spans="1:14" ht="15.75" x14ac:dyDescent="0.2">
      <c r="A9" s="18" t="s">
        <v>31</v>
      </c>
      <c r="B9" s="282"/>
      <c r="C9" s="283"/>
      <c r="D9" s="159"/>
      <c r="E9" s="170"/>
      <c r="F9" s="286"/>
      <c r="G9" s="287"/>
      <c r="H9" s="159"/>
      <c r="I9" s="170"/>
      <c r="J9" s="229"/>
      <c r="K9" s="288"/>
      <c r="L9" s="256"/>
      <c r="M9" s="170"/>
    </row>
    <row r="10" spans="1:14" ht="15.75" x14ac:dyDescent="0.2">
      <c r="A10" s="11" t="s">
        <v>29</v>
      </c>
      <c r="B10" s="312"/>
      <c r="C10" s="313"/>
      <c r="D10" s="159"/>
      <c r="E10" s="170"/>
      <c r="F10" s="312"/>
      <c r="G10" s="313"/>
      <c r="H10" s="159"/>
      <c r="I10" s="170"/>
      <c r="J10" s="310"/>
      <c r="K10" s="311"/>
      <c r="L10" s="256"/>
      <c r="M10" s="170"/>
    </row>
    <row r="11" spans="1:14" ht="15.75" x14ac:dyDescent="0.2">
      <c r="A11" s="18" t="s">
        <v>32</v>
      </c>
      <c r="B11" s="282"/>
      <c r="C11" s="283"/>
      <c r="D11" s="159"/>
      <c r="E11" s="170"/>
      <c r="F11" s="286"/>
      <c r="G11" s="287"/>
      <c r="H11" s="159"/>
      <c r="I11" s="170"/>
      <c r="J11" s="229"/>
      <c r="K11" s="288"/>
      <c r="L11" s="256"/>
      <c r="M11" s="170"/>
    </row>
    <row r="12" spans="1:14" ht="15.75" x14ac:dyDescent="0.2">
      <c r="A12" s="18" t="s">
        <v>31</v>
      </c>
      <c r="B12" s="282"/>
      <c r="C12" s="283"/>
      <c r="D12" s="159"/>
      <c r="E12" s="170"/>
      <c r="F12" s="286"/>
      <c r="G12" s="287"/>
      <c r="H12" s="159"/>
      <c r="I12" s="170"/>
      <c r="J12" s="229"/>
      <c r="K12" s="288"/>
      <c r="L12" s="256"/>
      <c r="M12" s="170"/>
    </row>
    <row r="13" spans="1:14" ht="15.75" x14ac:dyDescent="0.2">
      <c r="A13" s="11" t="s">
        <v>28</v>
      </c>
      <c r="B13" s="312"/>
      <c r="C13" s="313"/>
      <c r="D13" s="159"/>
      <c r="E13" s="170"/>
      <c r="F13" s="312"/>
      <c r="G13" s="313"/>
      <c r="H13" s="159"/>
      <c r="I13" s="170"/>
      <c r="J13" s="310"/>
      <c r="K13" s="311"/>
      <c r="L13" s="256"/>
      <c r="M13" s="170"/>
    </row>
    <row r="14" spans="1:14" s="36" customFormat="1" ht="15.75" x14ac:dyDescent="0.2">
      <c r="A14" s="11" t="s">
        <v>27</v>
      </c>
      <c r="B14" s="312"/>
      <c r="C14" s="313"/>
      <c r="D14" s="159"/>
      <c r="E14" s="170"/>
      <c r="F14" s="312"/>
      <c r="G14" s="313"/>
      <c r="H14" s="159"/>
      <c r="I14" s="170"/>
      <c r="J14" s="310"/>
      <c r="K14" s="311"/>
      <c r="L14" s="256"/>
      <c r="M14" s="170"/>
      <c r="N14" s="137"/>
    </row>
    <row r="15" spans="1:14" s="36" customFormat="1" ht="15.75" x14ac:dyDescent="0.2">
      <c r="A15" s="34" t="s">
        <v>26</v>
      </c>
      <c r="B15" s="314"/>
      <c r="C15" s="315"/>
      <c r="D15" s="160"/>
      <c r="E15" s="160"/>
      <c r="F15" s="314"/>
      <c r="G15" s="315"/>
      <c r="H15" s="160"/>
      <c r="I15" s="160"/>
      <c r="J15" s="316"/>
      <c r="K15" s="317"/>
      <c r="L15" s="257"/>
      <c r="M15" s="160"/>
      <c r="N15" s="137"/>
    </row>
    <row r="16" spans="1:14" s="36" customFormat="1" x14ac:dyDescent="0.2">
      <c r="A16" s="161"/>
      <c r="B16" s="139"/>
      <c r="C16" s="27"/>
      <c r="D16" s="152"/>
      <c r="E16" s="152"/>
      <c r="F16" s="139"/>
      <c r="G16" s="27"/>
      <c r="H16" s="152"/>
      <c r="I16" s="152"/>
      <c r="J16" s="41"/>
      <c r="K16" s="41"/>
      <c r="L16" s="152"/>
      <c r="M16" s="152"/>
      <c r="N16" s="137"/>
    </row>
    <row r="17" spans="1:14" x14ac:dyDescent="0.2">
      <c r="A17" s="146" t="s">
        <v>307</v>
      </c>
      <c r="B17" s="20"/>
    </row>
    <row r="18" spans="1:14" x14ac:dyDescent="0.2">
      <c r="F18" s="140"/>
      <c r="G18" s="140"/>
      <c r="H18" s="140"/>
      <c r="I18" s="140"/>
      <c r="J18" s="140"/>
      <c r="K18" s="140"/>
      <c r="L18" s="140"/>
      <c r="M18" s="140"/>
    </row>
    <row r="19" spans="1:14" s="3" customFormat="1" ht="15.75" x14ac:dyDescent="0.25">
      <c r="A19" s="157"/>
      <c r="B19" s="142"/>
      <c r="C19" s="147"/>
      <c r="D19" s="147"/>
      <c r="E19" s="147"/>
      <c r="F19" s="147"/>
      <c r="G19" s="147"/>
      <c r="H19" s="147"/>
      <c r="I19" s="147"/>
      <c r="J19" s="147"/>
      <c r="K19" s="147"/>
      <c r="L19" s="147"/>
      <c r="M19" s="147"/>
      <c r="N19" s="142"/>
    </row>
    <row r="20" spans="1:14" ht="15.75" x14ac:dyDescent="0.25">
      <c r="A20" s="141" t="s">
        <v>304</v>
      </c>
      <c r="B20" s="150"/>
      <c r="C20" s="150"/>
      <c r="D20" s="144"/>
      <c r="E20" s="144"/>
      <c r="F20" s="150"/>
      <c r="G20" s="150"/>
      <c r="H20" s="150"/>
      <c r="I20" s="150"/>
      <c r="J20" s="150"/>
      <c r="K20" s="150"/>
      <c r="L20" s="150"/>
      <c r="M20" s="150"/>
    </row>
    <row r="21" spans="1:14" ht="15.75" x14ac:dyDescent="0.25">
      <c r="B21" s="832"/>
      <c r="C21" s="832"/>
      <c r="D21" s="832"/>
      <c r="E21" s="301"/>
      <c r="F21" s="832"/>
      <c r="G21" s="832"/>
      <c r="H21" s="832"/>
      <c r="I21" s="301"/>
      <c r="J21" s="832"/>
      <c r="K21" s="832"/>
      <c r="L21" s="832"/>
      <c r="M21" s="301"/>
    </row>
    <row r="22" spans="1:14" x14ac:dyDescent="0.2">
      <c r="A22" s="138"/>
      <c r="B22" s="833" t="s">
        <v>0</v>
      </c>
      <c r="C22" s="834"/>
      <c r="D22" s="834"/>
      <c r="E22" s="303"/>
      <c r="F22" s="833" t="s">
        <v>1</v>
      </c>
      <c r="G22" s="834"/>
      <c r="H22" s="834"/>
      <c r="I22" s="306"/>
      <c r="J22" s="833" t="s">
        <v>2</v>
      </c>
      <c r="K22" s="834"/>
      <c r="L22" s="834"/>
      <c r="M22" s="306"/>
    </row>
    <row r="23" spans="1:14" x14ac:dyDescent="0.2">
      <c r="A23" s="134" t="s">
        <v>5</v>
      </c>
      <c r="B23" s="145" t="s">
        <v>400</v>
      </c>
      <c r="C23" s="145" t="s">
        <v>401</v>
      </c>
      <c r="D23" s="242" t="s">
        <v>3</v>
      </c>
      <c r="E23" s="307" t="s">
        <v>37</v>
      </c>
      <c r="F23" s="145" t="s">
        <v>400</v>
      </c>
      <c r="G23" s="145" t="s">
        <v>401</v>
      </c>
      <c r="H23" s="242" t="s">
        <v>3</v>
      </c>
      <c r="I23" s="307" t="s">
        <v>37</v>
      </c>
      <c r="J23" s="145" t="s">
        <v>400</v>
      </c>
      <c r="K23" s="145" t="s">
        <v>401</v>
      </c>
      <c r="L23" s="242" t="s">
        <v>3</v>
      </c>
      <c r="M23" s="155" t="s">
        <v>37</v>
      </c>
    </row>
    <row r="24" spans="1:14" x14ac:dyDescent="0.2">
      <c r="A24" s="403"/>
      <c r="B24" s="149"/>
      <c r="C24" s="149"/>
      <c r="D24" s="243" t="s">
        <v>4</v>
      </c>
      <c r="E24" s="149" t="s">
        <v>38</v>
      </c>
      <c r="F24" s="154"/>
      <c r="G24" s="154"/>
      <c r="H24" s="242" t="s">
        <v>4</v>
      </c>
      <c r="I24" s="149" t="s">
        <v>38</v>
      </c>
      <c r="J24" s="154"/>
      <c r="K24" s="154"/>
      <c r="L24" s="242" t="s">
        <v>4</v>
      </c>
      <c r="M24" s="149" t="s">
        <v>38</v>
      </c>
    </row>
    <row r="25" spans="1:14" ht="15.75" x14ac:dyDescent="0.2">
      <c r="A25" s="12" t="s">
        <v>30</v>
      </c>
      <c r="B25" s="318"/>
      <c r="C25" s="319"/>
      <c r="D25" s="251"/>
      <c r="E25" s="170"/>
      <c r="F25" s="320">
        <v>14.59357003</v>
      </c>
      <c r="G25" s="319"/>
      <c r="H25" s="251">
        <f t="shared" ref="H25:H40" si="0">IF(F25=0, "    ---- ", IF(ABS(ROUND(100/F25*G25-100,1))&lt;999,ROUND(100/F25*G25-100,1),IF(ROUND(100/F25*G25-100,1)&gt;999,999,-999)))</f>
        <v>-100</v>
      </c>
      <c r="I25" s="170"/>
      <c r="J25" s="318">
        <v>14.59357003</v>
      </c>
      <c r="K25" s="318"/>
      <c r="L25" s="255">
        <f t="shared" ref="L25:L40" si="1">IF(J25=0, "    ---- ", IF(ABS(ROUND(100/J25*K25-100,1))&lt;999,ROUND(100/J25*K25-100,1),IF(ROUND(100/J25*K25-100,1)&gt;999,999,-999)))</f>
        <v>-100</v>
      </c>
      <c r="M25" s="159"/>
    </row>
    <row r="26" spans="1:14" ht="15.75" x14ac:dyDescent="0.2">
      <c r="A26" s="298" t="s">
        <v>318</v>
      </c>
      <c r="B26" s="291"/>
      <c r="C26" s="291"/>
      <c r="D26" s="159"/>
      <c r="E26" s="237"/>
      <c r="F26" s="291"/>
      <c r="G26" s="291"/>
      <c r="H26" s="159"/>
      <c r="I26" s="237"/>
      <c r="J26" s="291"/>
      <c r="K26" s="291"/>
      <c r="L26" s="159"/>
      <c r="M26" s="159"/>
    </row>
    <row r="27" spans="1:14" ht="15.75" x14ac:dyDescent="0.2">
      <c r="A27" s="298" t="s">
        <v>319</v>
      </c>
      <c r="B27" s="291"/>
      <c r="C27" s="291"/>
      <c r="D27" s="159"/>
      <c r="E27" s="237"/>
      <c r="F27" s="291">
        <v>14.59357003</v>
      </c>
      <c r="G27" s="291"/>
      <c r="H27" s="159">
        <f t="shared" si="0"/>
        <v>-100</v>
      </c>
      <c r="I27" s="237"/>
      <c r="J27" s="291">
        <v>14.59357003</v>
      </c>
      <c r="K27" s="291"/>
      <c r="L27" s="159">
        <f t="shared" si="1"/>
        <v>-100</v>
      </c>
      <c r="M27" s="159"/>
    </row>
    <row r="28" spans="1:14" ht="15.75" x14ac:dyDescent="0.2">
      <c r="A28" s="298" t="s">
        <v>320</v>
      </c>
      <c r="B28" s="291"/>
      <c r="C28" s="291"/>
      <c r="D28" s="159"/>
      <c r="E28" s="237"/>
      <c r="F28" s="291"/>
      <c r="G28" s="291"/>
      <c r="H28" s="159"/>
      <c r="I28" s="237"/>
      <c r="J28" s="291"/>
      <c r="K28" s="291"/>
      <c r="L28" s="159"/>
      <c r="M28" s="159"/>
    </row>
    <row r="29" spans="1:14" x14ac:dyDescent="0.2">
      <c r="A29" s="298" t="s">
        <v>11</v>
      </c>
      <c r="B29" s="291"/>
      <c r="C29" s="291"/>
      <c r="D29" s="159"/>
      <c r="E29" s="237"/>
      <c r="F29" s="291"/>
      <c r="G29" s="291"/>
      <c r="H29" s="159"/>
      <c r="I29" s="237"/>
      <c r="J29" s="291"/>
      <c r="K29" s="291"/>
      <c r="L29" s="159"/>
      <c r="M29" s="159"/>
    </row>
    <row r="30" spans="1:14" ht="15.75" x14ac:dyDescent="0.2">
      <c r="A30" s="42" t="s">
        <v>308</v>
      </c>
      <c r="B30" s="37"/>
      <c r="C30" s="288"/>
      <c r="D30" s="159"/>
      <c r="E30" s="170"/>
      <c r="F30" s="229"/>
      <c r="G30" s="288"/>
      <c r="H30" s="159"/>
      <c r="I30" s="170"/>
      <c r="J30" s="37"/>
      <c r="K30" s="37"/>
      <c r="L30" s="256"/>
      <c r="M30" s="159"/>
    </row>
    <row r="31" spans="1:14" ht="15.75" x14ac:dyDescent="0.2">
      <c r="A31" s="11" t="s">
        <v>29</v>
      </c>
      <c r="B31" s="231"/>
      <c r="C31" s="231"/>
      <c r="D31" s="159"/>
      <c r="E31" s="170"/>
      <c r="F31" s="310"/>
      <c r="G31" s="310"/>
      <c r="H31" s="159"/>
      <c r="I31" s="170"/>
      <c r="J31" s="231"/>
      <c r="K31" s="231"/>
      <c r="L31" s="256"/>
      <c r="M31" s="159"/>
    </row>
    <row r="32" spans="1:14" ht="15.75" x14ac:dyDescent="0.2">
      <c r="A32" s="298" t="s">
        <v>318</v>
      </c>
      <c r="B32" s="291"/>
      <c r="C32" s="291"/>
      <c r="D32" s="159"/>
      <c r="E32" s="237"/>
      <c r="F32" s="291"/>
      <c r="G32" s="291"/>
      <c r="H32" s="159"/>
      <c r="I32" s="237"/>
      <c r="J32" s="291"/>
      <c r="K32" s="291"/>
      <c r="L32" s="159"/>
      <c r="M32" s="159"/>
    </row>
    <row r="33" spans="1:14" ht="15.75" x14ac:dyDescent="0.2">
      <c r="A33" s="298" t="s">
        <v>320</v>
      </c>
      <c r="B33" s="291"/>
      <c r="C33" s="291"/>
      <c r="D33" s="159"/>
      <c r="E33" s="237"/>
      <c r="F33" s="291"/>
      <c r="G33" s="291"/>
      <c r="H33" s="159"/>
      <c r="I33" s="237"/>
      <c r="J33" s="291"/>
      <c r="K33" s="291"/>
      <c r="L33" s="159"/>
      <c r="M33" s="159"/>
    </row>
    <row r="34" spans="1:14" s="21" customFormat="1" x14ac:dyDescent="0.2">
      <c r="A34" s="298" t="s">
        <v>16</v>
      </c>
      <c r="B34" s="291"/>
      <c r="C34" s="291"/>
      <c r="D34" s="159"/>
      <c r="E34" s="237"/>
      <c r="F34" s="291"/>
      <c r="G34" s="291"/>
      <c r="H34" s="159"/>
      <c r="I34" s="237"/>
      <c r="J34" s="291"/>
      <c r="K34" s="291"/>
      <c r="L34" s="159"/>
      <c r="M34" s="159"/>
      <c r="N34" s="166"/>
    </row>
    <row r="35" spans="1:14" ht="15.75" x14ac:dyDescent="0.2">
      <c r="A35" s="42" t="s">
        <v>308</v>
      </c>
      <c r="B35" s="37"/>
      <c r="C35" s="288"/>
      <c r="D35" s="159"/>
      <c r="E35" s="170"/>
      <c r="F35" s="229"/>
      <c r="G35" s="288"/>
      <c r="H35" s="159"/>
      <c r="I35" s="170"/>
      <c r="J35" s="37"/>
      <c r="K35" s="37"/>
      <c r="L35" s="256"/>
      <c r="M35" s="159"/>
    </row>
    <row r="36" spans="1:14" s="3" customFormat="1" ht="15.75" x14ac:dyDescent="0.2">
      <c r="A36" s="11" t="s">
        <v>28</v>
      </c>
      <c r="B36" s="231"/>
      <c r="C36" s="311"/>
      <c r="D36" s="159"/>
      <c r="E36" s="170"/>
      <c r="F36" s="310">
        <v>207943.34805</v>
      </c>
      <c r="G36" s="311">
        <v>0</v>
      </c>
      <c r="H36" s="159">
        <f t="shared" si="0"/>
        <v>-100</v>
      </c>
      <c r="I36" s="170"/>
      <c r="J36" s="231">
        <v>207943.34805</v>
      </c>
      <c r="K36" s="231"/>
      <c r="L36" s="256">
        <f t="shared" si="1"/>
        <v>-100</v>
      </c>
      <c r="M36" s="159"/>
      <c r="N36" s="142"/>
    </row>
    <row r="37" spans="1:14" s="3" customFormat="1" ht="15.75" x14ac:dyDescent="0.2">
      <c r="A37" s="298" t="s">
        <v>318</v>
      </c>
      <c r="B37" s="291"/>
      <c r="C37" s="291"/>
      <c r="D37" s="159"/>
      <c r="E37" s="237"/>
      <c r="F37" s="291"/>
      <c r="G37" s="291"/>
      <c r="H37" s="159"/>
      <c r="I37" s="237"/>
      <c r="J37" s="291"/>
      <c r="K37" s="291"/>
      <c r="L37" s="159"/>
      <c r="M37" s="159"/>
      <c r="N37" s="142"/>
    </row>
    <row r="38" spans="1:14" s="3" customFormat="1" ht="15.75" x14ac:dyDescent="0.2">
      <c r="A38" s="298" t="s">
        <v>319</v>
      </c>
      <c r="B38" s="291"/>
      <c r="C38" s="291"/>
      <c r="D38" s="159"/>
      <c r="E38" s="237"/>
      <c r="F38" s="291">
        <v>207943.34805</v>
      </c>
      <c r="G38" s="291">
        <v>0</v>
      </c>
      <c r="H38" s="159">
        <f t="shared" si="0"/>
        <v>-100</v>
      </c>
      <c r="I38" s="237"/>
      <c r="J38" s="291">
        <v>207943.34805</v>
      </c>
      <c r="K38" s="291"/>
      <c r="L38" s="159">
        <f t="shared" ref="L38" si="2">IF(J38=0, "    ---- ", IF(ABS(ROUND(100/J38*K38-100,1))&lt;999,ROUND(100/J38*K38-100,1),IF(ROUND(100/J38*K38-100,1)&gt;999,999,-999)))</f>
        <v>-100</v>
      </c>
      <c r="M38" s="159"/>
      <c r="N38" s="142"/>
    </row>
    <row r="39" spans="1:14" ht="15.75" x14ac:dyDescent="0.2">
      <c r="A39" s="298" t="s">
        <v>320</v>
      </c>
      <c r="B39" s="291"/>
      <c r="C39" s="291"/>
      <c r="D39" s="159"/>
      <c r="E39" s="237"/>
      <c r="F39" s="291"/>
      <c r="G39" s="291"/>
      <c r="H39" s="159"/>
      <c r="I39" s="237"/>
      <c r="J39" s="291"/>
      <c r="K39" s="291"/>
      <c r="L39" s="159"/>
      <c r="M39" s="159"/>
    </row>
    <row r="40" spans="1:14" ht="15.75" x14ac:dyDescent="0.2">
      <c r="A40" s="11" t="s">
        <v>27</v>
      </c>
      <c r="B40" s="231"/>
      <c r="C40" s="311"/>
      <c r="D40" s="159"/>
      <c r="E40" s="170"/>
      <c r="F40" s="310">
        <v>7835.7749999999996</v>
      </c>
      <c r="G40" s="311">
        <v>0</v>
      </c>
      <c r="H40" s="159">
        <f t="shared" si="0"/>
        <v>-100</v>
      </c>
      <c r="I40" s="170"/>
      <c r="J40" s="231">
        <v>7835.7749999999996</v>
      </c>
      <c r="K40" s="231"/>
      <c r="L40" s="256">
        <f t="shared" si="1"/>
        <v>-100</v>
      </c>
      <c r="M40" s="159"/>
    </row>
    <row r="41" spans="1:14" ht="15.75" x14ac:dyDescent="0.2">
      <c r="A41" s="11" t="s">
        <v>26</v>
      </c>
      <c r="B41" s="231"/>
      <c r="C41" s="311"/>
      <c r="D41" s="159"/>
      <c r="E41" s="170"/>
      <c r="F41" s="310"/>
      <c r="G41" s="311"/>
      <c r="H41" s="159"/>
      <c r="I41" s="170"/>
      <c r="J41" s="231"/>
      <c r="K41" s="231"/>
      <c r="L41" s="256"/>
      <c r="M41" s="159"/>
    </row>
    <row r="42" spans="1:14" ht="15.75" x14ac:dyDescent="0.2">
      <c r="A42" s="10" t="s">
        <v>321</v>
      </c>
      <c r="B42" s="231"/>
      <c r="C42" s="311"/>
      <c r="D42" s="159"/>
      <c r="E42" s="170"/>
      <c r="F42" s="321"/>
      <c r="G42" s="322"/>
      <c r="H42" s="159"/>
      <c r="I42" s="237"/>
      <c r="J42" s="231"/>
      <c r="K42" s="231"/>
      <c r="L42" s="256"/>
      <c r="M42" s="159"/>
    </row>
    <row r="43" spans="1:14" ht="15.75" x14ac:dyDescent="0.2">
      <c r="A43" s="10" t="s">
        <v>322</v>
      </c>
      <c r="B43" s="231"/>
      <c r="C43" s="311"/>
      <c r="D43" s="159"/>
      <c r="E43" s="170"/>
      <c r="F43" s="321"/>
      <c r="G43" s="322"/>
      <c r="H43" s="159"/>
      <c r="I43" s="237"/>
      <c r="J43" s="231"/>
      <c r="K43" s="231"/>
      <c r="L43" s="256"/>
      <c r="M43" s="159"/>
    </row>
    <row r="44" spans="1:14" ht="15.75" x14ac:dyDescent="0.2">
      <c r="A44" s="10" t="s">
        <v>323</v>
      </c>
      <c r="B44" s="231"/>
      <c r="C44" s="311"/>
      <c r="D44" s="159"/>
      <c r="E44" s="170"/>
      <c r="F44" s="321"/>
      <c r="G44" s="323"/>
      <c r="H44" s="159"/>
      <c r="I44" s="237"/>
      <c r="J44" s="231"/>
      <c r="K44" s="231"/>
      <c r="L44" s="256"/>
      <c r="M44" s="159"/>
    </row>
    <row r="45" spans="1:14" ht="15.75" x14ac:dyDescent="0.2">
      <c r="A45" s="10" t="s">
        <v>324</v>
      </c>
      <c r="B45" s="231"/>
      <c r="C45" s="311"/>
      <c r="D45" s="159"/>
      <c r="E45" s="170"/>
      <c r="F45" s="321"/>
      <c r="G45" s="322"/>
      <c r="H45" s="159"/>
      <c r="I45" s="237"/>
      <c r="J45" s="231"/>
      <c r="K45" s="231"/>
      <c r="L45" s="256"/>
      <c r="M45" s="159"/>
    </row>
    <row r="46" spans="1:14" ht="15.75" x14ac:dyDescent="0.2">
      <c r="A46" s="16" t="s">
        <v>325</v>
      </c>
      <c r="B46" s="277"/>
      <c r="C46" s="317"/>
      <c r="D46" s="160"/>
      <c r="E46" s="201"/>
      <c r="F46" s="324"/>
      <c r="G46" s="325"/>
      <c r="H46" s="160"/>
      <c r="I46" s="160"/>
      <c r="J46" s="231"/>
      <c r="K46" s="231"/>
      <c r="L46" s="257"/>
      <c r="M46" s="160"/>
    </row>
    <row r="47" spans="1:14" ht="15.75" x14ac:dyDescent="0.25">
      <c r="A47" s="40"/>
      <c r="B47" s="254"/>
      <c r="C47" s="254"/>
      <c r="D47" s="836"/>
      <c r="E47" s="836"/>
      <c r="F47" s="836"/>
      <c r="G47" s="836"/>
      <c r="H47" s="836"/>
      <c r="I47" s="836"/>
      <c r="J47" s="836"/>
      <c r="K47" s="836"/>
      <c r="L47" s="836"/>
      <c r="M47" s="304"/>
    </row>
    <row r="48" spans="1:14" x14ac:dyDescent="0.2">
      <c r="A48" s="148"/>
    </row>
    <row r="49" spans="1:14" ht="15.75" x14ac:dyDescent="0.25">
      <c r="A49" s="141" t="s">
        <v>305</v>
      </c>
      <c r="B49" s="835"/>
      <c r="C49" s="835"/>
      <c r="D49" s="835"/>
      <c r="E49" s="301"/>
      <c r="F49" s="837"/>
      <c r="G49" s="837"/>
      <c r="H49" s="837"/>
      <c r="I49" s="304"/>
      <c r="J49" s="837"/>
      <c r="K49" s="837"/>
      <c r="L49" s="837"/>
      <c r="M49" s="304"/>
    </row>
    <row r="50" spans="1:14" ht="15.75" x14ac:dyDescent="0.25">
      <c r="A50" s="156"/>
      <c r="B50" s="305"/>
      <c r="C50" s="305"/>
      <c r="D50" s="305"/>
      <c r="E50" s="305"/>
      <c r="F50" s="304"/>
      <c r="G50" s="304"/>
      <c r="H50" s="304"/>
      <c r="I50" s="304"/>
      <c r="J50" s="304"/>
      <c r="K50" s="304"/>
      <c r="L50" s="304"/>
      <c r="M50" s="304"/>
    </row>
    <row r="51" spans="1:14" ht="15.75" x14ac:dyDescent="0.25">
      <c r="A51" s="244"/>
      <c r="B51" s="833" t="s">
        <v>0</v>
      </c>
      <c r="C51" s="834"/>
      <c r="D51" s="834"/>
      <c r="E51" s="240"/>
      <c r="F51" s="304"/>
      <c r="G51" s="304"/>
      <c r="H51" s="304"/>
      <c r="I51" s="304"/>
      <c r="J51" s="304"/>
      <c r="K51" s="304"/>
      <c r="L51" s="304"/>
      <c r="M51" s="304"/>
    </row>
    <row r="52" spans="1:14" s="3" customFormat="1" x14ac:dyDescent="0.2">
      <c r="A52" s="134"/>
      <c r="B52" s="167" t="s">
        <v>400</v>
      </c>
      <c r="C52" s="167" t="s">
        <v>401</v>
      </c>
      <c r="D52" s="155" t="s">
        <v>3</v>
      </c>
      <c r="E52" s="155" t="s">
        <v>37</v>
      </c>
      <c r="F52" s="169"/>
      <c r="G52" s="169"/>
      <c r="H52" s="168"/>
      <c r="I52" s="168"/>
      <c r="J52" s="169"/>
      <c r="K52" s="169"/>
      <c r="L52" s="168"/>
      <c r="M52" s="168"/>
      <c r="N52" s="142"/>
    </row>
    <row r="53" spans="1:14" s="3" customFormat="1" x14ac:dyDescent="0.2">
      <c r="A53" s="403"/>
      <c r="B53" s="241"/>
      <c r="C53" s="241"/>
      <c r="D53" s="242" t="s">
        <v>4</v>
      </c>
      <c r="E53" s="149" t="s">
        <v>38</v>
      </c>
      <c r="F53" s="168"/>
      <c r="G53" s="168"/>
      <c r="H53" s="168"/>
      <c r="I53" s="168"/>
      <c r="J53" s="168"/>
      <c r="K53" s="168"/>
      <c r="L53" s="168"/>
      <c r="M53" s="168"/>
      <c r="N53" s="142"/>
    </row>
    <row r="54" spans="1:14" s="3" customFormat="1" ht="15.75" x14ac:dyDescent="0.2">
      <c r="A54" s="12" t="s">
        <v>30</v>
      </c>
      <c r="B54" s="312"/>
      <c r="C54" s="313"/>
      <c r="D54" s="255"/>
      <c r="E54" s="170"/>
      <c r="F54" s="139"/>
      <c r="G54" s="27"/>
      <c r="H54" s="152"/>
      <c r="I54" s="152"/>
      <c r="J54" s="30"/>
      <c r="K54" s="30"/>
      <c r="L54" s="152"/>
      <c r="M54" s="152"/>
      <c r="N54" s="142"/>
    </row>
    <row r="55" spans="1:14" s="3" customFormat="1" ht="15.75" x14ac:dyDescent="0.2">
      <c r="A55" s="31" t="s">
        <v>326</v>
      </c>
      <c r="B55" s="282"/>
      <c r="C55" s="283"/>
      <c r="D55" s="256"/>
      <c r="E55" s="170"/>
      <c r="F55" s="139"/>
      <c r="G55" s="27"/>
      <c r="H55" s="139"/>
      <c r="I55" s="139"/>
      <c r="J55" s="27"/>
      <c r="K55" s="27"/>
      <c r="L55" s="152"/>
      <c r="M55" s="152"/>
      <c r="N55" s="142"/>
    </row>
    <row r="56" spans="1:14" s="3" customFormat="1" ht="15.75" x14ac:dyDescent="0.2">
      <c r="A56" s="31" t="s">
        <v>327</v>
      </c>
      <c r="B56" s="37"/>
      <c r="C56" s="288"/>
      <c r="D56" s="256"/>
      <c r="E56" s="170"/>
      <c r="F56" s="139"/>
      <c r="G56" s="27"/>
      <c r="H56" s="139"/>
      <c r="I56" s="139"/>
      <c r="J56" s="30"/>
      <c r="K56" s="30"/>
      <c r="L56" s="152"/>
      <c r="M56" s="152"/>
      <c r="N56" s="142"/>
    </row>
    <row r="57" spans="1:14" s="3" customFormat="1" x14ac:dyDescent="0.2">
      <c r="A57" s="298" t="s">
        <v>6</v>
      </c>
      <c r="B57" s="291"/>
      <c r="C57" s="292"/>
      <c r="D57" s="256"/>
      <c r="E57" s="159"/>
      <c r="F57" s="139"/>
      <c r="G57" s="27"/>
      <c r="H57" s="139"/>
      <c r="I57" s="139"/>
      <c r="J57" s="27"/>
      <c r="K57" s="27"/>
      <c r="L57" s="152"/>
      <c r="M57" s="152"/>
      <c r="N57" s="142"/>
    </row>
    <row r="58" spans="1:14" s="3" customFormat="1" x14ac:dyDescent="0.2">
      <c r="A58" s="298" t="s">
        <v>7</v>
      </c>
      <c r="B58" s="291"/>
      <c r="C58" s="292"/>
      <c r="D58" s="256"/>
      <c r="E58" s="159"/>
      <c r="F58" s="139"/>
      <c r="G58" s="27"/>
      <c r="H58" s="139"/>
      <c r="I58" s="139"/>
      <c r="J58" s="27"/>
      <c r="K58" s="27"/>
      <c r="L58" s="152"/>
      <c r="M58" s="152"/>
      <c r="N58" s="142"/>
    </row>
    <row r="59" spans="1:14" s="3" customFormat="1" x14ac:dyDescent="0.2">
      <c r="A59" s="298" t="s">
        <v>8</v>
      </c>
      <c r="B59" s="291"/>
      <c r="C59" s="292"/>
      <c r="D59" s="256"/>
      <c r="E59" s="159"/>
      <c r="F59" s="139"/>
      <c r="G59" s="27"/>
      <c r="H59" s="139"/>
      <c r="I59" s="139"/>
      <c r="J59" s="27"/>
      <c r="K59" s="27"/>
      <c r="L59" s="152"/>
      <c r="M59" s="152"/>
      <c r="N59" s="142"/>
    </row>
    <row r="60" spans="1:14" s="3" customFormat="1" ht="15.75" x14ac:dyDescent="0.2">
      <c r="A60" s="11" t="s">
        <v>29</v>
      </c>
      <c r="B60" s="312"/>
      <c r="C60" s="313"/>
      <c r="D60" s="256"/>
      <c r="E60" s="170"/>
      <c r="F60" s="139"/>
      <c r="G60" s="27"/>
      <c r="H60" s="139"/>
      <c r="I60" s="139"/>
      <c r="J60" s="27"/>
      <c r="K60" s="27"/>
      <c r="L60" s="152"/>
      <c r="M60" s="152"/>
      <c r="N60" s="142"/>
    </row>
    <row r="61" spans="1:14" s="3" customFormat="1" ht="15.75" x14ac:dyDescent="0.2">
      <c r="A61" s="31" t="s">
        <v>326</v>
      </c>
      <c r="B61" s="282"/>
      <c r="C61" s="283"/>
      <c r="D61" s="256"/>
      <c r="E61" s="170"/>
      <c r="F61" s="139"/>
      <c r="G61" s="27"/>
      <c r="H61" s="139"/>
      <c r="I61" s="139"/>
      <c r="J61" s="27"/>
      <c r="K61" s="27"/>
      <c r="L61" s="152"/>
      <c r="M61" s="152"/>
      <c r="N61" s="142"/>
    </row>
    <row r="62" spans="1:14" s="3" customFormat="1" ht="15.75" x14ac:dyDescent="0.2">
      <c r="A62" s="31" t="s">
        <v>327</v>
      </c>
      <c r="B62" s="37"/>
      <c r="C62" s="288"/>
      <c r="D62" s="256"/>
      <c r="E62" s="170"/>
      <c r="F62" s="139"/>
      <c r="G62" s="27"/>
      <c r="H62" s="139"/>
      <c r="I62" s="139"/>
      <c r="J62" s="27"/>
      <c r="K62" s="27"/>
      <c r="L62" s="152"/>
      <c r="M62" s="152"/>
      <c r="N62" s="142"/>
    </row>
    <row r="63" spans="1:14" s="3" customFormat="1" x14ac:dyDescent="0.2">
      <c r="A63" s="298" t="s">
        <v>6</v>
      </c>
      <c r="B63" s="282"/>
      <c r="C63" s="283"/>
      <c r="D63" s="256"/>
      <c r="E63" s="159"/>
      <c r="F63" s="139"/>
      <c r="G63" s="27"/>
      <c r="H63" s="139"/>
      <c r="I63" s="139"/>
      <c r="J63" s="27"/>
      <c r="K63" s="27"/>
      <c r="L63" s="152"/>
      <c r="M63" s="152"/>
      <c r="N63" s="142"/>
    </row>
    <row r="64" spans="1:14" s="3" customFormat="1" x14ac:dyDescent="0.2">
      <c r="A64" s="298" t="s">
        <v>7</v>
      </c>
      <c r="B64" s="282"/>
      <c r="C64" s="283"/>
      <c r="D64" s="256"/>
      <c r="E64" s="159"/>
      <c r="F64" s="139"/>
      <c r="G64" s="27"/>
      <c r="H64" s="139"/>
      <c r="I64" s="139"/>
      <c r="J64" s="27"/>
      <c r="K64" s="27"/>
      <c r="L64" s="152"/>
      <c r="M64" s="152"/>
      <c r="N64" s="142"/>
    </row>
    <row r="65" spans="1:14" s="3" customFormat="1" x14ac:dyDescent="0.2">
      <c r="A65" s="298" t="s">
        <v>8</v>
      </c>
      <c r="B65" s="282"/>
      <c r="C65" s="283"/>
      <c r="D65" s="256"/>
      <c r="E65" s="159"/>
      <c r="F65" s="139"/>
      <c r="G65" s="27"/>
      <c r="H65" s="139"/>
      <c r="I65" s="139"/>
      <c r="J65" s="27"/>
      <c r="K65" s="27"/>
      <c r="L65" s="152"/>
      <c r="M65" s="152"/>
      <c r="N65" s="142"/>
    </row>
    <row r="66" spans="1:14" s="3" customFormat="1" ht="15.75" x14ac:dyDescent="0.2">
      <c r="A66" s="32" t="s">
        <v>328</v>
      </c>
      <c r="B66" s="312"/>
      <c r="C66" s="313"/>
      <c r="D66" s="256"/>
      <c r="E66" s="170"/>
      <c r="F66" s="139"/>
      <c r="G66" s="27"/>
      <c r="H66" s="139"/>
      <c r="I66" s="139"/>
      <c r="J66" s="27"/>
      <c r="K66" s="27"/>
      <c r="L66" s="152"/>
      <c r="M66" s="152"/>
      <c r="N66" s="142"/>
    </row>
    <row r="67" spans="1:14" s="3" customFormat="1" ht="15.75" x14ac:dyDescent="0.2">
      <c r="A67" s="31" t="s">
        <v>326</v>
      </c>
      <c r="B67" s="282"/>
      <c r="C67" s="283"/>
      <c r="D67" s="256"/>
      <c r="E67" s="170"/>
      <c r="F67" s="139"/>
      <c r="G67" s="27"/>
      <c r="H67" s="139"/>
      <c r="I67" s="139"/>
      <c r="J67" s="27"/>
      <c r="K67" s="27"/>
      <c r="L67" s="152"/>
      <c r="M67" s="152"/>
      <c r="N67" s="142"/>
    </row>
    <row r="68" spans="1:14" s="3" customFormat="1" ht="15.75" x14ac:dyDescent="0.2">
      <c r="A68" s="31" t="s">
        <v>327</v>
      </c>
      <c r="B68" s="282"/>
      <c r="C68" s="283"/>
      <c r="D68" s="256"/>
      <c r="E68" s="170"/>
      <c r="F68" s="139"/>
      <c r="G68" s="27"/>
      <c r="H68" s="139"/>
      <c r="I68" s="139"/>
      <c r="J68" s="27"/>
      <c r="K68" s="27"/>
      <c r="L68" s="152"/>
      <c r="M68" s="152"/>
      <c r="N68" s="142"/>
    </row>
    <row r="69" spans="1:14" s="3" customFormat="1" ht="15.75" x14ac:dyDescent="0.2">
      <c r="A69" s="32" t="s">
        <v>329</v>
      </c>
      <c r="B69" s="312"/>
      <c r="C69" s="313"/>
      <c r="D69" s="256"/>
      <c r="E69" s="170"/>
      <c r="F69" s="139"/>
      <c r="G69" s="27"/>
      <c r="H69" s="139"/>
      <c r="I69" s="139"/>
      <c r="J69" s="27"/>
      <c r="K69" s="27"/>
      <c r="L69" s="152"/>
      <c r="M69" s="152"/>
      <c r="N69" s="142"/>
    </row>
    <row r="70" spans="1:14" s="3" customFormat="1" ht="15.75" x14ac:dyDescent="0.2">
      <c r="A70" s="31" t="s">
        <v>326</v>
      </c>
      <c r="B70" s="282"/>
      <c r="C70" s="283"/>
      <c r="D70" s="256"/>
      <c r="E70" s="170"/>
      <c r="F70" s="139"/>
      <c r="G70" s="27"/>
      <c r="H70" s="139"/>
      <c r="I70" s="139"/>
      <c r="J70" s="27"/>
      <c r="K70" s="27"/>
      <c r="L70" s="152"/>
      <c r="M70" s="152"/>
      <c r="N70" s="142"/>
    </row>
    <row r="71" spans="1:14" s="3" customFormat="1" ht="15.75" x14ac:dyDescent="0.2">
      <c r="A71" s="39" t="s">
        <v>327</v>
      </c>
      <c r="B71" s="284"/>
      <c r="C71" s="285"/>
      <c r="D71" s="257"/>
      <c r="E71" s="160"/>
      <c r="F71" s="139"/>
      <c r="G71" s="27"/>
      <c r="H71" s="139"/>
      <c r="I71" s="139"/>
      <c r="J71" s="27"/>
      <c r="K71" s="27"/>
      <c r="L71" s="152"/>
      <c r="M71" s="152"/>
      <c r="N71" s="142"/>
    </row>
    <row r="72" spans="1:14" s="3" customFormat="1" ht="15.75" x14ac:dyDescent="0.25">
      <c r="A72" s="157"/>
      <c r="B72" s="147"/>
      <c r="C72" s="147"/>
      <c r="D72" s="147"/>
      <c r="E72" s="147"/>
      <c r="F72" s="136"/>
      <c r="G72" s="136"/>
      <c r="H72" s="136"/>
      <c r="I72" s="136"/>
      <c r="J72" s="136"/>
      <c r="K72" s="136"/>
      <c r="L72" s="136"/>
      <c r="M72" s="136"/>
      <c r="N72" s="142"/>
    </row>
    <row r="73" spans="1:14" x14ac:dyDescent="0.2">
      <c r="A73" s="148"/>
    </row>
    <row r="74" spans="1:14" ht="15.75" x14ac:dyDescent="0.25">
      <c r="A74" s="141" t="s">
        <v>306</v>
      </c>
      <c r="C74" s="20"/>
      <c r="D74" s="20"/>
      <c r="E74" s="20"/>
      <c r="F74" s="20"/>
      <c r="G74" s="20"/>
      <c r="H74" s="20"/>
      <c r="I74" s="20"/>
      <c r="J74" s="20"/>
      <c r="K74" s="20"/>
      <c r="L74" s="20"/>
      <c r="M74" s="20"/>
    </row>
    <row r="75" spans="1:14" ht="15.75" x14ac:dyDescent="0.25">
      <c r="B75" s="832"/>
      <c r="C75" s="832"/>
      <c r="D75" s="832"/>
      <c r="E75" s="301"/>
      <c r="F75" s="832"/>
      <c r="G75" s="832"/>
      <c r="H75" s="832"/>
      <c r="I75" s="301"/>
      <c r="J75" s="832"/>
      <c r="K75" s="832"/>
      <c r="L75" s="832"/>
      <c r="M75" s="301"/>
    </row>
    <row r="76" spans="1:14" x14ac:dyDescent="0.2">
      <c r="A76" s="138"/>
      <c r="B76" s="833" t="s">
        <v>0</v>
      </c>
      <c r="C76" s="834"/>
      <c r="D76" s="838"/>
      <c r="E76" s="302"/>
      <c r="F76" s="834" t="s">
        <v>1</v>
      </c>
      <c r="G76" s="834"/>
      <c r="H76" s="834"/>
      <c r="I76" s="306"/>
      <c r="J76" s="833" t="s">
        <v>2</v>
      </c>
      <c r="K76" s="834"/>
      <c r="L76" s="834"/>
      <c r="M76" s="306"/>
    </row>
    <row r="77" spans="1:14" x14ac:dyDescent="0.2">
      <c r="A77" s="134"/>
      <c r="B77" s="145" t="s">
        <v>400</v>
      </c>
      <c r="C77" s="145" t="s">
        <v>401</v>
      </c>
      <c r="D77" s="242" t="s">
        <v>3</v>
      </c>
      <c r="E77" s="307" t="s">
        <v>37</v>
      </c>
      <c r="F77" s="145" t="s">
        <v>400</v>
      </c>
      <c r="G77" s="145" t="s">
        <v>401</v>
      </c>
      <c r="H77" s="242" t="s">
        <v>3</v>
      </c>
      <c r="I77" s="307" t="s">
        <v>37</v>
      </c>
      <c r="J77" s="145" t="s">
        <v>400</v>
      </c>
      <c r="K77" s="145" t="s">
        <v>401</v>
      </c>
      <c r="L77" s="242" t="s">
        <v>3</v>
      </c>
      <c r="M77" s="155" t="s">
        <v>37</v>
      </c>
    </row>
    <row r="78" spans="1:14" x14ac:dyDescent="0.2">
      <c r="A78" s="403"/>
      <c r="B78" s="149"/>
      <c r="C78" s="149"/>
      <c r="D78" s="243" t="s">
        <v>4</v>
      </c>
      <c r="E78" s="149" t="s">
        <v>38</v>
      </c>
      <c r="F78" s="154"/>
      <c r="G78" s="154"/>
      <c r="H78" s="242" t="s">
        <v>4</v>
      </c>
      <c r="I78" s="149" t="s">
        <v>38</v>
      </c>
      <c r="J78" s="154"/>
      <c r="K78" s="154"/>
      <c r="L78" s="242" t="s">
        <v>4</v>
      </c>
      <c r="M78" s="149" t="s">
        <v>38</v>
      </c>
    </row>
    <row r="79" spans="1:14" ht="15.75" x14ac:dyDescent="0.2">
      <c r="A79" s="12" t="s">
        <v>30</v>
      </c>
      <c r="B79" s="355"/>
      <c r="C79" s="355"/>
      <c r="D79" s="251"/>
      <c r="E79" s="170"/>
      <c r="F79" s="354"/>
      <c r="G79" s="354"/>
      <c r="H79" s="251"/>
      <c r="I79" s="170"/>
      <c r="J79" s="311"/>
      <c r="K79" s="318"/>
      <c r="L79" s="255"/>
      <c r="M79" s="170"/>
    </row>
    <row r="80" spans="1:14" x14ac:dyDescent="0.2">
      <c r="A80" s="18" t="s">
        <v>9</v>
      </c>
      <c r="B80" s="37"/>
      <c r="C80" s="139"/>
      <c r="D80" s="159"/>
      <c r="E80" s="170"/>
      <c r="F80" s="229"/>
      <c r="G80" s="139"/>
      <c r="H80" s="159"/>
      <c r="I80" s="170"/>
      <c r="J80" s="288"/>
      <c r="K80" s="37"/>
      <c r="L80" s="256"/>
      <c r="M80" s="170"/>
    </row>
    <row r="81" spans="1:14" x14ac:dyDescent="0.2">
      <c r="A81" s="18" t="s">
        <v>10</v>
      </c>
      <c r="B81" s="293"/>
      <c r="C81" s="294"/>
      <c r="D81" s="159"/>
      <c r="E81" s="170"/>
      <c r="F81" s="293"/>
      <c r="G81" s="294"/>
      <c r="H81" s="159"/>
      <c r="I81" s="170"/>
      <c r="J81" s="288"/>
      <c r="K81" s="37"/>
      <c r="L81" s="256"/>
      <c r="M81" s="170"/>
    </row>
    <row r="82" spans="1:14" ht="15.75" x14ac:dyDescent="0.2">
      <c r="A82" s="298" t="s">
        <v>330</v>
      </c>
      <c r="B82" s="282"/>
      <c r="C82" s="282"/>
      <c r="D82" s="159"/>
      <c r="E82" s="237"/>
      <c r="F82" s="282"/>
      <c r="G82" s="282"/>
      <c r="H82" s="159"/>
      <c r="I82" s="237"/>
      <c r="J82" s="291"/>
      <c r="K82" s="291"/>
      <c r="L82" s="159"/>
      <c r="M82" s="159"/>
    </row>
    <row r="83" spans="1:14" x14ac:dyDescent="0.2">
      <c r="A83" s="298" t="s">
        <v>12</v>
      </c>
      <c r="B83" s="295"/>
      <c r="C83" s="296"/>
      <c r="D83" s="159"/>
      <c r="E83" s="237"/>
      <c r="F83" s="282"/>
      <c r="G83" s="282"/>
      <c r="H83" s="159"/>
      <c r="I83" s="237"/>
      <c r="J83" s="291"/>
      <c r="K83" s="291"/>
      <c r="L83" s="159"/>
      <c r="M83" s="159"/>
    </row>
    <row r="84" spans="1:14" x14ac:dyDescent="0.2">
      <c r="A84" s="298" t="s">
        <v>13</v>
      </c>
      <c r="B84" s="230"/>
      <c r="C84" s="290"/>
      <c r="D84" s="159"/>
      <c r="E84" s="237"/>
      <c r="F84" s="282"/>
      <c r="G84" s="282"/>
      <c r="H84" s="159"/>
      <c r="I84" s="237"/>
      <c r="J84" s="291"/>
      <c r="K84" s="291"/>
      <c r="L84" s="159"/>
      <c r="M84" s="159"/>
    </row>
    <row r="85" spans="1:14" ht="15.75" x14ac:dyDescent="0.2">
      <c r="A85" s="298" t="s">
        <v>331</v>
      </c>
      <c r="B85" s="282"/>
      <c r="C85" s="282"/>
      <c r="D85" s="159"/>
      <c r="E85" s="237"/>
      <c r="F85" s="282"/>
      <c r="G85" s="282"/>
      <c r="H85" s="159"/>
      <c r="I85" s="237"/>
      <c r="J85" s="291"/>
      <c r="K85" s="291"/>
      <c r="L85" s="159"/>
      <c r="M85" s="159"/>
    </row>
    <row r="86" spans="1:14" x14ac:dyDescent="0.2">
      <c r="A86" s="298" t="s">
        <v>12</v>
      </c>
      <c r="B86" s="230"/>
      <c r="C86" s="290"/>
      <c r="D86" s="159"/>
      <c r="E86" s="237"/>
      <c r="F86" s="282"/>
      <c r="G86" s="282"/>
      <c r="H86" s="159"/>
      <c r="I86" s="237"/>
      <c r="J86" s="291"/>
      <c r="K86" s="291"/>
      <c r="L86" s="159"/>
      <c r="M86" s="159"/>
    </row>
    <row r="87" spans="1:14" s="3" customFormat="1" x14ac:dyDescent="0.2">
      <c r="A87" s="298" t="s">
        <v>13</v>
      </c>
      <c r="B87" s="230"/>
      <c r="C87" s="290"/>
      <c r="D87" s="159"/>
      <c r="E87" s="237"/>
      <c r="F87" s="282"/>
      <c r="G87" s="282"/>
      <c r="H87" s="159"/>
      <c r="I87" s="237"/>
      <c r="J87" s="291"/>
      <c r="K87" s="291"/>
      <c r="L87" s="159"/>
      <c r="M87" s="159"/>
      <c r="N87" s="142"/>
    </row>
    <row r="88" spans="1:14" s="3" customFormat="1" x14ac:dyDescent="0.2">
      <c r="A88" s="18" t="s">
        <v>33</v>
      </c>
      <c r="B88" s="229"/>
      <c r="C88" s="139"/>
      <c r="D88" s="159"/>
      <c r="E88" s="170"/>
      <c r="F88" s="229"/>
      <c r="G88" s="139"/>
      <c r="H88" s="159"/>
      <c r="I88" s="170"/>
      <c r="J88" s="288"/>
      <c r="K88" s="37"/>
      <c r="L88" s="256"/>
      <c r="M88" s="170"/>
      <c r="N88" s="142"/>
    </row>
    <row r="89" spans="1:14" ht="15.75" x14ac:dyDescent="0.2">
      <c r="A89" s="18" t="s">
        <v>332</v>
      </c>
      <c r="B89" s="229"/>
      <c r="C89" s="229"/>
      <c r="D89" s="159"/>
      <c r="E89" s="170"/>
      <c r="F89" s="229"/>
      <c r="G89" s="139"/>
      <c r="H89" s="159"/>
      <c r="I89" s="170"/>
      <c r="J89" s="288"/>
      <c r="K89" s="37"/>
      <c r="L89" s="256"/>
      <c r="M89" s="170"/>
    </row>
    <row r="90" spans="1:14" x14ac:dyDescent="0.2">
      <c r="A90" s="18" t="s">
        <v>9</v>
      </c>
      <c r="B90" s="229"/>
      <c r="C90" s="139"/>
      <c r="D90" s="159"/>
      <c r="E90" s="170"/>
      <c r="F90" s="229"/>
      <c r="G90" s="139"/>
      <c r="H90" s="159"/>
      <c r="I90" s="170"/>
      <c r="J90" s="288"/>
      <c r="K90" s="37"/>
      <c r="L90" s="256"/>
      <c r="M90" s="170"/>
    </row>
    <row r="91" spans="1:14" x14ac:dyDescent="0.2">
      <c r="A91" s="18" t="s">
        <v>10</v>
      </c>
      <c r="B91" s="293"/>
      <c r="C91" s="294"/>
      <c r="D91" s="159"/>
      <c r="E91" s="170"/>
      <c r="F91" s="293"/>
      <c r="G91" s="294"/>
      <c r="H91" s="159"/>
      <c r="I91" s="170"/>
      <c r="J91" s="288"/>
      <c r="K91" s="37"/>
      <c r="L91" s="256"/>
      <c r="M91" s="170"/>
    </row>
    <row r="92" spans="1:14" ht="15.75" x14ac:dyDescent="0.2">
      <c r="A92" s="298" t="s">
        <v>330</v>
      </c>
      <c r="B92" s="282"/>
      <c r="C92" s="282"/>
      <c r="D92" s="159"/>
      <c r="E92" s="237"/>
      <c r="F92" s="282"/>
      <c r="G92" s="282"/>
      <c r="H92" s="159"/>
      <c r="I92" s="237"/>
      <c r="J92" s="291"/>
      <c r="K92" s="291"/>
      <c r="L92" s="159"/>
      <c r="M92" s="159"/>
    </row>
    <row r="93" spans="1:14" x14ac:dyDescent="0.2">
      <c r="A93" s="298" t="s">
        <v>12</v>
      </c>
      <c r="B93" s="230"/>
      <c r="C93" s="290"/>
      <c r="D93" s="159"/>
      <c r="E93" s="237"/>
      <c r="F93" s="282"/>
      <c r="G93" s="282"/>
      <c r="H93" s="159"/>
      <c r="I93" s="237"/>
      <c r="J93" s="291"/>
      <c r="K93" s="291"/>
      <c r="L93" s="159"/>
      <c r="M93" s="159"/>
    </row>
    <row r="94" spans="1:14" x14ac:dyDescent="0.2">
      <c r="A94" s="298" t="s">
        <v>13</v>
      </c>
      <c r="B94" s="230"/>
      <c r="C94" s="290"/>
      <c r="D94" s="159"/>
      <c r="E94" s="237"/>
      <c r="F94" s="282"/>
      <c r="G94" s="282"/>
      <c r="H94" s="159"/>
      <c r="I94" s="237"/>
      <c r="J94" s="291"/>
      <c r="K94" s="291"/>
      <c r="L94" s="159"/>
      <c r="M94" s="159"/>
    </row>
    <row r="95" spans="1:14" ht="15.75" x14ac:dyDescent="0.2">
      <c r="A95" s="298" t="s">
        <v>331</v>
      </c>
      <c r="B95" s="282"/>
      <c r="C95" s="282"/>
      <c r="D95" s="159"/>
      <c r="E95" s="237"/>
      <c r="F95" s="282"/>
      <c r="G95" s="282"/>
      <c r="H95" s="159"/>
      <c r="I95" s="237"/>
      <c r="J95" s="291"/>
      <c r="K95" s="291"/>
      <c r="L95" s="159"/>
      <c r="M95" s="159"/>
    </row>
    <row r="96" spans="1:14" x14ac:dyDescent="0.2">
      <c r="A96" s="298" t="s">
        <v>12</v>
      </c>
      <c r="B96" s="230"/>
      <c r="C96" s="290"/>
      <c r="D96" s="159"/>
      <c r="E96" s="237"/>
      <c r="F96" s="282"/>
      <c r="G96" s="282"/>
      <c r="H96" s="159"/>
      <c r="I96" s="237"/>
      <c r="J96" s="291"/>
      <c r="K96" s="291"/>
      <c r="L96" s="159"/>
      <c r="M96" s="159"/>
    </row>
    <row r="97" spans="1:13" x14ac:dyDescent="0.2">
      <c r="A97" s="298" t="s">
        <v>13</v>
      </c>
      <c r="B97" s="230"/>
      <c r="C97" s="290"/>
      <c r="D97" s="159"/>
      <c r="E97" s="237"/>
      <c r="F97" s="282"/>
      <c r="G97" s="282"/>
      <c r="H97" s="159"/>
      <c r="I97" s="237"/>
      <c r="J97" s="291"/>
      <c r="K97" s="291"/>
      <c r="L97" s="159"/>
      <c r="M97" s="159"/>
    </row>
    <row r="98" spans="1:13" ht="15.75" x14ac:dyDescent="0.2">
      <c r="A98" s="18" t="s">
        <v>342</v>
      </c>
      <c r="B98" s="229"/>
      <c r="C98" s="139"/>
      <c r="D98" s="159"/>
      <c r="E98" s="170"/>
      <c r="F98" s="229"/>
      <c r="G98" s="139"/>
      <c r="H98" s="159"/>
      <c r="I98" s="170"/>
      <c r="J98" s="288"/>
      <c r="K98" s="37"/>
      <c r="L98" s="256"/>
      <c r="M98" s="170"/>
    </row>
    <row r="99" spans="1:13" ht="15.75" x14ac:dyDescent="0.2">
      <c r="A99" s="11" t="s">
        <v>29</v>
      </c>
      <c r="B99" s="310"/>
      <c r="C99" s="310"/>
      <c r="D99" s="159"/>
      <c r="E99" s="170"/>
      <c r="F99" s="310"/>
      <c r="G99" s="310"/>
      <c r="H99" s="159"/>
      <c r="I99" s="170"/>
      <c r="J99" s="311"/>
      <c r="K99" s="231"/>
      <c r="L99" s="256"/>
      <c r="M99" s="170"/>
    </row>
    <row r="100" spans="1:13" x14ac:dyDescent="0.2">
      <c r="A100" s="18" t="s">
        <v>9</v>
      </c>
      <c r="B100" s="229"/>
      <c r="C100" s="139"/>
      <c r="D100" s="159"/>
      <c r="E100" s="170"/>
      <c r="F100" s="229"/>
      <c r="G100" s="139"/>
      <c r="H100" s="159"/>
      <c r="I100" s="170"/>
      <c r="J100" s="288"/>
      <c r="K100" s="37"/>
      <c r="L100" s="256"/>
      <c r="M100" s="170"/>
    </row>
    <row r="101" spans="1:13" x14ac:dyDescent="0.2">
      <c r="A101" s="18" t="s">
        <v>10</v>
      </c>
      <c r="B101" s="229"/>
      <c r="C101" s="139"/>
      <c r="D101" s="159"/>
      <c r="E101" s="170"/>
      <c r="F101" s="293"/>
      <c r="G101" s="293"/>
      <c r="H101" s="159"/>
      <c r="I101" s="170"/>
      <c r="J101" s="288"/>
      <c r="K101" s="37"/>
      <c r="L101" s="256"/>
      <c r="M101" s="170"/>
    </row>
    <row r="102" spans="1:13" ht="15.75" x14ac:dyDescent="0.2">
      <c r="A102" s="298" t="s">
        <v>330</v>
      </c>
      <c r="B102" s="282"/>
      <c r="C102" s="282"/>
      <c r="D102" s="159"/>
      <c r="E102" s="237"/>
      <c r="F102" s="282"/>
      <c r="G102" s="282"/>
      <c r="H102" s="159"/>
      <c r="I102" s="237"/>
      <c r="J102" s="291"/>
      <c r="K102" s="291"/>
      <c r="L102" s="159"/>
      <c r="M102" s="159"/>
    </row>
    <row r="103" spans="1:13" x14ac:dyDescent="0.2">
      <c r="A103" s="298" t="s">
        <v>12</v>
      </c>
      <c r="B103" s="230"/>
      <c r="C103" s="290"/>
      <c r="D103" s="159"/>
      <c r="E103" s="237"/>
      <c r="F103" s="282"/>
      <c r="G103" s="282"/>
      <c r="H103" s="159"/>
      <c r="I103" s="237"/>
      <c r="J103" s="291"/>
      <c r="K103" s="291"/>
      <c r="L103" s="159"/>
      <c r="M103" s="159"/>
    </row>
    <row r="104" spans="1:13" x14ac:dyDescent="0.2">
      <c r="A104" s="298" t="s">
        <v>13</v>
      </c>
      <c r="B104" s="230"/>
      <c r="C104" s="290"/>
      <c r="D104" s="159"/>
      <c r="E104" s="237"/>
      <c r="F104" s="282"/>
      <c r="G104" s="282"/>
      <c r="H104" s="159"/>
      <c r="I104" s="237"/>
      <c r="J104" s="291"/>
      <c r="K104" s="291"/>
      <c r="L104" s="159"/>
      <c r="M104" s="159"/>
    </row>
    <row r="105" spans="1:13" ht="15.75" x14ac:dyDescent="0.2">
      <c r="A105" s="298" t="s">
        <v>331</v>
      </c>
      <c r="B105" s="282"/>
      <c r="C105" s="282"/>
      <c r="D105" s="159"/>
      <c r="E105" s="237"/>
      <c r="F105" s="282"/>
      <c r="G105" s="282"/>
      <c r="H105" s="159"/>
      <c r="I105" s="237"/>
      <c r="J105" s="291"/>
      <c r="K105" s="291"/>
      <c r="L105" s="159"/>
      <c r="M105" s="159"/>
    </row>
    <row r="106" spans="1:13" x14ac:dyDescent="0.2">
      <c r="A106" s="298" t="s">
        <v>12</v>
      </c>
      <c r="B106" s="230"/>
      <c r="C106" s="290"/>
      <c r="D106" s="159"/>
      <c r="E106" s="237"/>
      <c r="F106" s="282"/>
      <c r="G106" s="282"/>
      <c r="H106" s="159"/>
      <c r="I106" s="237"/>
      <c r="J106" s="291"/>
      <c r="K106" s="291"/>
      <c r="L106" s="159"/>
      <c r="M106" s="159"/>
    </row>
    <row r="107" spans="1:13" x14ac:dyDescent="0.2">
      <c r="A107" s="298" t="s">
        <v>13</v>
      </c>
      <c r="B107" s="230"/>
      <c r="C107" s="290"/>
      <c r="D107" s="159"/>
      <c r="E107" s="237"/>
      <c r="F107" s="282"/>
      <c r="G107" s="282"/>
      <c r="H107" s="159"/>
      <c r="I107" s="237"/>
      <c r="J107" s="291"/>
      <c r="K107" s="291"/>
      <c r="L107" s="159"/>
      <c r="M107" s="159"/>
    </row>
    <row r="108" spans="1:13" x14ac:dyDescent="0.2">
      <c r="A108" s="18" t="s">
        <v>33</v>
      </c>
      <c r="B108" s="229"/>
      <c r="C108" s="139"/>
      <c r="D108" s="159"/>
      <c r="E108" s="170"/>
      <c r="F108" s="229"/>
      <c r="G108" s="139"/>
      <c r="H108" s="159"/>
      <c r="I108" s="170"/>
      <c r="J108" s="288"/>
      <c r="K108" s="37"/>
      <c r="L108" s="256"/>
      <c r="M108" s="170"/>
    </row>
    <row r="109" spans="1:13" ht="15.75" x14ac:dyDescent="0.2">
      <c r="A109" s="18" t="s">
        <v>332</v>
      </c>
      <c r="B109" s="229"/>
      <c r="C109" s="139"/>
      <c r="D109" s="159"/>
      <c r="E109" s="170"/>
      <c r="F109" s="293"/>
      <c r="G109" s="293"/>
      <c r="H109" s="159"/>
      <c r="I109" s="170"/>
      <c r="J109" s="288"/>
      <c r="K109" s="37"/>
      <c r="L109" s="256"/>
      <c r="M109" s="170"/>
    </row>
    <row r="110" spans="1:13" x14ac:dyDescent="0.2">
      <c r="A110" s="18" t="s">
        <v>9</v>
      </c>
      <c r="B110" s="229"/>
      <c r="C110" s="139"/>
      <c r="D110" s="159"/>
      <c r="E110" s="170"/>
      <c r="F110" s="293"/>
      <c r="G110" s="294"/>
      <c r="H110" s="159"/>
      <c r="I110" s="170"/>
      <c r="J110" s="288"/>
      <c r="K110" s="37"/>
      <c r="L110" s="256"/>
      <c r="M110" s="170"/>
    </row>
    <row r="111" spans="1:13" x14ac:dyDescent="0.2">
      <c r="A111" s="18" t="s">
        <v>10</v>
      </c>
      <c r="B111" s="293"/>
      <c r="C111" s="294"/>
      <c r="D111" s="159"/>
      <c r="E111" s="170"/>
      <c r="F111" s="293"/>
      <c r="G111" s="294"/>
      <c r="H111" s="159"/>
      <c r="I111" s="170"/>
      <c r="J111" s="288"/>
      <c r="K111" s="37"/>
      <c r="L111" s="256"/>
      <c r="M111" s="170"/>
    </row>
    <row r="112" spans="1:13" ht="15.75" x14ac:dyDescent="0.2">
      <c r="A112" s="298" t="s">
        <v>330</v>
      </c>
      <c r="B112" s="282"/>
      <c r="C112" s="282"/>
      <c r="D112" s="159"/>
      <c r="E112" s="237"/>
      <c r="F112" s="282"/>
      <c r="G112" s="282"/>
      <c r="H112" s="159"/>
      <c r="I112" s="237"/>
      <c r="J112" s="291"/>
      <c r="K112" s="291"/>
      <c r="L112" s="159"/>
      <c r="M112" s="159"/>
    </row>
    <row r="113" spans="1:13" x14ac:dyDescent="0.2">
      <c r="A113" s="298" t="s">
        <v>12</v>
      </c>
      <c r="B113" s="230"/>
      <c r="C113" s="290"/>
      <c r="D113" s="159"/>
      <c r="E113" s="237"/>
      <c r="F113" s="282"/>
      <c r="G113" s="282"/>
      <c r="H113" s="159"/>
      <c r="I113" s="237"/>
      <c r="J113" s="291"/>
      <c r="K113" s="291"/>
      <c r="L113" s="159"/>
      <c r="M113" s="159"/>
    </row>
    <row r="114" spans="1:13" x14ac:dyDescent="0.2">
      <c r="A114" s="298" t="s">
        <v>13</v>
      </c>
      <c r="B114" s="230"/>
      <c r="C114" s="290"/>
      <c r="D114" s="159"/>
      <c r="E114" s="237"/>
      <c r="F114" s="282"/>
      <c r="G114" s="282"/>
      <c r="H114" s="159"/>
      <c r="I114" s="237"/>
      <c r="J114" s="291"/>
      <c r="K114" s="291"/>
      <c r="L114" s="159"/>
      <c r="M114" s="159"/>
    </row>
    <row r="115" spans="1:13" ht="15.75" x14ac:dyDescent="0.2">
      <c r="A115" s="298" t="s">
        <v>331</v>
      </c>
      <c r="B115" s="282"/>
      <c r="C115" s="282"/>
      <c r="D115" s="159"/>
      <c r="E115" s="237"/>
      <c r="F115" s="282"/>
      <c r="G115" s="282"/>
      <c r="H115" s="159"/>
      <c r="I115" s="237"/>
      <c r="J115" s="291"/>
      <c r="K115" s="291"/>
      <c r="L115" s="159"/>
      <c r="M115" s="159"/>
    </row>
    <row r="116" spans="1:13" x14ac:dyDescent="0.2">
      <c r="A116" s="298" t="s">
        <v>12</v>
      </c>
      <c r="B116" s="230"/>
      <c r="C116" s="290"/>
      <c r="D116" s="159"/>
      <c r="E116" s="237"/>
      <c r="F116" s="282"/>
      <c r="G116" s="282"/>
      <c r="H116" s="159"/>
      <c r="I116" s="237"/>
      <c r="J116" s="291"/>
      <c r="K116" s="291"/>
      <c r="L116" s="159"/>
      <c r="M116" s="159"/>
    </row>
    <row r="117" spans="1:13" x14ac:dyDescent="0.2">
      <c r="A117" s="298" t="s">
        <v>13</v>
      </c>
      <c r="B117" s="232"/>
      <c r="C117" s="297"/>
      <c r="D117" s="159"/>
      <c r="E117" s="237"/>
      <c r="F117" s="282"/>
      <c r="G117" s="282"/>
      <c r="H117" s="159"/>
      <c r="I117" s="237"/>
      <c r="J117" s="291"/>
      <c r="K117" s="291"/>
      <c r="L117" s="159"/>
      <c r="M117" s="159"/>
    </row>
    <row r="118" spans="1:13" ht="15.75" x14ac:dyDescent="0.2">
      <c r="A118" s="18" t="s">
        <v>342</v>
      </c>
      <c r="B118" s="229"/>
      <c r="C118" s="139"/>
      <c r="D118" s="159"/>
      <c r="E118" s="170"/>
      <c r="F118" s="229"/>
      <c r="G118" s="139"/>
      <c r="H118" s="159"/>
      <c r="I118" s="170"/>
      <c r="J118" s="288"/>
      <c r="K118" s="37"/>
      <c r="L118" s="256"/>
      <c r="M118" s="170"/>
    </row>
    <row r="119" spans="1:13" ht="15.75" x14ac:dyDescent="0.2">
      <c r="A119" s="11" t="s">
        <v>28</v>
      </c>
      <c r="B119" s="355">
        <v>8556698.3527799994</v>
      </c>
      <c r="C119" s="355"/>
      <c r="D119" s="159">
        <f t="shared" ref="D119:D142" si="3">IF(B119=0, "    ---- ", IF(ABS(ROUND(100/B119*C119-100,1))&lt;999,ROUND(100/B119*C119-100,1),IF(ROUND(100/B119*C119-100,1)&gt;999,999,-999)))</f>
        <v>-100</v>
      </c>
      <c r="E119" s="170"/>
      <c r="F119" s="354">
        <v>346712.41449</v>
      </c>
      <c r="G119" s="354"/>
      <c r="H119" s="159">
        <f t="shared" ref="H119:H142" si="4">IF(F119=0, "    ---- ", IF(ABS(ROUND(100/F119*G119-100,1))&lt;999,ROUND(100/F119*G119-100,1),IF(ROUND(100/F119*G119-100,1)&gt;999,999,-999)))</f>
        <v>-100</v>
      </c>
      <c r="I119" s="170"/>
      <c r="J119" s="311">
        <v>8903410.7672699988</v>
      </c>
      <c r="K119" s="231"/>
      <c r="L119" s="256">
        <f t="shared" ref="L119:L142" si="5">IF(J119=0, "    ---- ", IF(ABS(ROUND(100/J119*K119-100,1))&lt;999,ROUND(100/J119*K119-100,1),IF(ROUND(100/J119*K119-100,1)&gt;999,999,-999)))</f>
        <v>-100</v>
      </c>
      <c r="M119" s="170"/>
    </row>
    <row r="120" spans="1:13" x14ac:dyDescent="0.2">
      <c r="A120" s="18" t="s">
        <v>9</v>
      </c>
      <c r="B120" s="229">
        <v>8556698.3527799994</v>
      </c>
      <c r="C120" s="139"/>
      <c r="D120" s="159">
        <f t="shared" si="3"/>
        <v>-100</v>
      </c>
      <c r="E120" s="170"/>
      <c r="F120" s="229"/>
      <c r="G120" s="139"/>
      <c r="H120" s="159"/>
      <c r="I120" s="170"/>
      <c r="J120" s="288">
        <v>8556698.3527799994</v>
      </c>
      <c r="K120" s="37"/>
      <c r="L120" s="256">
        <f t="shared" si="5"/>
        <v>-100</v>
      </c>
      <c r="M120" s="170"/>
    </row>
    <row r="121" spans="1:13" x14ac:dyDescent="0.2">
      <c r="A121" s="18" t="s">
        <v>10</v>
      </c>
      <c r="B121" s="229"/>
      <c r="C121" s="139"/>
      <c r="D121" s="159"/>
      <c r="E121" s="170"/>
      <c r="F121" s="229">
        <v>346712.41449</v>
      </c>
      <c r="G121" s="139"/>
      <c r="H121" s="159">
        <f t="shared" si="4"/>
        <v>-100</v>
      </c>
      <c r="I121" s="170"/>
      <c r="J121" s="288">
        <v>346712.41449</v>
      </c>
      <c r="K121" s="37"/>
      <c r="L121" s="256">
        <f t="shared" si="5"/>
        <v>-100</v>
      </c>
      <c r="M121" s="170"/>
    </row>
    <row r="122" spans="1:13" ht="15.75" x14ac:dyDescent="0.2">
      <c r="A122" s="298" t="s">
        <v>330</v>
      </c>
      <c r="B122" s="282"/>
      <c r="C122" s="282"/>
      <c r="D122" s="159"/>
      <c r="E122" s="237"/>
      <c r="F122" s="282"/>
      <c r="G122" s="282"/>
      <c r="H122" s="159"/>
      <c r="I122" s="237"/>
      <c r="J122" s="291"/>
      <c r="K122" s="291"/>
      <c r="L122" s="159"/>
      <c r="M122" s="159"/>
    </row>
    <row r="123" spans="1:13" x14ac:dyDescent="0.2">
      <c r="A123" s="298" t="s">
        <v>12</v>
      </c>
      <c r="B123" s="230"/>
      <c r="C123" s="290"/>
      <c r="D123" s="159"/>
      <c r="E123" s="237"/>
      <c r="F123" s="282"/>
      <c r="G123" s="282"/>
      <c r="H123" s="159"/>
      <c r="I123" s="237"/>
      <c r="J123" s="291"/>
      <c r="K123" s="291"/>
      <c r="L123" s="159"/>
      <c r="M123" s="159"/>
    </row>
    <row r="124" spans="1:13" x14ac:dyDescent="0.2">
      <c r="A124" s="298" t="s">
        <v>13</v>
      </c>
      <c r="B124" s="230"/>
      <c r="C124" s="290"/>
      <c r="D124" s="159"/>
      <c r="E124" s="237"/>
      <c r="F124" s="282"/>
      <c r="G124" s="282"/>
      <c r="H124" s="159"/>
      <c r="I124" s="237"/>
      <c r="J124" s="291"/>
      <c r="K124" s="291"/>
      <c r="L124" s="159"/>
      <c r="M124" s="159"/>
    </row>
    <row r="125" spans="1:13" ht="15.75" x14ac:dyDescent="0.2">
      <c r="A125" s="298" t="s">
        <v>331</v>
      </c>
      <c r="B125" s="282"/>
      <c r="C125" s="282"/>
      <c r="D125" s="159"/>
      <c r="E125" s="237"/>
      <c r="F125" s="282">
        <v>346712.41449</v>
      </c>
      <c r="G125" s="282"/>
      <c r="H125" s="159">
        <f t="shared" si="4"/>
        <v>-100</v>
      </c>
      <c r="I125" s="237"/>
      <c r="J125" s="291">
        <v>346712.41449</v>
      </c>
      <c r="K125" s="291"/>
      <c r="L125" s="256">
        <f t="shared" si="5"/>
        <v>-100</v>
      </c>
      <c r="M125" s="159"/>
    </row>
    <row r="126" spans="1:13" x14ac:dyDescent="0.2">
      <c r="A126" s="298" t="s">
        <v>12</v>
      </c>
      <c r="B126" s="230"/>
      <c r="C126" s="290"/>
      <c r="D126" s="159"/>
      <c r="E126" s="237"/>
      <c r="F126" s="282"/>
      <c r="G126" s="282"/>
      <c r="H126" s="159"/>
      <c r="I126" s="237"/>
      <c r="J126" s="291"/>
      <c r="K126" s="291"/>
      <c r="L126" s="159"/>
      <c r="M126" s="159"/>
    </row>
    <row r="127" spans="1:13" x14ac:dyDescent="0.2">
      <c r="A127" s="298" t="s">
        <v>13</v>
      </c>
      <c r="B127" s="230"/>
      <c r="C127" s="290"/>
      <c r="D127" s="159"/>
      <c r="E127" s="237"/>
      <c r="F127" s="282">
        <v>346712.41449</v>
      </c>
      <c r="G127" s="282"/>
      <c r="H127" s="159">
        <f t="shared" si="4"/>
        <v>-100</v>
      </c>
      <c r="I127" s="237"/>
      <c r="J127" s="291">
        <v>346712.41449</v>
      </c>
      <c r="K127" s="291"/>
      <c r="L127" s="256">
        <f t="shared" si="5"/>
        <v>-100</v>
      </c>
      <c r="M127" s="159"/>
    </row>
    <row r="128" spans="1:13" x14ac:dyDescent="0.2">
      <c r="A128" s="18" t="s">
        <v>34</v>
      </c>
      <c r="B128" s="229"/>
      <c r="C128" s="139"/>
      <c r="D128" s="159"/>
      <c r="E128" s="170"/>
      <c r="F128" s="229"/>
      <c r="G128" s="139"/>
      <c r="H128" s="159"/>
      <c r="I128" s="170"/>
      <c r="J128" s="288"/>
      <c r="K128" s="37"/>
      <c r="L128" s="256"/>
      <c r="M128" s="170"/>
    </row>
    <row r="129" spans="1:13" ht="15.75" x14ac:dyDescent="0.2">
      <c r="A129" s="18" t="s">
        <v>332</v>
      </c>
      <c r="B129" s="229">
        <v>8556698.3527799994</v>
      </c>
      <c r="C129" s="229"/>
      <c r="D129" s="159">
        <f t="shared" si="3"/>
        <v>-100</v>
      </c>
      <c r="E129" s="170"/>
      <c r="F129" s="293">
        <v>346712.41449</v>
      </c>
      <c r="G129" s="293"/>
      <c r="H129" s="159">
        <f t="shared" si="4"/>
        <v>-100</v>
      </c>
      <c r="I129" s="170"/>
      <c r="J129" s="288">
        <v>8903410.7672699988</v>
      </c>
      <c r="K129" s="37"/>
      <c r="L129" s="256">
        <f t="shared" si="5"/>
        <v>-100</v>
      </c>
      <c r="M129" s="170"/>
    </row>
    <row r="130" spans="1:13" x14ac:dyDescent="0.2">
      <c r="A130" s="18" t="s">
        <v>9</v>
      </c>
      <c r="B130" s="293">
        <v>8556698.3527799994</v>
      </c>
      <c r="C130" s="294"/>
      <c r="D130" s="159">
        <f t="shared" si="3"/>
        <v>-100</v>
      </c>
      <c r="E130" s="170"/>
      <c r="F130" s="229"/>
      <c r="G130" s="139"/>
      <c r="H130" s="159"/>
      <c r="I130" s="170"/>
      <c r="J130" s="288">
        <v>8556698.3527799994</v>
      </c>
      <c r="K130" s="37"/>
      <c r="L130" s="256">
        <f t="shared" si="5"/>
        <v>-100</v>
      </c>
      <c r="M130" s="170"/>
    </row>
    <row r="131" spans="1:13" x14ac:dyDescent="0.2">
      <c r="A131" s="18" t="s">
        <v>10</v>
      </c>
      <c r="B131" s="293"/>
      <c r="C131" s="294"/>
      <c r="D131" s="159"/>
      <c r="E131" s="170"/>
      <c r="F131" s="229">
        <v>346712.41449</v>
      </c>
      <c r="G131" s="229"/>
      <c r="H131" s="159">
        <f t="shared" si="4"/>
        <v>-100</v>
      </c>
      <c r="I131" s="170"/>
      <c r="J131" s="288">
        <v>346712.41449</v>
      </c>
      <c r="K131" s="37"/>
      <c r="L131" s="256">
        <f t="shared" si="5"/>
        <v>-100</v>
      </c>
      <c r="M131" s="170"/>
    </row>
    <row r="132" spans="1:13" ht="15.75" x14ac:dyDescent="0.2">
      <c r="A132" s="298" t="s">
        <v>330</v>
      </c>
      <c r="B132" s="282"/>
      <c r="C132" s="282"/>
      <c r="D132" s="159"/>
      <c r="E132" s="237"/>
      <c r="F132" s="282"/>
      <c r="G132" s="282"/>
      <c r="H132" s="159"/>
      <c r="I132" s="237"/>
      <c r="J132" s="291"/>
      <c r="K132" s="291"/>
      <c r="L132" s="159"/>
      <c r="M132" s="159"/>
    </row>
    <row r="133" spans="1:13" x14ac:dyDescent="0.2">
      <c r="A133" s="298" t="s">
        <v>12</v>
      </c>
      <c r="B133" s="230"/>
      <c r="C133" s="290"/>
      <c r="D133" s="159"/>
      <c r="E133" s="237"/>
      <c r="F133" s="282"/>
      <c r="G133" s="282"/>
      <c r="H133" s="159"/>
      <c r="I133" s="237"/>
      <c r="J133" s="291"/>
      <c r="K133" s="291"/>
      <c r="L133" s="159"/>
      <c r="M133" s="159"/>
    </row>
    <row r="134" spans="1:13" x14ac:dyDescent="0.2">
      <c r="A134" s="298" t="s">
        <v>13</v>
      </c>
      <c r="B134" s="230"/>
      <c r="C134" s="290"/>
      <c r="D134" s="159"/>
      <c r="E134" s="237"/>
      <c r="F134" s="282"/>
      <c r="G134" s="282"/>
      <c r="H134" s="159"/>
      <c r="I134" s="237"/>
      <c r="J134" s="291"/>
      <c r="K134" s="291"/>
      <c r="L134" s="159"/>
      <c r="M134" s="159"/>
    </row>
    <row r="135" spans="1:13" ht="15.75" x14ac:dyDescent="0.2">
      <c r="A135" s="298" t="s">
        <v>331</v>
      </c>
      <c r="B135" s="282"/>
      <c r="C135" s="282"/>
      <c r="D135" s="159"/>
      <c r="E135" s="237"/>
      <c r="F135" s="282">
        <v>346712.41449</v>
      </c>
      <c r="G135" s="282"/>
      <c r="H135" s="159">
        <f t="shared" si="4"/>
        <v>-100</v>
      </c>
      <c r="I135" s="237"/>
      <c r="J135" s="291">
        <v>346712.41449</v>
      </c>
      <c r="K135" s="291"/>
      <c r="L135" s="256">
        <f t="shared" si="5"/>
        <v>-100</v>
      </c>
      <c r="M135" s="159"/>
    </row>
    <row r="136" spans="1:13" x14ac:dyDescent="0.2">
      <c r="A136" s="298" t="s">
        <v>12</v>
      </c>
      <c r="B136" s="230"/>
      <c r="C136" s="290"/>
      <c r="D136" s="159"/>
      <c r="E136" s="237"/>
      <c r="F136" s="282"/>
      <c r="G136" s="282"/>
      <c r="H136" s="159"/>
      <c r="I136" s="237"/>
      <c r="J136" s="291"/>
      <c r="K136" s="291"/>
      <c r="L136" s="159"/>
      <c r="M136" s="159"/>
    </row>
    <row r="137" spans="1:13" x14ac:dyDescent="0.2">
      <c r="A137" s="298" t="s">
        <v>13</v>
      </c>
      <c r="B137" s="230"/>
      <c r="C137" s="290"/>
      <c r="D137" s="159"/>
      <c r="E137" s="237"/>
      <c r="F137" s="282">
        <v>346712.41449</v>
      </c>
      <c r="G137" s="282"/>
      <c r="H137" s="159">
        <f t="shared" si="4"/>
        <v>-100</v>
      </c>
      <c r="I137" s="237"/>
      <c r="J137" s="291">
        <v>346712.41449</v>
      </c>
      <c r="K137" s="291"/>
      <c r="L137" s="256">
        <f t="shared" si="5"/>
        <v>-100</v>
      </c>
      <c r="M137" s="159"/>
    </row>
    <row r="138" spans="1:13" ht="15.75" x14ac:dyDescent="0.2">
      <c r="A138" s="18" t="s">
        <v>342</v>
      </c>
      <c r="B138" s="229"/>
      <c r="C138" s="139"/>
      <c r="D138" s="159"/>
      <c r="E138" s="170"/>
      <c r="F138" s="229"/>
      <c r="G138" s="139"/>
      <c r="H138" s="159"/>
      <c r="I138" s="170"/>
      <c r="J138" s="288"/>
      <c r="K138" s="37"/>
      <c r="L138" s="256"/>
      <c r="M138" s="170"/>
    </row>
    <row r="139" spans="1:13" ht="15.75" x14ac:dyDescent="0.2">
      <c r="A139" s="18" t="s">
        <v>343</v>
      </c>
      <c r="B139" s="229">
        <v>8556698.3527799994</v>
      </c>
      <c r="C139" s="229"/>
      <c r="D139" s="159">
        <f t="shared" si="3"/>
        <v>-100</v>
      </c>
      <c r="E139" s="170"/>
      <c r="F139" s="229"/>
      <c r="G139" s="229"/>
      <c r="H139" s="159"/>
      <c r="I139" s="170"/>
      <c r="J139" s="288">
        <v>8556698.3527799994</v>
      </c>
      <c r="K139" s="37"/>
      <c r="L139" s="256">
        <f t="shared" si="5"/>
        <v>-100</v>
      </c>
      <c r="M139" s="170"/>
    </row>
    <row r="140" spans="1:13" ht="15.75" x14ac:dyDescent="0.2">
      <c r="A140" s="18" t="s">
        <v>334</v>
      </c>
      <c r="B140" s="229"/>
      <c r="C140" s="229"/>
      <c r="D140" s="159"/>
      <c r="E140" s="170"/>
      <c r="F140" s="229">
        <v>346712.41449</v>
      </c>
      <c r="G140" s="229"/>
      <c r="H140" s="159">
        <f t="shared" si="4"/>
        <v>-100</v>
      </c>
      <c r="I140" s="170"/>
      <c r="J140" s="288">
        <v>346712.41449</v>
      </c>
      <c r="K140" s="37"/>
      <c r="L140" s="256">
        <f t="shared" si="5"/>
        <v>-100</v>
      </c>
      <c r="M140" s="170"/>
    </row>
    <row r="141" spans="1:13" ht="15.75" x14ac:dyDescent="0.2">
      <c r="A141" s="18" t="s">
        <v>335</v>
      </c>
      <c r="B141" s="229"/>
      <c r="C141" s="229"/>
      <c r="D141" s="159"/>
      <c r="E141" s="170"/>
      <c r="F141" s="229"/>
      <c r="G141" s="229"/>
      <c r="H141" s="159"/>
      <c r="I141" s="170"/>
      <c r="J141" s="288"/>
      <c r="K141" s="37"/>
      <c r="L141" s="256"/>
      <c r="M141" s="170"/>
    </row>
    <row r="142" spans="1:13" ht="15.75" x14ac:dyDescent="0.2">
      <c r="A142" s="11" t="s">
        <v>27</v>
      </c>
      <c r="B142" s="310">
        <v>13597.029500000001</v>
      </c>
      <c r="C142" s="152"/>
      <c r="D142" s="159">
        <f t="shared" si="3"/>
        <v>-100</v>
      </c>
      <c r="E142" s="170"/>
      <c r="F142" s="310">
        <v>16391.752</v>
      </c>
      <c r="G142" s="152"/>
      <c r="H142" s="159">
        <f t="shared" si="4"/>
        <v>-100</v>
      </c>
      <c r="I142" s="170"/>
      <c r="J142" s="311">
        <v>29988.781500000001</v>
      </c>
      <c r="K142" s="231"/>
      <c r="L142" s="256">
        <f t="shared" si="5"/>
        <v>-100</v>
      </c>
      <c r="M142" s="170"/>
    </row>
    <row r="143" spans="1:13" x14ac:dyDescent="0.2">
      <c r="A143" s="18" t="s">
        <v>9</v>
      </c>
      <c r="B143" s="229">
        <v>13597.029500000001</v>
      </c>
      <c r="C143" s="139"/>
      <c r="D143" s="159">
        <f t="shared" ref="D143:D157" si="6">IF(B143=0, "    ---- ", IF(ABS(ROUND(100/B143*C143-100,1))&lt;999,ROUND(100/B143*C143-100,1),IF(ROUND(100/B143*C143-100,1)&gt;999,999,-999)))</f>
        <v>-100</v>
      </c>
      <c r="E143" s="170"/>
      <c r="F143" s="229"/>
      <c r="G143" s="139"/>
      <c r="H143" s="159"/>
      <c r="I143" s="170"/>
      <c r="J143" s="288">
        <v>13597.029500000001</v>
      </c>
      <c r="K143" s="37"/>
      <c r="L143" s="256">
        <f t="shared" ref="L143:L157" si="7">IF(J143=0, "    ---- ", IF(ABS(ROUND(100/J143*K143-100,1))&lt;999,ROUND(100/J143*K143-100,1),IF(ROUND(100/J143*K143-100,1)&gt;999,999,-999)))</f>
        <v>-100</v>
      </c>
      <c r="M143" s="170"/>
    </row>
    <row r="144" spans="1:13" x14ac:dyDescent="0.2">
      <c r="A144" s="18" t="s">
        <v>10</v>
      </c>
      <c r="B144" s="229"/>
      <c r="C144" s="139"/>
      <c r="D144" s="159"/>
      <c r="E144" s="170"/>
      <c r="F144" s="229">
        <v>16391.752</v>
      </c>
      <c r="G144" s="139"/>
      <c r="H144" s="159">
        <f t="shared" ref="H144:H148" si="8">IF(F144=0, "    ---- ", IF(ABS(ROUND(100/F144*G144-100,1))&lt;999,ROUND(100/F144*G144-100,1),IF(ROUND(100/F144*G144-100,1)&gt;999,999,-999)))</f>
        <v>-100</v>
      </c>
      <c r="I144" s="170"/>
      <c r="J144" s="288">
        <v>16391.752</v>
      </c>
      <c r="K144" s="37"/>
      <c r="L144" s="256">
        <f t="shared" si="7"/>
        <v>-100</v>
      </c>
      <c r="M144" s="170"/>
    </row>
    <row r="145" spans="1:14" x14ac:dyDescent="0.2">
      <c r="A145" s="18" t="s">
        <v>34</v>
      </c>
      <c r="B145" s="229"/>
      <c r="C145" s="139"/>
      <c r="D145" s="159"/>
      <c r="E145" s="170"/>
      <c r="F145" s="229"/>
      <c r="G145" s="139"/>
      <c r="H145" s="159"/>
      <c r="I145" s="170"/>
      <c r="J145" s="288"/>
      <c r="K145" s="37"/>
      <c r="L145" s="256"/>
      <c r="M145" s="170"/>
    </row>
    <row r="146" spans="1:14" x14ac:dyDescent="0.2">
      <c r="A146" s="298" t="s">
        <v>15</v>
      </c>
      <c r="B146" s="282"/>
      <c r="C146" s="282"/>
      <c r="D146" s="159"/>
      <c r="E146" s="237"/>
      <c r="F146" s="282"/>
      <c r="G146" s="282"/>
      <c r="H146" s="159"/>
      <c r="I146" s="237"/>
      <c r="J146" s="291"/>
      <c r="K146" s="291"/>
      <c r="L146" s="159"/>
      <c r="M146" s="159"/>
    </row>
    <row r="147" spans="1:14" ht="15.75" x14ac:dyDescent="0.2">
      <c r="A147" s="18" t="s">
        <v>344</v>
      </c>
      <c r="B147" s="229">
        <v>13597.029500000001</v>
      </c>
      <c r="C147" s="229"/>
      <c r="D147" s="159">
        <f t="shared" si="6"/>
        <v>-100</v>
      </c>
      <c r="E147" s="170"/>
      <c r="F147" s="229"/>
      <c r="G147" s="229"/>
      <c r="H147" s="159"/>
      <c r="I147" s="170"/>
      <c r="J147" s="288">
        <v>13597.029500000001</v>
      </c>
      <c r="K147" s="37"/>
      <c r="L147" s="256">
        <f t="shared" si="7"/>
        <v>-100</v>
      </c>
      <c r="M147" s="170"/>
    </row>
    <row r="148" spans="1:14" ht="15.75" x14ac:dyDescent="0.2">
      <c r="A148" s="18" t="s">
        <v>336</v>
      </c>
      <c r="B148" s="229"/>
      <c r="C148" s="229"/>
      <c r="D148" s="159"/>
      <c r="E148" s="170"/>
      <c r="F148" s="229">
        <v>7835.7749999999996</v>
      </c>
      <c r="G148" s="229"/>
      <c r="H148" s="159">
        <f t="shared" si="8"/>
        <v>-100</v>
      </c>
      <c r="I148" s="170"/>
      <c r="J148" s="288">
        <v>7835.7749999999996</v>
      </c>
      <c r="K148" s="37"/>
      <c r="L148" s="256">
        <f t="shared" si="7"/>
        <v>-100</v>
      </c>
      <c r="M148" s="170"/>
    </row>
    <row r="149" spans="1:14" ht="15.75" x14ac:dyDescent="0.2">
      <c r="A149" s="18" t="s">
        <v>335</v>
      </c>
      <c r="B149" s="229"/>
      <c r="C149" s="229"/>
      <c r="D149" s="159"/>
      <c r="E149" s="170"/>
      <c r="F149" s="229"/>
      <c r="G149" s="229"/>
      <c r="H149" s="159"/>
      <c r="I149" s="170"/>
      <c r="J149" s="288"/>
      <c r="K149" s="37"/>
      <c r="L149" s="256"/>
      <c r="M149" s="170"/>
    </row>
    <row r="150" spans="1:14" ht="15.75" x14ac:dyDescent="0.2">
      <c r="A150" s="11" t="s">
        <v>26</v>
      </c>
      <c r="B150" s="310">
        <v>40125.22696</v>
      </c>
      <c r="C150" s="152"/>
      <c r="D150" s="159">
        <f t="shared" si="6"/>
        <v>-100</v>
      </c>
      <c r="E150" s="170"/>
      <c r="F150" s="310"/>
      <c r="G150" s="152"/>
      <c r="H150" s="159"/>
      <c r="I150" s="170"/>
      <c r="J150" s="311">
        <v>40125.22696</v>
      </c>
      <c r="K150" s="231"/>
      <c r="L150" s="256">
        <f t="shared" si="7"/>
        <v>-100</v>
      </c>
      <c r="M150" s="170"/>
    </row>
    <row r="151" spans="1:14" x14ac:dyDescent="0.2">
      <c r="A151" s="18" t="s">
        <v>9</v>
      </c>
      <c r="B151" s="229">
        <v>40125.22696</v>
      </c>
      <c r="C151" s="139"/>
      <c r="D151" s="159">
        <f t="shared" si="6"/>
        <v>-100</v>
      </c>
      <c r="E151" s="170"/>
      <c r="F151" s="229"/>
      <c r="G151" s="139"/>
      <c r="H151" s="159"/>
      <c r="I151" s="170"/>
      <c r="J151" s="288">
        <v>40125.22696</v>
      </c>
      <c r="K151" s="37"/>
      <c r="L151" s="256">
        <f t="shared" si="7"/>
        <v>-100</v>
      </c>
      <c r="M151" s="170"/>
    </row>
    <row r="152" spans="1:14" x14ac:dyDescent="0.2">
      <c r="A152" s="18" t="s">
        <v>10</v>
      </c>
      <c r="B152" s="229"/>
      <c r="C152" s="139"/>
      <c r="D152" s="159"/>
      <c r="E152" s="170"/>
      <c r="F152" s="229"/>
      <c r="G152" s="139"/>
      <c r="H152" s="159"/>
      <c r="I152" s="170"/>
      <c r="J152" s="288"/>
      <c r="K152" s="37"/>
      <c r="L152" s="256"/>
      <c r="M152" s="170"/>
    </row>
    <row r="153" spans="1:14" x14ac:dyDescent="0.2">
      <c r="A153" s="18" t="s">
        <v>34</v>
      </c>
      <c r="B153" s="229"/>
      <c r="C153" s="139"/>
      <c r="D153" s="159"/>
      <c r="E153" s="170"/>
      <c r="F153" s="229"/>
      <c r="G153" s="139"/>
      <c r="H153" s="159"/>
      <c r="I153" s="170"/>
      <c r="J153" s="288"/>
      <c r="K153" s="37"/>
      <c r="L153" s="256"/>
      <c r="M153" s="170"/>
    </row>
    <row r="154" spans="1:14" x14ac:dyDescent="0.2">
      <c r="A154" s="298" t="s">
        <v>14</v>
      </c>
      <c r="B154" s="282"/>
      <c r="C154" s="282"/>
      <c r="D154" s="159"/>
      <c r="E154" s="237"/>
      <c r="F154" s="282"/>
      <c r="G154" s="282"/>
      <c r="H154" s="159"/>
      <c r="I154" s="237"/>
      <c r="J154" s="291"/>
      <c r="K154" s="291"/>
      <c r="L154" s="159"/>
      <c r="M154" s="159"/>
    </row>
    <row r="155" spans="1:14" ht="15.75" x14ac:dyDescent="0.2">
      <c r="A155" s="18" t="s">
        <v>333</v>
      </c>
      <c r="B155" s="229">
        <v>1691.54772</v>
      </c>
      <c r="C155" s="229"/>
      <c r="D155" s="159">
        <f t="shared" si="6"/>
        <v>-100</v>
      </c>
      <c r="E155" s="170"/>
      <c r="F155" s="229"/>
      <c r="G155" s="229"/>
      <c r="H155" s="159"/>
      <c r="I155" s="170"/>
      <c r="J155" s="288">
        <v>1691.54772</v>
      </c>
      <c r="K155" s="37"/>
      <c r="L155" s="256">
        <f t="shared" si="7"/>
        <v>-100</v>
      </c>
      <c r="M155" s="170"/>
    </row>
    <row r="156" spans="1:14" ht="15.75" x14ac:dyDescent="0.2">
      <c r="A156" s="18" t="s">
        <v>334</v>
      </c>
      <c r="B156" s="229"/>
      <c r="C156" s="229"/>
      <c r="D156" s="159"/>
      <c r="E156" s="170"/>
      <c r="F156" s="229"/>
      <c r="G156" s="229"/>
      <c r="H156" s="159"/>
      <c r="I156" s="170"/>
      <c r="J156" s="288"/>
      <c r="K156" s="37"/>
      <c r="L156" s="256"/>
      <c r="M156" s="170"/>
    </row>
    <row r="157" spans="1:14" ht="15.75" x14ac:dyDescent="0.2">
      <c r="A157" s="9" t="s">
        <v>335</v>
      </c>
      <c r="B157" s="38">
        <v>38433.679239999998</v>
      </c>
      <c r="C157" s="38"/>
      <c r="D157" s="160">
        <f t="shared" si="6"/>
        <v>-100</v>
      </c>
      <c r="E157" s="201"/>
      <c r="F157" s="38"/>
      <c r="G157" s="38"/>
      <c r="H157" s="160"/>
      <c r="I157" s="160"/>
      <c r="J157" s="289">
        <v>38433.679239999998</v>
      </c>
      <c r="K157" s="38"/>
      <c r="L157" s="257">
        <f t="shared" si="7"/>
        <v>-100</v>
      </c>
      <c r="M157" s="160"/>
    </row>
    <row r="158" spans="1:14" x14ac:dyDescent="0.2">
      <c r="A158" s="148"/>
      <c r="L158" s="20"/>
      <c r="M158" s="20"/>
      <c r="N158" s="20"/>
    </row>
    <row r="159" spans="1:14" x14ac:dyDescent="0.2">
      <c r="L159" s="20"/>
      <c r="M159" s="20"/>
      <c r="N159" s="20"/>
    </row>
    <row r="160" spans="1:14" ht="15.75" x14ac:dyDescent="0.25">
      <c r="A160" s="158" t="s">
        <v>35</v>
      </c>
    </row>
    <row r="161" spans="1:14" ht="15.75" x14ac:dyDescent="0.25">
      <c r="B161" s="832"/>
      <c r="C161" s="832"/>
      <c r="D161" s="832"/>
      <c r="E161" s="301"/>
      <c r="F161" s="832"/>
      <c r="G161" s="832"/>
      <c r="H161" s="832"/>
      <c r="I161" s="301"/>
      <c r="J161" s="832"/>
      <c r="K161" s="832"/>
      <c r="L161" s="832"/>
      <c r="M161" s="301"/>
    </row>
    <row r="162" spans="1:14" s="3" customFormat="1" x14ac:dyDescent="0.2">
      <c r="A162" s="138"/>
      <c r="B162" s="833" t="s">
        <v>0</v>
      </c>
      <c r="C162" s="834"/>
      <c r="D162" s="834"/>
      <c r="E162" s="303"/>
      <c r="F162" s="833" t="s">
        <v>1</v>
      </c>
      <c r="G162" s="834"/>
      <c r="H162" s="834"/>
      <c r="I162" s="306"/>
      <c r="J162" s="833" t="s">
        <v>2</v>
      </c>
      <c r="K162" s="834"/>
      <c r="L162" s="834"/>
      <c r="M162" s="306"/>
      <c r="N162" s="142"/>
    </row>
    <row r="163" spans="1:14" s="3" customFormat="1" x14ac:dyDescent="0.2">
      <c r="A163" s="134"/>
      <c r="B163" s="145" t="s">
        <v>400</v>
      </c>
      <c r="C163" s="145" t="s">
        <v>401</v>
      </c>
      <c r="D163" s="242" t="s">
        <v>3</v>
      </c>
      <c r="E163" s="307" t="s">
        <v>37</v>
      </c>
      <c r="F163" s="145" t="s">
        <v>400</v>
      </c>
      <c r="G163" s="145" t="s">
        <v>401</v>
      </c>
      <c r="H163" s="242" t="s">
        <v>3</v>
      </c>
      <c r="I163" s="307" t="s">
        <v>37</v>
      </c>
      <c r="J163" s="145" t="s">
        <v>400</v>
      </c>
      <c r="K163" s="145" t="s">
        <v>401</v>
      </c>
      <c r="L163" s="242" t="s">
        <v>3</v>
      </c>
      <c r="M163" s="155" t="s">
        <v>37</v>
      </c>
      <c r="N163" s="142"/>
    </row>
    <row r="164" spans="1:14" s="3" customFormat="1" x14ac:dyDescent="0.2">
      <c r="A164" s="403"/>
      <c r="B164" s="149"/>
      <c r="C164" s="149"/>
      <c r="D164" s="243" t="s">
        <v>4</v>
      </c>
      <c r="E164" s="149" t="s">
        <v>38</v>
      </c>
      <c r="F164" s="154"/>
      <c r="G164" s="154"/>
      <c r="H164" s="242" t="s">
        <v>4</v>
      </c>
      <c r="I164" s="149" t="s">
        <v>38</v>
      </c>
      <c r="J164" s="154"/>
      <c r="K164" s="154"/>
      <c r="L164" s="242" t="s">
        <v>4</v>
      </c>
      <c r="M164" s="149" t="s">
        <v>38</v>
      </c>
      <c r="N164" s="142"/>
    </row>
    <row r="165" spans="1:14" s="3" customFormat="1" ht="15.75" x14ac:dyDescent="0.2">
      <c r="A165" s="12" t="s">
        <v>337</v>
      </c>
      <c r="B165" s="231"/>
      <c r="C165" s="311"/>
      <c r="D165" s="251"/>
      <c r="E165" s="170"/>
      <c r="F165" s="318"/>
      <c r="G165" s="319"/>
      <c r="H165" s="252"/>
      <c r="I165" s="159"/>
      <c r="J165" s="320"/>
      <c r="K165" s="320"/>
      <c r="L165" s="255"/>
      <c r="M165" s="170"/>
      <c r="N165" s="142"/>
    </row>
    <row r="166" spans="1:14" s="3" customFormat="1" ht="15.75" x14ac:dyDescent="0.2">
      <c r="A166" s="11" t="s">
        <v>338</v>
      </c>
      <c r="B166" s="231"/>
      <c r="C166" s="311"/>
      <c r="D166" s="159"/>
      <c r="E166" s="170"/>
      <c r="F166" s="231"/>
      <c r="G166" s="311"/>
      <c r="H166" s="236"/>
      <c r="I166" s="159"/>
      <c r="J166" s="310"/>
      <c r="K166" s="310"/>
      <c r="L166" s="256"/>
      <c r="M166" s="170"/>
      <c r="N166" s="142"/>
    </row>
    <row r="167" spans="1:14" s="3" customFormat="1" ht="15.75" x14ac:dyDescent="0.2">
      <c r="A167" s="11" t="s">
        <v>339</v>
      </c>
      <c r="B167" s="231"/>
      <c r="C167" s="311"/>
      <c r="D167" s="159"/>
      <c r="E167" s="170"/>
      <c r="F167" s="231"/>
      <c r="G167" s="311"/>
      <c r="H167" s="236"/>
      <c r="I167" s="159"/>
      <c r="J167" s="310"/>
      <c r="K167" s="310"/>
      <c r="L167" s="256"/>
      <c r="M167" s="170"/>
      <c r="N167" s="142"/>
    </row>
    <row r="168" spans="1:14" s="3" customFormat="1" ht="15.75" x14ac:dyDescent="0.2">
      <c r="A168" s="11" t="s">
        <v>340</v>
      </c>
      <c r="B168" s="231"/>
      <c r="C168" s="311"/>
      <c r="D168" s="159"/>
      <c r="E168" s="170"/>
      <c r="F168" s="231"/>
      <c r="G168" s="311"/>
      <c r="H168" s="236"/>
      <c r="I168" s="159"/>
      <c r="J168" s="310"/>
      <c r="K168" s="310"/>
      <c r="L168" s="256"/>
      <c r="M168" s="170"/>
      <c r="N168" s="142"/>
    </row>
    <row r="169" spans="1:14" s="3" customFormat="1" ht="15.75" x14ac:dyDescent="0.2">
      <c r="A169" s="34" t="s">
        <v>341</v>
      </c>
      <c r="B169" s="277"/>
      <c r="C169" s="317"/>
      <c r="D169" s="160"/>
      <c r="E169" s="201"/>
      <c r="F169" s="277"/>
      <c r="G169" s="317"/>
      <c r="H169" s="239"/>
      <c r="I169" s="160"/>
      <c r="J169" s="316"/>
      <c r="K169" s="316"/>
      <c r="L169" s="257"/>
      <c r="M169" s="160"/>
      <c r="N169" s="142"/>
    </row>
    <row r="170" spans="1:14" s="3" customFormat="1" x14ac:dyDescent="0.2">
      <c r="A170" s="161"/>
      <c r="B170" s="27"/>
      <c r="C170" s="27"/>
      <c r="D170" s="152"/>
      <c r="E170" s="152"/>
      <c r="F170" s="27"/>
      <c r="G170" s="27"/>
      <c r="H170" s="152"/>
      <c r="I170" s="152"/>
      <c r="J170" s="27"/>
      <c r="K170" s="27"/>
      <c r="L170" s="152"/>
      <c r="M170" s="152"/>
      <c r="N170" s="142"/>
    </row>
    <row r="171" spans="1:14" x14ac:dyDescent="0.2">
      <c r="A171" s="161"/>
      <c r="B171" s="27"/>
      <c r="C171" s="27"/>
      <c r="D171" s="152"/>
      <c r="E171" s="152"/>
      <c r="F171" s="27"/>
      <c r="G171" s="27"/>
      <c r="H171" s="152"/>
      <c r="I171" s="152"/>
      <c r="J171" s="27"/>
      <c r="K171" s="27"/>
      <c r="L171" s="152"/>
      <c r="M171" s="152"/>
      <c r="N171" s="142"/>
    </row>
    <row r="172" spans="1:14" x14ac:dyDescent="0.2">
      <c r="A172" s="161"/>
      <c r="B172" s="27"/>
      <c r="C172" s="27"/>
      <c r="D172" s="152"/>
      <c r="E172" s="152"/>
      <c r="F172" s="27"/>
      <c r="G172" s="27"/>
      <c r="H172" s="152"/>
      <c r="I172" s="152"/>
      <c r="J172" s="27"/>
      <c r="K172" s="27"/>
      <c r="L172" s="152"/>
      <c r="M172" s="152"/>
      <c r="N172" s="142"/>
    </row>
    <row r="173" spans="1:14" x14ac:dyDescent="0.2">
      <c r="A173" s="140"/>
      <c r="B173" s="140"/>
      <c r="C173" s="140"/>
      <c r="D173" s="140"/>
      <c r="E173" s="140"/>
      <c r="F173" s="140"/>
      <c r="G173" s="140"/>
      <c r="H173" s="140"/>
      <c r="I173" s="140"/>
      <c r="J173" s="140"/>
      <c r="K173" s="140"/>
      <c r="L173" s="140"/>
      <c r="M173" s="140"/>
      <c r="N173" s="140"/>
    </row>
    <row r="174" spans="1:14" ht="15.75" x14ac:dyDescent="0.25">
      <c r="B174" s="136"/>
      <c r="C174" s="136"/>
      <c r="D174" s="136"/>
      <c r="E174" s="136"/>
      <c r="F174" s="136"/>
      <c r="G174" s="136"/>
      <c r="H174" s="136"/>
      <c r="I174" s="136"/>
      <c r="J174" s="136"/>
      <c r="K174" s="136"/>
      <c r="L174" s="136"/>
      <c r="M174" s="136"/>
      <c r="N174" s="136"/>
    </row>
    <row r="175" spans="1:14" ht="15.75" x14ac:dyDescent="0.25">
      <c r="B175" s="150"/>
      <c r="C175" s="150"/>
      <c r="D175" s="150"/>
      <c r="E175" s="150"/>
      <c r="F175" s="150"/>
      <c r="G175" s="150"/>
      <c r="H175" s="150"/>
      <c r="I175" s="150"/>
      <c r="J175" s="150"/>
      <c r="K175" s="150"/>
      <c r="L175" s="150"/>
      <c r="M175" s="150"/>
      <c r="N175" s="150"/>
    </row>
    <row r="176" spans="1:14" ht="15.75" x14ac:dyDescent="0.25">
      <c r="B176" s="150"/>
      <c r="C176" s="150"/>
      <c r="D176" s="150"/>
      <c r="E176" s="150"/>
      <c r="F176" s="150"/>
      <c r="G176" s="150"/>
      <c r="H176" s="150"/>
      <c r="I176" s="150"/>
      <c r="J176" s="150"/>
      <c r="K176" s="150"/>
      <c r="L176" s="150"/>
      <c r="M176" s="150"/>
      <c r="N176" s="150"/>
    </row>
  </sheetData>
  <mergeCells count="28">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22:D22"/>
    <mergeCell ref="F22:H22"/>
    <mergeCell ref="J22:L22"/>
    <mergeCell ref="D47:F47"/>
    <mergeCell ref="G47:I47"/>
    <mergeCell ref="J47:L47"/>
  </mergeCells>
  <conditionalFormatting sqref="B57:C59">
    <cfRule type="expression" dxfId="584" priority="132">
      <formula>kvartal &lt; 4</formula>
    </cfRule>
  </conditionalFormatting>
  <conditionalFormatting sqref="B63:C65">
    <cfRule type="expression" dxfId="583" priority="131">
      <formula>kvartal &lt; 4</formula>
    </cfRule>
  </conditionalFormatting>
  <conditionalFormatting sqref="B37">
    <cfRule type="expression" dxfId="582" priority="130">
      <formula>kvartal &lt; 4</formula>
    </cfRule>
  </conditionalFormatting>
  <conditionalFormatting sqref="B38">
    <cfRule type="expression" dxfId="581" priority="129">
      <formula>kvartal &lt; 4</formula>
    </cfRule>
  </conditionalFormatting>
  <conditionalFormatting sqref="B39">
    <cfRule type="expression" dxfId="580" priority="128">
      <formula>kvartal &lt; 4</formula>
    </cfRule>
  </conditionalFormatting>
  <conditionalFormatting sqref="A34">
    <cfRule type="expression" dxfId="579" priority="1">
      <formula>kvartal &lt; 4</formula>
    </cfRule>
  </conditionalFormatting>
  <conditionalFormatting sqref="C37">
    <cfRule type="expression" dxfId="578" priority="127">
      <formula>kvartal &lt; 4</formula>
    </cfRule>
  </conditionalFormatting>
  <conditionalFormatting sqref="C38">
    <cfRule type="expression" dxfId="577" priority="126">
      <formula>kvartal &lt; 4</formula>
    </cfRule>
  </conditionalFormatting>
  <conditionalFormatting sqref="C39">
    <cfRule type="expression" dxfId="576" priority="125">
      <formula>kvartal &lt; 4</formula>
    </cfRule>
  </conditionalFormatting>
  <conditionalFormatting sqref="B26:C28">
    <cfRule type="expression" dxfId="575" priority="124">
      <formula>kvartal &lt; 4</formula>
    </cfRule>
  </conditionalFormatting>
  <conditionalFormatting sqref="B32:C33">
    <cfRule type="expression" dxfId="574" priority="123">
      <formula>kvartal &lt; 4</formula>
    </cfRule>
  </conditionalFormatting>
  <conditionalFormatting sqref="B34">
    <cfRule type="expression" dxfId="573" priority="122">
      <formula>kvartal &lt; 4</formula>
    </cfRule>
  </conditionalFormatting>
  <conditionalFormatting sqref="C34">
    <cfRule type="expression" dxfId="572" priority="121">
      <formula>kvartal &lt; 4</formula>
    </cfRule>
  </conditionalFormatting>
  <conditionalFormatting sqref="F26:G28">
    <cfRule type="expression" dxfId="571" priority="120">
      <formula>kvartal &lt; 4</formula>
    </cfRule>
  </conditionalFormatting>
  <conditionalFormatting sqref="F32">
    <cfRule type="expression" dxfId="570" priority="119">
      <formula>kvartal &lt; 4</formula>
    </cfRule>
  </conditionalFormatting>
  <conditionalFormatting sqref="G32">
    <cfRule type="expression" dxfId="569" priority="118">
      <formula>kvartal &lt; 4</formula>
    </cfRule>
  </conditionalFormatting>
  <conditionalFormatting sqref="F33">
    <cfRule type="expression" dxfId="568" priority="117">
      <formula>kvartal &lt; 4</formula>
    </cfRule>
  </conditionalFormatting>
  <conditionalFormatting sqref="G33">
    <cfRule type="expression" dxfId="567" priority="116">
      <formula>kvartal &lt; 4</formula>
    </cfRule>
  </conditionalFormatting>
  <conditionalFormatting sqref="F34">
    <cfRule type="expression" dxfId="566" priority="115">
      <formula>kvartal &lt; 4</formula>
    </cfRule>
  </conditionalFormatting>
  <conditionalFormatting sqref="G34">
    <cfRule type="expression" dxfId="565" priority="114">
      <formula>kvartal &lt; 4</formula>
    </cfRule>
  </conditionalFormatting>
  <conditionalFormatting sqref="F37">
    <cfRule type="expression" dxfId="564" priority="113">
      <formula>kvartal &lt; 4</formula>
    </cfRule>
  </conditionalFormatting>
  <conditionalFormatting sqref="F38">
    <cfRule type="expression" dxfId="563" priority="112">
      <formula>kvartal &lt; 4</formula>
    </cfRule>
  </conditionalFormatting>
  <conditionalFormatting sqref="F39">
    <cfRule type="expression" dxfId="562" priority="111">
      <formula>kvartal &lt; 4</formula>
    </cfRule>
  </conditionalFormatting>
  <conditionalFormatting sqref="G37">
    <cfRule type="expression" dxfId="561" priority="110">
      <formula>kvartal &lt; 4</formula>
    </cfRule>
  </conditionalFormatting>
  <conditionalFormatting sqref="G38">
    <cfRule type="expression" dxfId="560" priority="109">
      <formula>kvartal &lt; 4</formula>
    </cfRule>
  </conditionalFormatting>
  <conditionalFormatting sqref="G39">
    <cfRule type="expression" dxfId="559" priority="108">
      <formula>kvartal &lt; 4</formula>
    </cfRule>
  </conditionalFormatting>
  <conditionalFormatting sqref="B29">
    <cfRule type="expression" dxfId="558" priority="107">
      <formula>kvartal &lt; 4</formula>
    </cfRule>
  </conditionalFormatting>
  <conditionalFormatting sqref="C29">
    <cfRule type="expression" dxfId="557" priority="106">
      <formula>kvartal &lt; 4</formula>
    </cfRule>
  </conditionalFormatting>
  <conditionalFormatting sqref="F29">
    <cfRule type="expression" dxfId="556" priority="105">
      <formula>kvartal &lt; 4</formula>
    </cfRule>
  </conditionalFormatting>
  <conditionalFormatting sqref="G29">
    <cfRule type="expression" dxfId="555" priority="104">
      <formula>kvartal &lt; 4</formula>
    </cfRule>
  </conditionalFormatting>
  <conditionalFormatting sqref="J26:K29">
    <cfRule type="expression" dxfId="554" priority="103">
      <formula>kvartal &lt; 4</formula>
    </cfRule>
  </conditionalFormatting>
  <conditionalFormatting sqref="J32:K34">
    <cfRule type="expression" dxfId="553" priority="102">
      <formula>kvartal &lt; 4</formula>
    </cfRule>
  </conditionalFormatting>
  <conditionalFormatting sqref="J37:K39">
    <cfRule type="expression" dxfId="552" priority="101">
      <formula>kvartal &lt; 4</formula>
    </cfRule>
  </conditionalFormatting>
  <conditionalFormatting sqref="B82">
    <cfRule type="expression" dxfId="551" priority="100">
      <formula>kvartal &lt; 4</formula>
    </cfRule>
  </conditionalFormatting>
  <conditionalFormatting sqref="C82">
    <cfRule type="expression" dxfId="550" priority="99">
      <formula>kvartal &lt; 4</formula>
    </cfRule>
  </conditionalFormatting>
  <conditionalFormatting sqref="B85">
    <cfRule type="expression" dxfId="549" priority="98">
      <formula>kvartal &lt; 4</formula>
    </cfRule>
  </conditionalFormatting>
  <conditionalFormatting sqref="C85">
    <cfRule type="expression" dxfId="548" priority="97">
      <formula>kvartal &lt; 4</formula>
    </cfRule>
  </conditionalFormatting>
  <conditionalFormatting sqref="B92">
    <cfRule type="expression" dxfId="547" priority="96">
      <formula>kvartal &lt; 4</formula>
    </cfRule>
  </conditionalFormatting>
  <conditionalFormatting sqref="C92">
    <cfRule type="expression" dxfId="546" priority="95">
      <formula>kvartal &lt; 4</formula>
    </cfRule>
  </conditionalFormatting>
  <conditionalFormatting sqref="B95">
    <cfRule type="expression" dxfId="545" priority="94">
      <formula>kvartal &lt; 4</formula>
    </cfRule>
  </conditionalFormatting>
  <conditionalFormatting sqref="C95">
    <cfRule type="expression" dxfId="544" priority="93">
      <formula>kvartal &lt; 4</formula>
    </cfRule>
  </conditionalFormatting>
  <conditionalFormatting sqref="B102">
    <cfRule type="expression" dxfId="543" priority="92">
      <formula>kvartal &lt; 4</formula>
    </cfRule>
  </conditionalFormatting>
  <conditionalFormatting sqref="C102">
    <cfRule type="expression" dxfId="542" priority="91">
      <formula>kvartal &lt; 4</formula>
    </cfRule>
  </conditionalFormatting>
  <conditionalFormatting sqref="B105">
    <cfRule type="expression" dxfId="541" priority="90">
      <formula>kvartal &lt; 4</formula>
    </cfRule>
  </conditionalFormatting>
  <conditionalFormatting sqref="C105">
    <cfRule type="expression" dxfId="540" priority="89">
      <formula>kvartal &lt; 4</formula>
    </cfRule>
  </conditionalFormatting>
  <conditionalFormatting sqref="B112">
    <cfRule type="expression" dxfId="539" priority="88">
      <formula>kvartal &lt; 4</formula>
    </cfRule>
  </conditionalFormatting>
  <conditionalFormatting sqref="C112">
    <cfRule type="expression" dxfId="538" priority="87">
      <formula>kvartal &lt; 4</formula>
    </cfRule>
  </conditionalFormatting>
  <conditionalFormatting sqref="B115">
    <cfRule type="expression" dxfId="537" priority="86">
      <formula>kvartal &lt; 4</formula>
    </cfRule>
  </conditionalFormatting>
  <conditionalFormatting sqref="C115">
    <cfRule type="expression" dxfId="536" priority="85">
      <formula>kvartal &lt; 4</formula>
    </cfRule>
  </conditionalFormatting>
  <conditionalFormatting sqref="B122">
    <cfRule type="expression" dxfId="535" priority="84">
      <formula>kvartal &lt; 4</formula>
    </cfRule>
  </conditionalFormatting>
  <conditionalFormatting sqref="C122">
    <cfRule type="expression" dxfId="534" priority="83">
      <formula>kvartal &lt; 4</formula>
    </cfRule>
  </conditionalFormatting>
  <conditionalFormatting sqref="B125">
    <cfRule type="expression" dxfId="533" priority="82">
      <formula>kvartal &lt; 4</formula>
    </cfRule>
  </conditionalFormatting>
  <conditionalFormatting sqref="C125">
    <cfRule type="expression" dxfId="532" priority="81">
      <formula>kvartal &lt; 4</formula>
    </cfRule>
  </conditionalFormatting>
  <conditionalFormatting sqref="B132">
    <cfRule type="expression" dxfId="531" priority="80">
      <formula>kvartal &lt; 4</formula>
    </cfRule>
  </conditionalFormatting>
  <conditionalFormatting sqref="C132">
    <cfRule type="expression" dxfId="530" priority="79">
      <formula>kvartal &lt; 4</formula>
    </cfRule>
  </conditionalFormatting>
  <conditionalFormatting sqref="B135">
    <cfRule type="expression" dxfId="529" priority="78">
      <formula>kvartal &lt; 4</formula>
    </cfRule>
  </conditionalFormatting>
  <conditionalFormatting sqref="C135">
    <cfRule type="expression" dxfId="528" priority="77">
      <formula>kvartal &lt; 4</formula>
    </cfRule>
  </conditionalFormatting>
  <conditionalFormatting sqref="B146">
    <cfRule type="expression" dxfId="527" priority="76">
      <formula>kvartal &lt; 4</formula>
    </cfRule>
  </conditionalFormatting>
  <conditionalFormatting sqref="C146">
    <cfRule type="expression" dxfId="526" priority="75">
      <formula>kvartal &lt; 4</formula>
    </cfRule>
  </conditionalFormatting>
  <conditionalFormatting sqref="B154">
    <cfRule type="expression" dxfId="525" priority="74">
      <formula>kvartal &lt; 4</formula>
    </cfRule>
  </conditionalFormatting>
  <conditionalFormatting sqref="C154">
    <cfRule type="expression" dxfId="524" priority="73">
      <formula>kvartal &lt; 4</formula>
    </cfRule>
  </conditionalFormatting>
  <conditionalFormatting sqref="F83">
    <cfRule type="expression" dxfId="523" priority="72">
      <formula>kvartal &lt; 4</formula>
    </cfRule>
  </conditionalFormatting>
  <conditionalFormatting sqref="G83">
    <cfRule type="expression" dxfId="522" priority="71">
      <formula>kvartal &lt; 4</formula>
    </cfRule>
  </conditionalFormatting>
  <conditionalFormatting sqref="F84:G84">
    <cfRule type="expression" dxfId="521" priority="70">
      <formula>kvartal &lt; 4</formula>
    </cfRule>
  </conditionalFormatting>
  <conditionalFormatting sqref="F86:G87">
    <cfRule type="expression" dxfId="520" priority="69">
      <formula>kvartal &lt; 4</formula>
    </cfRule>
  </conditionalFormatting>
  <conditionalFormatting sqref="F93:G94">
    <cfRule type="expression" dxfId="519" priority="68">
      <formula>kvartal &lt; 4</formula>
    </cfRule>
  </conditionalFormatting>
  <conditionalFormatting sqref="F96:G97">
    <cfRule type="expression" dxfId="518" priority="67">
      <formula>kvartal &lt; 4</formula>
    </cfRule>
  </conditionalFormatting>
  <conditionalFormatting sqref="F103:G104">
    <cfRule type="expression" dxfId="517" priority="66">
      <formula>kvartal &lt; 4</formula>
    </cfRule>
  </conditionalFormatting>
  <conditionalFormatting sqref="F106:G107">
    <cfRule type="expression" dxfId="516" priority="65">
      <formula>kvartal &lt; 4</formula>
    </cfRule>
  </conditionalFormatting>
  <conditionalFormatting sqref="F113:G114">
    <cfRule type="expression" dxfId="515" priority="64">
      <formula>kvartal &lt; 4</formula>
    </cfRule>
  </conditionalFormatting>
  <conditionalFormatting sqref="F116:G117">
    <cfRule type="expression" dxfId="514" priority="63">
      <formula>kvartal &lt; 4</formula>
    </cfRule>
  </conditionalFormatting>
  <conditionalFormatting sqref="F123:G124">
    <cfRule type="expression" dxfId="513" priority="62">
      <formula>kvartal &lt; 4</formula>
    </cfRule>
  </conditionalFormatting>
  <conditionalFormatting sqref="F126:G127">
    <cfRule type="expression" dxfId="512" priority="61">
      <formula>kvartal &lt; 4</formula>
    </cfRule>
  </conditionalFormatting>
  <conditionalFormatting sqref="F133:G134">
    <cfRule type="expression" dxfId="511" priority="60">
      <formula>kvartal &lt; 4</formula>
    </cfRule>
  </conditionalFormatting>
  <conditionalFormatting sqref="F136:G137">
    <cfRule type="expression" dxfId="510" priority="59">
      <formula>kvartal &lt; 4</formula>
    </cfRule>
  </conditionalFormatting>
  <conditionalFormatting sqref="F146">
    <cfRule type="expression" dxfId="509" priority="58">
      <formula>kvartal &lt; 4</formula>
    </cfRule>
  </conditionalFormatting>
  <conditionalFormatting sqref="G146">
    <cfRule type="expression" dxfId="508" priority="57">
      <formula>kvartal &lt; 4</formula>
    </cfRule>
  </conditionalFormatting>
  <conditionalFormatting sqref="F154:G154">
    <cfRule type="expression" dxfId="507" priority="56">
      <formula>kvartal &lt; 4</formula>
    </cfRule>
  </conditionalFormatting>
  <conditionalFormatting sqref="F82:G82">
    <cfRule type="expression" dxfId="506" priority="55">
      <formula>kvartal &lt; 4</formula>
    </cfRule>
  </conditionalFormatting>
  <conditionalFormatting sqref="F85:G85">
    <cfRule type="expression" dxfId="505" priority="54">
      <formula>kvartal &lt; 4</formula>
    </cfRule>
  </conditionalFormatting>
  <conditionalFormatting sqref="F92:G92">
    <cfRule type="expression" dxfId="504" priority="53">
      <formula>kvartal &lt; 4</formula>
    </cfRule>
  </conditionalFormatting>
  <conditionalFormatting sqref="F95:G95">
    <cfRule type="expression" dxfId="503" priority="52">
      <formula>kvartal &lt; 4</formula>
    </cfRule>
  </conditionalFormatting>
  <conditionalFormatting sqref="F102:G102">
    <cfRule type="expression" dxfId="502" priority="51">
      <formula>kvartal &lt; 4</formula>
    </cfRule>
  </conditionalFormatting>
  <conditionalFormatting sqref="F105:G105">
    <cfRule type="expression" dxfId="501" priority="50">
      <formula>kvartal &lt; 4</formula>
    </cfRule>
  </conditionalFormatting>
  <conditionalFormatting sqref="F112:G112">
    <cfRule type="expression" dxfId="500" priority="49">
      <formula>kvartal &lt; 4</formula>
    </cfRule>
  </conditionalFormatting>
  <conditionalFormatting sqref="F115">
    <cfRule type="expression" dxfId="499" priority="48">
      <formula>kvartal &lt; 4</formula>
    </cfRule>
  </conditionalFormatting>
  <conditionalFormatting sqref="G115">
    <cfRule type="expression" dxfId="498" priority="47">
      <formula>kvartal &lt; 4</formula>
    </cfRule>
  </conditionalFormatting>
  <conditionalFormatting sqref="F122:G122">
    <cfRule type="expression" dxfId="497" priority="46">
      <formula>kvartal &lt; 4</formula>
    </cfRule>
  </conditionalFormatting>
  <conditionalFormatting sqref="F125">
    <cfRule type="expression" dxfId="496" priority="45">
      <formula>kvartal &lt; 4</formula>
    </cfRule>
  </conditionalFormatting>
  <conditionalFormatting sqref="G125">
    <cfRule type="expression" dxfId="495" priority="44">
      <formula>kvartal &lt; 4</formula>
    </cfRule>
  </conditionalFormatting>
  <conditionalFormatting sqref="F132">
    <cfRule type="expression" dxfId="494" priority="43">
      <formula>kvartal &lt; 4</formula>
    </cfRule>
  </conditionalFormatting>
  <conditionalFormatting sqref="G132">
    <cfRule type="expression" dxfId="493" priority="42">
      <formula>kvartal &lt; 4</formula>
    </cfRule>
  </conditionalFormatting>
  <conditionalFormatting sqref="G135">
    <cfRule type="expression" dxfId="492" priority="41">
      <formula>kvartal &lt; 4</formula>
    </cfRule>
  </conditionalFormatting>
  <conditionalFormatting sqref="F135">
    <cfRule type="expression" dxfId="491" priority="40">
      <formula>kvartal &lt; 4</formula>
    </cfRule>
  </conditionalFormatting>
  <conditionalFormatting sqref="J82:K86">
    <cfRule type="expression" dxfId="490" priority="39">
      <formula>kvartal &lt; 4</formula>
    </cfRule>
  </conditionalFormatting>
  <conditionalFormatting sqref="J87:K87">
    <cfRule type="expression" dxfId="489" priority="38">
      <formula>kvartal &lt; 4</formula>
    </cfRule>
  </conditionalFormatting>
  <conditionalFormatting sqref="J92:K97">
    <cfRule type="expression" dxfId="488" priority="37">
      <formula>kvartal &lt; 4</formula>
    </cfRule>
  </conditionalFormatting>
  <conditionalFormatting sqref="J102:K107">
    <cfRule type="expression" dxfId="487" priority="36">
      <formula>kvartal &lt; 4</formula>
    </cfRule>
  </conditionalFormatting>
  <conditionalFormatting sqref="J112:K117">
    <cfRule type="expression" dxfId="486" priority="35">
      <formula>kvartal &lt; 4</formula>
    </cfRule>
  </conditionalFormatting>
  <conditionalFormatting sqref="J122:K127">
    <cfRule type="expression" dxfId="485" priority="34">
      <formula>kvartal &lt; 4</formula>
    </cfRule>
  </conditionalFormatting>
  <conditionalFormatting sqref="J132:K137">
    <cfRule type="expression" dxfId="484" priority="33">
      <formula>kvartal &lt; 4</formula>
    </cfRule>
  </conditionalFormatting>
  <conditionalFormatting sqref="J146:K146">
    <cfRule type="expression" dxfId="483" priority="32">
      <formula>kvartal &lt; 4</formula>
    </cfRule>
  </conditionalFormatting>
  <conditionalFormatting sqref="J154:K154">
    <cfRule type="expression" dxfId="482" priority="31">
      <formula>kvartal &lt; 4</formula>
    </cfRule>
  </conditionalFormatting>
  <conditionalFormatting sqref="A26:A28">
    <cfRule type="expression" dxfId="481" priority="15">
      <formula>kvartal &lt; 4</formula>
    </cfRule>
  </conditionalFormatting>
  <conditionalFormatting sqref="A32:A33">
    <cfRule type="expression" dxfId="480" priority="14">
      <formula>kvartal &lt; 4</formula>
    </cfRule>
  </conditionalFormatting>
  <conditionalFormatting sqref="A37:A39">
    <cfRule type="expression" dxfId="479" priority="13">
      <formula>kvartal &lt; 4</formula>
    </cfRule>
  </conditionalFormatting>
  <conditionalFormatting sqref="A57:A59">
    <cfRule type="expression" dxfId="478" priority="12">
      <formula>kvartal &lt; 4</formula>
    </cfRule>
  </conditionalFormatting>
  <conditionalFormatting sqref="A63:A65">
    <cfRule type="expression" dxfId="477" priority="11">
      <formula>kvartal &lt; 4</formula>
    </cfRule>
  </conditionalFormatting>
  <conditionalFormatting sqref="A82:A87">
    <cfRule type="expression" dxfId="476" priority="10">
      <formula>kvartal &lt; 4</formula>
    </cfRule>
  </conditionalFormatting>
  <conditionalFormatting sqref="A92:A97">
    <cfRule type="expression" dxfId="475" priority="9">
      <formula>kvartal &lt; 4</formula>
    </cfRule>
  </conditionalFormatting>
  <conditionalFormatting sqref="A102:A107">
    <cfRule type="expression" dxfId="474" priority="8">
      <formula>kvartal &lt; 4</formula>
    </cfRule>
  </conditionalFormatting>
  <conditionalFormatting sqref="A112:A117">
    <cfRule type="expression" dxfId="473" priority="7">
      <formula>kvartal &lt; 4</formula>
    </cfRule>
  </conditionalFormatting>
  <conditionalFormatting sqref="A122:A127">
    <cfRule type="expression" dxfId="472" priority="6">
      <formula>kvartal &lt; 4</formula>
    </cfRule>
  </conditionalFormatting>
  <conditionalFormatting sqref="A132:A137">
    <cfRule type="expression" dxfId="471" priority="5">
      <formula>kvartal &lt; 4</formula>
    </cfRule>
  </conditionalFormatting>
  <conditionalFormatting sqref="A146">
    <cfRule type="expression" dxfId="470" priority="4">
      <formula>kvartal &lt; 4</formula>
    </cfRule>
  </conditionalFormatting>
  <conditionalFormatting sqref="A154">
    <cfRule type="expression" dxfId="469" priority="3">
      <formula>kvartal &lt; 4</formula>
    </cfRule>
  </conditionalFormatting>
  <conditionalFormatting sqref="A29">
    <cfRule type="expression" dxfId="468" priority="2">
      <formula>kvartal &lt; 4</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9"/>
  <dimension ref="A1:N176"/>
  <sheetViews>
    <sheetView showGridLines="0" zoomScale="90" zoomScaleNormal="90" workbookViewId="0"/>
  </sheetViews>
  <sheetFormatPr baseColWidth="10" defaultColWidth="11.42578125" defaultRowHeight="12.75" x14ac:dyDescent="0.2"/>
  <cols>
    <col min="1" max="1" width="41.5703125" style="143" customWidth="1"/>
    <col min="2" max="2" width="10.85546875" style="143" customWidth="1"/>
    <col min="3" max="3" width="11" style="143" customWidth="1"/>
    <col min="4" max="5" width="8.7109375" style="143" customWidth="1"/>
    <col min="6" max="7" width="10.85546875" style="143" customWidth="1"/>
    <col min="8" max="9" width="8.7109375" style="143" customWidth="1"/>
    <col min="10" max="11" width="10.85546875" style="143" customWidth="1"/>
    <col min="12" max="13" width="8.7109375" style="143" customWidth="1"/>
    <col min="14" max="14" width="11.42578125" style="143"/>
    <col min="15" max="16384" width="11.42578125" style="1"/>
  </cols>
  <sheetData>
    <row r="1" spans="1:14" x14ac:dyDescent="0.2">
      <c r="A1" s="165" t="s">
        <v>159</v>
      </c>
      <c r="B1" s="401"/>
      <c r="C1" s="245" t="s">
        <v>158</v>
      </c>
      <c r="D1" s="20"/>
      <c r="E1" s="20"/>
      <c r="F1" s="20"/>
      <c r="G1" s="20"/>
      <c r="H1" s="20"/>
      <c r="I1" s="20"/>
      <c r="J1" s="20"/>
      <c r="K1" s="20"/>
      <c r="L1" s="20"/>
      <c r="M1" s="20"/>
    </row>
    <row r="2" spans="1:14" ht="15.75" x14ac:dyDescent="0.25">
      <c r="A2" s="158" t="s">
        <v>36</v>
      </c>
      <c r="B2" s="835"/>
      <c r="C2" s="835"/>
      <c r="D2" s="835"/>
      <c r="E2" s="301"/>
      <c r="F2" s="835"/>
      <c r="G2" s="835"/>
      <c r="H2" s="835"/>
      <c r="I2" s="301"/>
      <c r="J2" s="835"/>
      <c r="K2" s="835"/>
      <c r="L2" s="835"/>
      <c r="M2" s="301"/>
    </row>
    <row r="3" spans="1:14" ht="15.75" x14ac:dyDescent="0.25">
      <c r="A3" s="156"/>
      <c r="B3" s="301"/>
      <c r="C3" s="301"/>
      <c r="D3" s="301"/>
      <c r="E3" s="301"/>
      <c r="F3" s="301"/>
      <c r="G3" s="301"/>
      <c r="H3" s="301"/>
      <c r="I3" s="301"/>
      <c r="J3" s="301"/>
      <c r="K3" s="301"/>
      <c r="L3" s="301"/>
      <c r="M3" s="301"/>
    </row>
    <row r="4" spans="1:14" x14ac:dyDescent="0.2">
      <c r="A4" s="138"/>
      <c r="B4" s="808" t="s">
        <v>0</v>
      </c>
      <c r="C4" s="802"/>
      <c r="D4" s="802"/>
      <c r="E4" s="802"/>
      <c r="F4" s="808" t="s">
        <v>1</v>
      </c>
      <c r="G4" s="802"/>
      <c r="H4" s="802"/>
      <c r="I4" s="803"/>
      <c r="J4" s="801" t="s">
        <v>2</v>
      </c>
      <c r="K4" s="802"/>
      <c r="L4" s="802"/>
      <c r="M4" s="803"/>
    </row>
    <row r="5" spans="1:14" x14ac:dyDescent="0.2">
      <c r="A5" s="151"/>
      <c r="B5" s="145" t="s">
        <v>400</v>
      </c>
      <c r="C5" s="145" t="s">
        <v>401</v>
      </c>
      <c r="D5" s="242" t="s">
        <v>3</v>
      </c>
      <c r="E5" s="307" t="s">
        <v>37</v>
      </c>
      <c r="F5" s="145" t="s">
        <v>400</v>
      </c>
      <c r="G5" s="145" t="s">
        <v>401</v>
      </c>
      <c r="H5" s="242" t="s">
        <v>3</v>
      </c>
      <c r="I5" s="307" t="s">
        <v>37</v>
      </c>
      <c r="J5" s="145" t="s">
        <v>400</v>
      </c>
      <c r="K5" s="145" t="s">
        <v>401</v>
      </c>
      <c r="L5" s="242" t="s">
        <v>3</v>
      </c>
      <c r="M5" s="155" t="s">
        <v>37</v>
      </c>
    </row>
    <row r="6" spans="1:14" x14ac:dyDescent="0.2">
      <c r="A6" s="402"/>
      <c r="B6" s="149"/>
      <c r="C6" s="149"/>
      <c r="D6" s="243" t="s">
        <v>4</v>
      </c>
      <c r="E6" s="149" t="s">
        <v>38</v>
      </c>
      <c r="F6" s="154"/>
      <c r="G6" s="154"/>
      <c r="H6" s="242" t="s">
        <v>4</v>
      </c>
      <c r="I6" s="149" t="s">
        <v>38</v>
      </c>
      <c r="J6" s="154"/>
      <c r="K6" s="154"/>
      <c r="L6" s="242" t="s">
        <v>4</v>
      </c>
      <c r="M6" s="149" t="s">
        <v>38</v>
      </c>
    </row>
    <row r="7" spans="1:14" ht="15.75" x14ac:dyDescent="0.2">
      <c r="A7" s="12" t="s">
        <v>30</v>
      </c>
      <c r="B7" s="308">
        <v>721312.29934999999</v>
      </c>
      <c r="C7" s="309">
        <v>753307.93420000002</v>
      </c>
      <c r="D7" s="251">
        <f>IF(B7=0, "    ---- ", IF(ABS(ROUND(100/B7*C7-100,1))&lt;999,ROUND(100/B7*C7-100,1),IF(ROUND(100/B7*C7-100,1)&gt;999,999,-999)))</f>
        <v>4.4000000000000004</v>
      </c>
      <c r="E7" s="170">
        <f>IFERROR(100/'Skjema total MA'!C7*C7,0)</f>
        <v>15.01621089775934</v>
      </c>
      <c r="F7" s="308">
        <v>162407.32655</v>
      </c>
      <c r="G7" s="309">
        <v>176035.25145000001</v>
      </c>
      <c r="H7" s="251">
        <f>IF(F7=0, "    ---- ", IF(ABS(ROUND(100/F7*G7-100,1))&lt;999,ROUND(100/F7*G7-100,1),IF(ROUND(100/F7*G7-100,1)&gt;999,999,-999)))</f>
        <v>8.4</v>
      </c>
      <c r="I7" s="170">
        <f>IFERROR(100/'Skjema total MA'!F7*G7,0)</f>
        <v>1.9352447159817667</v>
      </c>
      <c r="J7" s="310">
        <v>883719.62589999998</v>
      </c>
      <c r="K7" s="311">
        <v>929343.18565</v>
      </c>
      <c r="L7" s="255">
        <f>IF(J7=0, "    ---- ", IF(ABS(ROUND(100/J7*K7-100,1))&lt;999,ROUND(100/J7*K7-100,1),IF(ROUND(100/J7*K7-100,1)&gt;999,999,-999)))</f>
        <v>5.2</v>
      </c>
      <c r="M7" s="170">
        <f>IFERROR(100/'Skjema total MA'!I7*K7,0)</f>
        <v>6.5850571663519375</v>
      </c>
    </row>
    <row r="8" spans="1:14" ht="15.75" x14ac:dyDescent="0.2">
      <c r="A8" s="18" t="s">
        <v>32</v>
      </c>
      <c r="B8" s="282">
        <v>626470.24</v>
      </c>
      <c r="C8" s="283">
        <v>660825</v>
      </c>
      <c r="D8" s="159">
        <f t="shared" ref="D8:D13" si="0">IF(B8=0, "    ---- ", IF(ABS(ROUND(100/B8*C8-100,1))&lt;999,ROUND(100/B8*C8-100,1),IF(ROUND(100/B8*C8-100,1)&gt;999,999,-999)))</f>
        <v>5.5</v>
      </c>
      <c r="E8" s="170">
        <f>IFERROR(100/'Skjema total MA'!C8*C8,0)</f>
        <v>27.32291462376168</v>
      </c>
      <c r="F8" s="286"/>
      <c r="G8" s="287"/>
      <c r="H8" s="159"/>
      <c r="I8" s="170"/>
      <c r="J8" s="229">
        <v>626470.24</v>
      </c>
      <c r="K8" s="288">
        <v>660825</v>
      </c>
      <c r="L8" s="256">
        <f t="shared" ref="L8:L9" si="1">IF(J8=0, "    ---- ", IF(ABS(ROUND(100/J8*K8-100,1))&lt;999,ROUND(100/J8*K8-100,1),IF(ROUND(100/J8*K8-100,1)&gt;999,999,-999)))</f>
        <v>5.5</v>
      </c>
      <c r="M8" s="170">
        <f>IFERROR(100/'Skjema total MA'!I8*K8,0)</f>
        <v>27.32291462376168</v>
      </c>
    </row>
    <row r="9" spans="1:14" ht="15.75" x14ac:dyDescent="0.2">
      <c r="A9" s="18" t="s">
        <v>31</v>
      </c>
      <c r="B9" s="282">
        <v>91270.255999999994</v>
      </c>
      <c r="C9" s="283">
        <v>89790</v>
      </c>
      <c r="D9" s="159">
        <f t="shared" si="0"/>
        <v>-1.6</v>
      </c>
      <c r="E9" s="170">
        <f>IFERROR(100/'Skjema total MA'!C9*C9,0)</f>
        <v>7.8308115593301393</v>
      </c>
      <c r="F9" s="286"/>
      <c r="G9" s="287"/>
      <c r="H9" s="159"/>
      <c r="I9" s="170"/>
      <c r="J9" s="229">
        <v>91270.255999999994</v>
      </c>
      <c r="K9" s="288">
        <v>89790</v>
      </c>
      <c r="L9" s="256">
        <f t="shared" si="1"/>
        <v>-1.6</v>
      </c>
      <c r="M9" s="170">
        <f>IFERROR(100/'Skjema total MA'!I9*K9,0)</f>
        <v>7.8308115593301393</v>
      </c>
    </row>
    <row r="10" spans="1:14" ht="15.75" x14ac:dyDescent="0.2">
      <c r="A10" s="11" t="s">
        <v>29</v>
      </c>
      <c r="B10" s="312">
        <v>59436.480000000003</v>
      </c>
      <c r="C10" s="313">
        <v>63082</v>
      </c>
      <c r="D10" s="159">
        <f t="shared" si="0"/>
        <v>6.1</v>
      </c>
      <c r="E10" s="170">
        <f>IFERROR(100/'Skjema total MA'!C10*C10,0)</f>
        <v>17.73858457097236</v>
      </c>
      <c r="F10" s="312">
        <v>51230.930999999997</v>
      </c>
      <c r="G10" s="313">
        <v>97339</v>
      </c>
      <c r="H10" s="159">
        <f t="shared" ref="H10:H15" si="2">IF(F10=0, "    ---- ", IF(ABS(ROUND(100/F10*G10-100,1))&lt;999,ROUND(100/F10*G10-100,1),IF(ROUND(100/F10*G10-100,1)&gt;999,999,-999)))</f>
        <v>90</v>
      </c>
      <c r="I10" s="170">
        <f>IFERROR(100/'Skjema total MA'!F10*G10,0)</f>
        <v>1.2695652696665238</v>
      </c>
      <c r="J10" s="310">
        <v>110667.41099999999</v>
      </c>
      <c r="K10" s="311">
        <v>160421</v>
      </c>
      <c r="L10" s="256">
        <f t="shared" ref="L10:L15" si="3">IF(J10=0, "    ---- ", IF(ABS(ROUND(100/J10*K10-100,1))&lt;999,ROUND(100/J10*K10-100,1),IF(ROUND(100/J10*K10-100,1)&gt;999,999,-999)))</f>
        <v>45</v>
      </c>
      <c r="M10" s="170">
        <f>IFERROR(100/'Skjema total MA'!I10*K10,0)</f>
        <v>1.9995804534970647</v>
      </c>
    </row>
    <row r="11" spans="1:14" ht="15.75" x14ac:dyDescent="0.2">
      <c r="A11" s="18" t="s">
        <v>32</v>
      </c>
      <c r="B11" s="282">
        <v>54489.243000000002</v>
      </c>
      <c r="C11" s="283">
        <v>58354</v>
      </c>
      <c r="D11" s="159">
        <f t="shared" si="0"/>
        <v>7.1</v>
      </c>
      <c r="E11" s="170">
        <f>IFERROR(100/'Skjema total MA'!C11*C11,0)</f>
        <v>30.580369250444601</v>
      </c>
      <c r="F11" s="286"/>
      <c r="G11" s="287"/>
      <c r="H11" s="159"/>
      <c r="I11" s="170"/>
      <c r="J11" s="229">
        <v>54489.243000000002</v>
      </c>
      <c r="K11" s="288">
        <v>58354</v>
      </c>
      <c r="L11" s="256">
        <f t="shared" ref="L11:L12" si="4">IF(J11=0, "    ---- ", IF(ABS(ROUND(100/J11*K11-100,1))&lt;999,ROUND(100/J11*K11-100,1),IF(ROUND(100/J11*K11-100,1)&gt;999,999,-999)))</f>
        <v>7.1</v>
      </c>
      <c r="M11" s="170">
        <f>IFERROR(100/'Skjema total MA'!I11*K11,0)</f>
        <v>30.580369250444601</v>
      </c>
    </row>
    <row r="12" spans="1:14" ht="15.75" x14ac:dyDescent="0.2">
      <c r="A12" s="18" t="s">
        <v>31</v>
      </c>
      <c r="B12" s="282">
        <v>4947.2370000000001</v>
      </c>
      <c r="C12" s="283">
        <v>4728</v>
      </c>
      <c r="D12" s="159">
        <f t="shared" si="0"/>
        <v>-4.4000000000000004</v>
      </c>
      <c r="E12" s="170">
        <f>IFERROR(100/'Skjema total MA'!C12*C12,0)</f>
        <v>7.4648907486786182</v>
      </c>
      <c r="F12" s="286"/>
      <c r="G12" s="287"/>
      <c r="H12" s="159"/>
      <c r="I12" s="170"/>
      <c r="J12" s="229">
        <v>4947.2370000000001</v>
      </c>
      <c r="K12" s="288">
        <v>4728</v>
      </c>
      <c r="L12" s="256">
        <f t="shared" si="4"/>
        <v>-4.4000000000000004</v>
      </c>
      <c r="M12" s="170">
        <f>IFERROR(100/'Skjema total MA'!I12*K12,0)</f>
        <v>7.4648907486786182</v>
      </c>
    </row>
    <row r="13" spans="1:14" ht="15.75" x14ac:dyDescent="0.2">
      <c r="A13" s="11" t="s">
        <v>28</v>
      </c>
      <c r="B13" s="312">
        <v>977074.20033999998</v>
      </c>
      <c r="C13" s="313">
        <v>949559.68717000005</v>
      </c>
      <c r="D13" s="159">
        <f t="shared" si="0"/>
        <v>-2.8</v>
      </c>
      <c r="E13" s="170">
        <f>IFERROR(100/'Skjema total MA'!C13*C13,0)</f>
        <v>3.671354645286121</v>
      </c>
      <c r="F13" s="312">
        <v>1688351.4757300001</v>
      </c>
      <c r="G13" s="313">
        <v>1785300.22966</v>
      </c>
      <c r="H13" s="159">
        <f t="shared" si="2"/>
        <v>5.7</v>
      </c>
      <c r="I13" s="170">
        <f>IFERROR(100/'Skjema total MA'!F13*G13,0)</f>
        <v>5.390633148899485</v>
      </c>
      <c r="J13" s="310">
        <v>2665425.67607</v>
      </c>
      <c r="K13" s="311">
        <v>2734859.91683</v>
      </c>
      <c r="L13" s="256">
        <f t="shared" si="3"/>
        <v>2.6</v>
      </c>
      <c r="M13" s="170">
        <f>IFERROR(100/'Skjema total MA'!I13*K13,0)</f>
        <v>4.6367250317217863</v>
      </c>
    </row>
    <row r="14" spans="1:14" s="36" customFormat="1" ht="15.75" x14ac:dyDescent="0.2">
      <c r="A14" s="11" t="s">
        <v>27</v>
      </c>
      <c r="B14" s="312"/>
      <c r="C14" s="313"/>
      <c r="D14" s="159"/>
      <c r="E14" s="170"/>
      <c r="F14" s="312">
        <v>6253.9614199999996</v>
      </c>
      <c r="G14" s="313">
        <v>14303.83699</v>
      </c>
      <c r="H14" s="159">
        <f t="shared" si="2"/>
        <v>128.69999999999999</v>
      </c>
      <c r="I14" s="170">
        <f>IFERROR(100/'Skjema total MA'!F14*G14,0)</f>
        <v>3.1421668526936282</v>
      </c>
      <c r="J14" s="310">
        <v>6253.9614199999996</v>
      </c>
      <c r="K14" s="311">
        <v>14303.83699</v>
      </c>
      <c r="L14" s="256">
        <f t="shared" si="3"/>
        <v>128.69999999999999</v>
      </c>
      <c r="M14" s="170">
        <f>IFERROR(100/'Skjema total MA'!I14*K14,0)</f>
        <v>2.6653539356509568</v>
      </c>
      <c r="N14" s="137"/>
    </row>
    <row r="15" spans="1:14" s="36" customFormat="1" ht="15.75" x14ac:dyDescent="0.2">
      <c r="A15" s="34" t="s">
        <v>26</v>
      </c>
      <c r="B15" s="314"/>
      <c r="C15" s="315"/>
      <c r="D15" s="160"/>
      <c r="E15" s="160"/>
      <c r="F15" s="314">
        <v>2113.7544600000001</v>
      </c>
      <c r="G15" s="315">
        <v>2930.5334600000001</v>
      </c>
      <c r="H15" s="160">
        <f t="shared" si="2"/>
        <v>38.6</v>
      </c>
      <c r="I15" s="160">
        <f>IFERROR(100/'Skjema total MA'!F15*G15,0)</f>
        <v>1.7147246785239016</v>
      </c>
      <c r="J15" s="316">
        <v>2113.7544600000001</v>
      </c>
      <c r="K15" s="317">
        <v>2930.5334600000001</v>
      </c>
      <c r="L15" s="257">
        <f t="shared" si="3"/>
        <v>38.6</v>
      </c>
      <c r="M15" s="160">
        <f>IFERROR(100/'Skjema total MA'!I15*K15,0)</f>
        <v>1.3786543977219443</v>
      </c>
      <c r="N15" s="137"/>
    </row>
    <row r="16" spans="1:14" s="36" customFormat="1" x14ac:dyDescent="0.2">
      <c r="A16" s="161"/>
      <c r="B16" s="139"/>
      <c r="C16" s="27"/>
      <c r="D16" s="152"/>
      <c r="E16" s="152"/>
      <c r="F16" s="139"/>
      <c r="G16" s="27"/>
      <c r="H16" s="152"/>
      <c r="I16" s="152"/>
      <c r="J16" s="41"/>
      <c r="K16" s="41"/>
      <c r="L16" s="152"/>
      <c r="M16" s="152"/>
      <c r="N16" s="137"/>
    </row>
    <row r="17" spans="1:14" x14ac:dyDescent="0.2">
      <c r="A17" s="146" t="s">
        <v>307</v>
      </c>
      <c r="B17" s="20"/>
    </row>
    <row r="18" spans="1:14" x14ac:dyDescent="0.2">
      <c r="F18" s="140"/>
      <c r="G18" s="140"/>
      <c r="H18" s="140"/>
      <c r="I18" s="140"/>
      <c r="J18" s="140"/>
      <c r="K18" s="140"/>
      <c r="L18" s="140"/>
      <c r="M18" s="140"/>
    </row>
    <row r="19" spans="1:14" s="3" customFormat="1" ht="15.75" x14ac:dyDescent="0.25">
      <c r="A19" s="157"/>
      <c r="B19" s="142"/>
      <c r="C19" s="147"/>
      <c r="D19" s="147"/>
      <c r="E19" s="147"/>
      <c r="F19" s="147"/>
      <c r="G19" s="147"/>
      <c r="H19" s="147"/>
      <c r="I19" s="147"/>
      <c r="J19" s="147"/>
      <c r="K19" s="147"/>
      <c r="L19" s="147"/>
      <c r="M19" s="147"/>
      <c r="N19" s="142"/>
    </row>
    <row r="20" spans="1:14" ht="15.75" x14ac:dyDescent="0.25">
      <c r="A20" s="141" t="s">
        <v>304</v>
      </c>
      <c r="B20" s="150"/>
      <c r="C20" s="150"/>
      <c r="D20" s="144"/>
      <c r="E20" s="144"/>
      <c r="F20" s="150"/>
      <c r="G20" s="150"/>
      <c r="H20" s="150"/>
      <c r="I20" s="150"/>
      <c r="J20" s="150"/>
      <c r="K20" s="150"/>
      <c r="L20" s="150"/>
      <c r="M20" s="150"/>
    </row>
    <row r="21" spans="1:14" ht="15.75" x14ac:dyDescent="0.25">
      <c r="B21" s="832"/>
      <c r="C21" s="832"/>
      <c r="D21" s="832"/>
      <c r="E21" s="301"/>
      <c r="F21" s="832"/>
      <c r="G21" s="832"/>
      <c r="H21" s="832"/>
      <c r="I21" s="301"/>
      <c r="J21" s="832"/>
      <c r="K21" s="832"/>
      <c r="L21" s="832"/>
      <c r="M21" s="301"/>
    </row>
    <row r="22" spans="1:14" x14ac:dyDescent="0.2">
      <c r="A22" s="138"/>
      <c r="B22" s="833" t="s">
        <v>0</v>
      </c>
      <c r="C22" s="834"/>
      <c r="D22" s="834"/>
      <c r="E22" s="303"/>
      <c r="F22" s="833" t="s">
        <v>1</v>
      </c>
      <c r="G22" s="834"/>
      <c r="H22" s="834"/>
      <c r="I22" s="306"/>
      <c r="J22" s="833" t="s">
        <v>2</v>
      </c>
      <c r="K22" s="834"/>
      <c r="L22" s="834"/>
      <c r="M22" s="306"/>
    </row>
    <row r="23" spans="1:14" x14ac:dyDescent="0.2">
      <c r="A23" s="134" t="s">
        <v>5</v>
      </c>
      <c r="B23" s="145" t="s">
        <v>400</v>
      </c>
      <c r="C23" s="145" t="s">
        <v>401</v>
      </c>
      <c r="D23" s="242" t="s">
        <v>3</v>
      </c>
      <c r="E23" s="307" t="s">
        <v>37</v>
      </c>
      <c r="F23" s="145" t="s">
        <v>400</v>
      </c>
      <c r="G23" s="145" t="s">
        <v>401</v>
      </c>
      <c r="H23" s="242" t="s">
        <v>3</v>
      </c>
      <c r="I23" s="307" t="s">
        <v>37</v>
      </c>
      <c r="J23" s="145" t="s">
        <v>400</v>
      </c>
      <c r="K23" s="145" t="s">
        <v>401</v>
      </c>
      <c r="L23" s="242" t="s">
        <v>3</v>
      </c>
      <c r="M23" s="155" t="s">
        <v>37</v>
      </c>
    </row>
    <row r="24" spans="1:14" x14ac:dyDescent="0.2">
      <c r="A24" s="403"/>
      <c r="B24" s="149"/>
      <c r="C24" s="149"/>
      <c r="D24" s="243" t="s">
        <v>4</v>
      </c>
      <c r="E24" s="149" t="s">
        <v>38</v>
      </c>
      <c r="F24" s="154"/>
      <c r="G24" s="154"/>
      <c r="H24" s="242" t="s">
        <v>4</v>
      </c>
      <c r="I24" s="149" t="s">
        <v>38</v>
      </c>
      <c r="J24" s="154"/>
      <c r="K24" s="154"/>
      <c r="L24" s="242" t="s">
        <v>4</v>
      </c>
      <c r="M24" s="149" t="s">
        <v>38</v>
      </c>
    </row>
    <row r="25" spans="1:14" ht="15.75" x14ac:dyDescent="0.2">
      <c r="A25" s="12" t="s">
        <v>30</v>
      </c>
      <c r="B25" s="318">
        <v>406644.99675999995</v>
      </c>
      <c r="C25" s="319">
        <v>449856.7094400003</v>
      </c>
      <c r="D25" s="251">
        <f t="shared" ref="D25:D41" si="5">IF(B25=0, "    ---- ", IF(ABS(ROUND(100/B25*C25-100,1))&lt;999,ROUND(100/B25*C25-100,1),IF(ROUND(100/B25*C25-100,1)&gt;999,999,-999)))</f>
        <v>10.6</v>
      </c>
      <c r="E25" s="170">
        <f>IFERROR(100/'Skjema total MA'!C25*C25,0)</f>
        <v>31.339444270900078</v>
      </c>
      <c r="F25" s="320">
        <v>23777.877690000001</v>
      </c>
      <c r="G25" s="319">
        <v>23887.031749999998</v>
      </c>
      <c r="H25" s="251">
        <f t="shared" ref="H25:H41" si="6">IF(F25=0, "    ---- ", IF(ABS(ROUND(100/F25*G25-100,1))&lt;999,ROUND(100/F25*G25-100,1),IF(ROUND(100/F25*G25-100,1)&gt;999,999,-999)))</f>
        <v>0.5</v>
      </c>
      <c r="I25" s="170">
        <f>IFERROR(100/'Skjema total MA'!F25*G25,0)</f>
        <v>5.9926064950513762</v>
      </c>
      <c r="J25" s="318">
        <v>430422.87444999994</v>
      </c>
      <c r="K25" s="318">
        <v>473743.74119000032</v>
      </c>
      <c r="L25" s="255">
        <f t="shared" ref="L25:L41" si="7">IF(J25=0, "    ---- ", IF(ABS(ROUND(100/J25*K25-100,1))&lt;999,ROUND(100/J25*K25-100,1),IF(ROUND(100/J25*K25-100,1)&gt;999,999,-999)))</f>
        <v>10.1</v>
      </c>
      <c r="M25" s="159">
        <f>IFERROR(100/'Skjema total MA'!I25*K25,0)</f>
        <v>25.830592422924664</v>
      </c>
    </row>
    <row r="26" spans="1:14" ht="15.75" x14ac:dyDescent="0.2">
      <c r="A26" s="298" t="s">
        <v>318</v>
      </c>
      <c r="B26" s="291">
        <v>403433.02021827298</v>
      </c>
      <c r="C26" s="292">
        <v>446303.41551194899</v>
      </c>
      <c r="D26" s="159">
        <f t="shared" si="5"/>
        <v>10.6</v>
      </c>
      <c r="E26" s="159">
        <f>IFERROR(100/'Skjema total MA'!C26*C26,0)</f>
        <v>34.348827398642896</v>
      </c>
      <c r="F26" s="800">
        <v>10579.55314</v>
      </c>
      <c r="G26" s="291">
        <v>9861.8462199999994</v>
      </c>
      <c r="H26" s="159">
        <f t="shared" si="6"/>
        <v>-6.8</v>
      </c>
      <c r="I26" s="237">
        <f>IFERROR(100/'Skjema total MA'!F26*G26,0)</f>
        <v>6.2371784006104809</v>
      </c>
      <c r="J26" s="291">
        <v>414012.57335827296</v>
      </c>
      <c r="K26" s="291">
        <v>456165.26173194899</v>
      </c>
      <c r="L26" s="256">
        <f t="shared" si="7"/>
        <v>10.199999999999999</v>
      </c>
      <c r="M26" s="159">
        <f>IFERROR(100/'Skjema total MA'!I26*K26,0)</f>
        <v>31.299068004769605</v>
      </c>
    </row>
    <row r="27" spans="1:14" ht="15.75" x14ac:dyDescent="0.2">
      <c r="A27" s="298" t="s">
        <v>319</v>
      </c>
      <c r="B27" s="291">
        <v>3211.97654172694</v>
      </c>
      <c r="C27" s="291">
        <v>3553.2939280513101</v>
      </c>
      <c r="D27" s="159">
        <f t="shared" si="5"/>
        <v>10.6</v>
      </c>
      <c r="E27" s="159">
        <f>IFERROR(100/'Skjema total MA'!C27*C27,0)</f>
        <v>18.373527376156858</v>
      </c>
      <c r="F27" s="291">
        <v>79.343239999999994</v>
      </c>
      <c r="G27" s="291">
        <v>88.894980000000004</v>
      </c>
      <c r="H27" s="159">
        <f t="shared" si="6"/>
        <v>12</v>
      </c>
      <c r="I27" s="237">
        <f>IFERROR(100/'Skjema total MA'!F27*G27,0)</f>
        <v>1.401730612214005</v>
      </c>
      <c r="J27" s="291">
        <v>3291.3197817269402</v>
      </c>
      <c r="K27" s="291">
        <v>3642.1889080513101</v>
      </c>
      <c r="L27" s="256">
        <f t="shared" si="7"/>
        <v>10.7</v>
      </c>
      <c r="M27" s="159">
        <f>IFERROR(100/'Skjema total MA'!I27*K27,0)</f>
        <v>14.182423064950719</v>
      </c>
    </row>
    <row r="28" spans="1:14" ht="15.75" x14ac:dyDescent="0.2">
      <c r="A28" s="298" t="s">
        <v>320</v>
      </c>
      <c r="B28" s="291"/>
      <c r="C28" s="291"/>
      <c r="D28" s="159"/>
      <c r="E28" s="237"/>
      <c r="F28" s="291">
        <v>13118.981309999999</v>
      </c>
      <c r="G28" s="291">
        <v>13936.29055</v>
      </c>
      <c r="H28" s="159">
        <f t="shared" si="6"/>
        <v>6.2</v>
      </c>
      <c r="I28" s="237">
        <f>IFERROR(100/'Skjema total MA'!F28*G28,0)</f>
        <v>5.9517964009336559</v>
      </c>
      <c r="J28" s="291">
        <v>13118.981309999999</v>
      </c>
      <c r="K28" s="291">
        <v>13936.29055</v>
      </c>
      <c r="L28" s="256">
        <f t="shared" si="7"/>
        <v>6.2</v>
      </c>
      <c r="M28" s="159">
        <f>IFERROR(100/'Skjema total MA'!I28*K28,0)</f>
        <v>3.971359137136707</v>
      </c>
    </row>
    <row r="29" spans="1:14" x14ac:dyDescent="0.2">
      <c r="A29" s="298" t="s">
        <v>11</v>
      </c>
      <c r="B29" s="291"/>
      <c r="C29" s="291"/>
      <c r="D29" s="159"/>
      <c r="E29" s="237"/>
      <c r="F29" s="291"/>
      <c r="G29" s="291"/>
      <c r="H29" s="159"/>
      <c r="I29" s="237"/>
      <c r="J29" s="291"/>
      <c r="K29" s="291"/>
      <c r="L29" s="159"/>
      <c r="M29" s="159"/>
    </row>
    <row r="30" spans="1:14" ht="15.75" x14ac:dyDescent="0.2">
      <c r="A30" s="42" t="s">
        <v>308</v>
      </c>
      <c r="B30" s="37">
        <v>399855.09700000001</v>
      </c>
      <c r="C30" s="288">
        <v>443762</v>
      </c>
      <c r="D30" s="159">
        <f>IF(B30=0, "    ---- ", IF(ABS(ROUND(100/B30*C30-100,1))&lt;999,ROUND(100/B30*C30-100,1),IF(ROUND(100/B30*C30-100,1)&gt;999,999,-999)))</f>
        <v>11</v>
      </c>
      <c r="E30" s="170">
        <f>IFERROR(100/'Skjema total MA'!C30*C30,0)</f>
        <v>29.69471930457642</v>
      </c>
      <c r="F30" s="229"/>
      <c r="G30" s="288"/>
      <c r="H30" s="159"/>
      <c r="I30" s="170"/>
      <c r="J30" s="37">
        <v>399855.09700000001</v>
      </c>
      <c r="K30" s="37">
        <v>443762</v>
      </c>
      <c r="L30" s="256">
        <f t="shared" si="7"/>
        <v>11</v>
      </c>
      <c r="M30" s="159">
        <f>IFERROR(100/'Skjema total MA'!I30*K30,0)</f>
        <v>29.69471930457642</v>
      </c>
    </row>
    <row r="31" spans="1:14" ht="15.75" x14ac:dyDescent="0.2">
      <c r="A31" s="11" t="s">
        <v>29</v>
      </c>
      <c r="B31" s="231">
        <v>71187.365000000005</v>
      </c>
      <c r="C31" s="231">
        <v>72486</v>
      </c>
      <c r="D31" s="159">
        <f t="shared" si="5"/>
        <v>1.8</v>
      </c>
      <c r="E31" s="170">
        <f>IFERROR(100/'Skjema total MA'!C31*C31,0)</f>
        <v>27.51705896699119</v>
      </c>
      <c r="F31" s="310">
        <v>66.599999999999994</v>
      </c>
      <c r="G31" s="310">
        <v>184</v>
      </c>
      <c r="H31" s="159">
        <f t="shared" si="6"/>
        <v>176.3</v>
      </c>
      <c r="I31" s="170">
        <f>IFERROR(100/'Skjema total MA'!F31*G31,0)</f>
        <v>1.4181359267146754</v>
      </c>
      <c r="J31" s="231">
        <v>71253.965000000011</v>
      </c>
      <c r="K31" s="231">
        <v>72670</v>
      </c>
      <c r="L31" s="256">
        <f t="shared" si="7"/>
        <v>2</v>
      </c>
      <c r="M31" s="159">
        <f>IFERROR(100/'Skjema total MA'!I31*K31,0)</f>
        <v>26.291908304879321</v>
      </c>
    </row>
    <row r="32" spans="1:14" ht="15.75" x14ac:dyDescent="0.2">
      <c r="A32" s="298" t="s">
        <v>318</v>
      </c>
      <c r="B32" s="291">
        <v>71187.365000000005</v>
      </c>
      <c r="C32" s="291">
        <v>72486</v>
      </c>
      <c r="D32" s="159">
        <f t="shared" si="5"/>
        <v>1.8</v>
      </c>
      <c r="E32" s="170">
        <f>IFERROR(100/'Skjema total MA'!C32*C32,0)</f>
        <v>27.517058966991183</v>
      </c>
      <c r="F32" s="291">
        <v>15</v>
      </c>
      <c r="G32" s="291">
        <v>42</v>
      </c>
      <c r="H32" s="159">
        <f t="shared" si="6"/>
        <v>180</v>
      </c>
      <c r="I32" s="237">
        <f>IFERROR(100/'Skjema total MA'!F32*G32,0)</f>
        <v>5.4901960784313726</v>
      </c>
      <c r="J32" s="291">
        <v>71202.365000000005</v>
      </c>
      <c r="K32" s="291">
        <v>72528</v>
      </c>
      <c r="L32" s="256">
        <f t="shared" si="7"/>
        <v>1.9</v>
      </c>
      <c r="M32" s="159">
        <f>IFERROR(100/'Skjema total MA'!I32*K32,0)</f>
        <v>27.4532763163947</v>
      </c>
    </row>
    <row r="33" spans="1:14" ht="15.75" x14ac:dyDescent="0.2">
      <c r="A33" s="298" t="s">
        <v>320</v>
      </c>
      <c r="B33" s="291"/>
      <c r="C33" s="291"/>
      <c r="D33" s="159"/>
      <c r="E33" s="237"/>
      <c r="F33" s="291">
        <v>51.6</v>
      </c>
      <c r="G33" s="291">
        <v>142</v>
      </c>
      <c r="H33" s="159">
        <f t="shared" si="6"/>
        <v>175.2</v>
      </c>
      <c r="I33" s="237">
        <f>IFERROR(100/'Skjema total MA'!F33*G33,0)</f>
        <v>1.1630022294187619</v>
      </c>
      <c r="J33" s="291">
        <v>51.6</v>
      </c>
      <c r="K33" s="291">
        <v>142</v>
      </c>
      <c r="L33" s="256">
        <f t="shared" si="7"/>
        <v>175.2</v>
      </c>
      <c r="M33" s="159">
        <f>IFERROR(100/'Skjema total MA'!I33*K33,0)</f>
        <v>1.1630022294187619</v>
      </c>
    </row>
    <row r="34" spans="1:14" s="21" customFormat="1" x14ac:dyDescent="0.2">
      <c r="A34" s="298" t="s">
        <v>16</v>
      </c>
      <c r="B34" s="291"/>
      <c r="C34" s="291"/>
      <c r="D34" s="159"/>
      <c r="E34" s="237"/>
      <c r="F34" s="291"/>
      <c r="G34" s="291"/>
      <c r="H34" s="159"/>
      <c r="I34" s="237"/>
      <c r="J34" s="291"/>
      <c r="K34" s="291"/>
      <c r="L34" s="159"/>
      <c r="M34" s="159"/>
      <c r="N34" s="166"/>
    </row>
    <row r="35" spans="1:14" ht="15.75" x14ac:dyDescent="0.2">
      <c r="A35" s="42" t="s">
        <v>308</v>
      </c>
      <c r="B35" s="37">
        <v>71187.365000000005</v>
      </c>
      <c r="C35" s="288">
        <v>72486</v>
      </c>
      <c r="D35" s="159">
        <f t="shared" si="5"/>
        <v>1.8</v>
      </c>
      <c r="E35" s="170">
        <f>IFERROR(100/'Skjema total MA'!C35*C35,0)</f>
        <v>38.643728291570199</v>
      </c>
      <c r="F35" s="229"/>
      <c r="G35" s="288"/>
      <c r="H35" s="159"/>
      <c r="I35" s="170"/>
      <c r="J35" s="37">
        <v>71187.365000000005</v>
      </c>
      <c r="K35" s="37">
        <v>72486</v>
      </c>
      <c r="L35" s="256">
        <f t="shared" si="7"/>
        <v>1.8</v>
      </c>
      <c r="M35" s="159">
        <f>IFERROR(100/'Skjema total MA'!I35*K35,0)</f>
        <v>38.643728291570199</v>
      </c>
    </row>
    <row r="36" spans="1:14" s="3" customFormat="1" ht="15.75" x14ac:dyDescent="0.2">
      <c r="A36" s="11" t="s">
        <v>28</v>
      </c>
      <c r="B36" s="231">
        <v>4840634.5355500001</v>
      </c>
      <c r="C36" s="311">
        <v>4942505.7916199993</v>
      </c>
      <c r="D36" s="159">
        <f t="shared" si="5"/>
        <v>2.1</v>
      </c>
      <c r="E36" s="170">
        <f>IFERROR(100/'Skjema total MA'!C36*C36,0)</f>
        <v>9.7738007119080681</v>
      </c>
      <c r="F36" s="310">
        <v>2001987.80996</v>
      </c>
      <c r="G36" s="311">
        <v>1919743.1913700001</v>
      </c>
      <c r="H36" s="159">
        <f t="shared" si="6"/>
        <v>-4.0999999999999996</v>
      </c>
      <c r="I36" s="170">
        <f>IFERROR(100/'Skjema total MA'!F36*G36,0)</f>
        <v>10.043806097460292</v>
      </c>
      <c r="J36" s="231">
        <v>6842622.3455100004</v>
      </c>
      <c r="K36" s="231">
        <v>6862248.9829899995</v>
      </c>
      <c r="L36" s="256">
        <f t="shared" si="7"/>
        <v>0.3</v>
      </c>
      <c r="M36" s="159">
        <f>IFERROR(100/'Skjema total MA'!I36*K36,0)</f>
        <v>9.8478622516200272</v>
      </c>
      <c r="N36" s="142"/>
    </row>
    <row r="37" spans="1:14" s="3" customFormat="1" ht="15.75" x14ac:dyDescent="0.2">
      <c r="A37" s="298" t="s">
        <v>318</v>
      </c>
      <c r="B37" s="291">
        <v>2777033.4452168201</v>
      </c>
      <c r="C37" s="291">
        <v>2835476.17274252</v>
      </c>
      <c r="D37" s="159">
        <f t="shared" si="5"/>
        <v>2.1</v>
      </c>
      <c r="E37" s="170">
        <f>IFERROR(100/'Skjema total MA'!C37*C37,0)</f>
        <v>22.033030570143712</v>
      </c>
      <c r="F37" s="291">
        <v>673283.90460999997</v>
      </c>
      <c r="G37" s="291">
        <v>636912.16023000004</v>
      </c>
      <c r="H37" s="159">
        <f t="shared" si="6"/>
        <v>-5.4</v>
      </c>
      <c r="I37" s="237">
        <f>IFERROR(100/'Skjema total MA'!F37*G37,0)</f>
        <v>14.84350346311318</v>
      </c>
      <c r="J37" s="291">
        <v>3450317.3498268202</v>
      </c>
      <c r="K37" s="291">
        <v>3472388.33297252</v>
      </c>
      <c r="L37" s="256">
        <f t="shared" si="7"/>
        <v>0.6</v>
      </c>
      <c r="M37" s="159">
        <f>IFERROR(100/'Skjema total MA'!I37*K37,0)</f>
        <v>20.235299226072833</v>
      </c>
      <c r="N37" s="142"/>
    </row>
    <row r="38" spans="1:14" s="3" customFormat="1" ht="15.75" x14ac:dyDescent="0.2">
      <c r="A38" s="298" t="s">
        <v>319</v>
      </c>
      <c r="B38" s="291">
        <v>2063601.09033318</v>
      </c>
      <c r="C38" s="291">
        <v>2107029.6188774798</v>
      </c>
      <c r="D38" s="159">
        <f t="shared" si="5"/>
        <v>2.1</v>
      </c>
      <c r="E38" s="170">
        <f>IFERROR(100/'Skjema total MA'!C38*C38,0)</f>
        <v>5.7968269298731485</v>
      </c>
      <c r="F38" s="291">
        <v>1075492.1861399999</v>
      </c>
      <c r="G38" s="291">
        <v>1003287.12061</v>
      </c>
      <c r="H38" s="159">
        <f t="shared" si="6"/>
        <v>-6.7</v>
      </c>
      <c r="I38" s="237">
        <f>IFERROR(100/'Skjema total MA'!F38*G38,0)</f>
        <v>8.8107904250005671</v>
      </c>
      <c r="J38" s="291">
        <v>3139093.2764731799</v>
      </c>
      <c r="K38" s="291">
        <v>3110316.7394874799</v>
      </c>
      <c r="L38" s="256">
        <f t="shared" si="7"/>
        <v>-0.9</v>
      </c>
      <c r="M38" s="159">
        <f>IFERROR(100/'Skjema total MA'!I38*K38,0)</f>
        <v>6.515797874485151</v>
      </c>
      <c r="N38" s="142"/>
    </row>
    <row r="39" spans="1:14" ht="15.75" x14ac:dyDescent="0.2">
      <c r="A39" s="298" t="s">
        <v>320</v>
      </c>
      <c r="B39" s="291"/>
      <c r="C39" s="291"/>
      <c r="D39" s="159"/>
      <c r="E39" s="237"/>
      <c r="F39" s="291">
        <v>253211.71921000001</v>
      </c>
      <c r="G39" s="291">
        <v>279543.91052999999</v>
      </c>
      <c r="H39" s="159">
        <f t="shared" si="6"/>
        <v>10.4</v>
      </c>
      <c r="I39" s="237">
        <f>IFERROR(100/'Skjema total MA'!F39*G39,0)</f>
        <v>8.1361464884410726</v>
      </c>
      <c r="J39" s="291">
        <v>253211.71921000001</v>
      </c>
      <c r="K39" s="291">
        <v>279543.91052999999</v>
      </c>
      <c r="L39" s="256">
        <f t="shared" si="7"/>
        <v>10.4</v>
      </c>
      <c r="M39" s="159">
        <f>IFERROR(100/'Skjema total MA'!I39*K39,0)</f>
        <v>5.838961998936484</v>
      </c>
    </row>
    <row r="40" spans="1:14" ht="15.75" x14ac:dyDescent="0.2">
      <c r="A40" s="11" t="s">
        <v>27</v>
      </c>
      <c r="B40" s="231">
        <v>28.297000000000001</v>
      </c>
      <c r="C40" s="311">
        <v>4994.96623</v>
      </c>
      <c r="D40" s="159">
        <f t="shared" si="5"/>
        <v>999</v>
      </c>
      <c r="E40" s="170">
        <f>IFERROR(100/'Skjema total MA'!C40*C40,0)</f>
        <v>11.272387079653328</v>
      </c>
      <c r="F40" s="310">
        <v>10464.077139999999</v>
      </c>
      <c r="G40" s="311">
        <v>16001.112649999999</v>
      </c>
      <c r="H40" s="159">
        <f t="shared" si="6"/>
        <v>52.9</v>
      </c>
      <c r="I40" s="170">
        <f>IFERROR(100/'Skjema total MA'!F40*G40,0)</f>
        <v>20.332339809435862</v>
      </c>
      <c r="J40" s="231">
        <v>10492.37414</v>
      </c>
      <c r="K40" s="231">
        <v>20996.078880000001</v>
      </c>
      <c r="L40" s="256">
        <f t="shared" si="7"/>
        <v>100.1</v>
      </c>
      <c r="M40" s="159">
        <f>IFERROR(100/'Skjema total MA'!I40*K40,0)</f>
        <v>17.068683457006209</v>
      </c>
    </row>
    <row r="41" spans="1:14" ht="15.75" x14ac:dyDescent="0.2">
      <c r="A41" s="11" t="s">
        <v>26</v>
      </c>
      <c r="B41" s="231">
        <v>2040.1133199999999</v>
      </c>
      <c r="C41" s="311">
        <v>1169.5042900000001</v>
      </c>
      <c r="D41" s="159">
        <f t="shared" si="5"/>
        <v>-42.7</v>
      </c>
      <c r="E41" s="170">
        <f>IFERROR(100/'Skjema total MA'!C41*C41,0)</f>
        <v>-1.9389040536188766</v>
      </c>
      <c r="F41" s="310">
        <v>3575.6158999999998</v>
      </c>
      <c r="G41" s="311">
        <v>3270.7949899999999</v>
      </c>
      <c r="H41" s="159">
        <f t="shared" si="6"/>
        <v>-8.5</v>
      </c>
      <c r="I41" s="170">
        <f>IFERROR(100/'Skjema total MA'!F41*G41,0)</f>
        <v>3.1308641223053399</v>
      </c>
      <c r="J41" s="231">
        <v>5615.7292199999993</v>
      </c>
      <c r="K41" s="231">
        <v>4440.2992800000002</v>
      </c>
      <c r="L41" s="256">
        <f t="shared" si="7"/>
        <v>-20.9</v>
      </c>
      <c r="M41" s="159">
        <f>IFERROR(100/'Skjema total MA'!I41*K41,0)</f>
        <v>10.056938598205425</v>
      </c>
    </row>
    <row r="42" spans="1:14" ht="15.75" x14ac:dyDescent="0.2">
      <c r="A42" s="10" t="s">
        <v>321</v>
      </c>
      <c r="B42" s="231"/>
      <c r="C42" s="311"/>
      <c r="D42" s="159"/>
      <c r="E42" s="170"/>
      <c r="F42" s="321"/>
      <c r="G42" s="322"/>
      <c r="H42" s="159"/>
      <c r="I42" s="237"/>
      <c r="J42" s="231"/>
      <c r="K42" s="231"/>
      <c r="L42" s="256"/>
      <c r="M42" s="159"/>
    </row>
    <row r="43" spans="1:14" ht="15.75" x14ac:dyDescent="0.2">
      <c r="A43" s="10" t="s">
        <v>322</v>
      </c>
      <c r="B43" s="231"/>
      <c r="C43" s="311"/>
      <c r="D43" s="159"/>
      <c r="E43" s="170"/>
      <c r="F43" s="321"/>
      <c r="G43" s="322"/>
      <c r="H43" s="159"/>
      <c r="I43" s="237"/>
      <c r="J43" s="231"/>
      <c r="K43" s="231"/>
      <c r="L43" s="256"/>
      <c r="M43" s="159"/>
    </row>
    <row r="44" spans="1:14" ht="15.75" x14ac:dyDescent="0.2">
      <c r="A44" s="10" t="s">
        <v>323</v>
      </c>
      <c r="B44" s="231"/>
      <c r="C44" s="311"/>
      <c r="D44" s="159"/>
      <c r="E44" s="170"/>
      <c r="F44" s="321"/>
      <c r="G44" s="323"/>
      <c r="H44" s="159"/>
      <c r="I44" s="237"/>
      <c r="J44" s="231"/>
      <c r="K44" s="231"/>
      <c r="L44" s="256"/>
      <c r="M44" s="159"/>
    </row>
    <row r="45" spans="1:14" ht="15.75" x14ac:dyDescent="0.2">
      <c r="A45" s="10" t="s">
        <v>324</v>
      </c>
      <c r="B45" s="231"/>
      <c r="C45" s="311"/>
      <c r="D45" s="159"/>
      <c r="E45" s="170"/>
      <c r="F45" s="321"/>
      <c r="G45" s="322"/>
      <c r="H45" s="159"/>
      <c r="I45" s="237"/>
      <c r="J45" s="231"/>
      <c r="K45" s="231"/>
      <c r="L45" s="256"/>
      <c r="M45" s="159"/>
    </row>
    <row r="46" spans="1:14" ht="15.75" x14ac:dyDescent="0.2">
      <c r="A46" s="16" t="s">
        <v>325</v>
      </c>
      <c r="B46" s="277"/>
      <c r="C46" s="317"/>
      <c r="D46" s="160"/>
      <c r="E46" s="201"/>
      <c r="F46" s="324"/>
      <c r="G46" s="325"/>
      <c r="H46" s="160"/>
      <c r="I46" s="160"/>
      <c r="J46" s="231"/>
      <c r="K46" s="231"/>
      <c r="L46" s="257"/>
      <c r="M46" s="160"/>
    </row>
    <row r="47" spans="1:14" ht="15.75" x14ac:dyDescent="0.25">
      <c r="A47" s="40"/>
      <c r="B47" s="254"/>
      <c r="C47" s="254"/>
      <c r="D47" s="836"/>
      <c r="E47" s="836"/>
      <c r="F47" s="836"/>
      <c r="G47" s="836"/>
      <c r="H47" s="836"/>
      <c r="I47" s="836"/>
      <c r="J47" s="836"/>
      <c r="K47" s="836"/>
      <c r="L47" s="836"/>
      <c r="M47" s="304"/>
    </row>
    <row r="48" spans="1:14" x14ac:dyDescent="0.2">
      <c r="A48" s="148"/>
    </row>
    <row r="49" spans="1:14" ht="15.75" x14ac:dyDescent="0.25">
      <c r="A49" s="141" t="s">
        <v>305</v>
      </c>
      <c r="B49" s="835"/>
      <c r="C49" s="835"/>
      <c r="D49" s="835"/>
      <c r="E49" s="301"/>
      <c r="F49" s="837"/>
      <c r="G49" s="837"/>
      <c r="H49" s="837"/>
      <c r="I49" s="304"/>
      <c r="J49" s="837"/>
      <c r="K49" s="837"/>
      <c r="L49" s="837"/>
      <c r="M49" s="304"/>
    </row>
    <row r="50" spans="1:14" ht="15.75" x14ac:dyDescent="0.25">
      <c r="A50" s="156"/>
      <c r="B50" s="305"/>
      <c r="C50" s="305"/>
      <c r="D50" s="305"/>
      <c r="E50" s="305"/>
      <c r="F50" s="304"/>
      <c r="G50" s="304"/>
      <c r="H50" s="304"/>
      <c r="I50" s="304"/>
      <c r="J50" s="304"/>
      <c r="K50" s="304"/>
      <c r="L50" s="304"/>
      <c r="M50" s="304"/>
    </row>
    <row r="51" spans="1:14" ht="15.75" x14ac:dyDescent="0.25">
      <c r="A51" s="244"/>
      <c r="B51" s="833" t="s">
        <v>0</v>
      </c>
      <c r="C51" s="834"/>
      <c r="D51" s="834"/>
      <c r="E51" s="240"/>
      <c r="F51" s="304"/>
      <c r="G51" s="304"/>
      <c r="H51" s="304"/>
      <c r="I51" s="304"/>
      <c r="J51" s="304"/>
      <c r="K51" s="304"/>
      <c r="L51" s="304"/>
      <c r="M51" s="304"/>
    </row>
    <row r="52" spans="1:14" s="3" customFormat="1" x14ac:dyDescent="0.2">
      <c r="A52" s="134"/>
      <c r="B52" s="167" t="s">
        <v>400</v>
      </c>
      <c r="C52" s="167" t="s">
        <v>401</v>
      </c>
      <c r="D52" s="155" t="s">
        <v>3</v>
      </c>
      <c r="E52" s="155" t="s">
        <v>37</v>
      </c>
      <c r="F52" s="169"/>
      <c r="G52" s="169"/>
      <c r="H52" s="168"/>
      <c r="I52" s="168"/>
      <c r="J52" s="169"/>
      <c r="K52" s="169"/>
      <c r="L52" s="168"/>
      <c r="M52" s="168"/>
      <c r="N52" s="142"/>
    </row>
    <row r="53" spans="1:14" s="3" customFormat="1" x14ac:dyDescent="0.2">
      <c r="A53" s="403"/>
      <c r="B53" s="241"/>
      <c r="C53" s="241"/>
      <c r="D53" s="242" t="s">
        <v>4</v>
      </c>
      <c r="E53" s="149" t="s">
        <v>38</v>
      </c>
      <c r="F53" s="168"/>
      <c r="G53" s="168"/>
      <c r="H53" s="168"/>
      <c r="I53" s="168"/>
      <c r="J53" s="168"/>
      <c r="K53" s="168"/>
      <c r="L53" s="168"/>
      <c r="M53" s="168"/>
      <c r="N53" s="142"/>
    </row>
    <row r="54" spans="1:14" s="3" customFormat="1" ht="15.75" x14ac:dyDescent="0.2">
      <c r="A54" s="12" t="s">
        <v>30</v>
      </c>
      <c r="B54" s="312">
        <v>749603.04176999989</v>
      </c>
      <c r="C54" s="313">
        <f>C55+C56</f>
        <v>751647.64006000001</v>
      </c>
      <c r="D54" s="255">
        <f t="shared" ref="D54:D71" si="8">IF(B54=0, "    ---- ", IF(ABS(ROUND(100/B54*C54-100,1))&lt;999,ROUND(100/B54*C54-100,1),IF(ROUND(100/B54*C54-100,1)&gt;999,999,-999)))</f>
        <v>0.3</v>
      </c>
      <c r="E54" s="170">
        <f>IFERROR(100/'Skjema total MA'!C54*C54,0)</f>
        <v>20.131846765636617</v>
      </c>
      <c r="F54" s="139"/>
      <c r="G54" s="27"/>
      <c r="H54" s="152"/>
      <c r="I54" s="152"/>
      <c r="J54" s="30"/>
      <c r="K54" s="30"/>
      <c r="L54" s="152"/>
      <c r="M54" s="152"/>
      <c r="N54" s="142"/>
    </row>
    <row r="55" spans="1:14" s="3" customFormat="1" ht="15.75" x14ac:dyDescent="0.2">
      <c r="A55" s="31" t="s">
        <v>326</v>
      </c>
      <c r="B55" s="282">
        <v>99943.345170000001</v>
      </c>
      <c r="C55" s="283">
        <v>96139.92383</v>
      </c>
      <c r="D55" s="256">
        <f t="shared" si="8"/>
        <v>-3.8</v>
      </c>
      <c r="E55" s="170">
        <f>IFERROR(100/'Skjema total MA'!C55*C55,0)</f>
        <v>4.7229317719309654</v>
      </c>
      <c r="F55" s="139"/>
      <c r="G55" s="27"/>
      <c r="H55" s="139"/>
      <c r="I55" s="139"/>
      <c r="J55" s="27"/>
      <c r="K55" s="27"/>
      <c r="L55" s="152"/>
      <c r="M55" s="152"/>
      <c r="N55" s="142"/>
    </row>
    <row r="56" spans="1:14" s="3" customFormat="1" ht="15.75" x14ac:dyDescent="0.2">
      <c r="A56" s="31" t="s">
        <v>327</v>
      </c>
      <c r="B56" s="37">
        <v>649659.69659999991</v>
      </c>
      <c r="C56" s="288">
        <f>SUM(C58:C59)</f>
        <v>655507.71623000002</v>
      </c>
      <c r="D56" s="256">
        <f>IF(B56=0, "    ---- ", IF(ABS(ROUND(100/B56*C56-100,1))&lt;999,ROUND(100/B56*C56-100,1),IF(ROUND(100/B56*C56-100,1)&gt;999,999,-999)))</f>
        <v>0.9</v>
      </c>
      <c r="E56" s="170">
        <f>IFERROR(100/'Skjema total MA'!C56*C56,0)</f>
        <v>38.604092761710653</v>
      </c>
      <c r="F56" s="139"/>
      <c r="G56" s="27"/>
      <c r="H56" s="139"/>
      <c r="I56" s="139"/>
      <c r="J56" s="30"/>
      <c r="K56" s="30"/>
      <c r="L56" s="152"/>
      <c r="M56" s="152"/>
      <c r="N56" s="142"/>
    </row>
    <row r="57" spans="1:14" s="3" customFormat="1" x14ac:dyDescent="0.2">
      <c r="A57" s="298" t="s">
        <v>6</v>
      </c>
      <c r="B57" s="291"/>
      <c r="C57" s="292"/>
      <c r="D57" s="256"/>
      <c r="E57" s="159"/>
      <c r="F57" s="139"/>
      <c r="G57" s="27"/>
      <c r="H57" s="139"/>
      <c r="I57" s="139"/>
      <c r="J57" s="27"/>
      <c r="K57" s="27"/>
      <c r="L57" s="152"/>
      <c r="M57" s="152"/>
      <c r="N57" s="142"/>
    </row>
    <row r="58" spans="1:14" s="3" customFormat="1" x14ac:dyDescent="0.2">
      <c r="A58" s="298" t="s">
        <v>7</v>
      </c>
      <c r="B58" s="291">
        <v>451215.21324999997</v>
      </c>
      <c r="C58" s="292">
        <v>453637.71623000002</v>
      </c>
      <c r="D58" s="256">
        <f t="shared" si="8"/>
        <v>0.5</v>
      </c>
      <c r="E58" s="170">
        <f>IFERROR(100/'Skjema total MA'!C58*C58,0)</f>
        <v>31.323490532936631</v>
      </c>
      <c r="F58" s="139"/>
      <c r="G58" s="27"/>
      <c r="H58" s="139"/>
      <c r="I58" s="139"/>
      <c r="J58" s="27"/>
      <c r="K58" s="27"/>
      <c r="L58" s="152"/>
      <c r="M58" s="152"/>
      <c r="N58" s="142"/>
    </row>
    <row r="59" spans="1:14" s="3" customFormat="1" x14ac:dyDescent="0.2">
      <c r="A59" s="298" t="s">
        <v>8</v>
      </c>
      <c r="B59" s="291">
        <v>198444.48334999999</v>
      </c>
      <c r="C59" s="292">
        <v>201870</v>
      </c>
      <c r="D59" s="256">
        <f t="shared" si="8"/>
        <v>1.7</v>
      </c>
      <c r="E59" s="170">
        <f>IFERROR(100/'Skjema total MA'!C59*C59,0)</f>
        <v>82.055972196817265</v>
      </c>
      <c r="F59" s="139"/>
      <c r="G59" s="27"/>
      <c r="H59" s="139"/>
      <c r="I59" s="139"/>
      <c r="J59" s="27"/>
      <c r="K59" s="27"/>
      <c r="L59" s="152"/>
      <c r="M59" s="152"/>
      <c r="N59" s="142"/>
    </row>
    <row r="60" spans="1:14" s="3" customFormat="1" ht="15.75" x14ac:dyDescent="0.2">
      <c r="A60" s="11" t="s">
        <v>29</v>
      </c>
      <c r="B60" s="312">
        <v>1853.433</v>
      </c>
      <c r="C60" s="313">
        <v>5009</v>
      </c>
      <c r="D60" s="256">
        <f t="shared" si="8"/>
        <v>170.3</v>
      </c>
      <c r="E60" s="170">
        <f>IFERROR(100/'Skjema total MA'!C60*C60,0)</f>
        <v>5.6711394434348952</v>
      </c>
      <c r="F60" s="139"/>
      <c r="G60" s="27"/>
      <c r="H60" s="139"/>
      <c r="I60" s="139"/>
      <c r="J60" s="27"/>
      <c r="K60" s="27"/>
      <c r="L60" s="152"/>
      <c r="M60" s="152"/>
      <c r="N60" s="142"/>
    </row>
    <row r="61" spans="1:14" s="3" customFormat="1" ht="15.75" x14ac:dyDescent="0.2">
      <c r="A61" s="31" t="s">
        <v>326</v>
      </c>
      <c r="B61" s="282">
        <v>1448.934</v>
      </c>
      <c r="C61" s="283">
        <v>3109</v>
      </c>
      <c r="D61" s="256">
        <f t="shared" si="8"/>
        <v>114.6</v>
      </c>
      <c r="E61" s="170">
        <f>IFERROR(100/'Skjema total MA'!C61*C61,0)</f>
        <v>8.0132321169415377</v>
      </c>
      <c r="F61" s="139"/>
      <c r="G61" s="27"/>
      <c r="H61" s="139"/>
      <c r="I61" s="139"/>
      <c r="J61" s="27"/>
      <c r="K61" s="27"/>
      <c r="L61" s="152"/>
      <c r="M61" s="152"/>
      <c r="N61" s="142"/>
    </row>
    <row r="62" spans="1:14" s="3" customFormat="1" ht="15.75" x14ac:dyDescent="0.2">
      <c r="A62" s="31" t="s">
        <v>327</v>
      </c>
      <c r="B62" s="37">
        <v>404.49900000000002</v>
      </c>
      <c r="C62" s="288">
        <v>1900</v>
      </c>
      <c r="D62" s="256">
        <f t="shared" si="8"/>
        <v>369.7</v>
      </c>
      <c r="E62" s="170">
        <f>IFERROR(100/'Skjema total MA'!C62*C62,0)</f>
        <v>3.8363629663768024</v>
      </c>
      <c r="F62" s="139"/>
      <c r="G62" s="27"/>
      <c r="H62" s="139"/>
      <c r="I62" s="139"/>
      <c r="J62" s="27"/>
      <c r="K62" s="27"/>
      <c r="L62" s="152"/>
      <c r="M62" s="152"/>
      <c r="N62" s="142"/>
    </row>
    <row r="63" spans="1:14" s="3" customFormat="1" x14ac:dyDescent="0.2">
      <c r="A63" s="298" t="s">
        <v>6</v>
      </c>
      <c r="B63" s="282">
        <v>0</v>
      </c>
      <c r="C63" s="283">
        <v>0</v>
      </c>
      <c r="D63" s="256"/>
      <c r="E63" s="170">
        <f>IFERROR(100/'Skjema total MA'!C63*C63,0)</f>
        <v>0</v>
      </c>
      <c r="F63" s="139"/>
      <c r="G63" s="27"/>
      <c r="H63" s="139"/>
      <c r="I63" s="139"/>
      <c r="J63" s="27"/>
      <c r="K63" s="27"/>
      <c r="L63" s="152"/>
      <c r="M63" s="152"/>
      <c r="N63" s="142"/>
    </row>
    <row r="64" spans="1:14" s="3" customFormat="1" x14ac:dyDescent="0.2">
      <c r="A64" s="298" t="s">
        <v>7</v>
      </c>
      <c r="B64" s="282">
        <v>404.49900000000002</v>
      </c>
      <c r="C64" s="283">
        <v>1900</v>
      </c>
      <c r="D64" s="256"/>
      <c r="E64" s="170">
        <f>IFERROR(100/'Skjema total MA'!C64*C64,0)</f>
        <v>3.9589107569626973</v>
      </c>
      <c r="F64" s="139"/>
      <c r="G64" s="27"/>
      <c r="H64" s="139"/>
      <c r="I64" s="139"/>
      <c r="J64" s="27"/>
      <c r="K64" s="27"/>
      <c r="L64" s="152"/>
      <c r="M64" s="152"/>
      <c r="N64" s="142"/>
    </row>
    <row r="65" spans="1:14" s="3" customFormat="1" x14ac:dyDescent="0.2">
      <c r="A65" s="298" t="s">
        <v>8</v>
      </c>
      <c r="B65" s="282"/>
      <c r="C65" s="283"/>
      <c r="D65" s="256"/>
      <c r="E65" s="159"/>
      <c r="F65" s="139"/>
      <c r="G65" s="27"/>
      <c r="H65" s="139"/>
      <c r="I65" s="139"/>
      <c r="J65" s="27"/>
      <c r="K65" s="27"/>
      <c r="L65" s="152"/>
      <c r="M65" s="152"/>
      <c r="N65" s="142"/>
    </row>
    <row r="66" spans="1:14" s="3" customFormat="1" ht="15.75" x14ac:dyDescent="0.2">
      <c r="A66" s="32" t="s">
        <v>328</v>
      </c>
      <c r="B66" s="312">
        <v>5171.0690000000004</v>
      </c>
      <c r="C66" s="313">
        <v>6496.5169999999998</v>
      </c>
      <c r="D66" s="256">
        <f t="shared" si="8"/>
        <v>25.6</v>
      </c>
      <c r="E66" s="170">
        <f>IFERROR(100/'Skjema total MA'!C66*C66,0)</f>
        <v>3.8618341885214411</v>
      </c>
      <c r="F66" s="139"/>
      <c r="G66" s="27"/>
      <c r="H66" s="139"/>
      <c r="I66" s="139"/>
      <c r="J66" s="27"/>
      <c r="K66" s="27"/>
      <c r="L66" s="152"/>
      <c r="M66" s="152"/>
      <c r="N66" s="142"/>
    </row>
    <row r="67" spans="1:14" s="3" customFormat="1" ht="15.75" x14ac:dyDescent="0.2">
      <c r="A67" s="31" t="s">
        <v>326</v>
      </c>
      <c r="B67" s="282">
        <v>5171.0690000000004</v>
      </c>
      <c r="C67" s="283">
        <v>2791.2910000000002</v>
      </c>
      <c r="D67" s="256">
        <f t="shared" si="8"/>
        <v>-46</v>
      </c>
      <c r="E67" s="170">
        <f>IFERROR(100/'Skjema total MA'!C67*C67,0)</f>
        <v>2.0126293566296192</v>
      </c>
      <c r="F67" s="139"/>
      <c r="G67" s="27"/>
      <c r="H67" s="139"/>
      <c r="I67" s="139"/>
      <c r="J67" s="27"/>
      <c r="K67" s="27"/>
      <c r="L67" s="152"/>
      <c r="M67" s="152"/>
      <c r="N67" s="142"/>
    </row>
    <row r="68" spans="1:14" s="3" customFormat="1" ht="15.75" x14ac:dyDescent="0.2">
      <c r="A68" s="31" t="s">
        <v>327</v>
      </c>
      <c r="B68" s="282">
        <v>0</v>
      </c>
      <c r="C68" s="283">
        <v>3705.2260000000001</v>
      </c>
      <c r="D68" s="256" t="str">
        <f t="shared" si="8"/>
        <v xml:space="preserve">    ---- </v>
      </c>
      <c r="E68" s="170">
        <f>IFERROR(100/'Skjema total MA'!C68*C68,0)</f>
        <v>12.545272806304203</v>
      </c>
      <c r="F68" s="139"/>
      <c r="G68" s="27"/>
      <c r="H68" s="139"/>
      <c r="I68" s="139"/>
      <c r="J68" s="27"/>
      <c r="K68" s="27"/>
      <c r="L68" s="152"/>
      <c r="M68" s="152"/>
      <c r="N68" s="142"/>
    </row>
    <row r="69" spans="1:14" s="3" customFormat="1" ht="15.75" x14ac:dyDescent="0.2">
      <c r="A69" s="32" t="s">
        <v>329</v>
      </c>
      <c r="B69" s="312">
        <v>6451.9259999999995</v>
      </c>
      <c r="C69" s="313">
        <v>6504.2160000000003</v>
      </c>
      <c r="D69" s="256">
        <f t="shared" si="8"/>
        <v>0.8</v>
      </c>
      <c r="E69" s="170">
        <f>IFERROR(100/'Skjema total MA'!C69*C69,0)</f>
        <v>3.4191946212597846</v>
      </c>
      <c r="F69" s="139"/>
      <c r="G69" s="27"/>
      <c r="H69" s="139"/>
      <c r="I69" s="139"/>
      <c r="J69" s="27"/>
      <c r="K69" s="27"/>
      <c r="L69" s="152"/>
      <c r="M69" s="152"/>
      <c r="N69" s="142"/>
    </row>
    <row r="70" spans="1:14" s="3" customFormat="1" ht="15.75" x14ac:dyDescent="0.2">
      <c r="A70" s="31" t="s">
        <v>326</v>
      </c>
      <c r="B70" s="282">
        <v>5004.393</v>
      </c>
      <c r="C70" s="283">
        <v>3605.3020000000001</v>
      </c>
      <c r="D70" s="256">
        <f t="shared" si="8"/>
        <v>-28</v>
      </c>
      <c r="E70" s="170">
        <f>IFERROR(100/'Skjema total MA'!C70*C70,0)</f>
        <v>1.9254216716783343</v>
      </c>
      <c r="F70" s="139"/>
      <c r="G70" s="27"/>
      <c r="H70" s="139"/>
      <c r="I70" s="139"/>
      <c r="J70" s="27"/>
      <c r="K70" s="27"/>
      <c r="L70" s="152"/>
      <c r="M70" s="152"/>
      <c r="N70" s="142"/>
    </row>
    <row r="71" spans="1:14" s="3" customFormat="1" ht="15.75" x14ac:dyDescent="0.2">
      <c r="A71" s="39" t="s">
        <v>327</v>
      </c>
      <c r="B71" s="284">
        <v>1447.5329999999999</v>
      </c>
      <c r="C71" s="285">
        <v>2898.9140000000002</v>
      </c>
      <c r="D71" s="257">
        <f t="shared" si="8"/>
        <v>100.3</v>
      </c>
      <c r="E71" s="160">
        <f>IFERROR(100/'Skjema total MA'!C71*C71,0)</f>
        <v>97.306683244090934</v>
      </c>
      <c r="F71" s="139"/>
      <c r="G71" s="27"/>
      <c r="H71" s="139"/>
      <c r="I71" s="139"/>
      <c r="J71" s="27"/>
      <c r="K71" s="27"/>
      <c r="L71" s="152"/>
      <c r="M71" s="152"/>
      <c r="N71" s="142"/>
    </row>
    <row r="72" spans="1:14" s="3" customFormat="1" ht="15.75" x14ac:dyDescent="0.25">
      <c r="A72" s="157"/>
      <c r="B72" s="147"/>
      <c r="C72" s="147"/>
      <c r="D72" s="147"/>
      <c r="E72" s="147"/>
      <c r="F72" s="136"/>
      <c r="G72" s="136"/>
      <c r="H72" s="136"/>
      <c r="I72" s="136"/>
      <c r="J72" s="136"/>
      <c r="K72" s="136"/>
      <c r="L72" s="136"/>
      <c r="M72" s="136"/>
      <c r="N72" s="142"/>
    </row>
    <row r="73" spans="1:14" x14ac:dyDescent="0.2">
      <c r="A73" s="148"/>
    </row>
    <row r="74" spans="1:14" ht="15.75" x14ac:dyDescent="0.25">
      <c r="A74" s="141" t="s">
        <v>306</v>
      </c>
      <c r="C74" s="20"/>
      <c r="D74" s="20"/>
      <c r="E74" s="20"/>
      <c r="F74" s="20"/>
      <c r="G74" s="20"/>
      <c r="H74" s="20"/>
      <c r="I74" s="20"/>
      <c r="J74" s="20"/>
      <c r="K74" s="20"/>
      <c r="L74" s="20"/>
      <c r="M74" s="20"/>
    </row>
    <row r="75" spans="1:14" ht="15.75" x14ac:dyDescent="0.25">
      <c r="B75" s="832"/>
      <c r="C75" s="832"/>
      <c r="D75" s="832"/>
      <c r="E75" s="301"/>
      <c r="F75" s="832"/>
      <c r="G75" s="832"/>
      <c r="H75" s="832"/>
      <c r="I75" s="301"/>
      <c r="J75" s="832"/>
      <c r="K75" s="832"/>
      <c r="L75" s="832"/>
      <c r="M75" s="301"/>
    </row>
    <row r="76" spans="1:14" x14ac:dyDescent="0.2">
      <c r="A76" s="138"/>
      <c r="B76" s="833" t="s">
        <v>0</v>
      </c>
      <c r="C76" s="834"/>
      <c r="D76" s="838"/>
      <c r="E76" s="302"/>
      <c r="F76" s="834" t="s">
        <v>1</v>
      </c>
      <c r="G76" s="834"/>
      <c r="H76" s="834"/>
      <c r="I76" s="306"/>
      <c r="J76" s="833" t="s">
        <v>2</v>
      </c>
      <c r="K76" s="834"/>
      <c r="L76" s="834"/>
      <c r="M76" s="306"/>
    </row>
    <row r="77" spans="1:14" x14ac:dyDescent="0.2">
      <c r="A77" s="134"/>
      <c r="B77" s="145" t="s">
        <v>400</v>
      </c>
      <c r="C77" s="145" t="s">
        <v>401</v>
      </c>
      <c r="D77" s="242" t="s">
        <v>3</v>
      </c>
      <c r="E77" s="307" t="s">
        <v>37</v>
      </c>
      <c r="F77" s="145" t="s">
        <v>400</v>
      </c>
      <c r="G77" s="145" t="s">
        <v>401</v>
      </c>
      <c r="H77" s="242" t="s">
        <v>3</v>
      </c>
      <c r="I77" s="307" t="s">
        <v>37</v>
      </c>
      <c r="J77" s="145" t="s">
        <v>400</v>
      </c>
      <c r="K77" s="145" t="s">
        <v>401</v>
      </c>
      <c r="L77" s="242" t="s">
        <v>3</v>
      </c>
      <c r="M77" s="155" t="s">
        <v>37</v>
      </c>
    </row>
    <row r="78" spans="1:14" x14ac:dyDescent="0.2">
      <c r="A78" s="403"/>
      <c r="B78" s="149"/>
      <c r="C78" s="149"/>
      <c r="D78" s="243" t="s">
        <v>4</v>
      </c>
      <c r="E78" s="149" t="s">
        <v>38</v>
      </c>
      <c r="F78" s="154"/>
      <c r="G78" s="154"/>
      <c r="H78" s="242" t="s">
        <v>4</v>
      </c>
      <c r="I78" s="149" t="s">
        <v>38</v>
      </c>
      <c r="J78" s="154"/>
      <c r="K78" s="154"/>
      <c r="L78" s="242" t="s">
        <v>4</v>
      </c>
      <c r="M78" s="149" t="s">
        <v>38</v>
      </c>
    </row>
    <row r="79" spans="1:14" ht="15.75" x14ac:dyDescent="0.2">
      <c r="A79" s="12" t="s">
        <v>30</v>
      </c>
      <c r="B79" s="355">
        <v>571577.63566000003</v>
      </c>
      <c r="C79" s="355">
        <v>550771.77613000001</v>
      </c>
      <c r="D79" s="251">
        <f t="shared" ref="D79:D142" si="9">IF(B79=0, "    ---- ", IF(ABS(ROUND(100/B79*C79-100,1))&lt;999,ROUND(100/B79*C79-100,1),IF(ROUND(100/B79*C79-100,1)&gt;999,999,-999)))</f>
        <v>-3.6</v>
      </c>
      <c r="E79" s="170">
        <f>IFERROR(100/'Skjema total MA'!C79*C79,0)</f>
        <v>4.718015187805026</v>
      </c>
      <c r="F79" s="354">
        <v>1476112.0293000001</v>
      </c>
      <c r="G79" s="354">
        <v>1977165.8722299999</v>
      </c>
      <c r="H79" s="251">
        <f t="shared" ref="H79:H142" si="10">IF(F79=0, "    ---- ", IF(ABS(ROUND(100/F79*G79-100,1))&lt;999,ROUND(100/F79*G79-100,1),IF(ROUND(100/F79*G79-100,1)&gt;999,999,-999)))</f>
        <v>33.9</v>
      </c>
      <c r="I79" s="170">
        <f>IFERROR(100/'Skjema total MA'!F79*G79,0)</f>
        <v>8.5571392149330681</v>
      </c>
      <c r="J79" s="311">
        <v>2047689.6649600002</v>
      </c>
      <c r="K79" s="318">
        <v>2527937.64836</v>
      </c>
      <c r="L79" s="255">
        <f t="shared" ref="L79:L142" si="11">IF(J79=0, "    ---- ", IF(ABS(ROUND(100/J79*K79-100,1))&lt;999,ROUND(100/J79*K79-100,1),IF(ROUND(100/J79*K79-100,1)&gt;999,999,-999)))</f>
        <v>23.5</v>
      </c>
      <c r="M79" s="170">
        <f>IFERROR(100/'Skjema total MA'!I79*K79,0)</f>
        <v>7.2685212244578752</v>
      </c>
    </row>
    <row r="80" spans="1:14" x14ac:dyDescent="0.2">
      <c r="A80" s="18" t="s">
        <v>9</v>
      </c>
      <c r="B80" s="37">
        <v>488049.55660000001</v>
      </c>
      <c r="C80" s="139">
        <v>434379.32919000002</v>
      </c>
      <c r="D80" s="159">
        <f t="shared" si="9"/>
        <v>-11</v>
      </c>
      <c r="E80" s="170">
        <f>IFERROR(100/'Skjema total MA'!C80*C80,0)</f>
        <v>3.8032147748129841</v>
      </c>
      <c r="F80" s="229"/>
      <c r="G80" s="139"/>
      <c r="H80" s="159"/>
      <c r="I80" s="170"/>
      <c r="J80" s="288">
        <v>488049.55660000001</v>
      </c>
      <c r="K80" s="37">
        <v>434379.32919000002</v>
      </c>
      <c r="L80" s="256">
        <f t="shared" si="11"/>
        <v>-11</v>
      </c>
      <c r="M80" s="170">
        <f>IFERROR(100/'Skjema total MA'!I80*K80,0)</f>
        <v>3.8032147748129841</v>
      </c>
    </row>
    <row r="81" spans="1:14" x14ac:dyDescent="0.2">
      <c r="A81" s="18" t="s">
        <v>10</v>
      </c>
      <c r="B81" s="293">
        <v>61151.572059999999</v>
      </c>
      <c r="C81" s="294">
        <v>62280.477980000003</v>
      </c>
      <c r="D81" s="159">
        <f t="shared" si="9"/>
        <v>1.8</v>
      </c>
      <c r="E81" s="170">
        <f>IFERROR(100/'Skjema total MA'!C81*C81,0)</f>
        <v>36.168684797914217</v>
      </c>
      <c r="F81" s="293">
        <v>1476112.0293000001</v>
      </c>
      <c r="G81" s="294">
        <v>1853403.6354499999</v>
      </c>
      <c r="H81" s="159">
        <f t="shared" si="10"/>
        <v>25.6</v>
      </c>
      <c r="I81" s="170">
        <f>IFERROR(100/'Skjema total MA'!F81*G81,0)</f>
        <v>8.0945838295594648</v>
      </c>
      <c r="J81" s="288">
        <v>1537263.60136</v>
      </c>
      <c r="K81" s="37">
        <v>1915684.1134299999</v>
      </c>
      <c r="L81" s="256">
        <f t="shared" si="11"/>
        <v>24.6</v>
      </c>
      <c r="M81" s="170">
        <f>IFERROR(100/'Skjema total MA'!I81*K81,0)</f>
        <v>8.3041377175434103</v>
      </c>
    </row>
    <row r="82" spans="1:14" ht="15.75" x14ac:dyDescent="0.2">
      <c r="A82" s="298" t="s">
        <v>330</v>
      </c>
      <c r="B82" s="282"/>
      <c r="C82" s="282"/>
      <c r="D82" s="159"/>
      <c r="E82" s="237"/>
      <c r="F82" s="282"/>
      <c r="G82" s="282"/>
      <c r="H82" s="159"/>
      <c r="I82" s="237"/>
      <c r="J82" s="291"/>
      <c r="K82" s="291"/>
      <c r="L82" s="159"/>
      <c r="M82" s="159"/>
    </row>
    <row r="83" spans="1:14" x14ac:dyDescent="0.2">
      <c r="A83" s="298" t="s">
        <v>12</v>
      </c>
      <c r="B83" s="295"/>
      <c r="C83" s="296"/>
      <c r="D83" s="159"/>
      <c r="E83" s="237"/>
      <c r="F83" s="282"/>
      <c r="G83" s="282"/>
      <c r="H83" s="159"/>
      <c r="I83" s="237"/>
      <c r="J83" s="291"/>
      <c r="K83" s="291"/>
      <c r="L83" s="159"/>
      <c r="M83" s="159"/>
    </row>
    <row r="84" spans="1:14" x14ac:dyDescent="0.2">
      <c r="A84" s="298" t="s">
        <v>13</v>
      </c>
      <c r="B84" s="230"/>
      <c r="C84" s="290"/>
      <c r="D84" s="159"/>
      <c r="E84" s="237"/>
      <c r="F84" s="282"/>
      <c r="G84" s="282"/>
      <c r="H84" s="159"/>
      <c r="I84" s="237"/>
      <c r="J84" s="291"/>
      <c r="K84" s="291"/>
      <c r="L84" s="159"/>
      <c r="M84" s="159"/>
    </row>
    <row r="85" spans="1:14" ht="15.75" x14ac:dyDescent="0.2">
      <c r="A85" s="298" t="s">
        <v>331</v>
      </c>
      <c r="B85" s="282">
        <v>61151.572059999999</v>
      </c>
      <c r="C85" s="282">
        <v>62280.477980000003</v>
      </c>
      <c r="D85" s="159">
        <f t="shared" si="9"/>
        <v>1.8</v>
      </c>
      <c r="E85" s="170">
        <f>IFERROR(100/'Skjema total MA'!C85*C85,0)</f>
        <v>0</v>
      </c>
      <c r="F85" s="282">
        <v>1476112.0293000001</v>
      </c>
      <c r="G85" s="282">
        <v>1853403.6354499999</v>
      </c>
      <c r="H85" s="159">
        <f t="shared" ref="H85" si="12">IF(F85=0, "    ---- ", IF(ABS(ROUND(100/F85*G85-100,1))&lt;999,ROUND(100/F85*G85-100,1),IF(ROUND(100/F85*G85-100,1)&gt;999,999,-999)))</f>
        <v>25.6</v>
      </c>
      <c r="I85" s="237">
        <f>IFERROR(100/'Skjema total MA'!F85*G85,0)</f>
        <v>0</v>
      </c>
      <c r="J85" s="291">
        <v>1537263.60136</v>
      </c>
      <c r="K85" s="291">
        <v>1915684.1134299999</v>
      </c>
      <c r="L85" s="159">
        <f t="shared" ref="L85" si="13">IF(J85=0, "    ---- ", IF(ABS(ROUND(100/J85*K85-100,1))&lt;999,ROUND(100/J85*K85-100,1),IF(ROUND(100/J85*K85-100,1)&gt;999,999,-999)))</f>
        <v>24.6</v>
      </c>
      <c r="M85" s="159">
        <f>IFERROR(100/'Skjema total MA'!I85*K85,0)</f>
        <v>0</v>
      </c>
    </row>
    <row r="86" spans="1:14" x14ac:dyDescent="0.2">
      <c r="A86" s="298" t="s">
        <v>12</v>
      </c>
      <c r="B86" s="230"/>
      <c r="C86" s="290"/>
      <c r="D86" s="159"/>
      <c r="E86" s="237"/>
      <c r="F86" s="282"/>
      <c r="G86" s="282"/>
      <c r="H86" s="159"/>
      <c r="I86" s="237"/>
      <c r="J86" s="291"/>
      <c r="K86" s="291"/>
      <c r="L86" s="159"/>
      <c r="M86" s="159"/>
    </row>
    <row r="87" spans="1:14" s="3" customFormat="1" x14ac:dyDescent="0.2">
      <c r="A87" s="298" t="s">
        <v>13</v>
      </c>
      <c r="B87" s="230"/>
      <c r="C87" s="290"/>
      <c r="D87" s="159"/>
      <c r="E87" s="170"/>
      <c r="F87" s="282">
        <v>1476112.0293000001</v>
      </c>
      <c r="G87" s="282">
        <v>1853403.6354499999</v>
      </c>
      <c r="H87" s="159">
        <f t="shared" ref="H87" si="14">IF(F87=0, "    ---- ", IF(ABS(ROUND(100/F87*G87-100,1))&lt;999,ROUND(100/F87*G87-100,1),IF(ROUND(100/F87*G87-100,1)&gt;999,999,-999)))</f>
        <v>25.6</v>
      </c>
      <c r="I87" s="237">
        <f>IFERROR(100/'Skjema total MA'!F87*G87,0)</f>
        <v>0</v>
      </c>
      <c r="J87" s="291">
        <v>1476112.0293000001</v>
      </c>
      <c r="K87" s="291">
        <v>1853403.6354499999</v>
      </c>
      <c r="L87" s="159">
        <f t="shared" ref="L87" si="15">IF(J87=0, "    ---- ", IF(ABS(ROUND(100/J87*K87-100,1))&lt;999,ROUND(100/J87*K87-100,1),IF(ROUND(100/J87*K87-100,1)&gt;999,999,-999)))</f>
        <v>25.6</v>
      </c>
      <c r="M87" s="159">
        <f>IFERROR(100/'Skjema total MA'!I87*K87,0)</f>
        <v>0</v>
      </c>
      <c r="N87" s="142"/>
    </row>
    <row r="88" spans="1:14" s="3" customFormat="1" x14ac:dyDescent="0.2">
      <c r="A88" s="18" t="s">
        <v>33</v>
      </c>
      <c r="B88" s="229">
        <v>22376.507000000001</v>
      </c>
      <c r="C88" s="139">
        <v>54111.968959999998</v>
      </c>
      <c r="D88" s="159">
        <f t="shared" si="9"/>
        <v>141.80000000000001</v>
      </c>
      <c r="E88" s="170">
        <f>IFERROR(100/'Skjema total MA'!C88*C88,0)</f>
        <v>67.441452376758662</v>
      </c>
      <c r="F88" s="229">
        <v>0</v>
      </c>
      <c r="G88" s="139">
        <v>123762.23678000001</v>
      </c>
      <c r="H88" s="159" t="str">
        <f t="shared" si="10"/>
        <v xml:space="preserve">    ---- </v>
      </c>
      <c r="I88" s="170">
        <f>IFERROR(100/'Skjema total MA'!F88*G88,0)</f>
        <v>59.324967844619856</v>
      </c>
      <c r="J88" s="288">
        <v>22376.507000000001</v>
      </c>
      <c r="K88" s="37">
        <v>177874.20574</v>
      </c>
      <c r="L88" s="256">
        <f t="shared" si="11"/>
        <v>694.9</v>
      </c>
      <c r="M88" s="170">
        <f>IFERROR(100/'Skjema total MA'!I88*K88,0)</f>
        <v>61.579506133966476</v>
      </c>
      <c r="N88" s="142"/>
    </row>
    <row r="89" spans="1:14" ht="15.75" x14ac:dyDescent="0.2">
      <c r="A89" s="18" t="s">
        <v>332</v>
      </c>
      <c r="B89" s="229">
        <v>549201.12866000005</v>
      </c>
      <c r="C89" s="229">
        <v>496659.80717000004</v>
      </c>
      <c r="D89" s="159">
        <f t="shared" si="9"/>
        <v>-9.6</v>
      </c>
      <c r="E89" s="170">
        <f>IFERROR(100/'Skjema total MA'!C89*C89,0)</f>
        <v>4.4109321937164241</v>
      </c>
      <c r="F89" s="229">
        <v>1465055.8506400001</v>
      </c>
      <c r="G89" s="139">
        <v>1843595.6264</v>
      </c>
      <c r="H89" s="159">
        <f t="shared" si="10"/>
        <v>25.8</v>
      </c>
      <c r="I89" s="170">
        <f>IFERROR(100/'Skjema total MA'!F89*G89,0)</f>
        <v>8.0564569140074589</v>
      </c>
      <c r="J89" s="288">
        <v>2014256.9793000002</v>
      </c>
      <c r="K89" s="37">
        <v>2340255.4335699999</v>
      </c>
      <c r="L89" s="256">
        <f t="shared" si="11"/>
        <v>16.2</v>
      </c>
      <c r="M89" s="170">
        <f>IFERROR(100/'Skjema total MA'!I89*K89,0)</f>
        <v>6.8542355429756361</v>
      </c>
    </row>
    <row r="90" spans="1:14" x14ac:dyDescent="0.2">
      <c r="A90" s="18" t="s">
        <v>9</v>
      </c>
      <c r="B90" s="229">
        <v>488049.55660000001</v>
      </c>
      <c r="C90" s="139">
        <v>434379.32919000002</v>
      </c>
      <c r="D90" s="159">
        <f t="shared" si="9"/>
        <v>-11</v>
      </c>
      <c r="E90" s="170">
        <f>IFERROR(100/'Skjema total MA'!C90*C90,0)</f>
        <v>3.9164881975838535</v>
      </c>
      <c r="F90" s="229"/>
      <c r="G90" s="139"/>
      <c r="H90" s="159"/>
      <c r="I90" s="170"/>
      <c r="J90" s="288">
        <v>488049.55660000001</v>
      </c>
      <c r="K90" s="37">
        <v>434379.32919000002</v>
      </c>
      <c r="L90" s="256">
        <f t="shared" si="11"/>
        <v>-11</v>
      </c>
      <c r="M90" s="170">
        <f>IFERROR(100/'Skjema total MA'!I90*K90,0)</f>
        <v>3.9164878444621141</v>
      </c>
    </row>
    <row r="91" spans="1:14" x14ac:dyDescent="0.2">
      <c r="A91" s="18" t="s">
        <v>10</v>
      </c>
      <c r="B91" s="293">
        <v>61151.572059999999</v>
      </c>
      <c r="C91" s="294">
        <v>62280.477980000003</v>
      </c>
      <c r="D91" s="159">
        <f t="shared" si="9"/>
        <v>1.8</v>
      </c>
      <c r="E91" s="170">
        <f>IFERROR(100/'Skjema total MA'!C91*C91,0)</f>
        <v>36.916663977988811</v>
      </c>
      <c r="F91" s="293">
        <v>1465055.8506400001</v>
      </c>
      <c r="G91" s="294">
        <v>1843595.6264</v>
      </c>
      <c r="H91" s="159">
        <f t="shared" si="10"/>
        <v>25.8</v>
      </c>
      <c r="I91" s="170">
        <f>IFERROR(100/'Skjema total MA'!F91*G91,0)</f>
        <v>8.0564569140074589</v>
      </c>
      <c r="J91" s="288">
        <v>1526207.4227</v>
      </c>
      <c r="K91" s="37">
        <v>1905876.1043799999</v>
      </c>
      <c r="L91" s="256">
        <f t="shared" si="11"/>
        <v>24.9</v>
      </c>
      <c r="M91" s="170">
        <f>IFERROR(100/'Skjema total MA'!I91*K91,0)</f>
        <v>8.267668292042206</v>
      </c>
    </row>
    <row r="92" spans="1:14" ht="15.75" x14ac:dyDescent="0.2">
      <c r="A92" s="298" t="s">
        <v>330</v>
      </c>
      <c r="B92" s="282"/>
      <c r="C92" s="282"/>
      <c r="D92" s="159"/>
      <c r="E92" s="237"/>
      <c r="F92" s="282"/>
      <c r="G92" s="282"/>
      <c r="H92" s="159"/>
      <c r="I92" s="237"/>
      <c r="J92" s="291"/>
      <c r="K92" s="291"/>
      <c r="L92" s="159"/>
      <c r="M92" s="159"/>
    </row>
    <row r="93" spans="1:14" x14ac:dyDescent="0.2">
      <c r="A93" s="298" t="s">
        <v>12</v>
      </c>
      <c r="B93" s="230"/>
      <c r="C93" s="290"/>
      <c r="D93" s="159"/>
      <c r="E93" s="237"/>
      <c r="F93" s="282"/>
      <c r="G93" s="282"/>
      <c r="H93" s="159"/>
      <c r="I93" s="237"/>
      <c r="J93" s="291"/>
      <c r="K93" s="291"/>
      <c r="L93" s="159"/>
      <c r="M93" s="159"/>
    </row>
    <row r="94" spans="1:14" x14ac:dyDescent="0.2">
      <c r="A94" s="298" t="s">
        <v>13</v>
      </c>
      <c r="B94" s="230"/>
      <c r="C94" s="290"/>
      <c r="D94" s="159"/>
      <c r="E94" s="237"/>
      <c r="F94" s="282"/>
      <c r="G94" s="282"/>
      <c r="H94" s="159"/>
      <c r="I94" s="237"/>
      <c r="J94" s="291"/>
      <c r="K94" s="291"/>
      <c r="L94" s="159"/>
      <c r="M94" s="159"/>
    </row>
    <row r="95" spans="1:14" ht="15.75" x14ac:dyDescent="0.2">
      <c r="A95" s="298" t="s">
        <v>331</v>
      </c>
      <c r="B95" s="282">
        <v>61151.572059999999</v>
      </c>
      <c r="C95" s="282">
        <v>62280.477980000003</v>
      </c>
      <c r="D95" s="159">
        <f t="shared" si="9"/>
        <v>1.8</v>
      </c>
      <c r="E95" s="170">
        <f>IFERROR(100/'Skjema total MA'!C95*C95,0)</f>
        <v>0</v>
      </c>
      <c r="F95" s="282">
        <v>1465055.8506400001</v>
      </c>
      <c r="G95" s="282">
        <v>1843595.6264</v>
      </c>
      <c r="H95" s="159">
        <f t="shared" ref="H95" si="16">IF(F95=0, "    ---- ", IF(ABS(ROUND(100/F95*G95-100,1))&lt;999,ROUND(100/F95*G95-100,1),IF(ROUND(100/F95*G95-100,1)&gt;999,999,-999)))</f>
        <v>25.8</v>
      </c>
      <c r="I95" s="237">
        <f>IFERROR(100/'Skjema total MA'!F95*G95,0)</f>
        <v>0</v>
      </c>
      <c r="J95" s="291">
        <v>1526207.4227</v>
      </c>
      <c r="K95" s="291">
        <v>1905876.1043799999</v>
      </c>
      <c r="L95" s="159">
        <f t="shared" ref="L95" si="17">IF(J95=0, "    ---- ", IF(ABS(ROUND(100/J95*K95-100,1))&lt;999,ROUND(100/J95*K95-100,1),IF(ROUND(100/J95*K95-100,1)&gt;999,999,-999)))</f>
        <v>24.9</v>
      </c>
      <c r="M95" s="159">
        <f>IFERROR(100/'Skjema total MA'!I95*K95,0)</f>
        <v>0</v>
      </c>
    </row>
    <row r="96" spans="1:14" x14ac:dyDescent="0.2">
      <c r="A96" s="298" t="s">
        <v>12</v>
      </c>
      <c r="B96" s="230"/>
      <c r="C96" s="290"/>
      <c r="D96" s="159"/>
      <c r="E96" s="237"/>
      <c r="F96" s="282"/>
      <c r="G96" s="282"/>
      <c r="H96" s="159"/>
      <c r="I96" s="237"/>
      <c r="J96" s="291"/>
      <c r="K96" s="291"/>
      <c r="L96" s="159"/>
      <c r="M96" s="159"/>
    </row>
    <row r="97" spans="1:13" x14ac:dyDescent="0.2">
      <c r="A97" s="298" t="s">
        <v>13</v>
      </c>
      <c r="B97" s="230"/>
      <c r="C97" s="290"/>
      <c r="D97" s="159"/>
      <c r="E97" s="170"/>
      <c r="F97" s="282">
        <v>1465055.8506400001</v>
      </c>
      <c r="G97" s="282">
        <v>1843595.6264</v>
      </c>
      <c r="H97" s="159">
        <f t="shared" ref="H97" si="18">IF(F97=0, "    ---- ", IF(ABS(ROUND(100/F97*G97-100,1))&lt;999,ROUND(100/F97*G97-100,1),IF(ROUND(100/F97*G97-100,1)&gt;999,999,-999)))</f>
        <v>25.8</v>
      </c>
      <c r="I97" s="237">
        <f>IFERROR(100/'Skjema total MA'!F97*G97,0)</f>
        <v>0</v>
      </c>
      <c r="J97" s="291">
        <v>1465055.8506400001</v>
      </c>
      <c r="K97" s="291">
        <v>1843595.6264</v>
      </c>
      <c r="L97" s="159">
        <f t="shared" ref="L97" si="19">IF(J97=0, "    ---- ", IF(ABS(ROUND(100/J97*K97-100,1))&lt;999,ROUND(100/J97*K97-100,1),IF(ROUND(100/J97*K97-100,1)&gt;999,999,-999)))</f>
        <v>25.8</v>
      </c>
      <c r="M97" s="159">
        <f>IFERROR(100/'Skjema total MA'!I97*K97,0)</f>
        <v>0</v>
      </c>
    </row>
    <row r="98" spans="1:13" ht="15.75" x14ac:dyDescent="0.2">
      <c r="A98" s="18" t="s">
        <v>342</v>
      </c>
      <c r="B98" s="229"/>
      <c r="C98" s="139"/>
      <c r="D98" s="159"/>
      <c r="E98" s="170"/>
      <c r="F98" s="229">
        <v>11056.17866</v>
      </c>
      <c r="G98" s="139">
        <v>9808.0090500000006</v>
      </c>
      <c r="H98" s="159">
        <f t="shared" si="10"/>
        <v>-11.3</v>
      </c>
      <c r="I98" s="170">
        <f>IFERROR(100/'Skjema total MA'!F98*G98,0)</f>
        <v>73.290074295465161</v>
      </c>
      <c r="J98" s="288">
        <v>11056.17866</v>
      </c>
      <c r="K98" s="37">
        <v>9808.0090500000006</v>
      </c>
      <c r="L98" s="256">
        <f t="shared" si="11"/>
        <v>-11.3</v>
      </c>
      <c r="M98" s="170">
        <f>IFERROR(100/'Skjema total MA'!I98*K98,0)</f>
        <v>2.8248673676131841</v>
      </c>
    </row>
    <row r="99" spans="1:13" ht="15.75" x14ac:dyDescent="0.2">
      <c r="A99" s="11" t="s">
        <v>29</v>
      </c>
      <c r="B99" s="310">
        <v>29709.047000000002</v>
      </c>
      <c r="C99" s="310">
        <v>51014</v>
      </c>
      <c r="D99" s="159">
        <f t="shared" si="9"/>
        <v>71.7</v>
      </c>
      <c r="E99" s="170">
        <f>IFERROR(100/'Skjema total MA'!C99*C99,0)</f>
        <v>15.801119222507872</v>
      </c>
      <c r="F99" s="310">
        <v>123394.48699999999</v>
      </c>
      <c r="G99" s="310">
        <v>339329</v>
      </c>
      <c r="H99" s="159">
        <f t="shared" si="10"/>
        <v>175</v>
      </c>
      <c r="I99" s="170">
        <f>IFERROR(100/'Skjema total MA'!F99*G99,0)</f>
        <v>27.809340234001635</v>
      </c>
      <c r="J99" s="311">
        <v>153103.53399999999</v>
      </c>
      <c r="K99" s="231">
        <v>390343</v>
      </c>
      <c r="L99" s="256">
        <f t="shared" si="11"/>
        <v>155</v>
      </c>
      <c r="M99" s="170">
        <f>IFERROR(100/'Skjema total MA'!I99*K99,0)</f>
        <v>25.29687174447206</v>
      </c>
    </row>
    <row r="100" spans="1:13" x14ac:dyDescent="0.2">
      <c r="A100" s="18" t="s">
        <v>9</v>
      </c>
      <c r="B100" s="229">
        <v>7247.6760000000004</v>
      </c>
      <c r="C100" s="139">
        <v>19623</v>
      </c>
      <c r="D100" s="159">
        <f t="shared" si="9"/>
        <v>170.7</v>
      </c>
      <c r="E100" s="170">
        <f>IFERROR(100/'Skjema total MA'!C100*C100,0)</f>
        <v>7.5977186725882957</v>
      </c>
      <c r="F100" s="229"/>
      <c r="G100" s="139"/>
      <c r="H100" s="159"/>
      <c r="I100" s="170"/>
      <c r="J100" s="288">
        <v>7247.6760000000004</v>
      </c>
      <c r="K100" s="37">
        <v>19623</v>
      </c>
      <c r="L100" s="256">
        <f t="shared" si="11"/>
        <v>170.7</v>
      </c>
      <c r="M100" s="170">
        <f>IFERROR(100/'Skjema total MA'!I100*K100,0)</f>
        <v>7.5977186725882957</v>
      </c>
    </row>
    <row r="101" spans="1:13" x14ac:dyDescent="0.2">
      <c r="A101" s="18" t="s">
        <v>10</v>
      </c>
      <c r="B101" s="229">
        <v>84.864000000000004</v>
      </c>
      <c r="C101" s="139">
        <v>76</v>
      </c>
      <c r="D101" s="159">
        <f t="shared" si="9"/>
        <v>-10.4</v>
      </c>
      <c r="E101" s="170">
        <f>IFERROR(100/'Skjema total MA'!C101*C101,0)</f>
        <v>1.0939974089535052</v>
      </c>
      <c r="F101" s="293">
        <v>123394.48699999999</v>
      </c>
      <c r="G101" s="293">
        <v>208012</v>
      </c>
      <c r="H101" s="159">
        <f t="shared" si="10"/>
        <v>68.599999999999994</v>
      </c>
      <c r="I101" s="170">
        <f>IFERROR(100/'Skjema total MA'!F101*G101,0)</f>
        <v>20.717795624314554</v>
      </c>
      <c r="J101" s="288">
        <v>123479.351</v>
      </c>
      <c r="K101" s="37">
        <v>208088</v>
      </c>
      <c r="L101" s="256">
        <f t="shared" si="11"/>
        <v>68.5</v>
      </c>
      <c r="M101" s="170">
        <f>IFERROR(100/'Skjema total MA'!I101*K101,0)</f>
        <v>20.582948737402944</v>
      </c>
    </row>
    <row r="102" spans="1:13" ht="15.75" x14ac:dyDescent="0.2">
      <c r="A102" s="298" t="s">
        <v>330</v>
      </c>
      <c r="B102" s="282"/>
      <c r="C102" s="282"/>
      <c r="D102" s="159"/>
      <c r="E102" s="237"/>
      <c r="F102" s="282"/>
      <c r="G102" s="282"/>
      <c r="H102" s="159"/>
      <c r="I102" s="237"/>
      <c r="J102" s="291"/>
      <c r="K102" s="291"/>
      <c r="L102" s="159"/>
      <c r="M102" s="159"/>
    </row>
    <row r="103" spans="1:13" x14ac:dyDescent="0.2">
      <c r="A103" s="298" t="s">
        <v>12</v>
      </c>
      <c r="B103" s="230"/>
      <c r="C103" s="290"/>
      <c r="D103" s="159"/>
      <c r="E103" s="237"/>
      <c r="F103" s="282"/>
      <c r="G103" s="282"/>
      <c r="H103" s="159"/>
      <c r="I103" s="237"/>
      <c r="J103" s="291"/>
      <c r="K103" s="291"/>
      <c r="L103" s="159"/>
      <c r="M103" s="159"/>
    </row>
    <row r="104" spans="1:13" x14ac:dyDescent="0.2">
      <c r="A104" s="298" t="s">
        <v>13</v>
      </c>
      <c r="B104" s="230"/>
      <c r="C104" s="290"/>
      <c r="D104" s="159"/>
      <c r="E104" s="237"/>
      <c r="F104" s="282"/>
      <c r="G104" s="282"/>
      <c r="H104" s="159"/>
      <c r="I104" s="237"/>
      <c r="J104" s="291"/>
      <c r="K104" s="291"/>
      <c r="L104" s="159"/>
      <c r="M104" s="159"/>
    </row>
    <row r="105" spans="1:13" ht="15.75" x14ac:dyDescent="0.2">
      <c r="A105" s="298" t="s">
        <v>331</v>
      </c>
      <c r="B105" s="282">
        <v>84.864000000000004</v>
      </c>
      <c r="C105" s="282">
        <v>76</v>
      </c>
      <c r="D105" s="159">
        <f t="shared" si="9"/>
        <v>-10.4</v>
      </c>
      <c r="E105" s="170">
        <f>IFERROR(100/'Skjema total MA'!C105*C105,0)</f>
        <v>0</v>
      </c>
      <c r="F105" s="282">
        <v>123394.48699999999</v>
      </c>
      <c r="G105" s="282">
        <v>208012</v>
      </c>
      <c r="H105" s="159">
        <f t="shared" ref="H105" si="20">IF(F105=0, "    ---- ", IF(ABS(ROUND(100/F105*G105-100,1))&lt;999,ROUND(100/F105*G105-100,1),IF(ROUND(100/F105*G105-100,1)&gt;999,999,-999)))</f>
        <v>68.599999999999994</v>
      </c>
      <c r="I105" s="237">
        <f>IFERROR(100/'Skjema total MA'!F105*G105,0)</f>
        <v>0</v>
      </c>
      <c r="J105" s="291">
        <v>123479.351</v>
      </c>
      <c r="K105" s="291">
        <v>208088</v>
      </c>
      <c r="L105" s="159">
        <f t="shared" ref="L105" si="21">IF(J105=0, "    ---- ", IF(ABS(ROUND(100/J105*K105-100,1))&lt;999,ROUND(100/J105*K105-100,1),IF(ROUND(100/J105*K105-100,1)&gt;999,999,-999)))</f>
        <v>68.5</v>
      </c>
      <c r="M105" s="159">
        <f>IFERROR(100/'Skjema total MA'!I105*K105,0)</f>
        <v>0</v>
      </c>
    </row>
    <row r="106" spans="1:13" x14ac:dyDescent="0.2">
      <c r="A106" s="298" t="s">
        <v>12</v>
      </c>
      <c r="B106" s="230"/>
      <c r="C106" s="290"/>
      <c r="D106" s="159"/>
      <c r="E106" s="237"/>
      <c r="F106" s="282"/>
      <c r="G106" s="282"/>
      <c r="H106" s="159"/>
      <c r="I106" s="237"/>
      <c r="J106" s="291"/>
      <c r="K106" s="291"/>
      <c r="L106" s="159"/>
      <c r="M106" s="159"/>
    </row>
    <row r="107" spans="1:13" x14ac:dyDescent="0.2">
      <c r="A107" s="298" t="s">
        <v>13</v>
      </c>
      <c r="B107" s="230"/>
      <c r="C107" s="290"/>
      <c r="D107" s="159"/>
      <c r="E107" s="170"/>
      <c r="F107" s="282">
        <v>123394.48699999999</v>
      </c>
      <c r="G107" s="282">
        <v>208012</v>
      </c>
      <c r="H107" s="159">
        <f t="shared" ref="H107" si="22">IF(F107=0, "    ---- ", IF(ABS(ROUND(100/F107*G107-100,1))&lt;999,ROUND(100/F107*G107-100,1),IF(ROUND(100/F107*G107-100,1)&gt;999,999,-999)))</f>
        <v>68.599999999999994</v>
      </c>
      <c r="I107" s="237">
        <f>IFERROR(100/'Skjema total MA'!F107*G107,0)</f>
        <v>0</v>
      </c>
      <c r="J107" s="291">
        <v>123394.48699999999</v>
      </c>
      <c r="K107" s="291">
        <v>208012</v>
      </c>
      <c r="L107" s="159">
        <f t="shared" ref="L107" si="23">IF(J107=0, "    ---- ", IF(ABS(ROUND(100/J107*K107-100,1))&lt;999,ROUND(100/J107*K107-100,1),IF(ROUND(100/J107*K107-100,1)&gt;999,999,-999)))</f>
        <v>68.599999999999994</v>
      </c>
      <c r="M107" s="159">
        <f>IFERROR(100/'Skjema total MA'!I107*K107,0)</f>
        <v>0</v>
      </c>
    </row>
    <row r="108" spans="1:13" x14ac:dyDescent="0.2">
      <c r="A108" s="18" t="s">
        <v>33</v>
      </c>
      <c r="B108" s="229">
        <v>22376.507000000001</v>
      </c>
      <c r="C108" s="139">
        <v>31315</v>
      </c>
      <c r="D108" s="159">
        <f t="shared" si="9"/>
        <v>39.9</v>
      </c>
      <c r="E108" s="170">
        <f>IFERROR(100/'Skjema total MA'!C108*C108,0)</f>
        <v>54.339289421519005</v>
      </c>
      <c r="F108" s="229">
        <v>0</v>
      </c>
      <c r="G108" s="139">
        <v>131317</v>
      </c>
      <c r="H108" s="159" t="str">
        <f t="shared" si="10"/>
        <v xml:space="preserve">    ---- </v>
      </c>
      <c r="I108" s="170">
        <f>IFERROR(100/'Skjema total MA'!F108*G108,0)</f>
        <v>60.746474468300768</v>
      </c>
      <c r="J108" s="288">
        <v>22376.507000000001</v>
      </c>
      <c r="K108" s="37">
        <v>162632</v>
      </c>
      <c r="L108" s="256">
        <f t="shared" si="11"/>
        <v>626.79999999999995</v>
      </c>
      <c r="M108" s="170">
        <f>IFERROR(100/'Skjema total MA'!I108*K108,0)</f>
        <v>59.397912500408871</v>
      </c>
    </row>
    <row r="109" spans="1:13" ht="15.75" x14ac:dyDescent="0.2">
      <c r="A109" s="18" t="s">
        <v>332</v>
      </c>
      <c r="B109" s="229">
        <v>7332.54</v>
      </c>
      <c r="C109" s="139">
        <v>19699</v>
      </c>
      <c r="D109" s="159">
        <f t="shared" si="9"/>
        <v>168.7</v>
      </c>
      <c r="E109" s="170">
        <f>IFERROR(100/'Skjema total MA'!C109*C109,0)</f>
        <v>7.9089862460254547</v>
      </c>
      <c r="F109" s="293">
        <v>123394.48699999999</v>
      </c>
      <c r="G109" s="293">
        <v>208012</v>
      </c>
      <c r="H109" s="159">
        <f t="shared" si="10"/>
        <v>68.599999999999994</v>
      </c>
      <c r="I109" s="170">
        <f>IFERROR(100/'Skjema total MA'!F109*G109,0)</f>
        <v>20.717795624314554</v>
      </c>
      <c r="J109" s="288">
        <v>130727.02699999999</v>
      </c>
      <c r="K109" s="37">
        <v>227711</v>
      </c>
      <c r="L109" s="256">
        <f t="shared" si="11"/>
        <v>74.2</v>
      </c>
      <c r="M109" s="170">
        <f>IFERROR(100/'Skjema total MA'!I109*K109,0)</f>
        <v>18.171859608659535</v>
      </c>
    </row>
    <row r="110" spans="1:13" x14ac:dyDescent="0.2">
      <c r="A110" s="18" t="s">
        <v>9</v>
      </c>
      <c r="B110" s="229">
        <v>7247.6760000000004</v>
      </c>
      <c r="C110" s="139">
        <v>19623</v>
      </c>
      <c r="D110" s="159">
        <f t="shared" si="9"/>
        <v>170.7</v>
      </c>
      <c r="E110" s="170">
        <f>IFERROR(100/'Skjema total MA'!C110*C110,0)</f>
        <v>8.1045212013736752</v>
      </c>
      <c r="F110" s="293"/>
      <c r="G110" s="294"/>
      <c r="H110" s="159"/>
      <c r="I110" s="170"/>
      <c r="J110" s="288">
        <v>7247.6760000000004</v>
      </c>
      <c r="K110" s="37">
        <v>19623</v>
      </c>
      <c r="L110" s="256">
        <f t="shared" si="11"/>
        <v>170.7</v>
      </c>
      <c r="M110" s="170">
        <f>IFERROR(100/'Skjema total MA'!I110*K110,0)</f>
        <v>8.1045212013736752</v>
      </c>
    </row>
    <row r="111" spans="1:13" x14ac:dyDescent="0.2">
      <c r="A111" s="18" t="s">
        <v>10</v>
      </c>
      <c r="B111" s="293">
        <v>84.864000000000004</v>
      </c>
      <c r="C111" s="294">
        <v>76</v>
      </c>
      <c r="D111" s="159">
        <f t="shared" si="9"/>
        <v>-10.4</v>
      </c>
      <c r="E111" s="170">
        <f>IFERROR(100/'Skjema total MA'!C111*C111,0)</f>
        <v>1.0939974089535052</v>
      </c>
      <c r="F111" s="293">
        <v>123394.48699999999</v>
      </c>
      <c r="G111" s="294">
        <v>208012</v>
      </c>
      <c r="H111" s="159">
        <f t="shared" si="10"/>
        <v>68.599999999999994</v>
      </c>
      <c r="I111" s="170">
        <f>IFERROR(100/'Skjema total MA'!F111*G111,0)</f>
        <v>20.717795624314554</v>
      </c>
      <c r="J111" s="288">
        <v>123479.351</v>
      </c>
      <c r="K111" s="37">
        <v>208088</v>
      </c>
      <c r="L111" s="256">
        <f t="shared" si="11"/>
        <v>68.5</v>
      </c>
      <c r="M111" s="170">
        <f>IFERROR(100/'Skjema total MA'!I111*K111,0)</f>
        <v>20.582948737402944</v>
      </c>
    </row>
    <row r="112" spans="1:13" ht="15.75" x14ac:dyDescent="0.2">
      <c r="A112" s="298" t="s">
        <v>330</v>
      </c>
      <c r="B112" s="282"/>
      <c r="C112" s="282"/>
      <c r="D112" s="159"/>
      <c r="E112" s="237"/>
      <c r="F112" s="282"/>
      <c r="G112" s="282"/>
      <c r="H112" s="159"/>
      <c r="I112" s="237"/>
      <c r="J112" s="291"/>
      <c r="K112" s="291"/>
      <c r="L112" s="159"/>
      <c r="M112" s="159"/>
    </row>
    <row r="113" spans="1:13" x14ac:dyDescent="0.2">
      <c r="A113" s="298" t="s">
        <v>12</v>
      </c>
      <c r="B113" s="230"/>
      <c r="C113" s="290"/>
      <c r="D113" s="159"/>
      <c r="E113" s="237"/>
      <c r="F113" s="282"/>
      <c r="G113" s="282"/>
      <c r="H113" s="159"/>
      <c r="I113" s="237"/>
      <c r="J113" s="291"/>
      <c r="K113" s="291"/>
      <c r="L113" s="159"/>
      <c r="M113" s="159"/>
    </row>
    <row r="114" spans="1:13" x14ac:dyDescent="0.2">
      <c r="A114" s="298" t="s">
        <v>13</v>
      </c>
      <c r="B114" s="230"/>
      <c r="C114" s="290"/>
      <c r="D114" s="159"/>
      <c r="E114" s="237"/>
      <c r="F114" s="282"/>
      <c r="G114" s="282"/>
      <c r="H114" s="159"/>
      <c r="I114" s="237"/>
      <c r="J114" s="291"/>
      <c r="K114" s="291"/>
      <c r="L114" s="159"/>
      <c r="M114" s="159"/>
    </row>
    <row r="115" spans="1:13" ht="15.75" x14ac:dyDescent="0.2">
      <c r="A115" s="298" t="s">
        <v>331</v>
      </c>
      <c r="B115" s="282">
        <v>84.864000000000004</v>
      </c>
      <c r="C115" s="282">
        <v>76</v>
      </c>
      <c r="D115" s="159">
        <f t="shared" si="9"/>
        <v>-10.4</v>
      </c>
      <c r="E115" s="170">
        <f>IFERROR(100/'Skjema total MA'!C115*C115,0)</f>
        <v>0</v>
      </c>
      <c r="F115" s="282">
        <v>123394.48699999999</v>
      </c>
      <c r="G115" s="282">
        <v>208012</v>
      </c>
      <c r="H115" s="159">
        <f t="shared" ref="H115" si="24">IF(F115=0, "    ---- ", IF(ABS(ROUND(100/F115*G115-100,1))&lt;999,ROUND(100/F115*G115-100,1),IF(ROUND(100/F115*G115-100,1)&gt;999,999,-999)))</f>
        <v>68.599999999999994</v>
      </c>
      <c r="I115" s="237">
        <f>IFERROR(100/'Skjema total MA'!F115*G115,0)</f>
        <v>0</v>
      </c>
      <c r="J115" s="291">
        <v>123479.351</v>
      </c>
      <c r="K115" s="291">
        <v>208088</v>
      </c>
      <c r="L115" s="159">
        <f t="shared" ref="L115" si="25">IF(J115=0, "    ---- ", IF(ABS(ROUND(100/J115*K115-100,1))&lt;999,ROUND(100/J115*K115-100,1),IF(ROUND(100/J115*K115-100,1)&gt;999,999,-999)))</f>
        <v>68.5</v>
      </c>
      <c r="M115" s="159">
        <f>IFERROR(100/'Skjema total MA'!I115*K115,0)</f>
        <v>0</v>
      </c>
    </row>
    <row r="116" spans="1:13" x14ac:dyDescent="0.2">
      <c r="A116" s="298" t="s">
        <v>12</v>
      </c>
      <c r="B116" s="230"/>
      <c r="C116" s="290"/>
      <c r="D116" s="159"/>
      <c r="E116" s="237"/>
      <c r="F116" s="282"/>
      <c r="G116" s="282"/>
      <c r="H116" s="159"/>
      <c r="I116" s="237"/>
      <c r="J116" s="291"/>
      <c r="K116" s="291"/>
      <c r="L116" s="159"/>
      <c r="M116" s="159"/>
    </row>
    <row r="117" spans="1:13" x14ac:dyDescent="0.2">
      <c r="A117" s="298" t="s">
        <v>13</v>
      </c>
      <c r="B117" s="232"/>
      <c r="C117" s="297"/>
      <c r="D117" s="159"/>
      <c r="E117" s="170"/>
      <c r="F117" s="282">
        <v>123394.48699999999</v>
      </c>
      <c r="G117" s="282">
        <v>208012</v>
      </c>
      <c r="H117" s="159">
        <f t="shared" ref="H117" si="26">IF(F117=0, "    ---- ", IF(ABS(ROUND(100/F117*G117-100,1))&lt;999,ROUND(100/F117*G117-100,1),IF(ROUND(100/F117*G117-100,1)&gt;999,999,-999)))</f>
        <v>68.599999999999994</v>
      </c>
      <c r="I117" s="237">
        <f>IFERROR(100/'Skjema total MA'!F117*G117,0)</f>
        <v>0</v>
      </c>
      <c r="J117" s="291">
        <v>123394.48699999999</v>
      </c>
      <c r="K117" s="291">
        <v>208012</v>
      </c>
      <c r="L117" s="159">
        <f t="shared" ref="L117" si="27">IF(J117=0, "    ---- ", IF(ABS(ROUND(100/J117*K117-100,1))&lt;999,ROUND(100/J117*K117-100,1),IF(ROUND(100/J117*K117-100,1)&gt;999,999,-999)))</f>
        <v>68.599999999999994</v>
      </c>
      <c r="M117" s="159">
        <f>IFERROR(100/'Skjema total MA'!I117*K117,0)</f>
        <v>0</v>
      </c>
    </row>
    <row r="118" spans="1:13" ht="15.75" x14ac:dyDescent="0.2">
      <c r="A118" s="18" t="s">
        <v>342</v>
      </c>
      <c r="B118" s="229"/>
      <c r="C118" s="139"/>
      <c r="D118" s="159"/>
      <c r="E118" s="170"/>
      <c r="F118" s="229"/>
      <c r="G118" s="139"/>
      <c r="H118" s="159"/>
      <c r="I118" s="170"/>
      <c r="J118" s="288"/>
      <c r="K118" s="37"/>
      <c r="L118" s="256"/>
      <c r="M118" s="170"/>
    </row>
    <row r="119" spans="1:13" ht="15.75" x14ac:dyDescent="0.2">
      <c r="A119" s="11" t="s">
        <v>28</v>
      </c>
      <c r="B119" s="355">
        <v>10718386.20442</v>
      </c>
      <c r="C119" s="355">
        <v>11420464.29335</v>
      </c>
      <c r="D119" s="159">
        <f t="shared" si="9"/>
        <v>6.6</v>
      </c>
      <c r="E119" s="170">
        <f>IFERROR(100/'Skjema total MA'!C119*C119,0)</f>
        <v>3.0619327753360368</v>
      </c>
      <c r="F119" s="354">
        <v>12076206.31491</v>
      </c>
      <c r="G119" s="354">
        <v>15681637.60801</v>
      </c>
      <c r="H119" s="159">
        <f t="shared" si="10"/>
        <v>29.9</v>
      </c>
      <c r="I119" s="170">
        <f>IFERROR(100/'Skjema total MA'!F119*G119,0)</f>
        <v>8.8232146496484596</v>
      </c>
      <c r="J119" s="311">
        <v>22794592.519330002</v>
      </c>
      <c r="K119" s="231">
        <v>27102101.901359998</v>
      </c>
      <c r="L119" s="256">
        <f t="shared" si="11"/>
        <v>18.899999999999999</v>
      </c>
      <c r="M119" s="170">
        <f>IFERROR(100/'Skjema total MA'!I119*K119,0)</f>
        <v>4.9212682608270057</v>
      </c>
    </row>
    <row r="120" spans="1:13" x14ac:dyDescent="0.2">
      <c r="A120" s="18" t="s">
        <v>9</v>
      </c>
      <c r="B120" s="229">
        <v>9951192.7822600007</v>
      </c>
      <c r="C120" s="139">
        <v>10507720.74828</v>
      </c>
      <c r="D120" s="159">
        <f t="shared" si="9"/>
        <v>5.6</v>
      </c>
      <c r="E120" s="170">
        <f>IFERROR(100/'Skjema total MA'!C120*C120,0)</f>
        <v>2.8352538791135218</v>
      </c>
      <c r="F120" s="229"/>
      <c r="G120" s="139"/>
      <c r="H120" s="159"/>
      <c r="I120" s="170"/>
      <c r="J120" s="288">
        <v>9951192.7822600007</v>
      </c>
      <c r="K120" s="37">
        <v>10507720.74828</v>
      </c>
      <c r="L120" s="256">
        <f t="shared" si="11"/>
        <v>5.6</v>
      </c>
      <c r="M120" s="170">
        <f>IFERROR(100/'Skjema total MA'!I120*K120,0)</f>
        <v>2.8352538791135218</v>
      </c>
    </row>
    <row r="121" spans="1:13" x14ac:dyDescent="0.2">
      <c r="A121" s="18" t="s">
        <v>10</v>
      </c>
      <c r="B121" s="229">
        <v>744425.36916</v>
      </c>
      <c r="C121" s="139">
        <v>836960.34459999995</v>
      </c>
      <c r="D121" s="159">
        <f t="shared" si="9"/>
        <v>12.4</v>
      </c>
      <c r="E121" s="170">
        <f>IFERROR(100/'Skjema total MA'!C121*C121,0)</f>
        <v>36.819089258051605</v>
      </c>
      <c r="F121" s="229">
        <v>12076206.31491</v>
      </c>
      <c r="G121" s="139">
        <v>15553250.71644</v>
      </c>
      <c r="H121" s="159">
        <f t="shared" si="10"/>
        <v>28.8</v>
      </c>
      <c r="I121" s="170">
        <f>IFERROR(100/'Skjema total MA'!F121*G121,0)</f>
        <v>8.7615834701590476</v>
      </c>
      <c r="J121" s="288">
        <v>12820631.68407</v>
      </c>
      <c r="K121" s="37">
        <v>16390211.061039999</v>
      </c>
      <c r="L121" s="256">
        <f t="shared" si="11"/>
        <v>27.8</v>
      </c>
      <c r="M121" s="170">
        <f>IFERROR(100/'Skjema total MA'!I121*K121,0)</f>
        <v>9.116328501319197</v>
      </c>
    </row>
    <row r="122" spans="1:13" ht="15.75" x14ac:dyDescent="0.2">
      <c r="A122" s="298" t="s">
        <v>330</v>
      </c>
      <c r="B122" s="282"/>
      <c r="C122" s="282"/>
      <c r="D122" s="159"/>
      <c r="E122" s="237"/>
      <c r="F122" s="282"/>
      <c r="G122" s="282"/>
      <c r="H122" s="159"/>
      <c r="I122" s="237"/>
      <c r="J122" s="291"/>
      <c r="K122" s="291"/>
      <c r="L122" s="159"/>
      <c r="M122" s="159"/>
    </row>
    <row r="123" spans="1:13" x14ac:dyDescent="0.2">
      <c r="A123" s="298" t="s">
        <v>12</v>
      </c>
      <c r="B123" s="230"/>
      <c r="C123" s="290"/>
      <c r="D123" s="159"/>
      <c r="E123" s="237"/>
      <c r="F123" s="282"/>
      <c r="G123" s="282"/>
      <c r="H123" s="159"/>
      <c r="I123" s="237"/>
      <c r="J123" s="291"/>
      <c r="K123" s="291"/>
      <c r="L123" s="159"/>
      <c r="M123" s="159"/>
    </row>
    <row r="124" spans="1:13" x14ac:dyDescent="0.2">
      <c r="A124" s="298" t="s">
        <v>13</v>
      </c>
      <c r="B124" s="230"/>
      <c r="C124" s="290"/>
      <c r="D124" s="159"/>
      <c r="E124" s="237"/>
      <c r="F124" s="282"/>
      <c r="G124" s="282"/>
      <c r="H124" s="159"/>
      <c r="I124" s="237"/>
      <c r="J124" s="291"/>
      <c r="K124" s="291"/>
      <c r="L124" s="159"/>
      <c r="M124" s="159"/>
    </row>
    <row r="125" spans="1:13" ht="15.75" x14ac:dyDescent="0.2">
      <c r="A125" s="298" t="s">
        <v>331</v>
      </c>
      <c r="B125" s="282">
        <v>744425.36916</v>
      </c>
      <c r="C125" s="282">
        <v>836960.34459999995</v>
      </c>
      <c r="D125" s="159">
        <f t="shared" si="9"/>
        <v>12.4</v>
      </c>
      <c r="E125" s="170">
        <f>IFERROR(100/'Skjema total MA'!C125*C125,0)</f>
        <v>0</v>
      </c>
      <c r="F125" s="282">
        <v>12076206.31491</v>
      </c>
      <c r="G125" s="282">
        <v>15553250.71644</v>
      </c>
      <c r="H125" s="159">
        <f t="shared" ref="H125" si="28">IF(F125=0, "    ---- ", IF(ABS(ROUND(100/F125*G125-100,1))&lt;999,ROUND(100/F125*G125-100,1),IF(ROUND(100/F125*G125-100,1)&gt;999,999,-999)))</f>
        <v>28.8</v>
      </c>
      <c r="I125" s="237">
        <f>IFERROR(100/'Skjema total MA'!F125*G125,0)</f>
        <v>0</v>
      </c>
      <c r="J125" s="291">
        <v>12820631.68407</v>
      </c>
      <c r="K125" s="291">
        <v>16390211.061039999</v>
      </c>
      <c r="L125" s="159">
        <f t="shared" ref="L125" si="29">IF(J125=0, "    ---- ", IF(ABS(ROUND(100/J125*K125-100,1))&lt;999,ROUND(100/J125*K125-100,1),IF(ROUND(100/J125*K125-100,1)&gt;999,999,-999)))</f>
        <v>27.8</v>
      </c>
      <c r="M125" s="159">
        <f>IFERROR(100/'Skjema total MA'!I125*K125,0)</f>
        <v>0</v>
      </c>
    </row>
    <row r="126" spans="1:13" x14ac:dyDescent="0.2">
      <c r="A126" s="298" t="s">
        <v>12</v>
      </c>
      <c r="B126" s="230"/>
      <c r="C126" s="290"/>
      <c r="D126" s="159"/>
      <c r="E126" s="237"/>
      <c r="F126" s="282"/>
      <c r="G126" s="282"/>
      <c r="H126" s="159"/>
      <c r="I126" s="237"/>
      <c r="J126" s="291"/>
      <c r="K126" s="291"/>
      <c r="L126" s="159"/>
      <c r="M126" s="159"/>
    </row>
    <row r="127" spans="1:13" x14ac:dyDescent="0.2">
      <c r="A127" s="298" t="s">
        <v>13</v>
      </c>
      <c r="B127" s="230"/>
      <c r="C127" s="290"/>
      <c r="D127" s="159"/>
      <c r="E127" s="170"/>
      <c r="F127" s="282">
        <v>12076206.31491</v>
      </c>
      <c r="G127" s="282">
        <v>15553250.71644</v>
      </c>
      <c r="H127" s="159">
        <f t="shared" ref="H127" si="30">IF(F127=0, "    ---- ", IF(ABS(ROUND(100/F127*G127-100,1))&lt;999,ROUND(100/F127*G127-100,1),IF(ROUND(100/F127*G127-100,1)&gt;999,999,-999)))</f>
        <v>28.8</v>
      </c>
      <c r="I127" s="237">
        <f>IFERROR(100/'Skjema total MA'!F127*G127,0)</f>
        <v>0</v>
      </c>
      <c r="J127" s="291">
        <v>12076206.31491</v>
      </c>
      <c r="K127" s="291">
        <v>15553250.71644</v>
      </c>
      <c r="L127" s="159">
        <f t="shared" ref="L127" si="31">IF(J127=0, "    ---- ", IF(ABS(ROUND(100/J127*K127-100,1))&lt;999,ROUND(100/J127*K127-100,1),IF(ROUND(100/J127*K127-100,1)&gt;999,999,-999)))</f>
        <v>28.8</v>
      </c>
      <c r="M127" s="159">
        <f>IFERROR(100/'Skjema total MA'!I127*K127,0)</f>
        <v>0</v>
      </c>
    </row>
    <row r="128" spans="1:13" x14ac:dyDescent="0.2">
      <c r="A128" s="18" t="s">
        <v>34</v>
      </c>
      <c r="B128" s="229">
        <v>22768.053</v>
      </c>
      <c r="C128" s="139">
        <v>75783.200469999996</v>
      </c>
      <c r="D128" s="159">
        <f t="shared" si="9"/>
        <v>232.8</v>
      </c>
      <c r="E128" s="170">
        <f>IFERROR(100/'Skjema total MA'!C128*C128,0)</f>
        <v>76.153243189855473</v>
      </c>
      <c r="F128" s="229">
        <v>0</v>
      </c>
      <c r="G128" s="139">
        <v>128386.89157000001</v>
      </c>
      <c r="H128" s="159" t="str">
        <f t="shared" si="10"/>
        <v xml:space="preserve">    ---- </v>
      </c>
      <c r="I128" s="170">
        <f>IFERROR(100/'Skjema total MA'!F128*G128,0)</f>
        <v>59.678633458973302</v>
      </c>
      <c r="J128" s="288">
        <v>22768.053</v>
      </c>
      <c r="K128" s="37">
        <v>204170.09204000002</v>
      </c>
      <c r="L128" s="256">
        <f t="shared" si="11"/>
        <v>796.7</v>
      </c>
      <c r="M128" s="170">
        <f>IFERROR(100/'Skjema total MA'!I128*K128,0)</f>
        <v>64.88913507453961</v>
      </c>
    </row>
    <row r="129" spans="1:13" ht="15.75" x14ac:dyDescent="0.2">
      <c r="A129" s="18" t="s">
        <v>332</v>
      </c>
      <c r="B129" s="229">
        <v>10695618.151420001</v>
      </c>
      <c r="C129" s="229">
        <v>11344681.092879999</v>
      </c>
      <c r="D129" s="159">
        <f t="shared" si="9"/>
        <v>6.1</v>
      </c>
      <c r="E129" s="170">
        <f>IFERROR(100/'Skjema total MA'!C129*C129,0)</f>
        <v>3.0823865588239601</v>
      </c>
      <c r="F129" s="293">
        <v>11945606.41413</v>
      </c>
      <c r="G129" s="293">
        <v>15500479.712269999</v>
      </c>
      <c r="H129" s="159">
        <f t="shared" si="10"/>
        <v>29.8</v>
      </c>
      <c r="I129" s="170">
        <f>IFERROR(100/'Skjema total MA'!F129*G129,0)</f>
        <v>8.7508469095263095</v>
      </c>
      <c r="J129" s="288">
        <v>22641224.565549999</v>
      </c>
      <c r="K129" s="37">
        <v>26845160.805149999</v>
      </c>
      <c r="L129" s="256">
        <f t="shared" si="11"/>
        <v>18.600000000000001</v>
      </c>
      <c r="M129" s="170">
        <f>IFERROR(100/'Skjema total MA'!I129*K129,0)</f>
        <v>4.9240929728559388</v>
      </c>
    </row>
    <row r="130" spans="1:13" x14ac:dyDescent="0.2">
      <c r="A130" s="18" t="s">
        <v>9</v>
      </c>
      <c r="B130" s="293">
        <v>9951192.7822600007</v>
      </c>
      <c r="C130" s="294">
        <v>10507720.74828</v>
      </c>
      <c r="D130" s="159">
        <f t="shared" si="9"/>
        <v>5.6</v>
      </c>
      <c r="E130" s="170">
        <f>IFERROR(100/'Skjema total MA'!C130*C130,0)</f>
        <v>2.8727244612290592</v>
      </c>
      <c r="F130" s="229"/>
      <c r="G130" s="139"/>
      <c r="H130" s="159"/>
      <c r="I130" s="170"/>
      <c r="J130" s="288">
        <v>9951192.7822600007</v>
      </c>
      <c r="K130" s="37">
        <v>10507720.74828</v>
      </c>
      <c r="L130" s="256">
        <f t="shared" si="11"/>
        <v>5.6</v>
      </c>
      <c r="M130" s="170">
        <f>IFERROR(100/'Skjema total MA'!I130*K130,0)</f>
        <v>2.8727244612290592</v>
      </c>
    </row>
    <row r="131" spans="1:13" x14ac:dyDescent="0.2">
      <c r="A131" s="18" t="s">
        <v>10</v>
      </c>
      <c r="B131" s="293">
        <v>744425.36916</v>
      </c>
      <c r="C131" s="294">
        <v>836960.34459999995</v>
      </c>
      <c r="D131" s="159">
        <f t="shared" si="9"/>
        <v>12.4</v>
      </c>
      <c r="E131" s="170">
        <f>IFERROR(100/'Skjema total MA'!C131*C131,0)</f>
        <v>36.819091882005786</v>
      </c>
      <c r="F131" s="229">
        <v>11945606.41413</v>
      </c>
      <c r="G131" s="229">
        <v>15500479.712269999</v>
      </c>
      <c r="H131" s="159">
        <f t="shared" si="10"/>
        <v>29.8</v>
      </c>
      <c r="I131" s="170">
        <f>IFERROR(100/'Skjema total MA'!F131*G131,0)</f>
        <v>8.7508469095263095</v>
      </c>
      <c r="J131" s="288">
        <v>12690031.783290001</v>
      </c>
      <c r="K131" s="37">
        <v>16337440.056869999</v>
      </c>
      <c r="L131" s="256">
        <f t="shared" si="11"/>
        <v>28.7</v>
      </c>
      <c r="M131" s="170">
        <f>IFERROR(100/'Skjema total MA'!I131*K131,0)</f>
        <v>9.1064897438473267</v>
      </c>
    </row>
    <row r="132" spans="1:13" ht="15.75" x14ac:dyDescent="0.2">
      <c r="A132" s="298" t="s">
        <v>330</v>
      </c>
      <c r="B132" s="282"/>
      <c r="C132" s="282"/>
      <c r="D132" s="159"/>
      <c r="E132" s="237"/>
      <c r="F132" s="282"/>
      <c r="G132" s="282"/>
      <c r="H132" s="159"/>
      <c r="I132" s="237"/>
      <c r="J132" s="291"/>
      <c r="K132" s="291"/>
      <c r="L132" s="159"/>
      <c r="M132" s="159"/>
    </row>
    <row r="133" spans="1:13" x14ac:dyDescent="0.2">
      <c r="A133" s="298" t="s">
        <v>12</v>
      </c>
      <c r="B133" s="230"/>
      <c r="C133" s="290"/>
      <c r="D133" s="159"/>
      <c r="E133" s="237"/>
      <c r="F133" s="282"/>
      <c r="G133" s="282"/>
      <c r="H133" s="159"/>
      <c r="I133" s="237"/>
      <c r="J133" s="291"/>
      <c r="K133" s="291"/>
      <c r="L133" s="159"/>
      <c r="M133" s="159"/>
    </row>
    <row r="134" spans="1:13" x14ac:dyDescent="0.2">
      <c r="A134" s="298" t="s">
        <v>13</v>
      </c>
      <c r="B134" s="230"/>
      <c r="C134" s="290"/>
      <c r="D134" s="159"/>
      <c r="E134" s="237"/>
      <c r="F134" s="282"/>
      <c r="G134" s="282"/>
      <c r="H134" s="159"/>
      <c r="I134" s="237"/>
      <c r="J134" s="291"/>
      <c r="K134" s="291"/>
      <c r="L134" s="159"/>
      <c r="M134" s="159"/>
    </row>
    <row r="135" spans="1:13" ht="15.75" x14ac:dyDescent="0.2">
      <c r="A135" s="298" t="s">
        <v>331</v>
      </c>
      <c r="B135" s="282">
        <v>744425.36916</v>
      </c>
      <c r="C135" s="282">
        <v>836960.34459999995</v>
      </c>
      <c r="D135" s="159">
        <f t="shared" si="9"/>
        <v>12.4</v>
      </c>
      <c r="E135" s="170">
        <f>IFERROR(100/'Skjema total MA'!C135*C135,0)</f>
        <v>0</v>
      </c>
      <c r="F135" s="282">
        <v>11945606.41413</v>
      </c>
      <c r="G135" s="282">
        <v>15500479.712269999</v>
      </c>
      <c r="H135" s="159">
        <f t="shared" ref="H135" si="32">IF(F135=0, "    ---- ", IF(ABS(ROUND(100/F135*G135-100,1))&lt;999,ROUND(100/F135*G135-100,1),IF(ROUND(100/F135*G135-100,1)&gt;999,999,-999)))</f>
        <v>29.8</v>
      </c>
      <c r="I135" s="237">
        <f>IFERROR(100/'Skjema total MA'!F135*G135,0)</f>
        <v>0</v>
      </c>
      <c r="J135" s="291">
        <v>12690031.783290001</v>
      </c>
      <c r="K135" s="291">
        <v>16337440.056869999</v>
      </c>
      <c r="L135" s="159">
        <f t="shared" ref="L135" si="33">IF(J135=0, "    ---- ", IF(ABS(ROUND(100/J135*K135-100,1))&lt;999,ROUND(100/J135*K135-100,1),IF(ROUND(100/J135*K135-100,1)&gt;999,999,-999)))</f>
        <v>28.7</v>
      </c>
      <c r="M135" s="159">
        <f>IFERROR(100/'Skjema total MA'!I135*K135,0)</f>
        <v>0</v>
      </c>
    </row>
    <row r="136" spans="1:13" x14ac:dyDescent="0.2">
      <c r="A136" s="298" t="s">
        <v>12</v>
      </c>
      <c r="B136" s="230"/>
      <c r="C136" s="290"/>
      <c r="D136" s="159"/>
      <c r="E136" s="237"/>
      <c r="F136" s="282"/>
      <c r="G136" s="282"/>
      <c r="H136" s="159"/>
      <c r="I136" s="237"/>
      <c r="J136" s="291"/>
      <c r="K136" s="291"/>
      <c r="L136" s="159"/>
      <c r="M136" s="159"/>
    </row>
    <row r="137" spans="1:13" x14ac:dyDescent="0.2">
      <c r="A137" s="298" t="s">
        <v>13</v>
      </c>
      <c r="B137" s="230"/>
      <c r="C137" s="290"/>
      <c r="D137" s="159"/>
      <c r="E137" s="170"/>
      <c r="F137" s="282">
        <v>11945606.41413</v>
      </c>
      <c r="G137" s="282">
        <v>15500479.712269999</v>
      </c>
      <c r="H137" s="159">
        <f t="shared" ref="H137" si="34">IF(F137=0, "    ---- ", IF(ABS(ROUND(100/F137*G137-100,1))&lt;999,ROUND(100/F137*G137-100,1),IF(ROUND(100/F137*G137-100,1)&gt;999,999,-999)))</f>
        <v>29.8</v>
      </c>
      <c r="I137" s="237">
        <f>IFERROR(100/'Skjema total MA'!F137*G137,0)</f>
        <v>0</v>
      </c>
      <c r="J137" s="291">
        <v>11945606.41413</v>
      </c>
      <c r="K137" s="291">
        <v>15500479.712269999</v>
      </c>
      <c r="L137" s="159">
        <f t="shared" ref="L137" si="35">IF(J137=0, "    ---- ", IF(ABS(ROUND(100/J137*K137-100,1))&lt;999,ROUND(100/J137*K137-100,1),IF(ROUND(100/J137*K137-100,1)&gt;999,999,-999)))</f>
        <v>29.8</v>
      </c>
      <c r="M137" s="159">
        <f>IFERROR(100/'Skjema total MA'!I137*K137,0)</f>
        <v>0</v>
      </c>
    </row>
    <row r="138" spans="1:13" ht="15.75" x14ac:dyDescent="0.2">
      <c r="A138" s="18" t="s">
        <v>342</v>
      </c>
      <c r="B138" s="229"/>
      <c r="C138" s="139"/>
      <c r="D138" s="159"/>
      <c r="E138" s="170"/>
      <c r="F138" s="229">
        <v>130599.90078</v>
      </c>
      <c r="G138" s="139">
        <v>52771.00417</v>
      </c>
      <c r="H138" s="159">
        <f t="shared" si="10"/>
        <v>-59.6</v>
      </c>
      <c r="I138" s="170">
        <f>IFERROR(100/'Skjema total MA'!F138*G138,0)</f>
        <v>13.698181965967587</v>
      </c>
      <c r="J138" s="288">
        <v>130599.90078</v>
      </c>
      <c r="K138" s="37">
        <v>52771.00417</v>
      </c>
      <c r="L138" s="256">
        <f t="shared" si="11"/>
        <v>-59.6</v>
      </c>
      <c r="M138" s="170">
        <f>IFERROR(100/'Skjema total MA'!I138*K138,0)</f>
        <v>1.011072024066624</v>
      </c>
    </row>
    <row r="139" spans="1:13" ht="15.75" x14ac:dyDescent="0.2">
      <c r="A139" s="18" t="s">
        <v>343</v>
      </c>
      <c r="B139" s="229">
        <v>4972518.9926899998</v>
      </c>
      <c r="C139" s="229">
        <v>5489153.4495299999</v>
      </c>
      <c r="D139" s="159">
        <f t="shared" si="9"/>
        <v>10.4</v>
      </c>
      <c r="E139" s="170">
        <f>IFERROR(100/'Skjema total MA'!C139*C139,0)</f>
        <v>2.0371222846351902</v>
      </c>
      <c r="F139" s="229"/>
      <c r="G139" s="229"/>
      <c r="H139" s="159"/>
      <c r="I139" s="170"/>
      <c r="J139" s="288">
        <v>4972518.9926899998</v>
      </c>
      <c r="K139" s="37">
        <v>5489153.4495299999</v>
      </c>
      <c r="L139" s="256">
        <f t="shared" si="11"/>
        <v>10.4</v>
      </c>
      <c r="M139" s="170">
        <f>IFERROR(100/'Skjema total MA'!I139*K139,0)</f>
        <v>1.994054829245691</v>
      </c>
    </row>
    <row r="140" spans="1:13" ht="15.75" x14ac:dyDescent="0.2">
      <c r="A140" s="18" t="s">
        <v>334</v>
      </c>
      <c r="B140" s="229">
        <v>252209.908</v>
      </c>
      <c r="C140" s="229">
        <v>274148.96726</v>
      </c>
      <c r="D140" s="159">
        <f t="shared" si="9"/>
        <v>8.6999999999999993</v>
      </c>
      <c r="E140" s="170">
        <f>IFERROR(100/'Skjema total MA'!C140*C140,0)</f>
        <v>36.712654392984419</v>
      </c>
      <c r="F140" s="229">
        <v>3890377</v>
      </c>
      <c r="G140" s="229">
        <v>4802380.0991500001</v>
      </c>
      <c r="H140" s="159">
        <f t="shared" si="10"/>
        <v>23.4</v>
      </c>
      <c r="I140" s="170">
        <f>IFERROR(100/'Skjema total MA'!F140*G140,0)</f>
        <v>8.6092599278451285</v>
      </c>
      <c r="J140" s="288">
        <v>4142586.9079999998</v>
      </c>
      <c r="K140" s="37">
        <v>5076529.0664100004</v>
      </c>
      <c r="L140" s="256">
        <f t="shared" si="11"/>
        <v>22.5</v>
      </c>
      <c r="M140" s="170">
        <f>IFERROR(100/'Skjema total MA'!I140*K140,0)</f>
        <v>8.9805074894070334</v>
      </c>
    </row>
    <row r="141" spans="1:13" ht="15.75" x14ac:dyDescent="0.2">
      <c r="A141" s="18" t="s">
        <v>335</v>
      </c>
      <c r="B141" s="229"/>
      <c r="C141" s="229"/>
      <c r="D141" s="159"/>
      <c r="E141" s="170"/>
      <c r="F141" s="229"/>
      <c r="G141" s="229"/>
      <c r="H141" s="159"/>
      <c r="I141" s="170"/>
      <c r="J141" s="288"/>
      <c r="K141" s="37"/>
      <c r="L141" s="256"/>
      <c r="M141" s="170"/>
    </row>
    <row r="142" spans="1:13" ht="15.75" x14ac:dyDescent="0.2">
      <c r="A142" s="11" t="s">
        <v>27</v>
      </c>
      <c r="B142" s="310">
        <v>107761.46994000001</v>
      </c>
      <c r="C142" s="152">
        <v>132530.83721999999</v>
      </c>
      <c r="D142" s="159">
        <f t="shared" si="9"/>
        <v>23</v>
      </c>
      <c r="E142" s="170">
        <f>IFERROR(100/'Skjema total MA'!C142*C142,0)</f>
        <v>10.697588641650068</v>
      </c>
      <c r="F142" s="310">
        <v>423142.52136999997</v>
      </c>
      <c r="G142" s="152">
        <v>1490935.1241899999</v>
      </c>
      <c r="H142" s="159">
        <f t="shared" si="10"/>
        <v>252.3</v>
      </c>
      <c r="I142" s="170">
        <f>IFERROR(100/'Skjema total MA'!F142*G142,0)</f>
        <v>24.57801331736707</v>
      </c>
      <c r="J142" s="311">
        <v>530903.99130999995</v>
      </c>
      <c r="K142" s="231">
        <v>1623465.96141</v>
      </c>
      <c r="L142" s="256">
        <f t="shared" si="11"/>
        <v>205.8</v>
      </c>
      <c r="M142" s="170">
        <f>IFERROR(100/'Skjema total MA'!I142*K142,0)</f>
        <v>22.223980753216516</v>
      </c>
    </row>
    <row r="143" spans="1:13" x14ac:dyDescent="0.2">
      <c r="A143" s="18" t="s">
        <v>9</v>
      </c>
      <c r="B143" s="229">
        <v>99733.231010000003</v>
      </c>
      <c r="C143" s="139">
        <v>129338.56994</v>
      </c>
      <c r="D143" s="159">
        <f t="shared" ref="D143:D156" si="36">IF(B143=0, "    ---- ", IF(ABS(ROUND(100/B143*C143-100,1))&lt;999,ROUND(100/B143*C143-100,1),IF(ROUND(100/B143*C143-100,1)&gt;999,999,-999)))</f>
        <v>29.7</v>
      </c>
      <c r="E143" s="170">
        <f>IFERROR(100/'Skjema total MA'!C143*C143,0)</f>
        <v>10.475466866995051</v>
      </c>
      <c r="F143" s="229"/>
      <c r="G143" s="139"/>
      <c r="H143" s="159"/>
      <c r="I143" s="170"/>
      <c r="J143" s="288">
        <v>99733.231010000003</v>
      </c>
      <c r="K143" s="37">
        <v>129338.56994</v>
      </c>
      <c r="L143" s="256">
        <f t="shared" ref="L143:L156" si="37">IF(J143=0, "    ---- ", IF(ABS(ROUND(100/J143*K143-100,1))&lt;999,ROUND(100/J143*K143-100,1),IF(ROUND(100/J143*K143-100,1)&gt;999,999,-999)))</f>
        <v>29.7</v>
      </c>
      <c r="M143" s="170">
        <f>IFERROR(100/'Skjema total MA'!I143*K143,0)</f>
        <v>10.475466866995051</v>
      </c>
    </row>
    <row r="144" spans="1:13" x14ac:dyDescent="0.2">
      <c r="A144" s="18" t="s">
        <v>10</v>
      </c>
      <c r="B144" s="229">
        <v>8028.2389300000004</v>
      </c>
      <c r="C144" s="139">
        <v>3192.26728</v>
      </c>
      <c r="D144" s="159">
        <f t="shared" si="36"/>
        <v>-60.2</v>
      </c>
      <c r="E144" s="170">
        <f>IFERROR(100/'Skjema total MA'!C144*C144,0)</f>
        <v>75.926292664387489</v>
      </c>
      <c r="F144" s="229">
        <v>423142.52136999997</v>
      </c>
      <c r="G144" s="139">
        <v>1490935.1241899999</v>
      </c>
      <c r="H144" s="159">
        <f t="shared" ref="H144:H156" si="38">IF(F144=0, "    ---- ", IF(ABS(ROUND(100/F144*G144-100,1))&lt;999,ROUND(100/F144*G144-100,1),IF(ROUND(100/F144*G144-100,1)&gt;999,999,-999)))</f>
        <v>252.3</v>
      </c>
      <c r="I144" s="170">
        <f>IFERROR(100/'Skjema total MA'!F144*G144,0)</f>
        <v>24.57801331736707</v>
      </c>
      <c r="J144" s="288">
        <v>431170.76029999997</v>
      </c>
      <c r="K144" s="37">
        <v>1494127.3914699999</v>
      </c>
      <c r="L144" s="256">
        <f t="shared" si="37"/>
        <v>246.5</v>
      </c>
      <c r="M144" s="170">
        <f>IFERROR(100/'Skjema total MA'!I144*K144,0)</f>
        <v>24.613578092854645</v>
      </c>
    </row>
    <row r="145" spans="1:14" x14ac:dyDescent="0.2">
      <c r="A145" s="18" t="s">
        <v>34</v>
      </c>
      <c r="B145" s="229"/>
      <c r="C145" s="139"/>
      <c r="D145" s="159"/>
      <c r="E145" s="170"/>
      <c r="F145" s="229"/>
      <c r="G145" s="139"/>
      <c r="H145" s="159"/>
      <c r="I145" s="170"/>
      <c r="J145" s="288"/>
      <c r="K145" s="37"/>
      <c r="L145" s="256"/>
      <c r="M145" s="170"/>
    </row>
    <row r="146" spans="1:14" x14ac:dyDescent="0.2">
      <c r="A146" s="298" t="s">
        <v>15</v>
      </c>
      <c r="B146" s="282"/>
      <c r="C146" s="282"/>
      <c r="D146" s="159"/>
      <c r="E146" s="237"/>
      <c r="F146" s="282"/>
      <c r="G146" s="282"/>
      <c r="H146" s="159"/>
      <c r="I146" s="237"/>
      <c r="J146" s="291"/>
      <c r="K146" s="291"/>
      <c r="L146" s="159"/>
      <c r="M146" s="159"/>
    </row>
    <row r="147" spans="1:14" ht="15.75" x14ac:dyDescent="0.2">
      <c r="A147" s="18" t="s">
        <v>344</v>
      </c>
      <c r="B147" s="229">
        <v>21995.402999999998</v>
      </c>
      <c r="C147" s="229">
        <v>43009.119509999997</v>
      </c>
      <c r="D147" s="159">
        <f t="shared" si="36"/>
        <v>95.5</v>
      </c>
      <c r="E147" s="170">
        <f>IFERROR(100/'Skjema total MA'!C147*C147,0)</f>
        <v>7.7135848378494272</v>
      </c>
      <c r="F147" s="229"/>
      <c r="G147" s="229"/>
      <c r="H147" s="159"/>
      <c r="I147" s="170"/>
      <c r="J147" s="288">
        <v>21995.402999999998</v>
      </c>
      <c r="K147" s="37">
        <v>43009.119509999997</v>
      </c>
      <c r="L147" s="256">
        <f t="shared" si="37"/>
        <v>95.5</v>
      </c>
      <c r="M147" s="170">
        <f>IFERROR(100/'Skjema total MA'!I147*K147,0)</f>
        <v>6.9113809944990763</v>
      </c>
    </row>
    <row r="148" spans="1:14" ht="15.75" x14ac:dyDescent="0.2">
      <c r="A148" s="18" t="s">
        <v>336</v>
      </c>
      <c r="B148" s="229">
        <v>262</v>
      </c>
      <c r="C148" s="229">
        <v>13.897</v>
      </c>
      <c r="D148" s="159">
        <f t="shared" si="36"/>
        <v>-94.7</v>
      </c>
      <c r="E148" s="170">
        <f>IFERROR(100/'Skjema total MA'!C148*C148,0)</f>
        <v>100</v>
      </c>
      <c r="F148" s="229">
        <v>74212</v>
      </c>
      <c r="G148" s="229">
        <v>120518.07569</v>
      </c>
      <c r="H148" s="159">
        <f t="shared" si="38"/>
        <v>62.4</v>
      </c>
      <c r="I148" s="170">
        <f>IFERROR(100/'Skjema total MA'!F148*G148,0)</f>
        <v>10.696048853312691</v>
      </c>
      <c r="J148" s="288">
        <v>74474</v>
      </c>
      <c r="K148" s="37">
        <v>120531.97269</v>
      </c>
      <c r="L148" s="256">
        <f t="shared" si="37"/>
        <v>61.8</v>
      </c>
      <c r="M148" s="170">
        <f>IFERROR(100/'Skjema total MA'!I148*K148,0)</f>
        <v>10.697150284994438</v>
      </c>
    </row>
    <row r="149" spans="1:14" ht="15.75" x14ac:dyDescent="0.2">
      <c r="A149" s="18" t="s">
        <v>335</v>
      </c>
      <c r="B149" s="229"/>
      <c r="C149" s="229"/>
      <c r="D149" s="159"/>
      <c r="E149" s="170"/>
      <c r="F149" s="229"/>
      <c r="G149" s="229"/>
      <c r="H149" s="159"/>
      <c r="I149" s="170"/>
      <c r="J149" s="288"/>
      <c r="K149" s="37"/>
      <c r="L149" s="256"/>
      <c r="M149" s="170"/>
    </row>
    <row r="150" spans="1:14" ht="15.75" x14ac:dyDescent="0.2">
      <c r="A150" s="11" t="s">
        <v>26</v>
      </c>
      <c r="B150" s="310">
        <v>49383.775090000003</v>
      </c>
      <c r="C150" s="152">
        <v>36109.538110000001</v>
      </c>
      <c r="D150" s="159">
        <f t="shared" si="36"/>
        <v>-26.9</v>
      </c>
      <c r="E150" s="170">
        <f>IFERROR(100/'Skjema total MA'!C150*C150,0)</f>
        <v>4.1363698733318053</v>
      </c>
      <c r="F150" s="310">
        <v>336902.60848</v>
      </c>
      <c r="G150" s="152">
        <v>379431.80472000001</v>
      </c>
      <c r="H150" s="159">
        <f t="shared" si="38"/>
        <v>12.6</v>
      </c>
      <c r="I150" s="170">
        <f>IFERROR(100/'Skjema total MA'!F150*G150,0)</f>
        <v>6.1168690785241546</v>
      </c>
      <c r="J150" s="311">
        <v>386286.38357000001</v>
      </c>
      <c r="K150" s="231">
        <v>415541.34283000004</v>
      </c>
      <c r="L150" s="256">
        <f t="shared" si="37"/>
        <v>7.6</v>
      </c>
      <c r="M150" s="170">
        <f>IFERROR(100/'Skjema total MA'!I150*K150,0)</f>
        <v>5.8725325316961712</v>
      </c>
    </row>
    <row r="151" spans="1:14" x14ac:dyDescent="0.2">
      <c r="A151" s="18" t="s">
        <v>9</v>
      </c>
      <c r="B151" s="229"/>
      <c r="C151" s="139"/>
      <c r="D151" s="159"/>
      <c r="E151" s="170"/>
      <c r="F151" s="229"/>
      <c r="G151" s="139"/>
      <c r="H151" s="159"/>
      <c r="I151" s="170"/>
      <c r="J151" s="288"/>
      <c r="K151" s="37"/>
      <c r="L151" s="256"/>
      <c r="M151" s="170"/>
    </row>
    <row r="152" spans="1:14" x14ac:dyDescent="0.2">
      <c r="A152" s="18" t="s">
        <v>10</v>
      </c>
      <c r="B152" s="229">
        <v>49383.775090000003</v>
      </c>
      <c r="C152" s="139">
        <v>36109.538110000001</v>
      </c>
      <c r="D152" s="159">
        <f t="shared" si="36"/>
        <v>-26.9</v>
      </c>
      <c r="E152" s="170">
        <f>IFERROR(100/'Skjema total MA'!C152*C152,0)</f>
        <v>78.032932142903732</v>
      </c>
      <c r="F152" s="229">
        <v>336902.60848</v>
      </c>
      <c r="G152" s="139">
        <v>379431.80472000001</v>
      </c>
      <c r="H152" s="159">
        <f t="shared" si="38"/>
        <v>12.6</v>
      </c>
      <c r="I152" s="170">
        <f>IFERROR(100/'Skjema total MA'!F152*G152,0)</f>
        <v>6.1168690785241546</v>
      </c>
      <c r="J152" s="288">
        <v>386286.38357000001</v>
      </c>
      <c r="K152" s="37">
        <v>415541.34283000004</v>
      </c>
      <c r="L152" s="256">
        <f t="shared" si="37"/>
        <v>7.6</v>
      </c>
      <c r="M152" s="170">
        <f>IFERROR(100/'Skjema total MA'!I152*K152,0)</f>
        <v>6.64939107154387</v>
      </c>
    </row>
    <row r="153" spans="1:14" x14ac:dyDescent="0.2">
      <c r="A153" s="18" t="s">
        <v>34</v>
      </c>
      <c r="B153" s="229"/>
      <c r="C153" s="139"/>
      <c r="D153" s="159"/>
      <c r="E153" s="170"/>
      <c r="F153" s="229"/>
      <c r="G153" s="139"/>
      <c r="H153" s="159"/>
      <c r="I153" s="170"/>
      <c r="J153" s="288"/>
      <c r="K153" s="37"/>
      <c r="L153" s="256"/>
      <c r="M153" s="170"/>
    </row>
    <row r="154" spans="1:14" x14ac:dyDescent="0.2">
      <c r="A154" s="298" t="s">
        <v>14</v>
      </c>
      <c r="B154" s="282"/>
      <c r="C154" s="282"/>
      <c r="D154" s="159"/>
      <c r="E154" s="237"/>
      <c r="F154" s="282"/>
      <c r="G154" s="282"/>
      <c r="H154" s="159"/>
      <c r="I154" s="237"/>
      <c r="J154" s="291"/>
      <c r="K154" s="291"/>
      <c r="L154" s="159"/>
      <c r="M154" s="159"/>
    </row>
    <row r="155" spans="1:14" ht="15.75" x14ac:dyDescent="0.2">
      <c r="A155" s="18" t="s">
        <v>333</v>
      </c>
      <c r="B155" s="229"/>
      <c r="C155" s="229"/>
      <c r="D155" s="159"/>
      <c r="E155" s="170"/>
      <c r="F155" s="229"/>
      <c r="G155" s="229"/>
      <c r="H155" s="159"/>
      <c r="I155" s="170"/>
      <c r="J155" s="288"/>
      <c r="K155" s="37"/>
      <c r="L155" s="256"/>
      <c r="M155" s="170"/>
    </row>
    <row r="156" spans="1:14" ht="15.75" x14ac:dyDescent="0.2">
      <c r="A156" s="18" t="s">
        <v>334</v>
      </c>
      <c r="B156" s="229">
        <v>3103</v>
      </c>
      <c r="C156" s="229">
        <v>1954.41805</v>
      </c>
      <c r="D156" s="159">
        <f t="shared" si="36"/>
        <v>-37</v>
      </c>
      <c r="E156" s="170">
        <f>IFERROR(100/'Skjema total MA'!C156*C156,0)</f>
        <v>53.168942687094201</v>
      </c>
      <c r="F156" s="229">
        <v>62785</v>
      </c>
      <c r="G156" s="229">
        <v>76131.488580000005</v>
      </c>
      <c r="H156" s="159">
        <f t="shared" si="38"/>
        <v>21.3</v>
      </c>
      <c r="I156" s="170">
        <f>IFERROR(100/'Skjema total MA'!F156*G156,0)</f>
        <v>8.4017751882416576</v>
      </c>
      <c r="J156" s="288">
        <v>65888</v>
      </c>
      <c r="K156" s="37">
        <v>78085.906629999998</v>
      </c>
      <c r="L156" s="256">
        <f t="shared" si="37"/>
        <v>18.5</v>
      </c>
      <c r="M156" s="170">
        <f>IFERROR(100/'Skjema total MA'!I156*K156,0)</f>
        <v>8.5826456224767185</v>
      </c>
    </row>
    <row r="157" spans="1:14" ht="15.75" x14ac:dyDescent="0.2">
      <c r="A157" s="9" t="s">
        <v>335</v>
      </c>
      <c r="B157" s="38"/>
      <c r="C157" s="38"/>
      <c r="D157" s="160"/>
      <c r="E157" s="201"/>
      <c r="F157" s="38"/>
      <c r="G157" s="38"/>
      <c r="H157" s="160"/>
      <c r="I157" s="160"/>
      <c r="J157" s="289"/>
      <c r="K157" s="38"/>
      <c r="L157" s="257"/>
      <c r="M157" s="160"/>
    </row>
    <row r="158" spans="1:14" x14ac:dyDescent="0.2">
      <c r="A158" s="148"/>
      <c r="L158" s="20"/>
      <c r="M158" s="20"/>
      <c r="N158" s="20"/>
    </row>
    <row r="159" spans="1:14" x14ac:dyDescent="0.2">
      <c r="L159" s="20"/>
      <c r="M159" s="20"/>
      <c r="N159" s="20"/>
    </row>
    <row r="160" spans="1:14" ht="15.75" x14ac:dyDescent="0.25">
      <c r="A160" s="158" t="s">
        <v>35</v>
      </c>
    </row>
    <row r="161" spans="1:14" ht="15.75" x14ac:dyDescent="0.25">
      <c r="B161" s="832"/>
      <c r="C161" s="832"/>
      <c r="D161" s="832"/>
      <c r="E161" s="301"/>
      <c r="F161" s="832"/>
      <c r="G161" s="832"/>
      <c r="H161" s="832"/>
      <c r="I161" s="301"/>
      <c r="J161" s="832"/>
      <c r="K161" s="832"/>
      <c r="L161" s="832"/>
      <c r="M161" s="301"/>
    </row>
    <row r="162" spans="1:14" s="3" customFormat="1" x14ac:dyDescent="0.2">
      <c r="A162" s="138"/>
      <c r="B162" s="833" t="s">
        <v>0</v>
      </c>
      <c r="C162" s="834"/>
      <c r="D162" s="834"/>
      <c r="E162" s="303"/>
      <c r="F162" s="833" t="s">
        <v>1</v>
      </c>
      <c r="G162" s="834"/>
      <c r="H162" s="834"/>
      <c r="I162" s="306"/>
      <c r="J162" s="833" t="s">
        <v>2</v>
      </c>
      <c r="K162" s="834"/>
      <c r="L162" s="834"/>
      <c r="M162" s="306"/>
      <c r="N162" s="142"/>
    </row>
    <row r="163" spans="1:14" s="3" customFormat="1" x14ac:dyDescent="0.2">
      <c r="A163" s="134"/>
      <c r="B163" s="145" t="s">
        <v>400</v>
      </c>
      <c r="C163" s="145" t="s">
        <v>401</v>
      </c>
      <c r="D163" s="242" t="s">
        <v>3</v>
      </c>
      <c r="E163" s="307" t="s">
        <v>37</v>
      </c>
      <c r="F163" s="145" t="s">
        <v>400</v>
      </c>
      <c r="G163" s="145" t="s">
        <v>401</v>
      </c>
      <c r="H163" s="242" t="s">
        <v>3</v>
      </c>
      <c r="I163" s="307" t="s">
        <v>37</v>
      </c>
      <c r="J163" s="145" t="s">
        <v>400</v>
      </c>
      <c r="K163" s="145" t="s">
        <v>401</v>
      </c>
      <c r="L163" s="242" t="s">
        <v>3</v>
      </c>
      <c r="M163" s="155" t="s">
        <v>37</v>
      </c>
      <c r="N163" s="142"/>
    </row>
    <row r="164" spans="1:14" s="3" customFormat="1" x14ac:dyDescent="0.2">
      <c r="A164" s="403"/>
      <c r="B164" s="149"/>
      <c r="C164" s="149"/>
      <c r="D164" s="243" t="s">
        <v>4</v>
      </c>
      <c r="E164" s="149" t="s">
        <v>38</v>
      </c>
      <c r="F164" s="154"/>
      <c r="G164" s="154"/>
      <c r="H164" s="242" t="s">
        <v>4</v>
      </c>
      <c r="I164" s="149" t="s">
        <v>38</v>
      </c>
      <c r="J164" s="154"/>
      <c r="K164" s="154"/>
      <c r="L164" s="242" t="s">
        <v>4</v>
      </c>
      <c r="M164" s="149" t="s">
        <v>38</v>
      </c>
      <c r="N164" s="142"/>
    </row>
    <row r="165" spans="1:14" s="3" customFormat="1" ht="15.75" x14ac:dyDescent="0.2">
      <c r="A165" s="12" t="s">
        <v>337</v>
      </c>
      <c r="B165" s="231"/>
      <c r="C165" s="311"/>
      <c r="D165" s="251"/>
      <c r="E165" s="170"/>
      <c r="F165" s="318"/>
      <c r="G165" s="319"/>
      <c r="H165" s="252"/>
      <c r="I165" s="159"/>
      <c r="J165" s="320"/>
      <c r="K165" s="320"/>
      <c r="L165" s="255"/>
      <c r="M165" s="170"/>
      <c r="N165" s="142"/>
    </row>
    <row r="166" spans="1:14" s="3" customFormat="1" ht="15.75" x14ac:dyDescent="0.2">
      <c r="A166" s="11" t="s">
        <v>338</v>
      </c>
      <c r="B166" s="231"/>
      <c r="C166" s="311"/>
      <c r="D166" s="159"/>
      <c r="E166" s="170"/>
      <c r="F166" s="231"/>
      <c r="G166" s="311"/>
      <c r="H166" s="236"/>
      <c r="I166" s="159"/>
      <c r="J166" s="310"/>
      <c r="K166" s="310"/>
      <c r="L166" s="256"/>
      <c r="M166" s="170"/>
      <c r="N166" s="142"/>
    </row>
    <row r="167" spans="1:14" s="3" customFormat="1" ht="15.75" x14ac:dyDescent="0.2">
      <c r="A167" s="11" t="s">
        <v>339</v>
      </c>
      <c r="B167" s="231"/>
      <c r="C167" s="311"/>
      <c r="D167" s="159"/>
      <c r="E167" s="170"/>
      <c r="F167" s="231"/>
      <c r="G167" s="311"/>
      <c r="H167" s="236"/>
      <c r="I167" s="159"/>
      <c r="J167" s="310"/>
      <c r="K167" s="310"/>
      <c r="L167" s="256"/>
      <c r="M167" s="170"/>
      <c r="N167" s="142"/>
    </row>
    <row r="168" spans="1:14" s="3" customFormat="1" ht="15.75" x14ac:dyDescent="0.2">
      <c r="A168" s="11" t="s">
        <v>340</v>
      </c>
      <c r="B168" s="231"/>
      <c r="C168" s="311"/>
      <c r="D168" s="159"/>
      <c r="E168" s="170"/>
      <c r="F168" s="231"/>
      <c r="G168" s="311"/>
      <c r="H168" s="236"/>
      <c r="I168" s="159"/>
      <c r="J168" s="310"/>
      <c r="K168" s="310"/>
      <c r="L168" s="256"/>
      <c r="M168" s="170"/>
      <c r="N168" s="142"/>
    </row>
    <row r="169" spans="1:14" s="3" customFormat="1" ht="15.75" x14ac:dyDescent="0.2">
      <c r="A169" s="34" t="s">
        <v>341</v>
      </c>
      <c r="B169" s="277"/>
      <c r="C169" s="317"/>
      <c r="D169" s="160"/>
      <c r="E169" s="201"/>
      <c r="F169" s="277"/>
      <c r="G169" s="317"/>
      <c r="H169" s="239"/>
      <c r="I169" s="160"/>
      <c r="J169" s="316"/>
      <c r="K169" s="316"/>
      <c r="L169" s="257"/>
      <c r="M169" s="160"/>
      <c r="N169" s="142"/>
    </row>
    <row r="170" spans="1:14" s="3" customFormat="1" x14ac:dyDescent="0.2">
      <c r="A170" s="161"/>
      <c r="B170" s="27"/>
      <c r="C170" s="27"/>
      <c r="D170" s="152"/>
      <c r="E170" s="152"/>
      <c r="F170" s="27"/>
      <c r="G170" s="27"/>
      <c r="H170" s="152"/>
      <c r="I170" s="152"/>
      <c r="J170" s="27"/>
      <c r="K170" s="27"/>
      <c r="L170" s="152"/>
      <c r="M170" s="152"/>
      <c r="N170" s="142"/>
    </row>
    <row r="171" spans="1:14" x14ac:dyDescent="0.2">
      <c r="A171" s="161"/>
      <c r="B171" s="27"/>
      <c r="C171" s="27"/>
      <c r="D171" s="152"/>
      <c r="E171" s="152"/>
      <c r="F171" s="27"/>
      <c r="G171" s="27"/>
      <c r="H171" s="152"/>
      <c r="I171" s="152"/>
      <c r="J171" s="27"/>
      <c r="K171" s="27"/>
      <c r="L171" s="152"/>
      <c r="M171" s="152"/>
      <c r="N171" s="142"/>
    </row>
    <row r="172" spans="1:14" x14ac:dyDescent="0.2">
      <c r="A172" s="161"/>
      <c r="B172" s="27"/>
      <c r="C172" s="27"/>
      <c r="D172" s="152"/>
      <c r="E172" s="152"/>
      <c r="F172" s="27"/>
      <c r="G172" s="27"/>
      <c r="H172" s="152"/>
      <c r="I172" s="152"/>
      <c r="J172" s="27"/>
      <c r="K172" s="27"/>
      <c r="L172" s="152"/>
      <c r="M172" s="152"/>
      <c r="N172" s="142"/>
    </row>
    <row r="173" spans="1:14" x14ac:dyDescent="0.2">
      <c r="A173" s="140"/>
      <c r="B173" s="140"/>
      <c r="C173" s="140"/>
      <c r="D173" s="140"/>
      <c r="E173" s="140"/>
      <c r="F173" s="140"/>
      <c r="G173" s="140"/>
      <c r="H173" s="140"/>
      <c r="I173" s="140"/>
      <c r="J173" s="140"/>
      <c r="K173" s="140"/>
      <c r="L173" s="140"/>
      <c r="M173" s="140"/>
      <c r="N173" s="140"/>
    </row>
    <row r="174" spans="1:14" ht="15.75" x14ac:dyDescent="0.25">
      <c r="B174" s="136"/>
      <c r="C174" s="136"/>
      <c r="D174" s="136"/>
      <c r="E174" s="136"/>
      <c r="F174" s="136"/>
      <c r="G174" s="136"/>
      <c r="H174" s="136"/>
      <c r="I174" s="136"/>
      <c r="J174" s="136"/>
      <c r="K174" s="136"/>
      <c r="L174" s="136"/>
      <c r="M174" s="136"/>
      <c r="N174" s="136"/>
    </row>
    <row r="175" spans="1:14" ht="15.75" x14ac:dyDescent="0.25">
      <c r="B175" s="150"/>
      <c r="C175" s="150"/>
      <c r="D175" s="150"/>
      <c r="E175" s="150"/>
      <c r="F175" s="150"/>
      <c r="G175" s="150"/>
      <c r="H175" s="150"/>
      <c r="I175" s="150"/>
      <c r="J175" s="150"/>
      <c r="K175" s="150"/>
      <c r="L175" s="150"/>
      <c r="M175" s="150"/>
      <c r="N175" s="150"/>
    </row>
    <row r="176" spans="1:14" ht="15.75" x14ac:dyDescent="0.25">
      <c r="B176" s="150"/>
      <c r="C176" s="150"/>
      <c r="D176" s="150"/>
      <c r="E176" s="150"/>
      <c r="F176" s="150"/>
      <c r="G176" s="150"/>
      <c r="H176" s="150"/>
      <c r="I176" s="150"/>
      <c r="J176" s="150"/>
      <c r="K176" s="150"/>
      <c r="L176" s="150"/>
      <c r="M176" s="150"/>
      <c r="N176" s="150"/>
    </row>
  </sheetData>
  <mergeCells count="28">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22:D22"/>
    <mergeCell ref="F22:H22"/>
    <mergeCell ref="J22:L22"/>
    <mergeCell ref="D47:F47"/>
    <mergeCell ref="G47:I47"/>
    <mergeCell ref="J47:L47"/>
  </mergeCells>
  <conditionalFormatting sqref="B57:C59">
    <cfRule type="expression" dxfId="467" priority="132">
      <formula>kvartal &lt; 4</formula>
    </cfRule>
  </conditionalFormatting>
  <conditionalFormatting sqref="B63:C65">
    <cfRule type="expression" dxfId="466" priority="131">
      <formula>kvartal &lt; 4</formula>
    </cfRule>
  </conditionalFormatting>
  <conditionalFormatting sqref="B37">
    <cfRule type="expression" dxfId="465" priority="130">
      <formula>kvartal &lt; 4</formula>
    </cfRule>
  </conditionalFormatting>
  <conditionalFormatting sqref="B38">
    <cfRule type="expression" dxfId="464" priority="129">
      <formula>kvartal &lt; 4</formula>
    </cfRule>
  </conditionalFormatting>
  <conditionalFormatting sqref="B39">
    <cfRule type="expression" dxfId="463" priority="128">
      <formula>kvartal &lt; 4</formula>
    </cfRule>
  </conditionalFormatting>
  <conditionalFormatting sqref="A34">
    <cfRule type="expression" dxfId="462" priority="1">
      <formula>kvartal &lt; 4</formula>
    </cfRule>
  </conditionalFormatting>
  <conditionalFormatting sqref="C37">
    <cfRule type="expression" dxfId="461" priority="127">
      <formula>kvartal &lt; 4</formula>
    </cfRule>
  </conditionalFormatting>
  <conditionalFormatting sqref="C38">
    <cfRule type="expression" dxfId="460" priority="126">
      <formula>kvartal &lt; 4</formula>
    </cfRule>
  </conditionalFormatting>
  <conditionalFormatting sqref="C39">
    <cfRule type="expression" dxfId="459" priority="125">
      <formula>kvartal &lt; 4</formula>
    </cfRule>
  </conditionalFormatting>
  <conditionalFormatting sqref="B26:C28">
    <cfRule type="expression" dxfId="458" priority="124">
      <formula>kvartal &lt; 4</formula>
    </cfRule>
  </conditionalFormatting>
  <conditionalFormatting sqref="B32:C33">
    <cfRule type="expression" dxfId="457" priority="123">
      <formula>kvartal &lt; 4</formula>
    </cfRule>
  </conditionalFormatting>
  <conditionalFormatting sqref="B34">
    <cfRule type="expression" dxfId="456" priority="122">
      <formula>kvartal &lt; 4</formula>
    </cfRule>
  </conditionalFormatting>
  <conditionalFormatting sqref="C34">
    <cfRule type="expression" dxfId="455" priority="121">
      <formula>kvartal &lt; 4</formula>
    </cfRule>
  </conditionalFormatting>
  <conditionalFormatting sqref="F26:G28">
    <cfRule type="expression" dxfId="454" priority="120">
      <formula>kvartal &lt; 4</formula>
    </cfRule>
  </conditionalFormatting>
  <conditionalFormatting sqref="F32">
    <cfRule type="expression" dxfId="453" priority="119">
      <formula>kvartal &lt; 4</formula>
    </cfRule>
  </conditionalFormatting>
  <conditionalFormatting sqref="G32">
    <cfRule type="expression" dxfId="452" priority="118">
      <formula>kvartal &lt; 4</formula>
    </cfRule>
  </conditionalFormatting>
  <conditionalFormatting sqref="F33">
    <cfRule type="expression" dxfId="451" priority="117">
      <formula>kvartal &lt; 4</formula>
    </cfRule>
  </conditionalFormatting>
  <conditionalFormatting sqref="G33">
    <cfRule type="expression" dxfId="450" priority="116">
      <formula>kvartal &lt; 4</formula>
    </cfRule>
  </conditionalFormatting>
  <conditionalFormatting sqref="F34">
    <cfRule type="expression" dxfId="449" priority="115">
      <formula>kvartal &lt; 4</formula>
    </cfRule>
  </conditionalFormatting>
  <conditionalFormatting sqref="G34">
    <cfRule type="expression" dxfId="448" priority="114">
      <formula>kvartal &lt; 4</formula>
    </cfRule>
  </conditionalFormatting>
  <conditionalFormatting sqref="F37">
    <cfRule type="expression" dxfId="447" priority="113">
      <formula>kvartal &lt; 4</formula>
    </cfRule>
  </conditionalFormatting>
  <conditionalFormatting sqref="F38">
    <cfRule type="expression" dxfId="446" priority="112">
      <formula>kvartal &lt; 4</formula>
    </cfRule>
  </conditionalFormatting>
  <conditionalFormatting sqref="F39">
    <cfRule type="expression" dxfId="445" priority="111">
      <formula>kvartal &lt; 4</formula>
    </cfRule>
  </conditionalFormatting>
  <conditionalFormatting sqref="G37">
    <cfRule type="expression" dxfId="444" priority="110">
      <formula>kvartal &lt; 4</formula>
    </cfRule>
  </conditionalFormatting>
  <conditionalFormatting sqref="G38">
    <cfRule type="expression" dxfId="443" priority="109">
      <formula>kvartal &lt; 4</formula>
    </cfRule>
  </conditionalFormatting>
  <conditionalFormatting sqref="G39">
    <cfRule type="expression" dxfId="442" priority="108">
      <formula>kvartal &lt; 4</formula>
    </cfRule>
  </conditionalFormatting>
  <conditionalFormatting sqref="B29">
    <cfRule type="expression" dxfId="441" priority="107">
      <formula>kvartal &lt; 4</formula>
    </cfRule>
  </conditionalFormatting>
  <conditionalFormatting sqref="C29">
    <cfRule type="expression" dxfId="440" priority="106">
      <formula>kvartal &lt; 4</formula>
    </cfRule>
  </conditionalFormatting>
  <conditionalFormatting sqref="F29">
    <cfRule type="expression" dxfId="439" priority="105">
      <formula>kvartal &lt; 4</formula>
    </cfRule>
  </conditionalFormatting>
  <conditionalFormatting sqref="G29">
    <cfRule type="expression" dxfId="438" priority="104">
      <formula>kvartal &lt; 4</formula>
    </cfRule>
  </conditionalFormatting>
  <conditionalFormatting sqref="J26:K29">
    <cfRule type="expression" dxfId="437" priority="103">
      <formula>kvartal &lt; 4</formula>
    </cfRule>
  </conditionalFormatting>
  <conditionalFormatting sqref="J32:K34">
    <cfRule type="expression" dxfId="436" priority="102">
      <formula>kvartal &lt; 4</formula>
    </cfRule>
  </conditionalFormatting>
  <conditionalFormatting sqref="J37:K39">
    <cfRule type="expression" dxfId="435" priority="101">
      <formula>kvartal &lt; 4</formula>
    </cfRule>
  </conditionalFormatting>
  <conditionalFormatting sqref="B82">
    <cfRule type="expression" dxfId="434" priority="100">
      <formula>kvartal &lt; 4</formula>
    </cfRule>
  </conditionalFormatting>
  <conditionalFormatting sqref="C82">
    <cfRule type="expression" dxfId="433" priority="99">
      <formula>kvartal &lt; 4</formula>
    </cfRule>
  </conditionalFormatting>
  <conditionalFormatting sqref="B85">
    <cfRule type="expression" dxfId="432" priority="98">
      <formula>kvartal &lt; 4</formula>
    </cfRule>
  </conditionalFormatting>
  <conditionalFormatting sqref="C85">
    <cfRule type="expression" dxfId="431" priority="97">
      <formula>kvartal &lt; 4</formula>
    </cfRule>
  </conditionalFormatting>
  <conditionalFormatting sqref="B92">
    <cfRule type="expression" dxfId="430" priority="96">
      <formula>kvartal &lt; 4</formula>
    </cfRule>
  </conditionalFormatting>
  <conditionalFormatting sqref="C92">
    <cfRule type="expression" dxfId="429" priority="95">
      <formula>kvartal &lt; 4</formula>
    </cfRule>
  </conditionalFormatting>
  <conditionalFormatting sqref="B95">
    <cfRule type="expression" dxfId="428" priority="94">
      <formula>kvartal &lt; 4</formula>
    </cfRule>
  </conditionalFormatting>
  <conditionalFormatting sqref="C95">
    <cfRule type="expression" dxfId="427" priority="93">
      <formula>kvartal &lt; 4</formula>
    </cfRule>
  </conditionalFormatting>
  <conditionalFormatting sqref="B102">
    <cfRule type="expression" dxfId="426" priority="92">
      <formula>kvartal &lt; 4</formula>
    </cfRule>
  </conditionalFormatting>
  <conditionalFormatting sqref="C102">
    <cfRule type="expression" dxfId="425" priority="91">
      <formula>kvartal &lt; 4</formula>
    </cfRule>
  </conditionalFormatting>
  <conditionalFormatting sqref="B105">
    <cfRule type="expression" dxfId="424" priority="90">
      <formula>kvartal &lt; 4</formula>
    </cfRule>
  </conditionalFormatting>
  <conditionalFormatting sqref="C105">
    <cfRule type="expression" dxfId="423" priority="89">
      <formula>kvartal &lt; 4</formula>
    </cfRule>
  </conditionalFormatting>
  <conditionalFormatting sqref="B112">
    <cfRule type="expression" dxfId="422" priority="88">
      <formula>kvartal &lt; 4</formula>
    </cfRule>
  </conditionalFormatting>
  <conditionalFormatting sqref="C112">
    <cfRule type="expression" dxfId="421" priority="87">
      <formula>kvartal &lt; 4</formula>
    </cfRule>
  </conditionalFormatting>
  <conditionalFormatting sqref="B115">
    <cfRule type="expression" dxfId="420" priority="86">
      <formula>kvartal &lt; 4</formula>
    </cfRule>
  </conditionalFormatting>
  <conditionalFormatting sqref="C115">
    <cfRule type="expression" dxfId="419" priority="85">
      <formula>kvartal &lt; 4</formula>
    </cfRule>
  </conditionalFormatting>
  <conditionalFormatting sqref="B122">
    <cfRule type="expression" dxfId="418" priority="84">
      <formula>kvartal &lt; 4</formula>
    </cfRule>
  </conditionalFormatting>
  <conditionalFormatting sqref="C122">
    <cfRule type="expression" dxfId="417" priority="83">
      <formula>kvartal &lt; 4</formula>
    </cfRule>
  </conditionalFormatting>
  <conditionalFormatting sqref="B125">
    <cfRule type="expression" dxfId="416" priority="82">
      <formula>kvartal &lt; 4</formula>
    </cfRule>
  </conditionalFormatting>
  <conditionalFormatting sqref="C125">
    <cfRule type="expression" dxfId="415" priority="81">
      <formula>kvartal &lt; 4</formula>
    </cfRule>
  </conditionalFormatting>
  <conditionalFormatting sqref="B132">
    <cfRule type="expression" dxfId="414" priority="80">
      <formula>kvartal &lt; 4</formula>
    </cfRule>
  </conditionalFormatting>
  <conditionalFormatting sqref="C132">
    <cfRule type="expression" dxfId="413" priority="79">
      <formula>kvartal &lt; 4</formula>
    </cfRule>
  </conditionalFormatting>
  <conditionalFormatting sqref="B135">
    <cfRule type="expression" dxfId="412" priority="78">
      <formula>kvartal &lt; 4</formula>
    </cfRule>
  </conditionalFormatting>
  <conditionalFormatting sqref="C135">
    <cfRule type="expression" dxfId="411" priority="77">
      <formula>kvartal &lt; 4</formula>
    </cfRule>
  </conditionalFormatting>
  <conditionalFormatting sqref="B146">
    <cfRule type="expression" dxfId="410" priority="76">
      <formula>kvartal &lt; 4</formula>
    </cfRule>
  </conditionalFormatting>
  <conditionalFormatting sqref="C146">
    <cfRule type="expression" dxfId="409" priority="75">
      <formula>kvartal &lt; 4</formula>
    </cfRule>
  </conditionalFormatting>
  <conditionalFormatting sqref="B154">
    <cfRule type="expression" dxfId="408" priority="74">
      <formula>kvartal &lt; 4</formula>
    </cfRule>
  </conditionalFormatting>
  <conditionalFormatting sqref="C154">
    <cfRule type="expression" dxfId="407" priority="73">
      <formula>kvartal &lt; 4</formula>
    </cfRule>
  </conditionalFormatting>
  <conditionalFormatting sqref="F83">
    <cfRule type="expression" dxfId="406" priority="72">
      <formula>kvartal &lt; 4</formula>
    </cfRule>
  </conditionalFormatting>
  <conditionalFormatting sqref="G83">
    <cfRule type="expression" dxfId="405" priority="71">
      <formula>kvartal &lt; 4</formula>
    </cfRule>
  </conditionalFormatting>
  <conditionalFormatting sqref="F84:G84">
    <cfRule type="expression" dxfId="404" priority="70">
      <formula>kvartal &lt; 4</formula>
    </cfRule>
  </conditionalFormatting>
  <conditionalFormatting sqref="F86:G87">
    <cfRule type="expression" dxfId="403" priority="69">
      <formula>kvartal &lt; 4</formula>
    </cfRule>
  </conditionalFormatting>
  <conditionalFormatting sqref="F93:G94">
    <cfRule type="expression" dxfId="402" priority="68">
      <formula>kvartal &lt; 4</formula>
    </cfRule>
  </conditionalFormatting>
  <conditionalFormatting sqref="F96:G97">
    <cfRule type="expression" dxfId="401" priority="67">
      <formula>kvartal &lt; 4</formula>
    </cfRule>
  </conditionalFormatting>
  <conditionalFormatting sqref="F103:G104">
    <cfRule type="expression" dxfId="400" priority="66">
      <formula>kvartal &lt; 4</formula>
    </cfRule>
  </conditionalFormatting>
  <conditionalFormatting sqref="F106:G107">
    <cfRule type="expression" dxfId="399" priority="65">
      <formula>kvartal &lt; 4</formula>
    </cfRule>
  </conditionalFormatting>
  <conditionalFormatting sqref="F113:G114">
    <cfRule type="expression" dxfId="398" priority="64">
      <formula>kvartal &lt; 4</formula>
    </cfRule>
  </conditionalFormatting>
  <conditionalFormatting sqref="F116:G117">
    <cfRule type="expression" dxfId="397" priority="63">
      <formula>kvartal &lt; 4</formula>
    </cfRule>
  </conditionalFormatting>
  <conditionalFormatting sqref="F123:G124">
    <cfRule type="expression" dxfId="396" priority="62">
      <formula>kvartal &lt; 4</formula>
    </cfRule>
  </conditionalFormatting>
  <conditionalFormatting sqref="F126:G127">
    <cfRule type="expression" dxfId="395" priority="61">
      <formula>kvartal &lt; 4</formula>
    </cfRule>
  </conditionalFormatting>
  <conditionalFormatting sqref="F133:G134">
    <cfRule type="expression" dxfId="394" priority="60">
      <formula>kvartal &lt; 4</formula>
    </cfRule>
  </conditionalFormatting>
  <conditionalFormatting sqref="F136:G137">
    <cfRule type="expression" dxfId="393" priority="59">
      <formula>kvartal &lt; 4</formula>
    </cfRule>
  </conditionalFormatting>
  <conditionalFormatting sqref="F146">
    <cfRule type="expression" dxfId="392" priority="58">
      <formula>kvartal &lt; 4</formula>
    </cfRule>
  </conditionalFormatting>
  <conditionalFormatting sqref="G146">
    <cfRule type="expression" dxfId="391" priority="57">
      <formula>kvartal &lt; 4</formula>
    </cfRule>
  </conditionalFormatting>
  <conditionalFormatting sqref="F154:G154">
    <cfRule type="expression" dxfId="390" priority="56">
      <formula>kvartal &lt; 4</formula>
    </cfRule>
  </conditionalFormatting>
  <conditionalFormatting sqref="F82:G82">
    <cfRule type="expression" dxfId="389" priority="55">
      <formula>kvartal &lt; 4</formula>
    </cfRule>
  </conditionalFormatting>
  <conditionalFormatting sqref="F85:G85">
    <cfRule type="expression" dxfId="388" priority="54">
      <formula>kvartal &lt; 4</formula>
    </cfRule>
  </conditionalFormatting>
  <conditionalFormatting sqref="F92:G92">
    <cfRule type="expression" dxfId="387" priority="53">
      <formula>kvartal &lt; 4</formula>
    </cfRule>
  </conditionalFormatting>
  <conditionalFormatting sqref="F95:G95">
    <cfRule type="expression" dxfId="386" priority="52">
      <formula>kvartal &lt; 4</formula>
    </cfRule>
  </conditionalFormatting>
  <conditionalFormatting sqref="F102:G102">
    <cfRule type="expression" dxfId="385" priority="51">
      <formula>kvartal &lt; 4</formula>
    </cfRule>
  </conditionalFormatting>
  <conditionalFormatting sqref="F105:G105">
    <cfRule type="expression" dxfId="384" priority="50">
      <formula>kvartal &lt; 4</formula>
    </cfRule>
  </conditionalFormatting>
  <conditionalFormatting sqref="F112:G112">
    <cfRule type="expression" dxfId="383" priority="49">
      <formula>kvartal &lt; 4</formula>
    </cfRule>
  </conditionalFormatting>
  <conditionalFormatting sqref="F115">
    <cfRule type="expression" dxfId="382" priority="48">
      <formula>kvartal &lt; 4</formula>
    </cfRule>
  </conditionalFormatting>
  <conditionalFormatting sqref="G115">
    <cfRule type="expression" dxfId="381" priority="47">
      <formula>kvartal &lt; 4</formula>
    </cfRule>
  </conditionalFormatting>
  <conditionalFormatting sqref="F122:G122">
    <cfRule type="expression" dxfId="380" priority="46">
      <formula>kvartal &lt; 4</formula>
    </cfRule>
  </conditionalFormatting>
  <conditionalFormatting sqref="F125">
    <cfRule type="expression" dxfId="379" priority="45">
      <formula>kvartal &lt; 4</formula>
    </cfRule>
  </conditionalFormatting>
  <conditionalFormatting sqref="G125">
    <cfRule type="expression" dxfId="378" priority="44">
      <formula>kvartal &lt; 4</formula>
    </cfRule>
  </conditionalFormatting>
  <conditionalFormatting sqref="F132">
    <cfRule type="expression" dxfId="377" priority="43">
      <formula>kvartal &lt; 4</formula>
    </cfRule>
  </conditionalFormatting>
  <conditionalFormatting sqref="G132">
    <cfRule type="expression" dxfId="376" priority="42">
      <formula>kvartal &lt; 4</formula>
    </cfRule>
  </conditionalFormatting>
  <conditionalFormatting sqref="G135">
    <cfRule type="expression" dxfId="375" priority="41">
      <formula>kvartal &lt; 4</formula>
    </cfRule>
  </conditionalFormatting>
  <conditionalFormatting sqref="F135">
    <cfRule type="expression" dxfId="374" priority="40">
      <formula>kvartal &lt; 4</formula>
    </cfRule>
  </conditionalFormatting>
  <conditionalFormatting sqref="J82:K86">
    <cfRule type="expression" dxfId="373" priority="39">
      <formula>kvartal &lt; 4</formula>
    </cfRule>
  </conditionalFormatting>
  <conditionalFormatting sqref="J87:K87">
    <cfRule type="expression" dxfId="372" priority="38">
      <formula>kvartal &lt; 4</formula>
    </cfRule>
  </conditionalFormatting>
  <conditionalFormatting sqref="J92:K97">
    <cfRule type="expression" dxfId="371" priority="37">
      <formula>kvartal &lt; 4</formula>
    </cfRule>
  </conditionalFormatting>
  <conditionalFormatting sqref="J102:K107">
    <cfRule type="expression" dxfId="370" priority="36">
      <formula>kvartal &lt; 4</formula>
    </cfRule>
  </conditionalFormatting>
  <conditionalFormatting sqref="J112:K117">
    <cfRule type="expression" dxfId="369" priority="35">
      <formula>kvartal &lt; 4</formula>
    </cfRule>
  </conditionalFormatting>
  <conditionalFormatting sqref="J122:K127">
    <cfRule type="expression" dxfId="368" priority="34">
      <formula>kvartal &lt; 4</formula>
    </cfRule>
  </conditionalFormatting>
  <conditionalFormatting sqref="J132:K137">
    <cfRule type="expression" dxfId="367" priority="33">
      <formula>kvartal &lt; 4</formula>
    </cfRule>
  </conditionalFormatting>
  <conditionalFormatting sqref="J146:K146">
    <cfRule type="expression" dxfId="366" priority="32">
      <formula>kvartal &lt; 4</formula>
    </cfRule>
  </conditionalFormatting>
  <conditionalFormatting sqref="J154:K154">
    <cfRule type="expression" dxfId="365" priority="31">
      <formula>kvartal &lt; 4</formula>
    </cfRule>
  </conditionalFormatting>
  <conditionalFormatting sqref="A26:A28">
    <cfRule type="expression" dxfId="364" priority="15">
      <formula>kvartal &lt; 4</formula>
    </cfRule>
  </conditionalFormatting>
  <conditionalFormatting sqref="A32:A33">
    <cfRule type="expression" dxfId="363" priority="14">
      <formula>kvartal &lt; 4</formula>
    </cfRule>
  </conditionalFormatting>
  <conditionalFormatting sqref="A37:A39">
    <cfRule type="expression" dxfId="362" priority="13">
      <formula>kvartal &lt; 4</formula>
    </cfRule>
  </conditionalFormatting>
  <conditionalFormatting sqref="A57:A59">
    <cfRule type="expression" dxfId="361" priority="12">
      <formula>kvartal &lt; 4</formula>
    </cfRule>
  </conditionalFormatting>
  <conditionalFormatting sqref="A63:A65">
    <cfRule type="expression" dxfId="360" priority="11">
      <formula>kvartal &lt; 4</formula>
    </cfRule>
  </conditionalFormatting>
  <conditionalFormatting sqref="A82:A87">
    <cfRule type="expression" dxfId="359" priority="10">
      <formula>kvartal &lt; 4</formula>
    </cfRule>
  </conditionalFormatting>
  <conditionalFormatting sqref="A92:A97">
    <cfRule type="expression" dxfId="358" priority="9">
      <formula>kvartal &lt; 4</formula>
    </cfRule>
  </conditionalFormatting>
  <conditionalFormatting sqref="A102:A107">
    <cfRule type="expression" dxfId="357" priority="8">
      <formula>kvartal &lt; 4</formula>
    </cfRule>
  </conditionalFormatting>
  <conditionalFormatting sqref="A112:A117">
    <cfRule type="expression" dxfId="356" priority="7">
      <formula>kvartal &lt; 4</formula>
    </cfRule>
  </conditionalFormatting>
  <conditionalFormatting sqref="A122:A127">
    <cfRule type="expression" dxfId="355" priority="6">
      <formula>kvartal &lt; 4</formula>
    </cfRule>
  </conditionalFormatting>
  <conditionalFormatting sqref="A132:A137">
    <cfRule type="expression" dxfId="354" priority="5">
      <formula>kvartal &lt; 4</formula>
    </cfRule>
  </conditionalFormatting>
  <conditionalFormatting sqref="A146">
    <cfRule type="expression" dxfId="353" priority="4">
      <formula>kvartal &lt; 4</formula>
    </cfRule>
  </conditionalFormatting>
  <conditionalFormatting sqref="A154">
    <cfRule type="expression" dxfId="352" priority="3">
      <formula>kvartal &lt; 4</formula>
    </cfRule>
  </conditionalFormatting>
  <conditionalFormatting sqref="A29">
    <cfRule type="expression" dxfId="351" priority="2">
      <formula>kvartal &lt; 4</formula>
    </cfRule>
  </conditionalFormatting>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0"/>
  <dimension ref="A1:O176"/>
  <sheetViews>
    <sheetView showGridLines="0" zoomScale="90" zoomScaleNormal="90" workbookViewId="0">
      <selection activeCell="A4" sqref="A4"/>
    </sheetView>
  </sheetViews>
  <sheetFormatPr baseColWidth="10" defaultColWidth="11.42578125" defaultRowHeight="12.75" x14ac:dyDescent="0.2"/>
  <cols>
    <col min="1" max="1" width="41.5703125" style="143" customWidth="1"/>
    <col min="2" max="2" width="10.85546875" style="143" customWidth="1"/>
    <col min="3" max="3" width="11" style="143" customWidth="1"/>
    <col min="4" max="5" width="8.7109375" style="143" customWidth="1"/>
    <col min="6" max="7" width="10.85546875" style="143" customWidth="1"/>
    <col min="8" max="9" width="8.7109375" style="143" customWidth="1"/>
    <col min="10" max="11" width="10.85546875" style="143" customWidth="1"/>
    <col min="12" max="13" width="8.7109375" style="143" customWidth="1"/>
    <col min="14" max="14" width="11.42578125" style="143"/>
    <col min="15" max="16384" width="11.42578125" style="1"/>
  </cols>
  <sheetData>
    <row r="1" spans="1:14" x14ac:dyDescent="0.2">
      <c r="A1" s="165" t="s">
        <v>159</v>
      </c>
      <c r="B1" s="401"/>
      <c r="C1" s="245" t="s">
        <v>120</v>
      </c>
      <c r="D1" s="20"/>
      <c r="E1" s="20"/>
      <c r="F1" s="20"/>
      <c r="G1" s="20"/>
      <c r="H1" s="20"/>
      <c r="I1" s="20"/>
      <c r="J1" s="20"/>
      <c r="K1" s="20"/>
      <c r="L1" s="20"/>
      <c r="M1" s="20"/>
    </row>
    <row r="2" spans="1:14" ht="15.75" x14ac:dyDescent="0.25">
      <c r="A2" s="158" t="s">
        <v>36</v>
      </c>
      <c r="B2" s="835"/>
      <c r="C2" s="835"/>
      <c r="D2" s="835"/>
      <c r="E2" s="301"/>
      <c r="F2" s="835"/>
      <c r="G2" s="835"/>
      <c r="H2" s="835"/>
      <c r="I2" s="301"/>
      <c r="J2" s="835"/>
      <c r="K2" s="835"/>
      <c r="L2" s="835"/>
      <c r="M2" s="301"/>
    </row>
    <row r="3" spans="1:14" ht="15.75" x14ac:dyDescent="0.25">
      <c r="A3" s="156"/>
      <c r="B3" s="301"/>
      <c r="C3" s="301"/>
      <c r="D3" s="301"/>
      <c r="E3" s="301"/>
      <c r="F3" s="301"/>
      <c r="G3" s="301"/>
      <c r="H3" s="301"/>
      <c r="I3" s="301"/>
      <c r="J3" s="301"/>
      <c r="K3" s="301"/>
      <c r="L3" s="301"/>
      <c r="M3" s="301"/>
    </row>
    <row r="4" spans="1:14" x14ac:dyDescent="0.2">
      <c r="A4" s="138"/>
      <c r="B4" s="808" t="s">
        <v>0</v>
      </c>
      <c r="C4" s="802"/>
      <c r="D4" s="802"/>
      <c r="E4" s="802"/>
      <c r="F4" s="808" t="s">
        <v>1</v>
      </c>
      <c r="G4" s="802"/>
      <c r="H4" s="802"/>
      <c r="I4" s="803"/>
      <c r="J4" s="801" t="s">
        <v>2</v>
      </c>
      <c r="K4" s="802"/>
      <c r="L4" s="802"/>
      <c r="M4" s="803"/>
    </row>
    <row r="5" spans="1:14" x14ac:dyDescent="0.2">
      <c r="A5" s="151"/>
      <c r="B5" s="145" t="s">
        <v>400</v>
      </c>
      <c r="C5" s="145" t="s">
        <v>401</v>
      </c>
      <c r="D5" s="242" t="s">
        <v>3</v>
      </c>
      <c r="E5" s="307" t="s">
        <v>37</v>
      </c>
      <c r="F5" s="145" t="s">
        <v>400</v>
      </c>
      <c r="G5" s="145" t="s">
        <v>401</v>
      </c>
      <c r="H5" s="242" t="s">
        <v>3</v>
      </c>
      <c r="I5" s="307" t="s">
        <v>37</v>
      </c>
      <c r="J5" s="145" t="s">
        <v>400</v>
      </c>
      <c r="K5" s="145" t="s">
        <v>401</v>
      </c>
      <c r="L5" s="242" t="s">
        <v>3</v>
      </c>
      <c r="M5" s="155" t="s">
        <v>37</v>
      </c>
    </row>
    <row r="6" spans="1:14" x14ac:dyDescent="0.2">
      <c r="A6" s="402"/>
      <c r="B6" s="149"/>
      <c r="C6" s="149"/>
      <c r="D6" s="243" t="s">
        <v>4</v>
      </c>
      <c r="E6" s="149" t="s">
        <v>38</v>
      </c>
      <c r="F6" s="154"/>
      <c r="G6" s="154"/>
      <c r="H6" s="242" t="s">
        <v>4</v>
      </c>
      <c r="I6" s="149" t="s">
        <v>38</v>
      </c>
      <c r="J6" s="154"/>
      <c r="K6" s="154"/>
      <c r="L6" s="242" t="s">
        <v>4</v>
      </c>
      <c r="M6" s="149" t="s">
        <v>38</v>
      </c>
    </row>
    <row r="7" spans="1:14" ht="15.75" x14ac:dyDescent="0.2">
      <c r="A7" s="12" t="s">
        <v>30</v>
      </c>
      <c r="B7" s="308">
        <v>682540.152</v>
      </c>
      <c r="C7" s="309">
        <v>684722</v>
      </c>
      <c r="D7" s="251">
        <f>IF(B7=0, "    ---- ", IF(ABS(ROUND(100/B7*C7-100,1))&lt;999,ROUND(100/B7*C7-100,1),IF(ROUND(100/B7*C7-100,1)&gt;999,999,-999)))</f>
        <v>0.3</v>
      </c>
      <c r="E7" s="170">
        <f>IFERROR(100/'Skjema total MA'!C7*C7,0)</f>
        <v>13.649039777146118</v>
      </c>
      <c r="F7" s="308">
        <v>1048433.382</v>
      </c>
      <c r="G7" s="309">
        <v>1658492.8759999999</v>
      </c>
      <c r="H7" s="251">
        <f>IF(F7=0, "    ---- ", IF(ABS(ROUND(100/F7*G7-100,1))&lt;999,ROUND(100/F7*G7-100,1),IF(ROUND(100/F7*G7-100,1)&gt;999,999,-999)))</f>
        <v>58.2</v>
      </c>
      <c r="I7" s="170">
        <f>IFERROR(100/'Skjema total MA'!F7*G7,0)</f>
        <v>18.232652541664564</v>
      </c>
      <c r="J7" s="310">
        <v>1730973.534</v>
      </c>
      <c r="K7" s="311">
        <v>2343214.8760000002</v>
      </c>
      <c r="L7" s="255">
        <f>IF(J7=0, "    ---- ", IF(ABS(ROUND(100/J7*K7-100,1))&lt;999,ROUND(100/J7*K7-100,1),IF(ROUND(100/J7*K7-100,1)&gt;999,999,-999)))</f>
        <v>35.4</v>
      </c>
      <c r="M7" s="170">
        <f>IFERROR(100/'Skjema total MA'!I7*K7,0)</f>
        <v>16.603343253347358</v>
      </c>
    </row>
    <row r="8" spans="1:14" ht="15.75" x14ac:dyDescent="0.2">
      <c r="A8" s="18" t="s">
        <v>32</v>
      </c>
      <c r="B8" s="282">
        <v>226069.83600000001</v>
      </c>
      <c r="C8" s="283">
        <v>246660</v>
      </c>
      <c r="D8" s="159">
        <f>IF(B8=0, "   ---- ", IF(ABS(ROUND(100/B8*C8-100,1))&lt;999,ROUND(100/B8*C8-100,1),IF(ROUND(100/B8*C8-100,1)&gt;999,999,-999)))</f>
        <v>9.1</v>
      </c>
      <c r="E8" s="170">
        <f>IFERROR(100/'Skjema total MA'!C8*C8,0)</f>
        <v>10.198570152607809</v>
      </c>
      <c r="F8" s="286"/>
      <c r="G8" s="287"/>
      <c r="H8" s="159"/>
      <c r="I8" s="170">
        <f>IFERROR(100/'Skjema total MA'!F8*G8,0)</f>
        <v>0</v>
      </c>
      <c r="J8" s="229">
        <v>226069.83600000001</v>
      </c>
      <c r="K8" s="288">
        <f>C8+G8</f>
        <v>246660</v>
      </c>
      <c r="L8" s="159">
        <f>IF(J8=0, "   ---- ", IF(ABS(ROUND(100/J8*K8-100,1))&lt;999,ROUND(100/J8*K8-100,1),IF(ROUND(100/J8*K8-100,1)&gt;999,999,-999)))</f>
        <v>9.1</v>
      </c>
      <c r="M8" s="170">
        <f>IFERROR(100/'Skjema total MA'!I8*K8,0)</f>
        <v>10.198570152607809</v>
      </c>
    </row>
    <row r="9" spans="1:14" ht="15.75" x14ac:dyDescent="0.2">
      <c r="A9" s="18" t="s">
        <v>31</v>
      </c>
      <c r="B9" s="282">
        <v>71722.366999999998</v>
      </c>
      <c r="C9" s="283">
        <v>77176</v>
      </c>
      <c r="D9" s="159">
        <f>IF(B9=0, "   ---- ", IF(ABS(ROUND(100/B9*C9-100,1))&lt;999,ROUND(100/B9*C9-100,1),IF(ROUND(100/B9*C9-100,1)&gt;999,999,-999)))</f>
        <v>7.6</v>
      </c>
      <c r="E9" s="170">
        <f>IFERROR(100/'Skjema total MA'!C9*C9,0)</f>
        <v>6.7307129179514744</v>
      </c>
      <c r="F9" s="286"/>
      <c r="G9" s="287"/>
      <c r="H9" s="159"/>
      <c r="I9" s="170">
        <f>IFERROR(100/'Skjema total MA'!F9*G9,0)</f>
        <v>0</v>
      </c>
      <c r="J9" s="229">
        <v>71722.366999999998</v>
      </c>
      <c r="K9" s="288">
        <f>C9+G9</f>
        <v>77176</v>
      </c>
      <c r="L9" s="159">
        <f>IF(J9=0, "   ---- ", IF(ABS(ROUND(100/J9*K9-100,1))&lt;999,ROUND(100/J9*K9-100,1),IF(ROUND(100/J9*K9-100,1)&gt;999,999,-999)))</f>
        <v>7.6</v>
      </c>
      <c r="M9" s="170">
        <f>IFERROR(100/'Skjema total MA'!I9*K9,0)</f>
        <v>6.7307129179514744</v>
      </c>
    </row>
    <row r="10" spans="1:14" ht="15.75" x14ac:dyDescent="0.2">
      <c r="A10" s="11" t="s">
        <v>29</v>
      </c>
      <c r="B10" s="312">
        <v>35004</v>
      </c>
      <c r="C10" s="313">
        <v>26953</v>
      </c>
      <c r="D10" s="159">
        <f t="shared" ref="D10:D13" si="0">IF(B10=0, "    ---- ", IF(ABS(ROUND(100/B10*C10-100,1))&lt;999,ROUND(100/B10*C10-100,1),IF(ROUND(100/B10*C10-100,1)&gt;999,999,-999)))</f>
        <v>-23</v>
      </c>
      <c r="E10" s="170">
        <f>IFERROR(100/'Skjema total MA'!C10*C10,0)</f>
        <v>7.5791520551253608</v>
      </c>
      <c r="F10" s="312">
        <v>467445.2</v>
      </c>
      <c r="G10" s="313">
        <v>1190788</v>
      </c>
      <c r="H10" s="159">
        <f t="shared" ref="H10:H15" si="1">IF(F10=0, "    ---- ", IF(ABS(ROUND(100/F10*G10-100,1))&lt;999,ROUND(100/F10*G10-100,1),IF(ROUND(100/F10*G10-100,1)&gt;999,999,-999)))</f>
        <v>154.69999999999999</v>
      </c>
      <c r="I10" s="170">
        <f>IFERROR(100/'Skjema total MA'!F10*G10,0)</f>
        <v>15.531113822164402</v>
      </c>
      <c r="J10" s="310">
        <v>502449.2</v>
      </c>
      <c r="K10" s="311">
        <v>1217741</v>
      </c>
      <c r="L10" s="256">
        <f t="shared" ref="L10:L15" si="2">IF(J10=0, "    ---- ", IF(ABS(ROUND(100/J10*K10-100,1))&lt;999,ROUND(100/J10*K10-100,1),IF(ROUND(100/J10*K10-100,1)&gt;999,999,-999)))</f>
        <v>142.4</v>
      </c>
      <c r="M10" s="170">
        <f>IFERROR(100/'Skjema total MA'!I10*K10,0)</f>
        <v>15.178630609595809</v>
      </c>
    </row>
    <row r="11" spans="1:14" ht="15.75" x14ac:dyDescent="0.2">
      <c r="A11" s="18" t="s">
        <v>32</v>
      </c>
      <c r="B11" s="282">
        <v>13704</v>
      </c>
      <c r="C11" s="283">
        <v>11404</v>
      </c>
      <c r="D11" s="159">
        <f t="shared" si="0"/>
        <v>-16.8</v>
      </c>
      <c r="E11" s="170">
        <f>IFERROR(100/'Skjema total MA'!C11*C11,0)</f>
        <v>5.9762575133164866</v>
      </c>
      <c r="F11" s="286"/>
      <c r="G11" s="287"/>
      <c r="H11" s="159"/>
      <c r="I11" s="170">
        <f>IFERROR(100/'Skjema total MA'!F11*G11,0)</f>
        <v>0</v>
      </c>
      <c r="J11" s="229">
        <v>13704</v>
      </c>
      <c r="K11" s="288">
        <v>11404</v>
      </c>
      <c r="L11" s="256">
        <f t="shared" ref="L11:L12" si="3">IF(J11=0, "    ---- ", IF(ABS(ROUND(100/J11*K11-100,1))&lt;999,ROUND(100/J11*K11-100,1),IF(ROUND(100/J11*K11-100,1)&gt;999,999,-999)))</f>
        <v>-16.8</v>
      </c>
      <c r="M11" s="170">
        <f>IFERROR(100/'Skjema total MA'!I11*K11,0)</f>
        <v>5.9762575133164866</v>
      </c>
    </row>
    <row r="12" spans="1:14" ht="15.75" x14ac:dyDescent="0.2">
      <c r="A12" s="18" t="s">
        <v>31</v>
      </c>
      <c r="B12" s="282">
        <v>3877</v>
      </c>
      <c r="C12" s="283">
        <v>2704</v>
      </c>
      <c r="D12" s="159">
        <f t="shared" si="0"/>
        <v>-30.3</v>
      </c>
      <c r="E12" s="170">
        <f>IFERROR(100/'Skjema total MA'!C12*C12,0)</f>
        <v>4.2692606989058763</v>
      </c>
      <c r="F12" s="286"/>
      <c r="G12" s="287"/>
      <c r="H12" s="159"/>
      <c r="I12" s="170">
        <f>IFERROR(100/'Skjema total MA'!F12*G12,0)</f>
        <v>0</v>
      </c>
      <c r="J12" s="229">
        <v>3877</v>
      </c>
      <c r="K12" s="288">
        <v>2704</v>
      </c>
      <c r="L12" s="256">
        <f t="shared" si="3"/>
        <v>-30.3</v>
      </c>
      <c r="M12" s="170">
        <f>IFERROR(100/'Skjema total MA'!I12*K12,0)</f>
        <v>4.2692606989058763</v>
      </c>
    </row>
    <row r="13" spans="1:14" ht="15.75" x14ac:dyDescent="0.2">
      <c r="A13" s="11" t="s">
        <v>28</v>
      </c>
      <c r="B13" s="312">
        <v>4021147.7319999998</v>
      </c>
      <c r="C13" s="313">
        <v>4061503.7650000001</v>
      </c>
      <c r="D13" s="159">
        <f t="shared" si="0"/>
        <v>1</v>
      </c>
      <c r="E13" s="170">
        <f>IFERROR(100/'Skjema total MA'!C13*C13,0)</f>
        <v>15.703300083136595</v>
      </c>
      <c r="F13" s="312">
        <v>3837903.6340000001</v>
      </c>
      <c r="G13" s="313">
        <v>4977205.6500000004</v>
      </c>
      <c r="H13" s="159">
        <f t="shared" si="1"/>
        <v>29.7</v>
      </c>
      <c r="I13" s="170">
        <f>IFERROR(100/'Skjema total MA'!F13*G13,0)</f>
        <v>15.028446935723233</v>
      </c>
      <c r="J13" s="310">
        <v>7859051.3660000004</v>
      </c>
      <c r="K13" s="311">
        <v>9038709.415000001</v>
      </c>
      <c r="L13" s="256">
        <f t="shared" si="2"/>
        <v>15</v>
      </c>
      <c r="M13" s="170">
        <f>IFERROR(100/'Skjema total MA'!I13*K13,0)</f>
        <v>15.324371804596176</v>
      </c>
    </row>
    <row r="14" spans="1:14" s="36" customFormat="1" ht="15.75" x14ac:dyDescent="0.2">
      <c r="A14" s="11" t="s">
        <v>27</v>
      </c>
      <c r="B14" s="312"/>
      <c r="C14" s="313"/>
      <c r="D14" s="159"/>
      <c r="E14" s="170"/>
      <c r="F14" s="312">
        <v>2294.855</v>
      </c>
      <c r="G14" s="313">
        <v>3160.4409999999998</v>
      </c>
      <c r="H14" s="159">
        <f t="shared" si="1"/>
        <v>37.700000000000003</v>
      </c>
      <c r="I14" s="170">
        <f>IFERROR(100/'Skjema total MA'!F14*G14,0)</f>
        <v>0.69426357116880866</v>
      </c>
      <c r="J14" s="310">
        <v>2294.855</v>
      </c>
      <c r="K14" s="311">
        <v>3160.4409999999998</v>
      </c>
      <c r="L14" s="256">
        <f t="shared" si="2"/>
        <v>37.700000000000003</v>
      </c>
      <c r="M14" s="170">
        <f>IFERROR(100/'Skjema total MA'!I14*K14,0)</f>
        <v>0.58891148323570519</v>
      </c>
      <c r="N14" s="137"/>
    </row>
    <row r="15" spans="1:14" s="36" customFormat="1" ht="15.75" x14ac:dyDescent="0.2">
      <c r="A15" s="34" t="s">
        <v>26</v>
      </c>
      <c r="B15" s="314"/>
      <c r="C15" s="315"/>
      <c r="D15" s="160"/>
      <c r="E15" s="160"/>
      <c r="F15" s="314">
        <v>34049.245999999999</v>
      </c>
      <c r="G15" s="315">
        <v>60472.983</v>
      </c>
      <c r="H15" s="160">
        <f t="shared" si="1"/>
        <v>77.599999999999994</v>
      </c>
      <c r="I15" s="160">
        <f>IFERROR(100/'Skjema total MA'!F15*G15,0)</f>
        <v>35.384177573613634</v>
      </c>
      <c r="J15" s="316">
        <v>34049.245999999999</v>
      </c>
      <c r="K15" s="317">
        <v>60472.983</v>
      </c>
      <c r="L15" s="257">
        <f t="shared" si="2"/>
        <v>77.599999999999994</v>
      </c>
      <c r="M15" s="160">
        <f>IFERROR(100/'Skjema total MA'!I15*K15,0)</f>
        <v>28.449203905801632</v>
      </c>
      <c r="N15" s="137"/>
    </row>
    <row r="16" spans="1:14" s="36" customFormat="1" x14ac:dyDescent="0.2">
      <c r="A16" s="161"/>
      <c r="B16" s="139"/>
      <c r="C16" s="27"/>
      <c r="D16" s="152"/>
      <c r="E16" s="152"/>
      <c r="F16" s="139"/>
      <c r="G16" s="27"/>
      <c r="H16" s="152"/>
      <c r="I16" s="152"/>
      <c r="J16" s="41"/>
      <c r="K16" s="41"/>
      <c r="L16" s="152"/>
      <c r="M16" s="152"/>
      <c r="N16" s="137"/>
    </row>
    <row r="17" spans="1:14" x14ac:dyDescent="0.2">
      <c r="A17" s="146" t="s">
        <v>307</v>
      </c>
      <c r="B17" s="20"/>
    </row>
    <row r="18" spans="1:14" x14ac:dyDescent="0.2">
      <c r="F18" s="140"/>
      <c r="G18" s="140"/>
      <c r="H18" s="140"/>
      <c r="I18" s="140"/>
      <c r="J18" s="140"/>
      <c r="K18" s="140"/>
      <c r="L18" s="140"/>
      <c r="M18" s="140"/>
    </row>
    <row r="19" spans="1:14" s="3" customFormat="1" ht="15.75" x14ac:dyDescent="0.25">
      <c r="A19" s="157"/>
      <c r="B19" s="142"/>
      <c r="C19" s="147"/>
      <c r="D19" s="147"/>
      <c r="E19" s="147"/>
      <c r="F19" s="147"/>
      <c r="G19" s="147"/>
      <c r="H19" s="147"/>
      <c r="I19" s="147"/>
      <c r="J19" s="147"/>
      <c r="K19" s="147"/>
      <c r="L19" s="147"/>
      <c r="M19" s="147"/>
      <c r="N19" s="142"/>
    </row>
    <row r="20" spans="1:14" ht="15.75" x14ac:dyDescent="0.25">
      <c r="A20" s="141" t="s">
        <v>304</v>
      </c>
      <c r="B20" s="150"/>
      <c r="C20" s="150"/>
      <c r="D20" s="144"/>
      <c r="E20" s="144"/>
      <c r="F20" s="150"/>
      <c r="G20" s="150"/>
      <c r="H20" s="150"/>
      <c r="I20" s="150"/>
      <c r="J20" s="150"/>
      <c r="K20" s="150"/>
      <c r="L20" s="150"/>
      <c r="M20" s="150"/>
    </row>
    <row r="21" spans="1:14" ht="15.75" x14ac:dyDescent="0.25">
      <c r="B21" s="832"/>
      <c r="C21" s="832"/>
      <c r="D21" s="832"/>
      <c r="E21" s="301"/>
      <c r="F21" s="832"/>
      <c r="G21" s="832"/>
      <c r="H21" s="832"/>
      <c r="I21" s="301"/>
      <c r="J21" s="832"/>
      <c r="K21" s="832"/>
      <c r="L21" s="832"/>
      <c r="M21" s="301"/>
    </row>
    <row r="22" spans="1:14" x14ac:dyDescent="0.2">
      <c r="A22" s="138"/>
      <c r="B22" s="833" t="s">
        <v>0</v>
      </c>
      <c r="C22" s="834"/>
      <c r="D22" s="834"/>
      <c r="E22" s="303"/>
      <c r="F22" s="833" t="s">
        <v>1</v>
      </c>
      <c r="G22" s="834"/>
      <c r="H22" s="834"/>
      <c r="I22" s="306"/>
      <c r="J22" s="833" t="s">
        <v>2</v>
      </c>
      <c r="K22" s="834"/>
      <c r="L22" s="834"/>
      <c r="M22" s="306"/>
    </row>
    <row r="23" spans="1:14" x14ac:dyDescent="0.2">
      <c r="A23" s="134" t="s">
        <v>5</v>
      </c>
      <c r="B23" s="145" t="s">
        <v>400</v>
      </c>
      <c r="C23" s="145" t="s">
        <v>401</v>
      </c>
      <c r="D23" s="242" t="s">
        <v>3</v>
      </c>
      <c r="E23" s="307" t="s">
        <v>37</v>
      </c>
      <c r="F23" s="145" t="s">
        <v>400</v>
      </c>
      <c r="G23" s="145" t="s">
        <v>401</v>
      </c>
      <c r="H23" s="242" t="s">
        <v>3</v>
      </c>
      <c r="I23" s="307" t="s">
        <v>37</v>
      </c>
      <c r="J23" s="145" t="s">
        <v>400</v>
      </c>
      <c r="K23" s="145" t="s">
        <v>401</v>
      </c>
      <c r="L23" s="242" t="s">
        <v>3</v>
      </c>
      <c r="M23" s="155" t="s">
        <v>37</v>
      </c>
    </row>
    <row r="24" spans="1:14" x14ac:dyDescent="0.2">
      <c r="A24" s="403"/>
      <c r="B24" s="149"/>
      <c r="C24" s="149"/>
      <c r="D24" s="243" t="s">
        <v>4</v>
      </c>
      <c r="E24" s="149" t="s">
        <v>38</v>
      </c>
      <c r="F24" s="154"/>
      <c r="G24" s="154"/>
      <c r="H24" s="242" t="s">
        <v>4</v>
      </c>
      <c r="I24" s="149" t="s">
        <v>38</v>
      </c>
      <c r="J24" s="154"/>
      <c r="K24" s="154"/>
      <c r="L24" s="242" t="s">
        <v>4</v>
      </c>
      <c r="M24" s="149" t="s">
        <v>38</v>
      </c>
    </row>
    <row r="25" spans="1:14" ht="15.75" x14ac:dyDescent="0.2">
      <c r="A25" s="12" t="s">
        <v>30</v>
      </c>
      <c r="B25" s="318">
        <v>19513.810000000001</v>
      </c>
      <c r="C25" s="319">
        <v>16755</v>
      </c>
      <c r="D25" s="251">
        <f t="shared" ref="D25:D44" si="4">IF(B25=0, "    ---- ", IF(ABS(ROUND(100/B25*C25-100,1))&lt;999,ROUND(100/B25*C25-100,1),IF(ROUND(100/B25*C25-100,1)&gt;999,999,-999)))</f>
        <v>-14.1</v>
      </c>
      <c r="E25" s="170">
        <f>IFERROR(100/'Skjema total MA'!C25*C25,0)</f>
        <v>1.1672436527902117</v>
      </c>
      <c r="F25" s="320">
        <v>33522.081999999995</v>
      </c>
      <c r="G25" s="319">
        <v>41395</v>
      </c>
      <c r="H25" s="251">
        <f t="shared" ref="H25:H41" si="5">IF(F25=0, "    ---- ", IF(ABS(ROUND(100/F25*G25-100,1))&lt;999,ROUND(100/F25*G25-100,1),IF(ROUND(100/F25*G25-100,1)&gt;999,999,-999)))</f>
        <v>23.5</v>
      </c>
      <c r="I25" s="170">
        <f>IFERROR(100/'Skjema total MA'!F25*G25,0)</f>
        <v>10.384879480166125</v>
      </c>
      <c r="J25" s="318">
        <v>53035.891999999993</v>
      </c>
      <c r="K25" s="318">
        <v>58150</v>
      </c>
      <c r="L25" s="255">
        <f t="shared" ref="L25:L41" si="6">IF(J25=0, "    ---- ", IF(ABS(ROUND(100/J25*K25-100,1))&lt;999,ROUND(100/J25*K25-100,1),IF(ROUND(100/J25*K25-100,1)&gt;999,999,-999)))</f>
        <v>9.6</v>
      </c>
      <c r="M25" s="159">
        <f>IFERROR(100/'Skjema total MA'!I25*K25,0)</f>
        <v>3.1705937594448459</v>
      </c>
    </row>
    <row r="26" spans="1:14" ht="15.75" x14ac:dyDescent="0.2">
      <c r="A26" s="298" t="s">
        <v>318</v>
      </c>
      <c r="B26" s="291">
        <v>2050.54</v>
      </c>
      <c r="C26" s="292">
        <v>1923</v>
      </c>
      <c r="D26" s="159">
        <f t="shared" si="4"/>
        <v>-6.2</v>
      </c>
      <c r="E26" s="170">
        <f>IFERROR(100/'Skjema total MA'!C26*C26,0)</f>
        <v>0.14799975261632711</v>
      </c>
      <c r="F26" s="291">
        <v>20934.241999999998</v>
      </c>
      <c r="G26" s="292">
        <v>30471</v>
      </c>
      <c r="H26" s="159">
        <f t="shared" si="5"/>
        <v>45.6</v>
      </c>
      <c r="I26" s="237">
        <f>IFERROR(100/'Skjema total MA'!F26*G26,0)</f>
        <v>19.27155005313011</v>
      </c>
      <c r="J26" s="291">
        <v>22984.781999999999</v>
      </c>
      <c r="K26" s="292">
        <v>32394</v>
      </c>
      <c r="L26" s="256">
        <f t="shared" si="6"/>
        <v>40.9</v>
      </c>
      <c r="M26" s="170">
        <f>IFERROR(100/'Skjema total MA'!I26*K26,0)</f>
        <v>2.2226637887702503</v>
      </c>
    </row>
    <row r="27" spans="1:14" ht="15.75" x14ac:dyDescent="0.2">
      <c r="A27" s="298" t="s">
        <v>319</v>
      </c>
      <c r="B27" s="291">
        <v>17463.27</v>
      </c>
      <c r="C27" s="291">
        <v>14832</v>
      </c>
      <c r="D27" s="159">
        <f t="shared" si="4"/>
        <v>-15.1</v>
      </c>
      <c r="E27" s="170">
        <f>IFERROR(100/'Skjema total MA'!C27*C27,0)</f>
        <v>76.693953149159057</v>
      </c>
      <c r="F27" s="291">
        <v>8.73</v>
      </c>
      <c r="G27" s="291">
        <v>10</v>
      </c>
      <c r="H27" s="159">
        <f t="shared" si="5"/>
        <v>14.5</v>
      </c>
      <c r="I27" s="237">
        <f>IFERROR(100/'Skjema total MA'!F27*G27,0)</f>
        <v>0.15768388858561022</v>
      </c>
      <c r="J27" s="291">
        <v>17472</v>
      </c>
      <c r="K27" s="291">
        <v>14842</v>
      </c>
      <c r="L27" s="256">
        <f t="shared" si="6"/>
        <v>-15.1</v>
      </c>
      <c r="M27" s="159">
        <f>IFERROR(100/'Skjema total MA'!I27*K27,0)</f>
        <v>57.793686281533525</v>
      </c>
    </row>
    <row r="28" spans="1:14" ht="15.75" x14ac:dyDescent="0.2">
      <c r="A28" s="298" t="s">
        <v>320</v>
      </c>
      <c r="B28" s="399" t="s">
        <v>213</v>
      </c>
      <c r="C28" s="399" t="s">
        <v>213</v>
      </c>
      <c r="D28" s="159"/>
      <c r="E28" s="237"/>
      <c r="F28" s="291">
        <v>12579.11</v>
      </c>
      <c r="G28" s="291">
        <v>10914</v>
      </c>
      <c r="H28" s="159">
        <f t="shared" si="5"/>
        <v>-13.2</v>
      </c>
      <c r="I28" s="237">
        <f>IFERROR(100/'Skjema total MA'!F28*G28,0)</f>
        <v>4.6610613984213982</v>
      </c>
      <c r="J28" s="291">
        <v>12579.11</v>
      </c>
      <c r="K28" s="291">
        <v>10914</v>
      </c>
      <c r="L28" s="256">
        <f t="shared" si="6"/>
        <v>-13.2</v>
      </c>
      <c r="M28" s="159">
        <f>IFERROR(100/'Skjema total MA'!I28*K28,0)</f>
        <v>3.1101112212898014</v>
      </c>
    </row>
    <row r="29" spans="1:14" x14ac:dyDescent="0.2">
      <c r="A29" s="298" t="s">
        <v>11</v>
      </c>
      <c r="B29" s="399"/>
      <c r="C29" s="399"/>
      <c r="D29" s="159"/>
      <c r="E29" s="237"/>
      <c r="F29" s="399"/>
      <c r="G29" s="291"/>
      <c r="H29" s="159"/>
      <c r="I29" s="237"/>
      <c r="J29" s="291"/>
      <c r="K29" s="291"/>
      <c r="L29" s="159"/>
      <c r="M29" s="159"/>
    </row>
    <row r="30" spans="1:14" ht="15.75" x14ac:dyDescent="0.2">
      <c r="A30" s="42" t="s">
        <v>308</v>
      </c>
      <c r="B30" s="37">
        <v>206108.24</v>
      </c>
      <c r="C30" s="288">
        <v>213021</v>
      </c>
      <c r="D30" s="159">
        <f t="shared" si="4"/>
        <v>3.4</v>
      </c>
      <c r="E30" s="170">
        <f>IFERROR(100/'Skjema total MA'!C30*C30,0)</f>
        <v>14.254485064021194</v>
      </c>
      <c r="F30" s="229"/>
      <c r="G30" s="288"/>
      <c r="H30" s="159"/>
      <c r="I30" s="170"/>
      <c r="J30" s="37">
        <v>206108.24</v>
      </c>
      <c r="K30" s="37">
        <f>C30</f>
        <v>213021</v>
      </c>
      <c r="L30" s="256">
        <f t="shared" si="6"/>
        <v>3.4</v>
      </c>
      <c r="M30" s="159">
        <f>IFERROR(100/'Skjema total MA'!I30*K30,0)</f>
        <v>14.254485064021194</v>
      </c>
    </row>
    <row r="31" spans="1:14" ht="15.75" x14ac:dyDescent="0.2">
      <c r="A31" s="11" t="s">
        <v>29</v>
      </c>
      <c r="B31" s="231"/>
      <c r="C31" s="231"/>
      <c r="D31" s="159"/>
      <c r="E31" s="170"/>
      <c r="F31" s="310">
        <v>4372</v>
      </c>
      <c r="G31" s="310">
        <v>3049</v>
      </c>
      <c r="H31" s="159">
        <f t="shared" si="5"/>
        <v>-30.3</v>
      </c>
      <c r="I31" s="170">
        <f>IFERROR(100/'Skjema total MA'!F31*G31,0)</f>
        <v>23.499437176918725</v>
      </c>
      <c r="J31" s="231">
        <v>4372</v>
      </c>
      <c r="K31" s="231">
        <v>3049</v>
      </c>
      <c r="L31" s="256">
        <f t="shared" si="6"/>
        <v>-30.3</v>
      </c>
      <c r="M31" s="159">
        <f>IFERROR(100/'Skjema total MA'!I31*K31,0)</f>
        <v>1.1031241010262427</v>
      </c>
    </row>
    <row r="32" spans="1:14" ht="15.75" x14ac:dyDescent="0.2">
      <c r="A32" s="298" t="s">
        <v>318</v>
      </c>
      <c r="B32" s="291"/>
      <c r="C32" s="291"/>
      <c r="D32" s="159"/>
      <c r="E32" s="237"/>
      <c r="F32" s="291">
        <v>394</v>
      </c>
      <c r="G32" s="291">
        <v>347</v>
      </c>
      <c r="H32" s="159">
        <f t="shared" si="5"/>
        <v>-11.9</v>
      </c>
      <c r="I32" s="237">
        <f>IFERROR(100/'Skjema total MA'!F32*G32,0)</f>
        <v>45.359477124183009</v>
      </c>
      <c r="J32" s="291">
        <v>394</v>
      </c>
      <c r="K32" s="291">
        <v>347</v>
      </c>
      <c r="L32" s="256">
        <f t="shared" si="6"/>
        <v>-11.9</v>
      </c>
      <c r="M32" s="159">
        <f>IFERROR(100/'Skjema total MA'!I32*K32,0)</f>
        <v>0.13134633357860359</v>
      </c>
    </row>
    <row r="33" spans="1:15" ht="15.75" x14ac:dyDescent="0.2">
      <c r="A33" s="298" t="s">
        <v>320</v>
      </c>
      <c r="B33" s="291"/>
      <c r="C33" s="291"/>
      <c r="D33" s="159"/>
      <c r="E33" s="237"/>
      <c r="F33" s="291">
        <v>3978</v>
      </c>
      <c r="G33" s="291">
        <v>2702</v>
      </c>
      <c r="H33" s="159">
        <f t="shared" si="5"/>
        <v>-32.1</v>
      </c>
      <c r="I33" s="237">
        <f>IFERROR(100/'Skjema total MA'!F33*G33,0)</f>
        <v>22.129802985137285</v>
      </c>
      <c r="J33" s="291">
        <v>3978</v>
      </c>
      <c r="K33" s="291">
        <v>2702</v>
      </c>
      <c r="L33" s="256">
        <f t="shared" si="6"/>
        <v>-32.1</v>
      </c>
      <c r="M33" s="159">
        <f>IFERROR(100/'Skjema total MA'!I33*K33,0)</f>
        <v>22.129802985137285</v>
      </c>
    </row>
    <row r="34" spans="1:15" s="21" customFormat="1" x14ac:dyDescent="0.2">
      <c r="A34" s="298" t="s">
        <v>16</v>
      </c>
      <c r="B34" s="291"/>
      <c r="C34" s="291"/>
      <c r="D34" s="159"/>
      <c r="E34" s="237"/>
      <c r="F34" s="291"/>
      <c r="G34" s="291"/>
      <c r="H34" s="159"/>
      <c r="I34" s="237"/>
      <c r="J34" s="291"/>
      <c r="K34" s="291"/>
      <c r="L34" s="159"/>
      <c r="M34" s="159"/>
      <c r="N34" s="166"/>
    </row>
    <row r="35" spans="1:15" ht="15.75" x14ac:dyDescent="0.2">
      <c r="A35" s="42" t="s">
        <v>308</v>
      </c>
      <c r="B35" s="37">
        <v>17423</v>
      </c>
      <c r="C35" s="288">
        <v>12845</v>
      </c>
      <c r="D35" s="159">
        <f t="shared" si="4"/>
        <v>-26.3</v>
      </c>
      <c r="E35" s="170">
        <f>IFERROR(100/'Skjema total MA'!C35*C35,0)</f>
        <v>6.8479249773089865</v>
      </c>
      <c r="F35" s="229"/>
      <c r="G35" s="288"/>
      <c r="H35" s="159"/>
      <c r="I35" s="170"/>
      <c r="J35" s="37">
        <v>17423</v>
      </c>
      <c r="K35" s="37">
        <v>12845</v>
      </c>
      <c r="L35" s="256">
        <f t="shared" si="6"/>
        <v>-26.3</v>
      </c>
      <c r="M35" s="159">
        <f>IFERROR(100/'Skjema total MA'!I35*K35,0)</f>
        <v>6.8479249773089865</v>
      </c>
    </row>
    <row r="36" spans="1:15" s="3" customFormat="1" ht="15.75" x14ac:dyDescent="0.2">
      <c r="A36" s="11" t="s">
        <v>28</v>
      </c>
      <c r="B36" s="231">
        <v>12240115.403999999</v>
      </c>
      <c r="C36" s="311">
        <v>11787276</v>
      </c>
      <c r="D36" s="159">
        <f t="shared" si="4"/>
        <v>-3.7</v>
      </c>
      <c r="E36" s="170">
        <f>IFERROR(100/'Skjema total MA'!C36*C36,0)</f>
        <v>23.309327579461627</v>
      </c>
      <c r="F36" s="310">
        <v>3572975.0089999996</v>
      </c>
      <c r="G36" s="311">
        <v>3579860.76</v>
      </c>
      <c r="H36" s="159">
        <f t="shared" si="5"/>
        <v>0.2</v>
      </c>
      <c r="I36" s="170">
        <f>IFERROR(100/'Skjema total MA'!F36*G36,0)</f>
        <v>18.729290194115862</v>
      </c>
      <c r="J36" s="231">
        <v>15813090.412999999</v>
      </c>
      <c r="K36" s="231">
        <v>15367136.76</v>
      </c>
      <c r="L36" s="256">
        <f t="shared" si="6"/>
        <v>-2.8</v>
      </c>
      <c r="M36" s="159">
        <f>IFERROR(100/'Skjema total MA'!I36*K36,0)</f>
        <v>22.053039228015287</v>
      </c>
      <c r="N36" s="142"/>
    </row>
    <row r="37" spans="1:15" s="3" customFormat="1" ht="15.75" x14ac:dyDescent="0.2">
      <c r="A37" s="298" t="s">
        <v>318</v>
      </c>
      <c r="B37" s="291">
        <v>1750010.4040000001</v>
      </c>
      <c r="C37" s="291">
        <v>1352689</v>
      </c>
      <c r="D37" s="159">
        <f t="shared" si="4"/>
        <v>-22.7</v>
      </c>
      <c r="E37" s="170">
        <f>IFERROR(100/'Skjema total MA'!C37*C37,0)</f>
        <v>10.511052208938281</v>
      </c>
      <c r="F37" s="291">
        <v>487437.10700000002</v>
      </c>
      <c r="G37" s="291">
        <v>482288.47700000001</v>
      </c>
      <c r="H37" s="159">
        <f t="shared" si="5"/>
        <v>-1.1000000000000001</v>
      </c>
      <c r="I37" s="237">
        <f>IFERROR(100/'Skjema total MA'!F37*G37,0)</f>
        <v>11.239934053047278</v>
      </c>
      <c r="J37" s="291">
        <v>2237447.5109999999</v>
      </c>
      <c r="K37" s="291">
        <v>1834977.477</v>
      </c>
      <c r="L37" s="256">
        <f t="shared" si="6"/>
        <v>-18</v>
      </c>
      <c r="M37" s="159">
        <f>IFERROR(100/'Skjema total MA'!I37*K37,0)</f>
        <v>10.693308109468594</v>
      </c>
      <c r="N37" s="142"/>
      <c r="O37" s="799"/>
    </row>
    <row r="38" spans="1:15" s="3" customFormat="1" ht="15.75" x14ac:dyDescent="0.2">
      <c r="A38" s="298" t="s">
        <v>319</v>
      </c>
      <c r="B38" s="291">
        <v>10490105</v>
      </c>
      <c r="C38" s="291">
        <v>10434587</v>
      </c>
      <c r="D38" s="159">
        <f t="shared" si="4"/>
        <v>-0.5</v>
      </c>
      <c r="E38" s="170">
        <f>IFERROR(100/'Skjema total MA'!C38*C38,0)</f>
        <v>28.707472539436338</v>
      </c>
      <c r="F38" s="291">
        <v>2291238.0099999998</v>
      </c>
      <c r="G38" s="291">
        <v>2135933.1549999998</v>
      </c>
      <c r="H38" s="159">
        <f t="shared" si="5"/>
        <v>-6.8</v>
      </c>
      <c r="I38" s="237">
        <f>IFERROR(100/'Skjema total MA'!F38*G38,0)</f>
        <v>18.757600894022357</v>
      </c>
      <c r="J38" s="291">
        <v>12781343.01</v>
      </c>
      <c r="K38" s="291">
        <v>12570520.154999999</v>
      </c>
      <c r="L38" s="256">
        <f t="shared" si="6"/>
        <v>-1.6</v>
      </c>
      <c r="M38" s="159">
        <f>IFERROR(100/'Skjema total MA'!I38*K38,0)</f>
        <v>26.333963826661087</v>
      </c>
      <c r="N38" s="142"/>
    </row>
    <row r="39" spans="1:15" ht="15.75" x14ac:dyDescent="0.2">
      <c r="A39" s="298" t="s">
        <v>320</v>
      </c>
      <c r="B39" s="291"/>
      <c r="C39" s="291"/>
      <c r="D39" s="159"/>
      <c r="E39" s="237"/>
      <c r="F39" s="291">
        <v>794299.89199999999</v>
      </c>
      <c r="G39" s="291">
        <v>961639.12800000003</v>
      </c>
      <c r="H39" s="159">
        <f t="shared" si="5"/>
        <v>21.1</v>
      </c>
      <c r="I39" s="237">
        <f>IFERROR(100/'Skjema total MA'!F39*G39,0)</f>
        <v>27.988578966326934</v>
      </c>
      <c r="J39" s="291">
        <v>794299.89199999999</v>
      </c>
      <c r="K39" s="291">
        <v>961639.12800000003</v>
      </c>
      <c r="L39" s="256">
        <f t="shared" si="6"/>
        <v>21.1</v>
      </c>
      <c r="M39" s="159">
        <f>IFERROR(100/'Skjema total MA'!I39*K39,0)</f>
        <v>20.086197958799151</v>
      </c>
    </row>
    <row r="40" spans="1:15" ht="15.75" x14ac:dyDescent="0.2">
      <c r="A40" s="11" t="s">
        <v>27</v>
      </c>
      <c r="B40" s="231">
        <v>6661.0749999999998</v>
      </c>
      <c r="C40" s="311">
        <v>6424.152</v>
      </c>
      <c r="D40" s="159">
        <f t="shared" si="4"/>
        <v>-3.6</v>
      </c>
      <c r="E40" s="170">
        <f>IFERROR(100/'Skjema total MA'!C40*C40,0)</f>
        <v>14.497701219199049</v>
      </c>
      <c r="F40" s="310">
        <v>137542.21400000001</v>
      </c>
      <c r="G40" s="311">
        <v>27430.065999999999</v>
      </c>
      <c r="H40" s="159">
        <f t="shared" si="5"/>
        <v>-80.099999999999994</v>
      </c>
      <c r="I40" s="170">
        <f>IFERROR(100/'Skjema total MA'!F40*G40,0)</f>
        <v>34.854915099123005</v>
      </c>
      <c r="J40" s="231">
        <v>144203.28900000002</v>
      </c>
      <c r="K40" s="231">
        <v>33854.218000000001</v>
      </c>
      <c r="L40" s="256">
        <f t="shared" si="6"/>
        <v>-76.5</v>
      </c>
      <c r="M40" s="159">
        <f>IFERROR(100/'Skjema total MA'!I40*K40,0)</f>
        <v>27.521659355019615</v>
      </c>
    </row>
    <row r="41" spans="1:15" ht="15.75" x14ac:dyDescent="0.2">
      <c r="A41" s="11" t="s">
        <v>26</v>
      </c>
      <c r="B41" s="231">
        <v>8301.1679999999997</v>
      </c>
      <c r="C41" s="311">
        <v>2666.8679999999999</v>
      </c>
      <c r="D41" s="159">
        <f t="shared" si="4"/>
        <v>-67.900000000000006</v>
      </c>
      <c r="E41" s="170">
        <f>IFERROR(100/'Skjema total MA'!C41*C41,0)</f>
        <v>-4.421361443373983</v>
      </c>
      <c r="F41" s="310">
        <v>27757.002</v>
      </c>
      <c r="G41" s="311">
        <v>12114.038</v>
      </c>
      <c r="H41" s="159">
        <f t="shared" si="5"/>
        <v>-56.4</v>
      </c>
      <c r="I41" s="170">
        <f>IFERROR(100/'Skjema total MA'!F41*G41,0)</f>
        <v>11.595776276532556</v>
      </c>
      <c r="J41" s="231">
        <v>36058.17</v>
      </c>
      <c r="K41" s="231">
        <v>14780.906000000001</v>
      </c>
      <c r="L41" s="256">
        <f t="shared" si="6"/>
        <v>-59</v>
      </c>
      <c r="M41" s="159">
        <f>IFERROR(100/'Skjema total MA'!I41*K41,0)</f>
        <v>33.477622721828368</v>
      </c>
    </row>
    <row r="42" spans="1:15" ht="15.75" x14ac:dyDescent="0.2">
      <c r="A42" s="10" t="s">
        <v>321</v>
      </c>
      <c r="B42" s="231">
        <v>292.45400000000001</v>
      </c>
      <c r="C42" s="311">
        <v>189.98</v>
      </c>
      <c r="D42" s="159">
        <f t="shared" si="4"/>
        <v>-35</v>
      </c>
      <c r="E42" s="170">
        <f>100/'Skjema total MA'!C42*C42</f>
        <v>0.98430235148681566</v>
      </c>
      <c r="F42" s="321"/>
      <c r="G42" s="322"/>
      <c r="H42" s="159"/>
      <c r="I42" s="237">
        <f>IFERROR(100/'Skjema total MA'!F42*G42,0)</f>
        <v>0</v>
      </c>
      <c r="J42" s="231">
        <v>292.45400000000001</v>
      </c>
      <c r="K42" s="231">
        <v>189.98</v>
      </c>
      <c r="L42" s="256"/>
      <c r="M42" s="159">
        <f>IFERROR(100/'Skjema total MA'!I42*K42,0)</f>
        <v>0.98430235148681566</v>
      </c>
    </row>
    <row r="43" spans="1:15" ht="15.75" x14ac:dyDescent="0.2">
      <c r="A43" s="10" t="s">
        <v>322</v>
      </c>
      <c r="B43" s="231"/>
      <c r="C43" s="311"/>
      <c r="D43" s="159"/>
      <c r="E43" s="170"/>
      <c r="F43" s="321"/>
      <c r="G43" s="322"/>
      <c r="H43" s="159"/>
      <c r="I43" s="237"/>
      <c r="J43" s="231"/>
      <c r="K43" s="231"/>
      <c r="L43" s="256"/>
      <c r="M43" s="159"/>
    </row>
    <row r="44" spans="1:15" ht="15.75" x14ac:dyDescent="0.2">
      <c r="A44" s="10" t="s">
        <v>323</v>
      </c>
      <c r="B44" s="231">
        <v>494465.73499999999</v>
      </c>
      <c r="C44" s="311">
        <v>496882.86599999998</v>
      </c>
      <c r="D44" s="159">
        <f t="shared" si="4"/>
        <v>0.5</v>
      </c>
      <c r="E44" s="170">
        <f>100/'Skjema total MA'!C44*C44</f>
        <v>12.20226053745403</v>
      </c>
      <c r="F44" s="321"/>
      <c r="G44" s="323"/>
      <c r="H44" s="159"/>
      <c r="I44" s="237">
        <f>IFERROR(100/'Skjema total MA'!F44*G44,0)</f>
        <v>0</v>
      </c>
      <c r="J44" s="231">
        <v>494465.73499999999</v>
      </c>
      <c r="K44" s="231">
        <v>496882.86599999998</v>
      </c>
      <c r="L44" s="256"/>
      <c r="M44" s="159">
        <f>IFERROR(100/'Skjema total MA'!I44*K44,0)</f>
        <v>12.20226053745403</v>
      </c>
    </row>
    <row r="45" spans="1:15" ht="15.75" x14ac:dyDescent="0.2">
      <c r="A45" s="10" t="s">
        <v>324</v>
      </c>
      <c r="B45" s="231"/>
      <c r="C45" s="311"/>
      <c r="D45" s="159"/>
      <c r="E45" s="170"/>
      <c r="F45" s="321"/>
      <c r="G45" s="322"/>
      <c r="H45" s="159"/>
      <c r="I45" s="237"/>
      <c r="J45" s="231"/>
      <c r="K45" s="231"/>
      <c r="L45" s="256"/>
      <c r="M45" s="159"/>
    </row>
    <row r="46" spans="1:15" ht="15.75" x14ac:dyDescent="0.2">
      <c r="A46" s="16" t="s">
        <v>325</v>
      </c>
      <c r="B46" s="277"/>
      <c r="C46" s="317"/>
      <c r="D46" s="160"/>
      <c r="E46" s="201"/>
      <c r="F46" s="324"/>
      <c r="G46" s="325"/>
      <c r="H46" s="160"/>
      <c r="I46" s="160"/>
      <c r="J46" s="231"/>
      <c r="K46" s="231"/>
      <c r="L46" s="257"/>
      <c r="M46" s="160"/>
    </row>
    <row r="47" spans="1:15" ht="15.75" x14ac:dyDescent="0.25">
      <c r="A47" s="40"/>
      <c r="B47" s="254"/>
      <c r="C47" s="254"/>
      <c r="D47" s="836"/>
      <c r="E47" s="836"/>
      <c r="F47" s="836"/>
      <c r="G47" s="836"/>
      <c r="H47" s="836"/>
      <c r="I47" s="836"/>
      <c r="J47" s="836"/>
      <c r="K47" s="836"/>
      <c r="L47" s="836"/>
      <c r="M47" s="304"/>
    </row>
    <row r="48" spans="1:15" x14ac:dyDescent="0.2">
      <c r="A48" s="148"/>
    </row>
    <row r="49" spans="1:14" ht="15.75" x14ac:dyDescent="0.25">
      <c r="A49" s="141" t="s">
        <v>305</v>
      </c>
      <c r="B49" s="835"/>
      <c r="C49" s="835"/>
      <c r="D49" s="835"/>
      <c r="E49" s="301"/>
      <c r="F49" s="837"/>
      <c r="G49" s="837"/>
      <c r="H49" s="837"/>
      <c r="I49" s="304"/>
      <c r="J49" s="837"/>
      <c r="K49" s="837"/>
      <c r="L49" s="837"/>
      <c r="M49" s="304"/>
    </row>
    <row r="50" spans="1:14" ht="15.75" x14ac:dyDescent="0.25">
      <c r="A50" s="156"/>
      <c r="B50" s="305"/>
      <c r="C50" s="305"/>
      <c r="D50" s="305"/>
      <c r="E50" s="305"/>
      <c r="F50" s="304"/>
      <c r="G50" s="304"/>
      <c r="H50" s="304"/>
      <c r="I50" s="304"/>
      <c r="J50" s="304"/>
      <c r="K50" s="304"/>
      <c r="L50" s="304"/>
      <c r="M50" s="304"/>
    </row>
    <row r="51" spans="1:14" ht="15.75" x14ac:dyDescent="0.25">
      <c r="A51" s="244"/>
      <c r="B51" s="833" t="s">
        <v>0</v>
      </c>
      <c r="C51" s="834"/>
      <c r="D51" s="834"/>
      <c r="E51" s="240"/>
      <c r="F51" s="304"/>
      <c r="G51" s="304"/>
      <c r="H51" s="304"/>
      <c r="I51" s="304"/>
      <c r="J51" s="304"/>
      <c r="K51" s="304"/>
      <c r="L51" s="304"/>
      <c r="M51" s="304"/>
    </row>
    <row r="52" spans="1:14" s="3" customFormat="1" x14ac:dyDescent="0.2">
      <c r="A52" s="134"/>
      <c r="B52" s="167" t="s">
        <v>400</v>
      </c>
      <c r="C52" s="167" t="s">
        <v>401</v>
      </c>
      <c r="D52" s="155" t="s">
        <v>3</v>
      </c>
      <c r="E52" s="155" t="s">
        <v>37</v>
      </c>
      <c r="F52" s="169"/>
      <c r="G52" s="169"/>
      <c r="H52" s="168"/>
      <c r="I52" s="168"/>
      <c r="J52" s="169"/>
      <c r="K52" s="169"/>
      <c r="L52" s="168"/>
      <c r="M52" s="168"/>
      <c r="N52" s="142"/>
    </row>
    <row r="53" spans="1:14" s="3" customFormat="1" x14ac:dyDescent="0.2">
      <c r="A53" s="403"/>
      <c r="B53" s="241"/>
      <c r="C53" s="241"/>
      <c r="D53" s="242" t="s">
        <v>4</v>
      </c>
      <c r="E53" s="149" t="s">
        <v>38</v>
      </c>
      <c r="F53" s="168"/>
      <c r="G53" s="168"/>
      <c r="H53" s="168"/>
      <c r="I53" s="168"/>
      <c r="J53" s="168"/>
      <c r="K53" s="168"/>
      <c r="L53" s="168"/>
      <c r="M53" s="168"/>
      <c r="N53" s="142"/>
    </row>
    <row r="54" spans="1:14" s="3" customFormat="1" ht="15.75" x14ac:dyDescent="0.2">
      <c r="A54" s="12" t="s">
        <v>30</v>
      </c>
      <c r="B54" s="312">
        <v>801580.64399999997</v>
      </c>
      <c r="C54" s="313">
        <v>756719.63199999998</v>
      </c>
      <c r="D54" s="255">
        <f t="shared" ref="D54:D70" si="7">IF(B54=0, "    ---- ", IF(ABS(ROUND(100/B54*C54-100,1))&lt;999,ROUND(100/B54*C54-100,1),IF(ROUND(100/B54*C54-100,1)&gt;999,999,-999)))</f>
        <v>-5.6</v>
      </c>
      <c r="E54" s="170">
        <f>IFERROR(100/'Skjema total MA'!C54*C54,0)</f>
        <v>20.26769308389882</v>
      </c>
      <c r="F54" s="139"/>
      <c r="G54" s="27"/>
      <c r="H54" s="152"/>
      <c r="I54" s="152"/>
      <c r="J54" s="30"/>
      <c r="K54" s="30"/>
      <c r="L54" s="152"/>
      <c r="M54" s="152"/>
      <c r="N54" s="142"/>
    </row>
    <row r="55" spans="1:14" s="3" customFormat="1" ht="15.75" x14ac:dyDescent="0.2">
      <c r="A55" s="31" t="s">
        <v>326</v>
      </c>
      <c r="B55" s="282">
        <v>559971.36199999996</v>
      </c>
      <c r="C55" s="283">
        <v>478272</v>
      </c>
      <c r="D55" s="256">
        <f t="shared" si="7"/>
        <v>-14.6</v>
      </c>
      <c r="E55" s="170">
        <f>IFERROR(100/'Skjema total MA'!C55*C55,0)</f>
        <v>23.495400604011135</v>
      </c>
      <c r="F55" s="139"/>
      <c r="G55" s="27"/>
      <c r="H55" s="139"/>
      <c r="I55" s="139"/>
      <c r="J55" s="27"/>
      <c r="K55" s="27"/>
      <c r="L55" s="152"/>
      <c r="M55" s="152"/>
      <c r="N55" s="142"/>
    </row>
    <row r="56" spans="1:14" s="3" customFormat="1" ht="15.75" x14ac:dyDescent="0.2">
      <c r="A56" s="31" t="s">
        <v>327</v>
      </c>
      <c r="B56" s="37">
        <v>241609.28199999998</v>
      </c>
      <c r="C56" s="288">
        <v>278447.63199999998</v>
      </c>
      <c r="D56" s="256">
        <f>IF(B56=0, "    ---- ", IF(ABS(ROUND(100/B56*C56-100,1))&lt;999,ROUND(100/B56*C56-100,1),IF(ROUND(100/B56*C56-100,1)&gt;999,999,-999)))</f>
        <v>15.2</v>
      </c>
      <c r="E56" s="170">
        <f>IFERROR(100/'Skjema total MA'!C56*C56,0)</f>
        <v>16.398309201954625</v>
      </c>
      <c r="F56" s="139"/>
      <c r="G56" s="27"/>
      <c r="H56" s="139"/>
      <c r="I56" s="139"/>
      <c r="J56" s="30"/>
      <c r="K56" s="30"/>
      <c r="L56" s="152"/>
      <c r="M56" s="152"/>
      <c r="N56" s="142"/>
    </row>
    <row r="57" spans="1:14" s="3" customFormat="1" x14ac:dyDescent="0.2">
      <c r="A57" s="298" t="s">
        <v>6</v>
      </c>
      <c r="B57" s="291">
        <v>653.72400000000005</v>
      </c>
      <c r="C57" s="292">
        <v>864.55</v>
      </c>
      <c r="D57" s="256">
        <f t="shared" si="7"/>
        <v>32.299999999999997</v>
      </c>
      <c r="E57" s="170">
        <f>IFERROR(100/'Skjema total MA'!C57*C57,0)</f>
        <v>22.892316858400203</v>
      </c>
      <c r="F57" s="139"/>
      <c r="G57" s="27"/>
      <c r="H57" s="139"/>
      <c r="I57" s="139"/>
      <c r="J57" s="27"/>
      <c r="K57" s="27"/>
      <c r="L57" s="152"/>
      <c r="M57" s="152"/>
      <c r="N57" s="142"/>
    </row>
    <row r="58" spans="1:14" s="3" customFormat="1" x14ac:dyDescent="0.2">
      <c r="A58" s="298" t="s">
        <v>7</v>
      </c>
      <c r="B58" s="291">
        <v>195843.72099999999</v>
      </c>
      <c r="C58" s="292">
        <v>265093.08199999999</v>
      </c>
      <c r="D58" s="256">
        <f t="shared" si="7"/>
        <v>35.4</v>
      </c>
      <c r="E58" s="170">
        <f>IFERROR(100/'Skjema total MA'!C58*C58,0)</f>
        <v>18.304564076775186</v>
      </c>
      <c r="F58" s="139"/>
      <c r="G58" s="27"/>
      <c r="H58" s="139"/>
      <c r="I58" s="139"/>
      <c r="J58" s="27"/>
      <c r="K58" s="27"/>
      <c r="L58" s="152"/>
      <c r="M58" s="152"/>
      <c r="N58" s="142"/>
    </row>
    <row r="59" spans="1:14" s="3" customFormat="1" x14ac:dyDescent="0.2">
      <c r="A59" s="298" t="s">
        <v>8</v>
      </c>
      <c r="B59" s="291">
        <v>45111.837</v>
      </c>
      <c r="C59" s="292">
        <v>12490</v>
      </c>
      <c r="D59" s="256">
        <f t="shared" si="7"/>
        <v>-72.3</v>
      </c>
      <c r="E59" s="170">
        <f>IFERROR(100/'Skjema total MA'!C59*C59,0)</f>
        <v>5.0769262036867673</v>
      </c>
      <c r="F59" s="139"/>
      <c r="G59" s="27"/>
      <c r="H59" s="139"/>
      <c r="I59" s="139"/>
      <c r="J59" s="27"/>
      <c r="K59" s="27"/>
      <c r="L59" s="152"/>
      <c r="M59" s="152"/>
      <c r="N59" s="142"/>
    </row>
    <row r="60" spans="1:14" s="3" customFormat="1" ht="15.75" x14ac:dyDescent="0.2">
      <c r="A60" s="11" t="s">
        <v>29</v>
      </c>
      <c r="B60" s="312">
        <v>2136</v>
      </c>
      <c r="C60" s="313">
        <v>1632.1189999999999</v>
      </c>
      <c r="D60" s="256">
        <f t="shared" si="7"/>
        <v>-23.6</v>
      </c>
      <c r="E60" s="170">
        <f>IFERROR(100/'Skjema total MA'!C60*C60,0)</f>
        <v>1.8478687237531477</v>
      </c>
      <c r="F60" s="139"/>
      <c r="G60" s="27"/>
      <c r="H60" s="139"/>
      <c r="I60" s="139"/>
      <c r="J60" s="27"/>
      <c r="K60" s="27"/>
      <c r="L60" s="152"/>
      <c r="M60" s="152"/>
      <c r="N60" s="142"/>
    </row>
    <row r="61" spans="1:14" s="3" customFormat="1" ht="15.75" x14ac:dyDescent="0.2">
      <c r="A61" s="31" t="s">
        <v>326</v>
      </c>
      <c r="B61" s="282">
        <v>2136</v>
      </c>
      <c r="C61" s="283">
        <v>1632.1189999999999</v>
      </c>
      <c r="D61" s="256">
        <f t="shared" si="7"/>
        <v>-23.6</v>
      </c>
      <c r="E61" s="170">
        <f>IFERROR(100/'Skjema total MA'!C61*C61,0)</f>
        <v>4.206673653737699</v>
      </c>
      <c r="F61" s="139"/>
      <c r="G61" s="27"/>
      <c r="H61" s="139"/>
      <c r="I61" s="139"/>
      <c r="J61" s="27"/>
      <c r="K61" s="27"/>
      <c r="L61" s="152"/>
      <c r="M61" s="152"/>
      <c r="N61" s="142"/>
    </row>
    <row r="62" spans="1:14" s="3" customFormat="1" ht="15.75" x14ac:dyDescent="0.2">
      <c r="A62" s="31" t="s">
        <v>327</v>
      </c>
      <c r="B62" s="37"/>
      <c r="C62" s="288"/>
      <c r="D62" s="256"/>
      <c r="E62" s="170"/>
      <c r="F62" s="139"/>
      <c r="G62" s="27"/>
      <c r="H62" s="139"/>
      <c r="I62" s="139"/>
      <c r="J62" s="27"/>
      <c r="K62" s="27"/>
      <c r="L62" s="152"/>
      <c r="M62" s="152"/>
      <c r="N62" s="142"/>
    </row>
    <row r="63" spans="1:14" s="3" customFormat="1" x14ac:dyDescent="0.2">
      <c r="A63" s="298" t="s">
        <v>6</v>
      </c>
      <c r="B63" s="282"/>
      <c r="C63" s="283"/>
      <c r="D63" s="256"/>
      <c r="E63" s="159"/>
      <c r="F63" s="139"/>
      <c r="G63" s="27"/>
      <c r="H63" s="139"/>
      <c r="I63" s="139"/>
      <c r="J63" s="27"/>
      <c r="K63" s="27"/>
      <c r="L63" s="152"/>
      <c r="M63" s="152"/>
      <c r="N63" s="142"/>
    </row>
    <row r="64" spans="1:14" s="3" customFormat="1" x14ac:dyDescent="0.2">
      <c r="A64" s="298" t="s">
        <v>7</v>
      </c>
      <c r="B64" s="282"/>
      <c r="C64" s="283"/>
      <c r="D64" s="256"/>
      <c r="E64" s="159"/>
      <c r="F64" s="139"/>
      <c r="G64" s="27"/>
      <c r="H64" s="139"/>
      <c r="I64" s="139"/>
      <c r="J64" s="27"/>
      <c r="K64" s="27"/>
      <c r="L64" s="152"/>
      <c r="M64" s="152"/>
      <c r="N64" s="142"/>
    </row>
    <row r="65" spans="1:14" s="3" customFormat="1" x14ac:dyDescent="0.2">
      <c r="A65" s="298" t="s">
        <v>8</v>
      </c>
      <c r="B65" s="282"/>
      <c r="C65" s="283"/>
      <c r="D65" s="256"/>
      <c r="E65" s="159"/>
      <c r="F65" s="139"/>
      <c r="G65" s="27"/>
      <c r="H65" s="139"/>
      <c r="I65" s="139"/>
      <c r="J65" s="27"/>
      <c r="K65" s="27"/>
      <c r="L65" s="152"/>
      <c r="M65" s="152"/>
      <c r="N65" s="142"/>
    </row>
    <row r="66" spans="1:14" s="3" customFormat="1" ht="15.75" x14ac:dyDescent="0.2">
      <c r="A66" s="32" t="s">
        <v>328</v>
      </c>
      <c r="B66" s="312">
        <v>149957.641</v>
      </c>
      <c r="C66" s="313">
        <v>30684.134000000002</v>
      </c>
      <c r="D66" s="256">
        <f t="shared" si="7"/>
        <v>-79.5</v>
      </c>
      <c r="E66" s="170">
        <f>IFERROR(100/'Skjema total MA'!C66*C66,0)</f>
        <v>18.240087377031902</v>
      </c>
      <c r="F66" s="139"/>
      <c r="G66" s="27"/>
      <c r="H66" s="139"/>
      <c r="I66" s="139"/>
      <c r="J66" s="27"/>
      <c r="K66" s="27"/>
      <c r="L66" s="152"/>
      <c r="M66" s="152"/>
      <c r="N66" s="142"/>
    </row>
    <row r="67" spans="1:14" s="3" customFormat="1" ht="15.75" x14ac:dyDescent="0.2">
      <c r="A67" s="31" t="s">
        <v>326</v>
      </c>
      <c r="B67" s="282">
        <v>7147.9040000000005</v>
      </c>
      <c r="C67" s="283">
        <v>6630.143</v>
      </c>
      <c r="D67" s="256">
        <f t="shared" si="7"/>
        <v>-7.2</v>
      </c>
      <c r="E67" s="170">
        <f>IFERROR(100/'Skjema total MA'!C67*C67,0)</f>
        <v>4.7805909310252401</v>
      </c>
      <c r="F67" s="139"/>
      <c r="G67" s="27"/>
      <c r="H67" s="139"/>
      <c r="I67" s="139"/>
      <c r="J67" s="27"/>
      <c r="K67" s="27"/>
      <c r="L67" s="152"/>
      <c r="M67" s="152"/>
      <c r="N67" s="142"/>
    </row>
    <row r="68" spans="1:14" s="3" customFormat="1" ht="15.75" x14ac:dyDescent="0.2">
      <c r="A68" s="31" t="s">
        <v>327</v>
      </c>
      <c r="B68" s="282">
        <v>142809.73699999999</v>
      </c>
      <c r="C68" s="283">
        <v>24053.991000000002</v>
      </c>
      <c r="D68" s="256">
        <f t="shared" si="7"/>
        <v>-83.2</v>
      </c>
      <c r="E68" s="170">
        <f>IFERROR(100/'Skjema total MA'!C68*C68,0)</f>
        <v>81.442772768890762</v>
      </c>
      <c r="F68" s="139"/>
      <c r="G68" s="27"/>
      <c r="H68" s="139"/>
      <c r="I68" s="139"/>
      <c r="J68" s="27"/>
      <c r="K68" s="27"/>
      <c r="L68" s="152"/>
      <c r="M68" s="152"/>
      <c r="N68" s="142"/>
    </row>
    <row r="69" spans="1:14" s="3" customFormat="1" ht="15.75" x14ac:dyDescent="0.2">
      <c r="A69" s="32" t="s">
        <v>329</v>
      </c>
      <c r="B69" s="312">
        <v>27341.764999999999</v>
      </c>
      <c r="C69" s="313">
        <v>4243.3810000000003</v>
      </c>
      <c r="D69" s="256">
        <f t="shared" si="7"/>
        <v>-84.5</v>
      </c>
      <c r="E69" s="170">
        <f>IFERROR(100/'Skjema total MA'!C69*C69,0)</f>
        <v>2.2306985947508458</v>
      </c>
      <c r="F69" s="139"/>
      <c r="G69" s="27"/>
      <c r="H69" s="139"/>
      <c r="I69" s="139"/>
      <c r="J69" s="27"/>
      <c r="K69" s="27"/>
      <c r="L69" s="152"/>
      <c r="M69" s="152"/>
      <c r="N69" s="142"/>
    </row>
    <row r="70" spans="1:14" s="3" customFormat="1" ht="15.75" x14ac:dyDescent="0.2">
      <c r="A70" s="31" t="s">
        <v>326</v>
      </c>
      <c r="B70" s="282">
        <v>27341.764999999999</v>
      </c>
      <c r="C70" s="283">
        <v>4243.3810000000003</v>
      </c>
      <c r="D70" s="256">
        <f t="shared" si="7"/>
        <v>-84.5</v>
      </c>
      <c r="E70" s="170">
        <f>IFERROR(100/'Skjema total MA'!C70*C70,0)</f>
        <v>2.2661895559895071</v>
      </c>
      <c r="F70" s="139"/>
      <c r="G70" s="27"/>
      <c r="H70" s="139"/>
      <c r="I70" s="139"/>
      <c r="J70" s="27"/>
      <c r="K70" s="27"/>
      <c r="L70" s="152"/>
      <c r="M70" s="152"/>
      <c r="N70" s="142"/>
    </row>
    <row r="71" spans="1:14" s="3" customFormat="1" ht="15.75" x14ac:dyDescent="0.2">
      <c r="A71" s="39" t="s">
        <v>327</v>
      </c>
      <c r="B71" s="284"/>
      <c r="C71" s="285"/>
      <c r="D71" s="257"/>
      <c r="E71" s="160"/>
      <c r="F71" s="139"/>
      <c r="G71" s="27"/>
      <c r="H71" s="139"/>
      <c r="I71" s="139"/>
      <c r="J71" s="27"/>
      <c r="K71" s="27"/>
      <c r="L71" s="152"/>
      <c r="M71" s="152"/>
      <c r="N71" s="142"/>
    </row>
    <row r="72" spans="1:14" s="3" customFormat="1" ht="15.75" x14ac:dyDescent="0.25">
      <c r="A72" s="157"/>
      <c r="B72" s="147"/>
      <c r="C72" s="147"/>
      <c r="D72" s="147"/>
      <c r="E72" s="147"/>
      <c r="F72" s="136"/>
      <c r="G72" s="136"/>
      <c r="H72" s="136"/>
      <c r="I72" s="136"/>
      <c r="J72" s="136"/>
      <c r="K72" s="136"/>
      <c r="L72" s="136"/>
      <c r="M72" s="136"/>
      <c r="N72" s="142"/>
    </row>
    <row r="73" spans="1:14" x14ac:dyDescent="0.2">
      <c r="A73" s="148"/>
    </row>
    <row r="74" spans="1:14" ht="15.75" x14ac:dyDescent="0.25">
      <c r="A74" s="141" t="s">
        <v>306</v>
      </c>
      <c r="C74" s="20"/>
      <c r="D74" s="20"/>
      <c r="E74" s="20"/>
      <c r="F74" s="20"/>
      <c r="G74" s="20"/>
      <c r="H74" s="20"/>
      <c r="I74" s="20"/>
      <c r="J74" s="20"/>
      <c r="K74" s="20"/>
      <c r="L74" s="20"/>
      <c r="M74" s="20"/>
    </row>
    <row r="75" spans="1:14" ht="15.75" x14ac:dyDescent="0.25">
      <c r="B75" s="832"/>
      <c r="C75" s="832"/>
      <c r="D75" s="832"/>
      <c r="E75" s="301"/>
      <c r="F75" s="832"/>
      <c r="G75" s="832"/>
      <c r="H75" s="832"/>
      <c r="I75" s="301"/>
      <c r="J75" s="832"/>
      <c r="K75" s="832"/>
      <c r="L75" s="832"/>
      <c r="M75" s="301"/>
    </row>
    <row r="76" spans="1:14" x14ac:dyDescent="0.2">
      <c r="A76" s="138"/>
      <c r="B76" s="833" t="s">
        <v>0</v>
      </c>
      <c r="C76" s="834"/>
      <c r="D76" s="838"/>
      <c r="E76" s="302"/>
      <c r="F76" s="834" t="s">
        <v>1</v>
      </c>
      <c r="G76" s="834"/>
      <c r="H76" s="834"/>
      <c r="I76" s="306"/>
      <c r="J76" s="833" t="s">
        <v>2</v>
      </c>
      <c r="K76" s="834"/>
      <c r="L76" s="834"/>
      <c r="M76" s="306"/>
    </row>
    <row r="77" spans="1:14" x14ac:dyDescent="0.2">
      <c r="A77" s="134"/>
      <c r="B77" s="145" t="s">
        <v>400</v>
      </c>
      <c r="C77" s="145" t="s">
        <v>401</v>
      </c>
      <c r="D77" s="242" t="s">
        <v>3</v>
      </c>
      <c r="E77" s="307" t="s">
        <v>37</v>
      </c>
      <c r="F77" s="145" t="s">
        <v>400</v>
      </c>
      <c r="G77" s="145" t="s">
        <v>401</v>
      </c>
      <c r="H77" s="242" t="s">
        <v>3</v>
      </c>
      <c r="I77" s="307" t="s">
        <v>37</v>
      </c>
      <c r="J77" s="145" t="s">
        <v>400</v>
      </c>
      <c r="K77" s="145" t="s">
        <v>401</v>
      </c>
      <c r="L77" s="242" t="s">
        <v>3</v>
      </c>
      <c r="M77" s="155" t="s">
        <v>37</v>
      </c>
    </row>
    <row r="78" spans="1:14" x14ac:dyDescent="0.2">
      <c r="A78" s="403"/>
      <c r="B78" s="149"/>
      <c r="C78" s="149"/>
      <c r="D78" s="243" t="s">
        <v>4</v>
      </c>
      <c r="E78" s="149" t="s">
        <v>38</v>
      </c>
      <c r="F78" s="154"/>
      <c r="G78" s="154"/>
      <c r="H78" s="242" t="s">
        <v>4</v>
      </c>
      <c r="I78" s="149" t="s">
        <v>38</v>
      </c>
      <c r="J78" s="154"/>
      <c r="K78" s="154"/>
      <c r="L78" s="242" t="s">
        <v>4</v>
      </c>
      <c r="M78" s="149" t="s">
        <v>38</v>
      </c>
    </row>
    <row r="79" spans="1:14" ht="15.75" x14ac:dyDescent="0.2">
      <c r="A79" s="12" t="s">
        <v>30</v>
      </c>
      <c r="B79" s="355">
        <v>6018191.7630000003</v>
      </c>
      <c r="C79" s="355">
        <v>4973432.4119999995</v>
      </c>
      <c r="D79" s="251">
        <f t="shared" ref="D79:D142" si="8">IF(B79=0, "    ---- ", IF(ABS(ROUND(100/B79*C79-100,1))&lt;999,ROUND(100/B79*C79-100,1),IF(ROUND(100/B79*C79-100,1)&gt;999,999,-999)))</f>
        <v>-17.399999999999999</v>
      </c>
      <c r="E79" s="170">
        <f>IFERROR(100/'Skjema total MA'!C79*C79,0)</f>
        <v>42.603362540130128</v>
      </c>
      <c r="F79" s="354">
        <v>6881605.7510000002</v>
      </c>
      <c r="G79" s="354">
        <v>7886950.1090000002</v>
      </c>
      <c r="H79" s="251">
        <f t="shared" ref="H79:H142" si="9">IF(F79=0, "    ---- ", IF(ABS(ROUND(100/F79*G79-100,1))&lt;999,ROUND(100/F79*G79-100,1),IF(ROUND(100/F79*G79-100,1)&gt;999,999,-999)))</f>
        <v>14.6</v>
      </c>
      <c r="I79" s="170">
        <f>IFERROR(100/'Skjema total MA'!F79*G79,0)</f>
        <v>34.134581732297669</v>
      </c>
      <c r="J79" s="311">
        <v>12899797.514</v>
      </c>
      <c r="K79" s="318">
        <v>12860382.521</v>
      </c>
      <c r="L79" s="255">
        <f t="shared" ref="L79:L142" si="10">IF(J79=0, "    ---- ", IF(ABS(ROUND(100/J79*K79-100,1))&lt;999,ROUND(100/J79*K79-100,1),IF(ROUND(100/J79*K79-100,1)&gt;999,999,-999)))</f>
        <v>-0.3</v>
      </c>
      <c r="M79" s="170">
        <f>IFERROR(100/'Skjema total MA'!I79*K79,0)</f>
        <v>36.977163328841641</v>
      </c>
    </row>
    <row r="80" spans="1:14" x14ac:dyDescent="0.2">
      <c r="A80" s="18" t="s">
        <v>9</v>
      </c>
      <c r="B80" s="37">
        <v>5991768.4500000002</v>
      </c>
      <c r="C80" s="139">
        <v>4947308.9069999997</v>
      </c>
      <c r="D80" s="159">
        <f t="shared" si="8"/>
        <v>-17.399999999999999</v>
      </c>
      <c r="E80" s="170">
        <f>IFERROR(100/'Skjema total MA'!C80*C80,0)</f>
        <v>43.316237827781599</v>
      </c>
      <c r="F80" s="229"/>
      <c r="G80" s="139"/>
      <c r="H80" s="159"/>
      <c r="I80" s="170"/>
      <c r="J80" s="288">
        <v>5991768.4500000002</v>
      </c>
      <c r="K80" s="37">
        <v>4947308.9069999997</v>
      </c>
      <c r="L80" s="256">
        <f t="shared" si="10"/>
        <v>-17.399999999999999</v>
      </c>
      <c r="M80" s="170">
        <f>IFERROR(100/'Skjema total MA'!I80*K80,0)</f>
        <v>43.316237827781599</v>
      </c>
    </row>
    <row r="81" spans="1:14" x14ac:dyDescent="0.2">
      <c r="A81" s="18" t="s">
        <v>10</v>
      </c>
      <c r="B81" s="293"/>
      <c r="C81" s="294"/>
      <c r="D81" s="159"/>
      <c r="E81" s="170"/>
      <c r="F81" s="293">
        <v>6881605.7510000002</v>
      </c>
      <c r="G81" s="294">
        <v>7802094.8930000002</v>
      </c>
      <c r="H81" s="159">
        <f t="shared" si="9"/>
        <v>13.4</v>
      </c>
      <c r="I81" s="170">
        <f>IFERROR(100/'Skjema total MA'!F81*G81,0)</f>
        <v>34.074990438999833</v>
      </c>
      <c r="J81" s="288">
        <v>6881605.7510000002</v>
      </c>
      <c r="K81" s="37">
        <v>7802094.8930000002</v>
      </c>
      <c r="L81" s="256">
        <f t="shared" si="10"/>
        <v>13.4</v>
      </c>
      <c r="M81" s="170">
        <f>IFERROR(100/'Skjema total MA'!I81*K81,0)</f>
        <v>33.820644031342574</v>
      </c>
    </row>
    <row r="82" spans="1:14" ht="15.75" x14ac:dyDescent="0.2">
      <c r="A82" s="298" t="s">
        <v>330</v>
      </c>
      <c r="B82" s="282"/>
      <c r="C82" s="282"/>
      <c r="D82" s="159"/>
      <c r="E82" s="237"/>
      <c r="F82" s="282"/>
      <c r="G82" s="282"/>
      <c r="H82" s="159"/>
      <c r="I82" s="237"/>
      <c r="J82" s="291"/>
      <c r="K82" s="291"/>
      <c r="L82" s="159"/>
      <c r="M82" s="159"/>
    </row>
    <row r="83" spans="1:14" x14ac:dyDescent="0.2">
      <c r="A83" s="298" t="s">
        <v>12</v>
      </c>
      <c r="B83" s="295"/>
      <c r="C83" s="296"/>
      <c r="D83" s="159"/>
      <c r="E83" s="237"/>
      <c r="F83" s="282"/>
      <c r="G83" s="282"/>
      <c r="H83" s="159"/>
      <c r="I83" s="237"/>
      <c r="J83" s="291"/>
      <c r="K83" s="291"/>
      <c r="L83" s="159"/>
      <c r="M83" s="159"/>
    </row>
    <row r="84" spans="1:14" x14ac:dyDescent="0.2">
      <c r="A84" s="298" t="s">
        <v>13</v>
      </c>
      <c r="B84" s="230"/>
      <c r="C84" s="290"/>
      <c r="D84" s="159"/>
      <c r="E84" s="237"/>
      <c r="F84" s="282"/>
      <c r="G84" s="282"/>
      <c r="H84" s="159"/>
      <c r="I84" s="237"/>
      <c r="J84" s="291"/>
      <c r="K84" s="291"/>
      <c r="L84" s="159"/>
      <c r="M84" s="159"/>
    </row>
    <row r="85" spans="1:14" ht="15.75" x14ac:dyDescent="0.2">
      <c r="A85" s="298" t="s">
        <v>331</v>
      </c>
      <c r="B85" s="282"/>
      <c r="C85" s="282"/>
      <c r="D85" s="159"/>
      <c r="E85" s="237"/>
      <c r="F85" s="282">
        <v>6881605.7510000002</v>
      </c>
      <c r="G85" s="282">
        <v>7802094.8930000002</v>
      </c>
      <c r="H85" s="159">
        <f t="shared" si="9"/>
        <v>13.4</v>
      </c>
      <c r="I85" s="237">
        <f>IFERROR(100/'Skjema total MA'!F85*G85,0)</f>
        <v>0</v>
      </c>
      <c r="J85" s="291">
        <v>6881605.7510000002</v>
      </c>
      <c r="K85" s="291">
        <v>7802094.8930000002</v>
      </c>
      <c r="L85" s="256">
        <f t="shared" si="10"/>
        <v>13.4</v>
      </c>
      <c r="M85" s="159">
        <f>IFERROR(100/'Skjema total MA'!I85*K85,0)</f>
        <v>0</v>
      </c>
    </row>
    <row r="86" spans="1:14" x14ac:dyDescent="0.2">
      <c r="A86" s="298" t="s">
        <v>12</v>
      </c>
      <c r="B86" s="230"/>
      <c r="C86" s="290"/>
      <c r="D86" s="159"/>
      <c r="E86" s="237"/>
      <c r="F86" s="282"/>
      <c r="G86" s="282"/>
      <c r="H86" s="159"/>
      <c r="I86" s="237"/>
      <c r="J86" s="291"/>
      <c r="K86" s="291"/>
      <c r="L86" s="159"/>
      <c r="M86" s="159"/>
    </row>
    <row r="87" spans="1:14" s="3" customFormat="1" x14ac:dyDescent="0.2">
      <c r="A87" s="298" t="s">
        <v>13</v>
      </c>
      <c r="B87" s="230"/>
      <c r="C87" s="290"/>
      <c r="D87" s="159"/>
      <c r="E87" s="237"/>
      <c r="F87" s="282">
        <v>6881605.7510000002</v>
      </c>
      <c r="G87" s="282">
        <v>7802094.8930000002</v>
      </c>
      <c r="H87" s="159">
        <f t="shared" si="9"/>
        <v>13.4</v>
      </c>
      <c r="I87" s="237">
        <f>IFERROR(100/'Skjema total MA'!F87*G87,0)</f>
        <v>0</v>
      </c>
      <c r="J87" s="291">
        <v>6881605.7510000002</v>
      </c>
      <c r="K87" s="291">
        <v>7802094.8930000002</v>
      </c>
      <c r="L87" s="256">
        <f t="shared" si="10"/>
        <v>13.4</v>
      </c>
      <c r="M87" s="159">
        <f>IFERROR(100/'Skjema total MA'!I87*K87,0)</f>
        <v>0</v>
      </c>
      <c r="N87" s="142"/>
    </row>
    <row r="88" spans="1:14" s="3" customFormat="1" x14ac:dyDescent="0.2">
      <c r="A88" s="18" t="s">
        <v>33</v>
      </c>
      <c r="B88" s="229">
        <v>26423.312999999998</v>
      </c>
      <c r="C88" s="139">
        <v>26123.505000000001</v>
      </c>
      <c r="D88" s="159">
        <f t="shared" si="8"/>
        <v>-1.1000000000000001</v>
      </c>
      <c r="E88" s="170">
        <f>IFERROR(100/'Skjema total MA'!C88*C88,0)</f>
        <v>32.558547623241338</v>
      </c>
      <c r="F88" s="229">
        <v>0</v>
      </c>
      <c r="G88" s="139">
        <v>84855.216</v>
      </c>
      <c r="H88" s="159" t="str">
        <f t="shared" si="9"/>
        <v xml:space="preserve">    ---- </v>
      </c>
      <c r="I88" s="170">
        <f>IFERROR(100/'Skjema total MA'!F88*G88,0)</f>
        <v>40.675032155380151</v>
      </c>
      <c r="J88" s="288">
        <v>26423.312999999998</v>
      </c>
      <c r="K88" s="37">
        <v>110978.72100000001</v>
      </c>
      <c r="L88" s="256">
        <f t="shared" si="10"/>
        <v>320</v>
      </c>
      <c r="M88" s="170">
        <f>IFERROR(100/'Skjema total MA'!I88*K88,0)</f>
        <v>38.420493866033517</v>
      </c>
      <c r="N88" s="142"/>
    </row>
    <row r="89" spans="1:14" ht="15.75" x14ac:dyDescent="0.2">
      <c r="A89" s="18" t="s">
        <v>332</v>
      </c>
      <c r="B89" s="229">
        <v>5706212.4359999998</v>
      </c>
      <c r="C89" s="229">
        <v>4667356.7290000003</v>
      </c>
      <c r="D89" s="159">
        <f t="shared" si="8"/>
        <v>-18.2</v>
      </c>
      <c r="E89" s="170">
        <f>IFERROR(100/'Skjema total MA'!C89*C89,0)</f>
        <v>41.451701463046504</v>
      </c>
      <c r="F89" s="229">
        <v>6881605.7510000002</v>
      </c>
      <c r="G89" s="139">
        <v>7802094.8930000002</v>
      </c>
      <c r="H89" s="159">
        <f t="shared" si="9"/>
        <v>13.4</v>
      </c>
      <c r="I89" s="170">
        <f>IFERROR(100/'Skjema total MA'!F89*G89,0)</f>
        <v>34.094917803202776</v>
      </c>
      <c r="J89" s="288">
        <v>12587818.186999999</v>
      </c>
      <c r="K89" s="37">
        <v>12469451.622000001</v>
      </c>
      <c r="L89" s="256">
        <f t="shared" si="10"/>
        <v>-0.9</v>
      </c>
      <c r="M89" s="170">
        <f>IFERROR(100/'Skjema total MA'!I89*K89,0)</f>
        <v>36.521038380219679</v>
      </c>
    </row>
    <row r="90" spans="1:14" x14ac:dyDescent="0.2">
      <c r="A90" s="18" t="s">
        <v>9</v>
      </c>
      <c r="B90" s="229">
        <v>5706212.4359999998</v>
      </c>
      <c r="C90" s="139">
        <v>4667356.7290000003</v>
      </c>
      <c r="D90" s="159">
        <f t="shared" si="8"/>
        <v>-18.2</v>
      </c>
      <c r="E90" s="170">
        <f>IFERROR(100/'Skjema total MA'!C90*C90,0)</f>
        <v>42.082222414056119</v>
      </c>
      <c r="F90" s="229"/>
      <c r="G90" s="139"/>
      <c r="H90" s="159"/>
      <c r="I90" s="170"/>
      <c r="J90" s="288">
        <v>5706212.4359999998</v>
      </c>
      <c r="K90" s="37">
        <v>4667356.7290000003</v>
      </c>
      <c r="L90" s="256">
        <f t="shared" si="10"/>
        <v>-18.2</v>
      </c>
      <c r="M90" s="170">
        <f>IFERROR(100/'Skjema total MA'!I90*K90,0)</f>
        <v>42.082218619802994</v>
      </c>
    </row>
    <row r="91" spans="1:14" x14ac:dyDescent="0.2">
      <c r="A91" s="18" t="s">
        <v>10</v>
      </c>
      <c r="B91" s="293"/>
      <c r="C91" s="294"/>
      <c r="D91" s="159"/>
      <c r="E91" s="170"/>
      <c r="F91" s="293">
        <v>6881605.7510000002</v>
      </c>
      <c r="G91" s="294">
        <v>7802094.8930000002</v>
      </c>
      <c r="H91" s="159">
        <f t="shared" si="9"/>
        <v>13.4</v>
      </c>
      <c r="I91" s="170">
        <f>IFERROR(100/'Skjema total MA'!F91*G91,0)</f>
        <v>34.094917803202776</v>
      </c>
      <c r="J91" s="288">
        <v>6881605.7510000002</v>
      </c>
      <c r="K91" s="37">
        <v>7802094.8930000002</v>
      </c>
      <c r="L91" s="256">
        <f t="shared" si="10"/>
        <v>13.4</v>
      </c>
      <c r="M91" s="170">
        <f>IFERROR(100/'Skjema total MA'!I91*K91,0)</f>
        <v>33.845396565977033</v>
      </c>
    </row>
    <row r="92" spans="1:14" ht="15.75" x14ac:dyDescent="0.2">
      <c r="A92" s="298" t="s">
        <v>330</v>
      </c>
      <c r="B92" s="282"/>
      <c r="C92" s="282"/>
      <c r="D92" s="159"/>
      <c r="E92" s="237"/>
      <c r="F92" s="282"/>
      <c r="G92" s="282"/>
      <c r="H92" s="159"/>
      <c r="I92" s="237"/>
      <c r="J92" s="291"/>
      <c r="K92" s="291"/>
      <c r="L92" s="159"/>
      <c r="M92" s="159"/>
    </row>
    <row r="93" spans="1:14" x14ac:dyDescent="0.2">
      <c r="A93" s="298" t="s">
        <v>12</v>
      </c>
      <c r="B93" s="230"/>
      <c r="C93" s="290"/>
      <c r="D93" s="159"/>
      <c r="E93" s="237"/>
      <c r="F93" s="282"/>
      <c r="G93" s="282"/>
      <c r="H93" s="159"/>
      <c r="I93" s="237"/>
      <c r="J93" s="291"/>
      <c r="K93" s="291"/>
      <c r="L93" s="159"/>
      <c r="M93" s="159"/>
    </row>
    <row r="94" spans="1:14" x14ac:dyDescent="0.2">
      <c r="A94" s="298" t="s">
        <v>13</v>
      </c>
      <c r="B94" s="230"/>
      <c r="C94" s="290"/>
      <c r="D94" s="159"/>
      <c r="E94" s="237"/>
      <c r="F94" s="282"/>
      <c r="G94" s="282"/>
      <c r="H94" s="159"/>
      <c r="I94" s="237"/>
      <c r="J94" s="291"/>
      <c r="K94" s="291"/>
      <c r="L94" s="159"/>
      <c r="M94" s="159"/>
    </row>
    <row r="95" spans="1:14" ht="15.75" x14ac:dyDescent="0.2">
      <c r="A95" s="298" t="s">
        <v>331</v>
      </c>
      <c r="B95" s="282"/>
      <c r="C95" s="282"/>
      <c r="D95" s="159"/>
      <c r="E95" s="237"/>
      <c r="F95" s="282">
        <v>6881605.7510000002</v>
      </c>
      <c r="G95" s="282">
        <v>7802094.8930000002</v>
      </c>
      <c r="H95" s="159">
        <f t="shared" si="9"/>
        <v>13.4</v>
      </c>
      <c r="I95" s="237">
        <f>IFERROR(100/'Skjema total MA'!F95*G95,0)</f>
        <v>0</v>
      </c>
      <c r="J95" s="291">
        <v>6881605.7510000002</v>
      </c>
      <c r="K95" s="291">
        <v>7802094.8930000002</v>
      </c>
      <c r="L95" s="256">
        <f t="shared" si="10"/>
        <v>13.4</v>
      </c>
      <c r="M95" s="159">
        <f>IFERROR(100/'Skjema total MA'!I95*K95,0)</f>
        <v>0</v>
      </c>
    </row>
    <row r="96" spans="1:14" x14ac:dyDescent="0.2">
      <c r="A96" s="298" t="s">
        <v>12</v>
      </c>
      <c r="B96" s="230"/>
      <c r="C96" s="290"/>
      <c r="D96" s="159"/>
      <c r="E96" s="237"/>
      <c r="F96" s="282"/>
      <c r="G96" s="282"/>
      <c r="H96" s="159"/>
      <c r="I96" s="237"/>
      <c r="J96" s="291"/>
      <c r="K96" s="291"/>
      <c r="L96" s="159"/>
      <c r="M96" s="159"/>
    </row>
    <row r="97" spans="1:13" x14ac:dyDescent="0.2">
      <c r="A97" s="298" t="s">
        <v>13</v>
      </c>
      <c r="B97" s="230"/>
      <c r="C97" s="290"/>
      <c r="D97" s="159"/>
      <c r="E97" s="237"/>
      <c r="F97" s="282">
        <v>6881605.7510000002</v>
      </c>
      <c r="G97" s="282">
        <v>7802094.8930000002</v>
      </c>
      <c r="H97" s="159">
        <f t="shared" si="9"/>
        <v>13.4</v>
      </c>
      <c r="I97" s="237">
        <f>IFERROR(100/'Skjema total MA'!F97*G97,0)</f>
        <v>0</v>
      </c>
      <c r="J97" s="291">
        <v>6881605.7510000002</v>
      </c>
      <c r="K97" s="291">
        <v>7802094.8930000002</v>
      </c>
      <c r="L97" s="256">
        <f t="shared" si="10"/>
        <v>13.4</v>
      </c>
      <c r="M97" s="159">
        <f>IFERROR(100/'Skjema total MA'!I97*K97,0)</f>
        <v>0</v>
      </c>
    </row>
    <row r="98" spans="1:13" ht="15.75" x14ac:dyDescent="0.2">
      <c r="A98" s="18" t="s">
        <v>342</v>
      </c>
      <c r="B98" s="229">
        <v>285556.01400000002</v>
      </c>
      <c r="C98" s="139">
        <v>279952.17800000001</v>
      </c>
      <c r="D98" s="159">
        <f t="shared" si="8"/>
        <v>-2</v>
      </c>
      <c r="E98" s="170">
        <f>IFERROR(100/'Skjema total MA'!C98*C98,0)</f>
        <v>83.863210596632598</v>
      </c>
      <c r="F98" s="229"/>
      <c r="G98" s="139"/>
      <c r="H98" s="159"/>
      <c r="I98" s="170"/>
      <c r="J98" s="288">
        <v>285556.01400000002</v>
      </c>
      <c r="K98" s="37">
        <v>279952.17800000001</v>
      </c>
      <c r="L98" s="256">
        <f t="shared" si="10"/>
        <v>-2</v>
      </c>
      <c r="M98" s="170">
        <f>IFERROR(100/'Skjema total MA'!I98*K98,0)</f>
        <v>80.630815906969161</v>
      </c>
    </row>
    <row r="99" spans="1:13" ht="15.75" x14ac:dyDescent="0.2">
      <c r="A99" s="11" t="s">
        <v>29</v>
      </c>
      <c r="B99" s="310">
        <v>91275.736000000004</v>
      </c>
      <c r="C99" s="310">
        <v>198804.745</v>
      </c>
      <c r="D99" s="159">
        <f t="shared" si="8"/>
        <v>117.8</v>
      </c>
      <c r="E99" s="170">
        <f>IFERROR(100/'Skjema total MA'!C99*C99,0)</f>
        <v>61.577948754170926</v>
      </c>
      <c r="F99" s="310">
        <v>1066634.112</v>
      </c>
      <c r="G99" s="310">
        <v>145809.39000000001</v>
      </c>
      <c r="H99" s="159">
        <f t="shared" si="9"/>
        <v>-86.3</v>
      </c>
      <c r="I99" s="170">
        <f>IFERROR(100/'Skjema total MA'!F99*G99,0)</f>
        <v>11.94965044491404</v>
      </c>
      <c r="J99" s="311">
        <v>1157909.848</v>
      </c>
      <c r="K99" s="231">
        <v>344614.13500000001</v>
      </c>
      <c r="L99" s="256">
        <f t="shared" si="10"/>
        <v>-70.2</v>
      </c>
      <c r="M99" s="170">
        <f>IFERROR(100/'Skjema total MA'!I99*K99,0)</f>
        <v>22.333331389130024</v>
      </c>
    </row>
    <row r="100" spans="1:13" x14ac:dyDescent="0.2">
      <c r="A100" s="18" t="s">
        <v>9</v>
      </c>
      <c r="B100" s="229">
        <v>64852.423000000003</v>
      </c>
      <c r="C100" s="139">
        <v>172491.09299999999</v>
      </c>
      <c r="D100" s="159">
        <f t="shared" si="8"/>
        <v>166</v>
      </c>
      <c r="E100" s="170">
        <f>IFERROR(100/'Skjema total MA'!C100*C100,0)</f>
        <v>66.785853240649445</v>
      </c>
      <c r="F100" s="229"/>
      <c r="G100" s="139"/>
      <c r="H100" s="159"/>
      <c r="I100" s="170"/>
      <c r="J100" s="288">
        <v>64852.423000000003</v>
      </c>
      <c r="K100" s="37">
        <v>172491.09299999999</v>
      </c>
      <c r="L100" s="256">
        <f t="shared" si="10"/>
        <v>166</v>
      </c>
      <c r="M100" s="170">
        <f>IFERROR(100/'Skjema total MA'!I100*K100,0)</f>
        <v>66.785853240649445</v>
      </c>
    </row>
    <row r="101" spans="1:13" x14ac:dyDescent="0.2">
      <c r="A101" s="18" t="s">
        <v>10</v>
      </c>
      <c r="B101" s="229"/>
      <c r="C101" s="139"/>
      <c r="D101" s="159"/>
      <c r="E101" s="170"/>
      <c r="F101" s="293">
        <v>1066634.112</v>
      </c>
      <c r="G101" s="293">
        <v>60954.173999999999</v>
      </c>
      <c r="H101" s="159">
        <f t="shared" si="9"/>
        <v>-94.3</v>
      </c>
      <c r="I101" s="170">
        <f>IFERROR(100/'Skjema total MA'!F101*G101,0)</f>
        <v>6.0709772483361917</v>
      </c>
      <c r="J101" s="288">
        <v>1066634.112</v>
      </c>
      <c r="K101" s="37">
        <v>60954.173999999999</v>
      </c>
      <c r="L101" s="256">
        <f t="shared" si="10"/>
        <v>-94.3</v>
      </c>
      <c r="M101" s="170">
        <f>IFERROR(100/'Skjema total MA'!I101*K101,0)</f>
        <v>6.0292599225939956</v>
      </c>
    </row>
    <row r="102" spans="1:13" ht="15.75" x14ac:dyDescent="0.2">
      <c r="A102" s="298" t="s">
        <v>330</v>
      </c>
      <c r="B102" s="282"/>
      <c r="C102" s="282"/>
      <c r="D102" s="159"/>
      <c r="E102" s="237"/>
      <c r="F102" s="282"/>
      <c r="G102" s="282"/>
      <c r="H102" s="159"/>
      <c r="I102" s="237"/>
      <c r="J102" s="291"/>
      <c r="K102" s="291"/>
      <c r="L102" s="159"/>
      <c r="M102" s="159"/>
    </row>
    <row r="103" spans="1:13" x14ac:dyDescent="0.2">
      <c r="A103" s="298" t="s">
        <v>12</v>
      </c>
      <c r="B103" s="230"/>
      <c r="C103" s="290"/>
      <c r="D103" s="159"/>
      <c r="E103" s="237"/>
      <c r="F103" s="282"/>
      <c r="G103" s="282"/>
      <c r="H103" s="159"/>
      <c r="I103" s="237"/>
      <c r="J103" s="291"/>
      <c r="K103" s="291"/>
      <c r="L103" s="159"/>
      <c r="M103" s="159"/>
    </row>
    <row r="104" spans="1:13" x14ac:dyDescent="0.2">
      <c r="A104" s="298" t="s">
        <v>13</v>
      </c>
      <c r="B104" s="230"/>
      <c r="C104" s="290"/>
      <c r="D104" s="159"/>
      <c r="E104" s="237"/>
      <c r="F104" s="282"/>
      <c r="G104" s="282"/>
      <c r="H104" s="159"/>
      <c r="I104" s="237"/>
      <c r="J104" s="291"/>
      <c r="K104" s="291"/>
      <c r="L104" s="159"/>
      <c r="M104" s="159"/>
    </row>
    <row r="105" spans="1:13" ht="15.75" x14ac:dyDescent="0.2">
      <c r="A105" s="298" t="s">
        <v>331</v>
      </c>
      <c r="B105" s="282"/>
      <c r="C105" s="282"/>
      <c r="D105" s="159"/>
      <c r="E105" s="237"/>
      <c r="F105" s="282">
        <v>1066634.112</v>
      </c>
      <c r="G105" s="282">
        <v>60954.173999999999</v>
      </c>
      <c r="H105" s="159">
        <f t="shared" si="9"/>
        <v>-94.3</v>
      </c>
      <c r="I105" s="237">
        <f>IFERROR(100/'Skjema total MA'!F105*G105,0)</f>
        <v>0</v>
      </c>
      <c r="J105" s="291">
        <v>1066634.112</v>
      </c>
      <c r="K105" s="291">
        <v>60954.173999999999</v>
      </c>
      <c r="L105" s="256">
        <f t="shared" si="10"/>
        <v>-94.3</v>
      </c>
      <c r="M105" s="159">
        <f>IFERROR(100/'Skjema total MA'!I105*K105,0)</f>
        <v>0</v>
      </c>
    </row>
    <row r="106" spans="1:13" x14ac:dyDescent="0.2">
      <c r="A106" s="298" t="s">
        <v>12</v>
      </c>
      <c r="B106" s="230"/>
      <c r="C106" s="290"/>
      <c r="D106" s="159"/>
      <c r="E106" s="237"/>
      <c r="F106" s="282"/>
      <c r="G106" s="282"/>
      <c r="H106" s="159"/>
      <c r="I106" s="237"/>
      <c r="J106" s="291"/>
      <c r="K106" s="291"/>
      <c r="L106" s="159"/>
      <c r="M106" s="159"/>
    </row>
    <row r="107" spans="1:13" x14ac:dyDescent="0.2">
      <c r="A107" s="298" t="s">
        <v>13</v>
      </c>
      <c r="B107" s="230"/>
      <c r="C107" s="290"/>
      <c r="D107" s="159"/>
      <c r="E107" s="237"/>
      <c r="F107" s="282">
        <v>1066634.112</v>
      </c>
      <c r="G107" s="282">
        <v>60954.173999999999</v>
      </c>
      <c r="H107" s="159">
        <f t="shared" si="9"/>
        <v>-94.3</v>
      </c>
      <c r="I107" s="237">
        <f>IFERROR(100/'Skjema total MA'!F107*G107,0)</f>
        <v>0</v>
      </c>
      <c r="J107" s="291">
        <v>1066634.112</v>
      </c>
      <c r="K107" s="291">
        <v>60954.173999999999</v>
      </c>
      <c r="L107" s="256">
        <f t="shared" si="10"/>
        <v>-94.3</v>
      </c>
      <c r="M107" s="159">
        <f>IFERROR(100/'Skjema total MA'!I107*K107,0)</f>
        <v>0</v>
      </c>
    </row>
    <row r="108" spans="1:13" x14ac:dyDescent="0.2">
      <c r="A108" s="18" t="s">
        <v>33</v>
      </c>
      <c r="B108" s="229">
        <v>26423.312999999998</v>
      </c>
      <c r="C108" s="139">
        <v>26313.651999999998</v>
      </c>
      <c r="D108" s="159">
        <f t="shared" si="8"/>
        <v>-0.4</v>
      </c>
      <c r="E108" s="170">
        <f>IFERROR(100/'Skjema total MA'!C108*C108,0)</f>
        <v>45.660710578480995</v>
      </c>
      <c r="F108" s="229">
        <v>0</v>
      </c>
      <c r="G108" s="139">
        <v>84855.216</v>
      </c>
      <c r="H108" s="159" t="str">
        <f t="shared" si="9"/>
        <v xml:space="preserve">    ---- </v>
      </c>
      <c r="I108" s="170">
        <f>IFERROR(100/'Skjema total MA'!F108*G108,0)</f>
        <v>39.253525531699225</v>
      </c>
      <c r="J108" s="288">
        <v>26423.312999999998</v>
      </c>
      <c r="K108" s="37">
        <v>111168.868</v>
      </c>
      <c r="L108" s="256">
        <f t="shared" si="10"/>
        <v>320.7</v>
      </c>
      <c r="M108" s="170">
        <f>IFERROR(100/'Skjema total MA'!I108*K108,0)</f>
        <v>40.602087499591129</v>
      </c>
    </row>
    <row r="109" spans="1:13" ht="15.75" x14ac:dyDescent="0.2">
      <c r="A109" s="18" t="s">
        <v>332</v>
      </c>
      <c r="B109" s="229">
        <v>64852.423000000003</v>
      </c>
      <c r="C109" s="139">
        <v>170454.54</v>
      </c>
      <c r="D109" s="159">
        <f t="shared" si="8"/>
        <v>162.80000000000001</v>
      </c>
      <c r="E109" s="170">
        <f>IFERROR(100/'Skjema total MA'!C109*C109,0)</f>
        <v>68.43609383382892</v>
      </c>
      <c r="F109" s="293">
        <v>1066634.112</v>
      </c>
      <c r="G109" s="293">
        <v>60954.173999999999</v>
      </c>
      <c r="H109" s="159">
        <f t="shared" si="9"/>
        <v>-94.3</v>
      </c>
      <c r="I109" s="170">
        <f>IFERROR(100/'Skjema total MA'!F109*G109,0)</f>
        <v>6.0709772483361917</v>
      </c>
      <c r="J109" s="288">
        <v>1131486.5349999999</v>
      </c>
      <c r="K109" s="37">
        <v>231408.71400000001</v>
      </c>
      <c r="L109" s="256">
        <f t="shared" si="10"/>
        <v>-79.5</v>
      </c>
      <c r="M109" s="170">
        <f>IFERROR(100/'Skjema total MA'!I109*K109,0)</f>
        <v>18.466945659315737</v>
      </c>
    </row>
    <row r="110" spans="1:13" x14ac:dyDescent="0.2">
      <c r="A110" s="18" t="s">
        <v>9</v>
      </c>
      <c r="B110" s="229">
        <v>64852.423000000003</v>
      </c>
      <c r="C110" s="139">
        <v>170454.54</v>
      </c>
      <c r="D110" s="159">
        <f t="shared" si="8"/>
        <v>162.80000000000001</v>
      </c>
      <c r="E110" s="170">
        <f>IFERROR(100/'Skjema total MA'!C110*C110,0)</f>
        <v>70.3996551648778</v>
      </c>
      <c r="F110" s="293"/>
      <c r="G110" s="294"/>
      <c r="H110" s="159"/>
      <c r="I110" s="170"/>
      <c r="J110" s="288">
        <v>64852.423000000003</v>
      </c>
      <c r="K110" s="37">
        <v>170454.54</v>
      </c>
      <c r="L110" s="256">
        <f t="shared" si="10"/>
        <v>162.80000000000001</v>
      </c>
      <c r="M110" s="170">
        <f>IFERROR(100/'Skjema total MA'!I110*K110,0)</f>
        <v>70.3996551648778</v>
      </c>
    </row>
    <row r="111" spans="1:13" x14ac:dyDescent="0.2">
      <c r="A111" s="18" t="s">
        <v>10</v>
      </c>
      <c r="B111" s="293"/>
      <c r="C111" s="294"/>
      <c r="D111" s="159"/>
      <c r="E111" s="170"/>
      <c r="F111" s="293">
        <v>1066634.112</v>
      </c>
      <c r="G111" s="294">
        <v>60954.173999999999</v>
      </c>
      <c r="H111" s="159">
        <f t="shared" si="9"/>
        <v>-94.3</v>
      </c>
      <c r="I111" s="170">
        <f>IFERROR(100/'Skjema total MA'!F111*G111,0)</f>
        <v>6.0709772483361917</v>
      </c>
      <c r="J111" s="288">
        <v>1066634.112</v>
      </c>
      <c r="K111" s="37">
        <v>60954.173999999999</v>
      </c>
      <c r="L111" s="256">
        <f t="shared" si="10"/>
        <v>-94.3</v>
      </c>
      <c r="M111" s="170">
        <f>IFERROR(100/'Skjema total MA'!I111*K111,0)</f>
        <v>6.0292599225939956</v>
      </c>
    </row>
    <row r="112" spans="1:13" ht="15.75" x14ac:dyDescent="0.2">
      <c r="A112" s="298" t="s">
        <v>330</v>
      </c>
      <c r="B112" s="282"/>
      <c r="C112" s="282"/>
      <c r="D112" s="159"/>
      <c r="E112" s="237"/>
      <c r="F112" s="282"/>
      <c r="G112" s="282"/>
      <c r="H112" s="159"/>
      <c r="I112" s="237"/>
      <c r="J112" s="291"/>
      <c r="K112" s="291"/>
      <c r="L112" s="159"/>
      <c r="M112" s="159"/>
    </row>
    <row r="113" spans="1:13" x14ac:dyDescent="0.2">
      <c r="A113" s="298" t="s">
        <v>12</v>
      </c>
      <c r="B113" s="230"/>
      <c r="C113" s="290"/>
      <c r="D113" s="159"/>
      <c r="E113" s="237"/>
      <c r="F113" s="282"/>
      <c r="G113" s="282"/>
      <c r="H113" s="159"/>
      <c r="I113" s="237"/>
      <c r="J113" s="291"/>
      <c r="K113" s="291"/>
      <c r="L113" s="159"/>
      <c r="M113" s="159"/>
    </row>
    <row r="114" spans="1:13" x14ac:dyDescent="0.2">
      <c r="A114" s="298" t="s">
        <v>13</v>
      </c>
      <c r="B114" s="230"/>
      <c r="C114" s="290"/>
      <c r="D114" s="159"/>
      <c r="E114" s="237"/>
      <c r="F114" s="282"/>
      <c r="G114" s="282"/>
      <c r="H114" s="159"/>
      <c r="I114" s="237"/>
      <c r="J114" s="291"/>
      <c r="K114" s="291"/>
      <c r="L114" s="159"/>
      <c r="M114" s="159"/>
    </row>
    <row r="115" spans="1:13" ht="15.75" x14ac:dyDescent="0.2">
      <c r="A115" s="298" t="s">
        <v>331</v>
      </c>
      <c r="B115" s="282"/>
      <c r="C115" s="282"/>
      <c r="D115" s="159"/>
      <c r="E115" s="237"/>
      <c r="F115" s="282">
        <v>1066634.112</v>
      </c>
      <c r="G115" s="282">
        <v>60954.173999999999</v>
      </c>
      <c r="H115" s="159">
        <f t="shared" si="9"/>
        <v>-94.3</v>
      </c>
      <c r="I115" s="237">
        <f>IFERROR(100/'Skjema total MA'!F115*G115,0)</f>
        <v>0</v>
      </c>
      <c r="J115" s="291">
        <v>1066634.112</v>
      </c>
      <c r="K115" s="291">
        <v>60954.173999999999</v>
      </c>
      <c r="L115" s="256">
        <f t="shared" si="10"/>
        <v>-94.3</v>
      </c>
      <c r="M115" s="159">
        <f>IFERROR(100/'Skjema total MA'!I115*K115,0)</f>
        <v>0</v>
      </c>
    </row>
    <row r="116" spans="1:13" x14ac:dyDescent="0.2">
      <c r="A116" s="298" t="s">
        <v>12</v>
      </c>
      <c r="B116" s="230"/>
      <c r="C116" s="290"/>
      <c r="D116" s="159"/>
      <c r="E116" s="237"/>
      <c r="F116" s="282"/>
      <c r="G116" s="282"/>
      <c r="H116" s="159"/>
      <c r="I116" s="237"/>
      <c r="J116" s="291"/>
      <c r="K116" s="291"/>
      <c r="L116" s="159"/>
      <c r="M116" s="159"/>
    </row>
    <row r="117" spans="1:13" x14ac:dyDescent="0.2">
      <c r="A117" s="298" t="s">
        <v>13</v>
      </c>
      <c r="B117" s="232"/>
      <c r="C117" s="297"/>
      <c r="D117" s="159"/>
      <c r="E117" s="237"/>
      <c r="F117" s="282">
        <v>1066634.112</v>
      </c>
      <c r="G117" s="282">
        <v>60954.173999999999</v>
      </c>
      <c r="H117" s="159">
        <f t="shared" si="9"/>
        <v>-94.3</v>
      </c>
      <c r="I117" s="237">
        <f>IFERROR(100/'Skjema total MA'!F117*G117,0)</f>
        <v>0</v>
      </c>
      <c r="J117" s="291">
        <v>1066634.112</v>
      </c>
      <c r="K117" s="291">
        <v>60954.173999999999</v>
      </c>
      <c r="L117" s="256">
        <f t="shared" si="10"/>
        <v>-94.3</v>
      </c>
      <c r="M117" s="159">
        <f>IFERROR(100/'Skjema total MA'!I117*K117,0)</f>
        <v>0</v>
      </c>
    </row>
    <row r="118" spans="1:13" ht="15.75" x14ac:dyDescent="0.2">
      <c r="A118" s="18" t="s">
        <v>342</v>
      </c>
      <c r="B118" s="229">
        <v>0</v>
      </c>
      <c r="C118" s="139">
        <v>2036.5530000000001</v>
      </c>
      <c r="D118" s="159" t="str">
        <f t="shared" si="8"/>
        <v xml:space="preserve">    ---- </v>
      </c>
      <c r="E118" s="170">
        <f>IFERROR(100/'Skjema total MA'!C118*C118,0)</f>
        <v>12.609623251133005</v>
      </c>
      <c r="F118" s="229"/>
      <c r="G118" s="139"/>
      <c r="H118" s="159"/>
      <c r="I118" s="170"/>
      <c r="J118" s="288">
        <v>0</v>
      </c>
      <c r="K118" s="37">
        <v>2036.5530000000001</v>
      </c>
      <c r="L118" s="256" t="str">
        <f t="shared" si="10"/>
        <v xml:space="preserve">    ---- </v>
      </c>
      <c r="M118" s="170">
        <f>IFERROR(100/'Skjema total MA'!I118*K118,0)</f>
        <v>12.609623251133005</v>
      </c>
    </row>
    <row r="119" spans="1:13" ht="15.75" x14ac:dyDescent="0.2">
      <c r="A119" s="11" t="s">
        <v>28</v>
      </c>
      <c r="B119" s="355">
        <v>151828440.40599999</v>
      </c>
      <c r="C119" s="355">
        <v>157451218.537</v>
      </c>
      <c r="D119" s="159">
        <f t="shared" si="8"/>
        <v>3.7</v>
      </c>
      <c r="E119" s="170">
        <f>IFERROR(100/'Skjema total MA'!C119*C119,0)</f>
        <v>42.214137198936932</v>
      </c>
      <c r="F119" s="354">
        <v>46423029.125</v>
      </c>
      <c r="G119" s="354">
        <v>56535845.866000004</v>
      </c>
      <c r="H119" s="159">
        <f t="shared" si="9"/>
        <v>21.8</v>
      </c>
      <c r="I119" s="170">
        <f>IFERROR(100/'Skjema total MA'!F119*G119,0)</f>
        <v>31.809681867687274</v>
      </c>
      <c r="J119" s="311">
        <v>198251469.53099999</v>
      </c>
      <c r="K119" s="231">
        <v>213987064.403</v>
      </c>
      <c r="L119" s="256">
        <f t="shared" si="10"/>
        <v>7.9</v>
      </c>
      <c r="M119" s="170">
        <f>IFERROR(100/'Skjema total MA'!I119*K119,0)</f>
        <v>38.856312772596574</v>
      </c>
    </row>
    <row r="120" spans="1:13" x14ac:dyDescent="0.2">
      <c r="A120" s="18" t="s">
        <v>9</v>
      </c>
      <c r="B120" s="229">
        <v>151754444.92199999</v>
      </c>
      <c r="C120" s="139">
        <v>157379771.65599999</v>
      </c>
      <c r="D120" s="159">
        <f t="shared" si="8"/>
        <v>3.7</v>
      </c>
      <c r="E120" s="170">
        <f>IFERROR(100/'Skjema total MA'!C120*C120,0)</f>
        <v>42.465118627625721</v>
      </c>
      <c r="F120" s="229"/>
      <c r="G120" s="139"/>
      <c r="H120" s="159"/>
      <c r="I120" s="170"/>
      <c r="J120" s="288">
        <v>151754444.92199999</v>
      </c>
      <c r="K120" s="37">
        <v>157379771.65599999</v>
      </c>
      <c r="L120" s="256">
        <f t="shared" si="10"/>
        <v>3.7</v>
      </c>
      <c r="M120" s="170">
        <f>IFERROR(100/'Skjema total MA'!I120*K120,0)</f>
        <v>42.465118627625721</v>
      </c>
    </row>
    <row r="121" spans="1:13" x14ac:dyDescent="0.2">
      <c r="A121" s="18" t="s">
        <v>10</v>
      </c>
      <c r="B121" s="229">
        <v>46813</v>
      </c>
      <c r="C121" s="139">
        <v>47716</v>
      </c>
      <c r="D121" s="159">
        <f t="shared" si="8"/>
        <v>1.9</v>
      </c>
      <c r="E121" s="170">
        <f>IFERROR(100/'Skjema total MA'!C121*C121,0)</f>
        <v>2.0990954641666191</v>
      </c>
      <c r="F121" s="229">
        <v>46423029.125</v>
      </c>
      <c r="G121" s="139">
        <v>56449102.343000002</v>
      </c>
      <c r="H121" s="159">
        <f t="shared" si="9"/>
        <v>21.6</v>
      </c>
      <c r="I121" s="170">
        <f>IFERROR(100/'Skjema total MA'!F121*G121,0)</f>
        <v>31.799366641146189</v>
      </c>
      <c r="J121" s="288">
        <v>46469842.125</v>
      </c>
      <c r="K121" s="37">
        <v>56496818.343000002</v>
      </c>
      <c r="L121" s="256">
        <f t="shared" si="10"/>
        <v>21.6</v>
      </c>
      <c r="M121" s="170">
        <f>IFERROR(100/'Skjema total MA'!I121*K121,0)</f>
        <v>31.423851308322526</v>
      </c>
    </row>
    <row r="122" spans="1:13" ht="15.75" x14ac:dyDescent="0.2">
      <c r="A122" s="298" t="s">
        <v>330</v>
      </c>
      <c r="B122" s="282"/>
      <c r="C122" s="282"/>
      <c r="D122" s="159"/>
      <c r="E122" s="237"/>
      <c r="F122" s="282"/>
      <c r="G122" s="282"/>
      <c r="H122" s="159"/>
      <c r="I122" s="237"/>
      <c r="J122" s="291"/>
      <c r="K122" s="291"/>
      <c r="L122" s="159"/>
      <c r="M122" s="159"/>
    </row>
    <row r="123" spans="1:13" x14ac:dyDescent="0.2">
      <c r="A123" s="298" t="s">
        <v>12</v>
      </c>
      <c r="B123" s="230"/>
      <c r="C123" s="290"/>
      <c r="D123" s="159"/>
      <c r="E123" s="237"/>
      <c r="F123" s="282"/>
      <c r="G123" s="282"/>
      <c r="H123" s="159"/>
      <c r="I123" s="237"/>
      <c r="J123" s="291"/>
      <c r="K123" s="291"/>
      <c r="L123" s="159"/>
      <c r="M123" s="159"/>
    </row>
    <row r="124" spans="1:13" x14ac:dyDescent="0.2">
      <c r="A124" s="298" t="s">
        <v>13</v>
      </c>
      <c r="B124" s="230"/>
      <c r="C124" s="290"/>
      <c r="D124" s="159"/>
      <c r="E124" s="237"/>
      <c r="F124" s="282"/>
      <c r="G124" s="282"/>
      <c r="H124" s="159"/>
      <c r="I124" s="237"/>
      <c r="J124" s="291"/>
      <c r="K124" s="291"/>
      <c r="L124" s="159"/>
      <c r="M124" s="159"/>
    </row>
    <row r="125" spans="1:13" ht="15.75" x14ac:dyDescent="0.2">
      <c r="A125" s="298" t="s">
        <v>331</v>
      </c>
      <c r="B125" s="282">
        <v>46813</v>
      </c>
      <c r="C125" s="282">
        <v>47716</v>
      </c>
      <c r="D125" s="159">
        <f t="shared" si="8"/>
        <v>1.9</v>
      </c>
      <c r="E125" s="170">
        <f>IFERROR(100/'Skjema total MA'!C125*C125,0)</f>
        <v>0</v>
      </c>
      <c r="F125" s="282">
        <v>46423029.125</v>
      </c>
      <c r="G125" s="282">
        <v>56449102.343000002</v>
      </c>
      <c r="H125" s="159">
        <f t="shared" si="9"/>
        <v>21.6</v>
      </c>
      <c r="I125" s="237">
        <f>IFERROR(100/'Skjema total MA'!F125*G125,0)</f>
        <v>0</v>
      </c>
      <c r="J125" s="291">
        <v>46469842.125</v>
      </c>
      <c r="K125" s="291">
        <v>56496818.343000002</v>
      </c>
      <c r="L125" s="256">
        <f t="shared" si="10"/>
        <v>21.6</v>
      </c>
      <c r="M125" s="159">
        <f>IFERROR(100/'Skjema total MA'!I125*K125,0)</f>
        <v>0</v>
      </c>
    </row>
    <row r="126" spans="1:13" x14ac:dyDescent="0.2">
      <c r="A126" s="298" t="s">
        <v>12</v>
      </c>
      <c r="B126" s="230"/>
      <c r="C126" s="290"/>
      <c r="D126" s="159"/>
      <c r="E126" s="237"/>
      <c r="F126" s="282"/>
      <c r="G126" s="282"/>
      <c r="H126" s="159"/>
      <c r="I126" s="237"/>
      <c r="J126" s="291"/>
      <c r="K126" s="291"/>
      <c r="L126" s="159"/>
      <c r="M126" s="159"/>
    </row>
    <row r="127" spans="1:13" x14ac:dyDescent="0.2">
      <c r="A127" s="298" t="s">
        <v>13</v>
      </c>
      <c r="B127" s="230"/>
      <c r="C127" s="290"/>
      <c r="D127" s="159"/>
      <c r="E127" s="170"/>
      <c r="F127" s="282">
        <v>46423029.125</v>
      </c>
      <c r="G127" s="282">
        <v>56449102.343000002</v>
      </c>
      <c r="H127" s="159">
        <f t="shared" si="9"/>
        <v>21.6</v>
      </c>
      <c r="I127" s="237">
        <f>IFERROR(100/'Skjema total MA'!F127*G127,0)</f>
        <v>0</v>
      </c>
      <c r="J127" s="291">
        <v>46423029.125</v>
      </c>
      <c r="K127" s="291">
        <v>56449102.343000002</v>
      </c>
      <c r="L127" s="256">
        <f t="shared" si="10"/>
        <v>21.6</v>
      </c>
      <c r="M127" s="159">
        <f>IFERROR(100/'Skjema total MA'!I127*K127,0)</f>
        <v>0</v>
      </c>
    </row>
    <row r="128" spans="1:13" x14ac:dyDescent="0.2">
      <c r="A128" s="18" t="s">
        <v>34</v>
      </c>
      <c r="B128" s="229">
        <v>27182.484</v>
      </c>
      <c r="C128" s="139">
        <v>23730.881000000001</v>
      </c>
      <c r="D128" s="159">
        <f t="shared" si="8"/>
        <v>-12.7</v>
      </c>
      <c r="E128" s="170">
        <f>IFERROR(100/'Skjema total MA'!C128*C128,0)</f>
        <v>23.84675681014453</v>
      </c>
      <c r="F128" s="229">
        <v>0</v>
      </c>
      <c r="G128" s="139">
        <v>86743.523000000001</v>
      </c>
      <c r="H128" s="159" t="str">
        <f t="shared" si="9"/>
        <v xml:space="preserve">    ---- </v>
      </c>
      <c r="I128" s="170">
        <f>IFERROR(100/'Skjema total MA'!F128*G128,0)</f>
        <v>40.321366541026691</v>
      </c>
      <c r="J128" s="288">
        <v>27182.484</v>
      </c>
      <c r="K128" s="37">
        <v>110474.40400000001</v>
      </c>
      <c r="L128" s="256">
        <f t="shared" si="10"/>
        <v>306.39999999999998</v>
      </c>
      <c r="M128" s="170">
        <f>IFERROR(100/'Skjema total MA'!I128*K128,0)</f>
        <v>35.110864925460405</v>
      </c>
    </row>
    <row r="129" spans="1:13" ht="15.75" x14ac:dyDescent="0.2">
      <c r="A129" s="18" t="s">
        <v>332</v>
      </c>
      <c r="B129" s="229">
        <v>148455415.736</v>
      </c>
      <c r="C129" s="229">
        <v>153947803.50400001</v>
      </c>
      <c r="D129" s="159">
        <f t="shared" si="8"/>
        <v>3.7</v>
      </c>
      <c r="E129" s="170">
        <f>IFERROR(100/'Skjema total MA'!C129*C129,0)</f>
        <v>41.828116312499787</v>
      </c>
      <c r="F129" s="293">
        <v>46423029.125</v>
      </c>
      <c r="G129" s="293">
        <v>56449102.343000002</v>
      </c>
      <c r="H129" s="159">
        <f t="shared" si="9"/>
        <v>21.6</v>
      </c>
      <c r="I129" s="170">
        <f>IFERROR(100/'Skjema total MA'!F129*G129,0)</f>
        <v>31.868526778093784</v>
      </c>
      <c r="J129" s="288">
        <v>194878444.861</v>
      </c>
      <c r="K129" s="37">
        <v>210396905.847</v>
      </c>
      <c r="L129" s="256">
        <f t="shared" si="10"/>
        <v>8</v>
      </c>
      <c r="M129" s="170">
        <f>IFERROR(100/'Skjema total MA'!I129*K129,0)</f>
        <v>38.592204126156531</v>
      </c>
    </row>
    <row r="130" spans="1:13" x14ac:dyDescent="0.2">
      <c r="A130" s="18" t="s">
        <v>9</v>
      </c>
      <c r="B130" s="293">
        <v>148408602.736</v>
      </c>
      <c r="C130" s="294">
        <v>153900087.66600001</v>
      </c>
      <c r="D130" s="159">
        <f t="shared" si="8"/>
        <v>3.7</v>
      </c>
      <c r="E130" s="170">
        <f>IFERROR(100/'Skjema total MA'!C130*C130,0)</f>
        <v>42.075018647196529</v>
      </c>
      <c r="F130" s="229"/>
      <c r="G130" s="139"/>
      <c r="H130" s="159"/>
      <c r="I130" s="170"/>
      <c r="J130" s="288">
        <v>148408602.736</v>
      </c>
      <c r="K130" s="37">
        <v>153900087.66600001</v>
      </c>
      <c r="L130" s="256">
        <f t="shared" si="10"/>
        <v>3.7</v>
      </c>
      <c r="M130" s="170">
        <f>IFERROR(100/'Skjema total MA'!I130*K130,0)</f>
        <v>42.075018647196529</v>
      </c>
    </row>
    <row r="131" spans="1:13" x14ac:dyDescent="0.2">
      <c r="A131" s="18" t="s">
        <v>10</v>
      </c>
      <c r="B131" s="293">
        <v>46813</v>
      </c>
      <c r="C131" s="294">
        <v>47715.838000000003</v>
      </c>
      <c r="D131" s="159">
        <f t="shared" si="8"/>
        <v>1.9</v>
      </c>
      <c r="E131" s="170">
        <f>IFERROR(100/'Skjema total MA'!C131*C131,0)</f>
        <v>2.0990884871475468</v>
      </c>
      <c r="F131" s="229">
        <v>46423029.125</v>
      </c>
      <c r="G131" s="229">
        <v>56449102.343000002</v>
      </c>
      <c r="H131" s="159">
        <f t="shared" si="9"/>
        <v>21.6</v>
      </c>
      <c r="I131" s="170">
        <f>IFERROR(100/'Skjema total MA'!F131*G131,0)</f>
        <v>31.868526778093784</v>
      </c>
      <c r="J131" s="288">
        <v>46469842.125</v>
      </c>
      <c r="K131" s="37">
        <v>56496818.181000002</v>
      </c>
      <c r="L131" s="256">
        <f t="shared" si="10"/>
        <v>21.6</v>
      </c>
      <c r="M131" s="170">
        <f>IFERROR(100/'Skjema total MA'!I131*K131,0)</f>
        <v>31.491328723127488</v>
      </c>
    </row>
    <row r="132" spans="1:13" ht="15.75" x14ac:dyDescent="0.2">
      <c r="A132" s="298" t="s">
        <v>330</v>
      </c>
      <c r="B132" s="282"/>
      <c r="C132" s="282"/>
      <c r="D132" s="159"/>
      <c r="E132" s="237"/>
      <c r="F132" s="282"/>
      <c r="G132" s="282"/>
      <c r="H132" s="159"/>
      <c r="I132" s="237"/>
      <c r="J132" s="291"/>
      <c r="K132" s="291"/>
      <c r="L132" s="159"/>
      <c r="M132" s="159"/>
    </row>
    <row r="133" spans="1:13" x14ac:dyDescent="0.2">
      <c r="A133" s="298" t="s">
        <v>12</v>
      </c>
      <c r="B133" s="230"/>
      <c r="C133" s="290"/>
      <c r="D133" s="159"/>
      <c r="E133" s="237"/>
      <c r="F133" s="282"/>
      <c r="G133" s="282"/>
      <c r="H133" s="159"/>
      <c r="I133" s="237"/>
      <c r="J133" s="291"/>
      <c r="K133" s="291"/>
      <c r="L133" s="159"/>
      <c r="M133" s="159"/>
    </row>
    <row r="134" spans="1:13" x14ac:dyDescent="0.2">
      <c r="A134" s="298" t="s">
        <v>13</v>
      </c>
      <c r="B134" s="230"/>
      <c r="C134" s="290"/>
      <c r="D134" s="159"/>
      <c r="E134" s="237"/>
      <c r="F134" s="282"/>
      <c r="G134" s="282"/>
      <c r="H134" s="159"/>
      <c r="I134" s="237"/>
      <c r="J134" s="291"/>
      <c r="K134" s="291"/>
      <c r="L134" s="159"/>
      <c r="M134" s="159"/>
    </row>
    <row r="135" spans="1:13" ht="15.75" x14ac:dyDescent="0.2">
      <c r="A135" s="298" t="s">
        <v>331</v>
      </c>
      <c r="B135" s="282">
        <v>46813</v>
      </c>
      <c r="C135" s="282">
        <v>47715.838000000003</v>
      </c>
      <c r="D135" s="159">
        <f t="shared" si="8"/>
        <v>1.9</v>
      </c>
      <c r="E135" s="170">
        <f>IFERROR(100/'Skjema total MA'!C135*C135,0)</f>
        <v>0</v>
      </c>
      <c r="F135" s="282">
        <v>46423029.125</v>
      </c>
      <c r="G135" s="282">
        <v>56449102.343000002</v>
      </c>
      <c r="H135" s="159">
        <f t="shared" si="9"/>
        <v>21.6</v>
      </c>
      <c r="I135" s="237">
        <f>IFERROR(100/'Skjema total MA'!F135*G135,0)</f>
        <v>0</v>
      </c>
      <c r="J135" s="291">
        <v>46469842.125</v>
      </c>
      <c r="K135" s="291">
        <v>56496818.181000002</v>
      </c>
      <c r="L135" s="256">
        <f t="shared" si="10"/>
        <v>21.6</v>
      </c>
      <c r="M135" s="159">
        <f>IFERROR(100/'Skjema total MA'!I135*K135,0)</f>
        <v>0</v>
      </c>
    </row>
    <row r="136" spans="1:13" x14ac:dyDescent="0.2">
      <c r="A136" s="298" t="s">
        <v>12</v>
      </c>
      <c r="B136" s="230"/>
      <c r="C136" s="290"/>
      <c r="D136" s="159"/>
      <c r="E136" s="170">
        <f>IFERROR(100/'Skjema total MA'!C136*C136,0)</f>
        <v>0</v>
      </c>
      <c r="F136" s="282"/>
      <c r="G136" s="282"/>
      <c r="H136" s="159"/>
      <c r="I136" s="237"/>
      <c r="J136" s="291"/>
      <c r="K136" s="291"/>
      <c r="L136" s="159"/>
      <c r="M136" s="159"/>
    </row>
    <row r="137" spans="1:13" x14ac:dyDescent="0.2">
      <c r="A137" s="298" t="s">
        <v>13</v>
      </c>
      <c r="B137" s="230"/>
      <c r="C137" s="290"/>
      <c r="D137" s="159"/>
      <c r="E137" s="170">
        <f>IFERROR(100/'Skjema total MA'!C137*C137,0)</f>
        <v>0</v>
      </c>
      <c r="F137" s="282">
        <v>46423029.125</v>
      </c>
      <c r="G137" s="282">
        <v>56449102.343000002</v>
      </c>
      <c r="H137" s="159">
        <f t="shared" si="9"/>
        <v>21.6</v>
      </c>
      <c r="I137" s="237">
        <f>IFERROR(100/'Skjema total MA'!F137*G137,0)</f>
        <v>0</v>
      </c>
      <c r="J137" s="291">
        <v>46423029.125</v>
      </c>
      <c r="K137" s="291">
        <v>56449102.343000002</v>
      </c>
      <c r="L137" s="256">
        <f t="shared" si="10"/>
        <v>21.6</v>
      </c>
      <c r="M137" s="159">
        <f>IFERROR(100/'Skjema total MA'!I137*K137,0)</f>
        <v>0</v>
      </c>
    </row>
    <row r="138" spans="1:13" ht="15.75" x14ac:dyDescent="0.2">
      <c r="A138" s="18" t="s">
        <v>342</v>
      </c>
      <c r="B138" s="229">
        <v>3345842.1860000002</v>
      </c>
      <c r="C138" s="139">
        <v>3479683.99</v>
      </c>
      <c r="D138" s="159">
        <f t="shared" si="8"/>
        <v>4</v>
      </c>
      <c r="E138" s="170">
        <f>IFERROR(100/'Skjema total MA'!C138*C138,0)</f>
        <v>71.982473851614614</v>
      </c>
      <c r="F138" s="229"/>
      <c r="G138" s="139"/>
      <c r="H138" s="159"/>
      <c r="I138" s="170"/>
      <c r="J138" s="288">
        <v>3345842.1860000002</v>
      </c>
      <c r="K138" s="37">
        <v>3479683.99</v>
      </c>
      <c r="L138" s="256">
        <f t="shared" si="10"/>
        <v>4</v>
      </c>
      <c r="M138" s="170">
        <f>IFERROR(100/'Skjema total MA'!I138*K138,0)</f>
        <v>66.66939904246901</v>
      </c>
    </row>
    <row r="139" spans="1:13" ht="15.75" x14ac:dyDescent="0.2">
      <c r="A139" s="18" t="s">
        <v>343</v>
      </c>
      <c r="B139" s="229">
        <v>101231343.70900001</v>
      </c>
      <c r="C139" s="229">
        <v>113719408.29099999</v>
      </c>
      <c r="D139" s="159">
        <f t="shared" si="8"/>
        <v>12.3</v>
      </c>
      <c r="E139" s="170">
        <f>IFERROR(100/'Skjema total MA'!C139*C139,0)</f>
        <v>42.203291082153925</v>
      </c>
      <c r="F139" s="229">
        <v>4591386.6900000004</v>
      </c>
      <c r="G139" s="229">
        <v>5487604.0690000001</v>
      </c>
      <c r="H139" s="159">
        <f t="shared" si="9"/>
        <v>19.5</v>
      </c>
      <c r="I139" s="170">
        <f>IFERROR(100/'Skjema total MA'!F139*G139,0)</f>
        <v>94.293635553015761</v>
      </c>
      <c r="J139" s="288">
        <v>105822730.399</v>
      </c>
      <c r="K139" s="37">
        <v>119207012.36</v>
      </c>
      <c r="L139" s="256">
        <f t="shared" si="10"/>
        <v>12.6</v>
      </c>
      <c r="M139" s="170">
        <f>IFERROR(100/'Skjema total MA'!I139*K139,0)</f>
        <v>43.304549756531564</v>
      </c>
    </row>
    <row r="140" spans="1:13" ht="15.75" x14ac:dyDescent="0.2">
      <c r="A140" s="18" t="s">
        <v>334</v>
      </c>
      <c r="B140" s="229"/>
      <c r="C140" s="229"/>
      <c r="D140" s="159"/>
      <c r="E140" s="170"/>
      <c r="F140" s="229">
        <v>13277675.505999999</v>
      </c>
      <c r="G140" s="229">
        <v>16870799.784000002</v>
      </c>
      <c r="H140" s="159">
        <f t="shared" si="9"/>
        <v>27.1</v>
      </c>
      <c r="I140" s="170">
        <f>IFERROR(100/'Skjema total MA'!F140*G140,0)</f>
        <v>30.244399138001842</v>
      </c>
      <c r="J140" s="288">
        <v>13277675.505999999</v>
      </c>
      <c r="K140" s="37">
        <v>16870799.784000002</v>
      </c>
      <c r="L140" s="256">
        <f t="shared" si="10"/>
        <v>27.1</v>
      </c>
      <c r="M140" s="170">
        <f>IFERROR(100/'Skjema total MA'!I140*K140,0)</f>
        <v>29.844868773624821</v>
      </c>
    </row>
    <row r="141" spans="1:13" ht="15.75" x14ac:dyDescent="0.2">
      <c r="A141" s="18" t="s">
        <v>335</v>
      </c>
      <c r="B141" s="229">
        <v>561.75099999999998</v>
      </c>
      <c r="C141" s="229">
        <v>2077.2370000000001</v>
      </c>
      <c r="D141" s="159">
        <f t="shared" si="8"/>
        <v>269.8</v>
      </c>
      <c r="E141" s="170">
        <f>IFERROR(100/'Skjema total MA'!C141*C141,0)</f>
        <v>100</v>
      </c>
      <c r="F141" s="229"/>
      <c r="G141" s="229"/>
      <c r="H141" s="159"/>
      <c r="I141" s="170"/>
      <c r="J141" s="288">
        <v>561.75099999999998</v>
      </c>
      <c r="K141" s="37">
        <v>2077.2370000000001</v>
      </c>
      <c r="L141" s="256">
        <f t="shared" si="10"/>
        <v>269.8</v>
      </c>
      <c r="M141" s="170">
        <f>IFERROR(100/'Skjema total MA'!I141*K141,0)</f>
        <v>100</v>
      </c>
    </row>
    <row r="142" spans="1:13" ht="15.75" x14ac:dyDescent="0.2">
      <c r="A142" s="11" t="s">
        <v>27</v>
      </c>
      <c r="B142" s="310">
        <v>169131.902</v>
      </c>
      <c r="C142" s="152">
        <v>111708.72199999999</v>
      </c>
      <c r="D142" s="159">
        <f t="shared" si="8"/>
        <v>-34</v>
      </c>
      <c r="E142" s="170">
        <f>IFERROR(100/'Skjema total MA'!C142*C142,0)</f>
        <v>9.0168747191774905</v>
      </c>
      <c r="F142" s="310">
        <v>782916.978</v>
      </c>
      <c r="G142" s="152">
        <v>379031.08100000001</v>
      </c>
      <c r="H142" s="159">
        <f t="shared" si="9"/>
        <v>-51.6</v>
      </c>
      <c r="I142" s="170">
        <f>IFERROR(100/'Skjema total MA'!F142*G142,0)</f>
        <v>6.2483140985595682</v>
      </c>
      <c r="J142" s="311">
        <v>952048.88</v>
      </c>
      <c r="K142" s="231">
        <v>490739.80300000001</v>
      </c>
      <c r="L142" s="256">
        <f t="shared" si="10"/>
        <v>-48.5</v>
      </c>
      <c r="M142" s="170">
        <f>IFERROR(100/'Skjema total MA'!I142*K142,0)</f>
        <v>6.7178445350570239</v>
      </c>
    </row>
    <row r="143" spans="1:13" x14ac:dyDescent="0.2">
      <c r="A143" s="18" t="s">
        <v>9</v>
      </c>
      <c r="B143" s="229">
        <v>169131.902</v>
      </c>
      <c r="C143" s="139">
        <v>111708.72199999999</v>
      </c>
      <c r="D143" s="159">
        <f t="shared" ref="D143:D156" si="11">IF(B143=0, "    ---- ", IF(ABS(ROUND(100/B143*C143-100,1))&lt;999,ROUND(100/B143*C143-100,1),IF(ROUND(100/B143*C143-100,1)&gt;999,999,-999)))</f>
        <v>-34</v>
      </c>
      <c r="E143" s="170">
        <f>IFERROR(100/'Skjema total MA'!C143*C143,0)</f>
        <v>9.047579671000042</v>
      </c>
      <c r="F143" s="229"/>
      <c r="G143" s="139"/>
      <c r="H143" s="159"/>
      <c r="I143" s="170"/>
      <c r="J143" s="288">
        <v>169131.902</v>
      </c>
      <c r="K143" s="37">
        <v>111708.72199999999</v>
      </c>
      <c r="L143" s="256">
        <f t="shared" ref="L143:L156" si="12">IF(J143=0, "    ---- ", IF(ABS(ROUND(100/J143*K143-100,1))&lt;999,ROUND(100/J143*K143-100,1),IF(ROUND(100/J143*K143-100,1)&gt;999,999,-999)))</f>
        <v>-34</v>
      </c>
      <c r="M143" s="170">
        <f>IFERROR(100/'Skjema total MA'!I143*K143,0)</f>
        <v>9.047579671000042</v>
      </c>
    </row>
    <row r="144" spans="1:13" x14ac:dyDescent="0.2">
      <c r="A144" s="18" t="s">
        <v>10</v>
      </c>
      <c r="B144" s="229"/>
      <c r="C144" s="139"/>
      <c r="D144" s="159"/>
      <c r="E144" s="170"/>
      <c r="F144" s="229">
        <v>782916.978</v>
      </c>
      <c r="G144" s="139">
        <v>379031.08100000001</v>
      </c>
      <c r="H144" s="159">
        <f t="shared" ref="H144:H156" si="13">IF(F144=0, "    ---- ", IF(ABS(ROUND(100/F144*G144-100,1))&lt;999,ROUND(100/F144*G144-100,1),IF(ROUND(100/F144*G144-100,1)&gt;999,999,-999)))</f>
        <v>-51.6</v>
      </c>
      <c r="I144" s="170">
        <f>IFERROR(100/'Skjema total MA'!F144*G144,0)</f>
        <v>6.2483140985595682</v>
      </c>
      <c r="J144" s="288">
        <v>782916.978</v>
      </c>
      <c r="K144" s="37">
        <v>379031.08100000001</v>
      </c>
      <c r="L144" s="256">
        <f t="shared" si="12"/>
        <v>-51.6</v>
      </c>
      <c r="M144" s="170">
        <f>IFERROR(100/'Skjema total MA'!I144*K144,0)</f>
        <v>6.2439863997366087</v>
      </c>
    </row>
    <row r="145" spans="1:14" x14ac:dyDescent="0.2">
      <c r="A145" s="18" t="s">
        <v>34</v>
      </c>
      <c r="B145" s="229"/>
      <c r="C145" s="139"/>
      <c r="D145" s="159"/>
      <c r="E145" s="170"/>
      <c r="F145" s="229"/>
      <c r="G145" s="139"/>
      <c r="H145" s="159"/>
      <c r="I145" s="170"/>
      <c r="J145" s="288"/>
      <c r="K145" s="37"/>
      <c r="L145" s="256"/>
      <c r="M145" s="170"/>
    </row>
    <row r="146" spans="1:14" x14ac:dyDescent="0.2">
      <c r="A146" s="298" t="s">
        <v>15</v>
      </c>
      <c r="B146" s="282"/>
      <c r="C146" s="282"/>
      <c r="D146" s="159"/>
      <c r="E146" s="237"/>
      <c r="F146" s="282"/>
      <c r="G146" s="282"/>
      <c r="H146" s="159"/>
      <c r="I146" s="237"/>
      <c r="J146" s="291"/>
      <c r="K146" s="291"/>
      <c r="L146" s="159"/>
      <c r="M146" s="159"/>
    </row>
    <row r="147" spans="1:14" ht="15.75" x14ac:dyDescent="0.2">
      <c r="A147" s="18" t="s">
        <v>344</v>
      </c>
      <c r="B147" s="229">
        <v>0</v>
      </c>
      <c r="C147" s="229">
        <v>25369.401000000002</v>
      </c>
      <c r="D147" s="159" t="str">
        <f t="shared" si="11"/>
        <v xml:space="preserve">    ---- </v>
      </c>
      <c r="E147" s="170">
        <f>IFERROR(100/'Skjema total MA'!C147*C147,0)</f>
        <v>4.5499426430578911</v>
      </c>
      <c r="F147" s="229"/>
      <c r="G147" s="229"/>
      <c r="H147" s="159"/>
      <c r="I147" s="170"/>
      <c r="J147" s="288">
        <v>0</v>
      </c>
      <c r="K147" s="37">
        <v>25369.401000000002</v>
      </c>
      <c r="L147" s="256" t="str">
        <f t="shared" si="12"/>
        <v xml:space="preserve">    ---- </v>
      </c>
      <c r="M147" s="170">
        <f>IFERROR(100/'Skjema total MA'!I147*K147,0)</f>
        <v>4.0767539050051544</v>
      </c>
    </row>
    <row r="148" spans="1:14" ht="15.75" x14ac:dyDescent="0.2">
      <c r="A148" s="18" t="s">
        <v>336</v>
      </c>
      <c r="B148" s="229"/>
      <c r="C148" s="229"/>
      <c r="D148" s="159"/>
      <c r="E148" s="170">
        <f>IFERROR(100/'Skjema total MA'!C148*C148,0)</f>
        <v>0</v>
      </c>
      <c r="F148" s="229">
        <v>135989.88</v>
      </c>
      <c r="G148" s="229">
        <v>265859.34100000001</v>
      </c>
      <c r="H148" s="159">
        <f t="shared" si="13"/>
        <v>95.5</v>
      </c>
      <c r="I148" s="170">
        <f>IFERROR(100/'Skjema total MA'!F148*G148,0)</f>
        <v>23.595170128338431</v>
      </c>
      <c r="J148" s="288">
        <v>135989.88</v>
      </c>
      <c r="K148" s="37">
        <v>265859.34100000001</v>
      </c>
      <c r="L148" s="256">
        <f t="shared" si="12"/>
        <v>95.5</v>
      </c>
      <c r="M148" s="170">
        <f>IFERROR(100/'Skjema total MA'!I148*K148,0)</f>
        <v>23.59487911693768</v>
      </c>
    </row>
    <row r="149" spans="1:14" ht="15.75" x14ac:dyDescent="0.2">
      <c r="A149" s="18" t="s">
        <v>335</v>
      </c>
      <c r="B149" s="229"/>
      <c r="C149" s="229"/>
      <c r="D149" s="159"/>
      <c r="E149" s="170">
        <f>IFERROR(100/'Skjema total MA'!C149*C149,0)</f>
        <v>0</v>
      </c>
      <c r="F149" s="229"/>
      <c r="G149" s="229"/>
      <c r="H149" s="159"/>
      <c r="I149" s="170"/>
      <c r="J149" s="288"/>
      <c r="K149" s="37"/>
      <c r="L149" s="256"/>
      <c r="M149" s="170"/>
    </row>
    <row r="150" spans="1:14" ht="15.75" x14ac:dyDescent="0.2">
      <c r="A150" s="11" t="s">
        <v>26</v>
      </c>
      <c r="B150" s="310">
        <v>111807.898</v>
      </c>
      <c r="C150" s="152">
        <v>312362.79200000002</v>
      </c>
      <c r="D150" s="159">
        <f t="shared" si="11"/>
        <v>179.4</v>
      </c>
      <c r="E150" s="170">
        <f>IFERROR(100/'Skjema total MA'!C150*C150,0)</f>
        <v>35.781350579524457</v>
      </c>
      <c r="F150" s="310">
        <v>949202.45600000001</v>
      </c>
      <c r="G150" s="152">
        <v>1928718.7549999999</v>
      </c>
      <c r="H150" s="159">
        <f t="shared" si="13"/>
        <v>103.2</v>
      </c>
      <c r="I150" s="170">
        <f>IFERROR(100/'Skjema total MA'!F150*G150,0)</f>
        <v>31.09312389438513</v>
      </c>
      <c r="J150" s="311">
        <v>1061010.3540000001</v>
      </c>
      <c r="K150" s="231">
        <v>2241081.5469999998</v>
      </c>
      <c r="L150" s="256">
        <f t="shared" si="12"/>
        <v>111.2</v>
      </c>
      <c r="M150" s="170">
        <f>IFERROR(100/'Skjema total MA'!I150*K150,0)</f>
        <v>31.671516006833613</v>
      </c>
    </row>
    <row r="151" spans="1:14" x14ac:dyDescent="0.2">
      <c r="A151" s="18" t="s">
        <v>9</v>
      </c>
      <c r="B151" s="229">
        <v>111807.898</v>
      </c>
      <c r="C151" s="139">
        <v>312362.79200000002</v>
      </c>
      <c r="D151" s="159">
        <f t="shared" si="11"/>
        <v>179.4</v>
      </c>
      <c r="E151" s="170">
        <f>IFERROR(100/'Skjema total MA'!C151*C151,0)</f>
        <v>37.784216423599212</v>
      </c>
      <c r="F151" s="229"/>
      <c r="G151" s="139"/>
      <c r="H151" s="159"/>
      <c r="I151" s="170"/>
      <c r="J151" s="288">
        <v>111807.898</v>
      </c>
      <c r="K151" s="37">
        <v>312362.79200000002</v>
      </c>
      <c r="L151" s="256">
        <f t="shared" si="12"/>
        <v>179.4</v>
      </c>
      <c r="M151" s="170">
        <f>IFERROR(100/'Skjema total MA'!I151*K151,0)</f>
        <v>37.784216423599212</v>
      </c>
    </row>
    <row r="152" spans="1:14" x14ac:dyDescent="0.2">
      <c r="A152" s="18" t="s">
        <v>10</v>
      </c>
      <c r="B152" s="229"/>
      <c r="C152" s="139"/>
      <c r="D152" s="159"/>
      <c r="E152" s="170"/>
      <c r="F152" s="229">
        <v>949202.45600000001</v>
      </c>
      <c r="G152" s="139">
        <v>1928718.7549999999</v>
      </c>
      <c r="H152" s="159">
        <f t="shared" si="13"/>
        <v>103.2</v>
      </c>
      <c r="I152" s="170">
        <f>IFERROR(100/'Skjema total MA'!F152*G152,0)</f>
        <v>31.09312389438513</v>
      </c>
      <c r="J152" s="288">
        <v>949202.45600000001</v>
      </c>
      <c r="K152" s="37">
        <v>1928718.7549999999</v>
      </c>
      <c r="L152" s="256">
        <f t="shared" si="12"/>
        <v>103.2</v>
      </c>
      <c r="M152" s="170">
        <f>IFERROR(100/'Skjema total MA'!I152*K152,0)</f>
        <v>30.862886425870983</v>
      </c>
    </row>
    <row r="153" spans="1:14" x14ac:dyDescent="0.2">
      <c r="A153" s="18" t="s">
        <v>34</v>
      </c>
      <c r="B153" s="229"/>
      <c r="C153" s="139"/>
      <c r="D153" s="159"/>
      <c r="E153" s="170"/>
      <c r="F153" s="229"/>
      <c r="G153" s="139"/>
      <c r="H153" s="159"/>
      <c r="I153" s="170"/>
      <c r="J153" s="288"/>
      <c r="K153" s="37"/>
      <c r="L153" s="256"/>
      <c r="M153" s="170"/>
    </row>
    <row r="154" spans="1:14" x14ac:dyDescent="0.2">
      <c r="A154" s="298" t="s">
        <v>14</v>
      </c>
      <c r="B154" s="282"/>
      <c r="C154" s="282"/>
      <c r="D154" s="159"/>
      <c r="E154" s="237"/>
      <c r="F154" s="282"/>
      <c r="G154" s="282"/>
      <c r="H154" s="159"/>
      <c r="I154" s="237"/>
      <c r="J154" s="291"/>
      <c r="K154" s="291"/>
      <c r="L154" s="159"/>
      <c r="M154" s="159"/>
    </row>
    <row r="155" spans="1:14" ht="15.75" x14ac:dyDescent="0.2">
      <c r="A155" s="18" t="s">
        <v>333</v>
      </c>
      <c r="B155" s="229">
        <v>14602.028</v>
      </c>
      <c r="C155" s="229">
        <v>19505.906999999999</v>
      </c>
      <c r="D155" s="159">
        <f t="shared" si="11"/>
        <v>33.6</v>
      </c>
      <c r="E155" s="170">
        <f>IFERROR(100/'Skjema total MA'!C155*C155,0)</f>
        <v>26.160411780202519</v>
      </c>
      <c r="F155" s="229">
        <v>0</v>
      </c>
      <c r="G155" s="229">
        <v>35574.688000000002</v>
      </c>
      <c r="H155" s="159" t="str">
        <f t="shared" si="13"/>
        <v xml:space="preserve">    ---- </v>
      </c>
      <c r="I155" s="170">
        <f>IFERROR(100/'Skjema total MA'!F155*G155,0)</f>
        <v>100</v>
      </c>
      <c r="J155" s="288">
        <v>14602.028</v>
      </c>
      <c r="K155" s="37">
        <v>55080.595000000001</v>
      </c>
      <c r="L155" s="256">
        <f t="shared" si="12"/>
        <v>277.2</v>
      </c>
      <c r="M155" s="170">
        <f>IFERROR(100/'Skjema total MA'!I155*K155,0)</f>
        <v>50.01080968160683</v>
      </c>
    </row>
    <row r="156" spans="1:14" ht="15.75" x14ac:dyDescent="0.2">
      <c r="A156" s="18" t="s">
        <v>334</v>
      </c>
      <c r="B156" s="229">
        <v>0</v>
      </c>
      <c r="C156" s="229">
        <v>3.2080000000000002</v>
      </c>
      <c r="D156" s="159" t="str">
        <f t="shared" si="11"/>
        <v xml:space="preserve">    ---- </v>
      </c>
      <c r="E156" s="170">
        <f>IFERROR(100/'Skjema total MA'!C156*C156,0)</f>
        <v>8.7271997994593953E-2</v>
      </c>
      <c r="F156" s="229">
        <v>180118.842</v>
      </c>
      <c r="G156" s="229">
        <v>250279.44899999999</v>
      </c>
      <c r="H156" s="159">
        <f t="shared" si="13"/>
        <v>39</v>
      </c>
      <c r="I156" s="170">
        <f>IFERROR(100/'Skjema total MA'!F156*G156,0)</f>
        <v>27.62052475205908</v>
      </c>
      <c r="J156" s="288">
        <v>180118.842</v>
      </c>
      <c r="K156" s="37">
        <v>250282.65700000001</v>
      </c>
      <c r="L156" s="256">
        <f t="shared" si="12"/>
        <v>39</v>
      </c>
      <c r="M156" s="170">
        <f>IFERROR(100/'Skjema total MA'!I156*K156,0)</f>
        <v>27.509283597888249</v>
      </c>
    </row>
    <row r="157" spans="1:14" ht="15.75" x14ac:dyDescent="0.2">
      <c r="A157" s="9" t="s">
        <v>335</v>
      </c>
      <c r="B157" s="38"/>
      <c r="C157" s="38"/>
      <c r="D157" s="160"/>
      <c r="E157" s="201"/>
      <c r="F157" s="38"/>
      <c r="G157" s="38"/>
      <c r="H157" s="160"/>
      <c r="I157" s="160"/>
      <c r="J157" s="289"/>
      <c r="K157" s="38"/>
      <c r="L157" s="257"/>
      <c r="M157" s="160"/>
    </row>
    <row r="158" spans="1:14" x14ac:dyDescent="0.2">
      <c r="A158" s="148"/>
      <c r="L158" s="20"/>
      <c r="M158" s="20"/>
      <c r="N158" s="20"/>
    </row>
    <row r="159" spans="1:14" x14ac:dyDescent="0.2">
      <c r="L159" s="20"/>
      <c r="M159" s="20"/>
      <c r="N159" s="20"/>
    </row>
    <row r="160" spans="1:14" ht="15.75" x14ac:dyDescent="0.25">
      <c r="A160" s="158" t="s">
        <v>35</v>
      </c>
    </row>
    <row r="161" spans="1:14" ht="15.75" x14ac:dyDescent="0.25">
      <c r="B161" s="832"/>
      <c r="C161" s="832"/>
      <c r="D161" s="832"/>
      <c r="E161" s="301"/>
      <c r="F161" s="832"/>
      <c r="G161" s="832"/>
      <c r="H161" s="832"/>
      <c r="I161" s="301"/>
      <c r="J161" s="832"/>
      <c r="K161" s="832"/>
      <c r="L161" s="832"/>
      <c r="M161" s="301"/>
    </row>
    <row r="162" spans="1:14" s="3" customFormat="1" x14ac:dyDescent="0.2">
      <c r="A162" s="138"/>
      <c r="B162" s="833" t="s">
        <v>0</v>
      </c>
      <c r="C162" s="834"/>
      <c r="D162" s="834"/>
      <c r="E162" s="303"/>
      <c r="F162" s="833" t="s">
        <v>1</v>
      </c>
      <c r="G162" s="834"/>
      <c r="H162" s="834"/>
      <c r="I162" s="306"/>
      <c r="J162" s="833" t="s">
        <v>2</v>
      </c>
      <c r="K162" s="834"/>
      <c r="L162" s="834"/>
      <c r="M162" s="306"/>
      <c r="N162" s="142"/>
    </row>
    <row r="163" spans="1:14" s="3" customFormat="1" x14ac:dyDescent="0.2">
      <c r="A163" s="134"/>
      <c r="B163" s="145" t="s">
        <v>400</v>
      </c>
      <c r="C163" s="145" t="s">
        <v>401</v>
      </c>
      <c r="D163" s="242" t="s">
        <v>3</v>
      </c>
      <c r="E163" s="307" t="s">
        <v>37</v>
      </c>
      <c r="F163" s="145" t="s">
        <v>400</v>
      </c>
      <c r="G163" s="145" t="s">
        <v>401</v>
      </c>
      <c r="H163" s="242" t="s">
        <v>3</v>
      </c>
      <c r="I163" s="307" t="s">
        <v>37</v>
      </c>
      <c r="J163" s="145" t="s">
        <v>400</v>
      </c>
      <c r="K163" s="145" t="s">
        <v>401</v>
      </c>
      <c r="L163" s="242" t="s">
        <v>3</v>
      </c>
      <c r="M163" s="155" t="s">
        <v>37</v>
      </c>
      <c r="N163" s="142"/>
    </row>
    <row r="164" spans="1:14" s="3" customFormat="1" x14ac:dyDescent="0.2">
      <c r="A164" s="403"/>
      <c r="B164" s="149"/>
      <c r="C164" s="149"/>
      <c r="D164" s="243" t="s">
        <v>4</v>
      </c>
      <c r="E164" s="149" t="s">
        <v>38</v>
      </c>
      <c r="F164" s="154"/>
      <c r="G164" s="154"/>
      <c r="H164" s="242" t="s">
        <v>4</v>
      </c>
      <c r="I164" s="149" t="s">
        <v>38</v>
      </c>
      <c r="J164" s="154"/>
      <c r="K164" s="154"/>
      <c r="L164" s="242" t="s">
        <v>4</v>
      </c>
      <c r="M164" s="149" t="s">
        <v>38</v>
      </c>
      <c r="N164" s="142"/>
    </row>
    <row r="165" spans="1:14" s="3" customFormat="1" ht="15.75" x14ac:dyDescent="0.2">
      <c r="A165" s="12" t="s">
        <v>337</v>
      </c>
      <c r="B165" s="231">
        <v>396022.69699999999</v>
      </c>
      <c r="C165" s="311">
        <v>224395.81700000001</v>
      </c>
      <c r="D165" s="251">
        <f t="shared" ref="D165:D169" si="14">IF(B165=0, "    ---- ", IF(ABS(ROUND(100/B165*C165-100,1))&lt;999,ROUND(100/B165*C165-100,1),IF(ROUND(100/B165*C165-100,1)&gt;999,999,-999)))</f>
        <v>-43.3</v>
      </c>
      <c r="E165" s="170">
        <f>IFERROR(100/'Skjema total MA'!C165*C165,0)</f>
        <v>0.59503021590884198</v>
      </c>
      <c r="F165" s="318"/>
      <c r="G165" s="319"/>
      <c r="H165" s="252"/>
      <c r="I165" s="159"/>
      <c r="J165" s="320">
        <v>396022.69699999999</v>
      </c>
      <c r="K165" s="320">
        <v>224395.81700000001</v>
      </c>
      <c r="L165" s="255">
        <f t="shared" ref="L165:L169" si="15">IF(J165=0, "    ---- ", IF(ABS(ROUND(100/J165*K165-100,1))&lt;999,ROUND(100/J165*K165-100,1),IF(ROUND(100/J165*K165-100,1)&gt;999,999,-999)))</f>
        <v>-43.3</v>
      </c>
      <c r="M165" s="170">
        <f>IFERROR(100/'Skjema total MA'!I165*K165,0)</f>
        <v>0.59292920238057589</v>
      </c>
      <c r="N165" s="142"/>
    </row>
    <row r="166" spans="1:14" s="3" customFormat="1" ht="15.75" x14ac:dyDescent="0.2">
      <c r="A166" s="11" t="s">
        <v>338</v>
      </c>
      <c r="B166" s="231">
        <v>25.088999999999999</v>
      </c>
      <c r="C166" s="311">
        <v>0</v>
      </c>
      <c r="D166" s="159">
        <f t="shared" si="14"/>
        <v>-100</v>
      </c>
      <c r="E166" s="170">
        <f>IFERROR(100/'Skjema total MA'!C166*C166,0)</f>
        <v>0</v>
      </c>
      <c r="F166" s="231"/>
      <c r="G166" s="311"/>
      <c r="H166" s="236"/>
      <c r="I166" s="159"/>
      <c r="J166" s="310">
        <v>25.088999999999999</v>
      </c>
      <c r="K166" s="310">
        <v>0</v>
      </c>
      <c r="L166" s="256">
        <f t="shared" si="15"/>
        <v>-100</v>
      </c>
      <c r="M166" s="170">
        <f>IFERROR(100/'Skjema total MA'!I166*K166,0)</f>
        <v>0</v>
      </c>
      <c r="N166" s="142"/>
    </row>
    <row r="167" spans="1:14" s="3" customFormat="1" ht="15.75" x14ac:dyDescent="0.2">
      <c r="A167" s="11" t="s">
        <v>339</v>
      </c>
      <c r="B167" s="231">
        <v>4473748.898</v>
      </c>
      <c r="C167" s="311">
        <v>2760440.932</v>
      </c>
      <c r="D167" s="159">
        <f t="shared" si="14"/>
        <v>-38.299999999999997</v>
      </c>
      <c r="E167" s="170">
        <f>IFERROR(100/'Skjema total MA'!C167*C167,0)</f>
        <v>0.56408381629852944</v>
      </c>
      <c r="F167" s="231"/>
      <c r="G167" s="311"/>
      <c r="H167" s="236"/>
      <c r="I167" s="159"/>
      <c r="J167" s="310">
        <v>4473748.898</v>
      </c>
      <c r="K167" s="310">
        <v>2760440.932</v>
      </c>
      <c r="L167" s="256">
        <f t="shared" si="15"/>
        <v>-38.299999999999997</v>
      </c>
      <c r="M167" s="170">
        <f>IFERROR(100/'Skjema total MA'!I167*K167,0)</f>
        <v>0.56158043939819113</v>
      </c>
      <c r="N167" s="142"/>
    </row>
    <row r="168" spans="1:14" s="3" customFormat="1" ht="15.75" x14ac:dyDescent="0.2">
      <c r="A168" s="11" t="s">
        <v>340</v>
      </c>
      <c r="B168" s="231">
        <v>257.32600000000002</v>
      </c>
      <c r="C168" s="311">
        <v>102.541</v>
      </c>
      <c r="D168" s="159">
        <f t="shared" si="14"/>
        <v>-60.2</v>
      </c>
      <c r="E168" s="170">
        <f>IFERROR(100/'Skjema total MA'!C168*C168,0)</f>
        <v>3.1528495167122078E-3</v>
      </c>
      <c r="F168" s="231"/>
      <c r="G168" s="311"/>
      <c r="H168" s="236"/>
      <c r="I168" s="159"/>
      <c r="J168" s="310">
        <v>257.32600000000002</v>
      </c>
      <c r="K168" s="310">
        <v>102.541</v>
      </c>
      <c r="L168" s="256">
        <f t="shared" si="15"/>
        <v>-60.2</v>
      </c>
      <c r="M168" s="170">
        <f>IFERROR(100/'Skjema total MA'!I168*K168,0)</f>
        <v>3.1528842531093251E-3</v>
      </c>
      <c r="N168" s="142"/>
    </row>
    <row r="169" spans="1:14" s="3" customFormat="1" ht="15.75" x14ac:dyDescent="0.2">
      <c r="A169" s="34" t="s">
        <v>341</v>
      </c>
      <c r="B169" s="277">
        <v>3598720.6839999999</v>
      </c>
      <c r="C169" s="317">
        <v>1812599.034</v>
      </c>
      <c r="D169" s="160">
        <f t="shared" si="14"/>
        <v>-49.6</v>
      </c>
      <c r="E169" s="201">
        <f>IFERROR(100/'Skjema total MA'!C169*C169,0)</f>
        <v>93.602462399834408</v>
      </c>
      <c r="F169" s="277"/>
      <c r="G169" s="317"/>
      <c r="H169" s="239"/>
      <c r="I169" s="160"/>
      <c r="J169" s="316">
        <v>3598720.6839999999</v>
      </c>
      <c r="K169" s="316">
        <v>1812599.034</v>
      </c>
      <c r="L169" s="257">
        <f t="shared" si="15"/>
        <v>-49.6</v>
      </c>
      <c r="M169" s="160">
        <f>IFERROR(100/'Skjema total MA'!I169*K169,0)</f>
        <v>93.602462399834408</v>
      </c>
      <c r="N169" s="142"/>
    </row>
    <row r="170" spans="1:14" s="3" customFormat="1" x14ac:dyDescent="0.2">
      <c r="A170" s="161"/>
      <c r="B170" s="27"/>
      <c r="C170" s="27"/>
      <c r="D170" s="152"/>
      <c r="E170" s="152"/>
      <c r="F170" s="27"/>
      <c r="G170" s="27"/>
      <c r="H170" s="152"/>
      <c r="I170" s="152"/>
      <c r="J170" s="27"/>
      <c r="K170" s="27"/>
      <c r="L170" s="152"/>
      <c r="M170" s="152"/>
      <c r="N170" s="142"/>
    </row>
    <row r="171" spans="1:14" x14ac:dyDescent="0.2">
      <c r="A171" s="161"/>
      <c r="B171" s="27"/>
      <c r="C171" s="27"/>
      <c r="D171" s="152"/>
      <c r="E171" s="152"/>
      <c r="F171" s="27"/>
      <c r="G171" s="27"/>
      <c r="H171" s="152"/>
      <c r="I171" s="152"/>
      <c r="J171" s="27"/>
      <c r="K171" s="27"/>
      <c r="L171" s="152"/>
      <c r="M171" s="152"/>
      <c r="N171" s="142"/>
    </row>
    <row r="172" spans="1:14" x14ac:dyDescent="0.2">
      <c r="A172" s="161"/>
      <c r="B172" s="27"/>
      <c r="C172" s="27"/>
      <c r="D172" s="152"/>
      <c r="E172" s="152"/>
      <c r="F172" s="27"/>
      <c r="G172" s="27"/>
      <c r="H172" s="152"/>
      <c r="I172" s="152"/>
      <c r="J172" s="27"/>
      <c r="K172" s="27"/>
      <c r="L172" s="152"/>
      <c r="M172" s="152"/>
      <c r="N172" s="142"/>
    </row>
    <row r="173" spans="1:14" x14ac:dyDescent="0.2">
      <c r="A173" s="140"/>
      <c r="B173" s="140"/>
      <c r="C173" s="140"/>
      <c r="D173" s="140"/>
      <c r="E173" s="140"/>
      <c r="F173" s="140"/>
      <c r="G173" s="140"/>
      <c r="H173" s="140"/>
      <c r="I173" s="140"/>
      <c r="J173" s="140"/>
      <c r="K173" s="140"/>
      <c r="L173" s="140"/>
      <c r="M173" s="140"/>
      <c r="N173" s="140"/>
    </row>
    <row r="174" spans="1:14" ht="15.75" x14ac:dyDescent="0.25">
      <c r="B174" s="136"/>
      <c r="C174" s="136"/>
      <c r="D174" s="136"/>
      <c r="E174" s="136"/>
      <c r="F174" s="136"/>
      <c r="G174" s="136"/>
      <c r="H174" s="136"/>
      <c r="I174" s="136"/>
      <c r="J174" s="136"/>
      <c r="K174" s="136"/>
      <c r="L174" s="136"/>
      <c r="M174" s="136"/>
      <c r="N174" s="136"/>
    </row>
    <row r="175" spans="1:14" ht="15.75" x14ac:dyDescent="0.25">
      <c r="B175" s="150"/>
      <c r="C175" s="150"/>
      <c r="D175" s="150"/>
      <c r="E175" s="150"/>
      <c r="F175" s="150"/>
      <c r="G175" s="150"/>
      <c r="H175" s="150"/>
      <c r="I175" s="150"/>
      <c r="J175" s="150"/>
      <c r="K175" s="150"/>
      <c r="L175" s="150"/>
      <c r="M175" s="150"/>
      <c r="N175" s="150"/>
    </row>
    <row r="176" spans="1:14" ht="15.75" x14ac:dyDescent="0.25">
      <c r="B176" s="150"/>
      <c r="C176" s="150"/>
      <c r="D176" s="150"/>
      <c r="E176" s="150"/>
      <c r="F176" s="150"/>
      <c r="G176" s="150"/>
      <c r="H176" s="150"/>
      <c r="I176" s="150"/>
      <c r="J176" s="150"/>
      <c r="K176" s="150"/>
      <c r="L176" s="150"/>
      <c r="M176" s="150"/>
      <c r="N176" s="150"/>
    </row>
  </sheetData>
  <mergeCells count="28">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22:D22"/>
    <mergeCell ref="F22:H22"/>
    <mergeCell ref="J22:L22"/>
    <mergeCell ref="D47:F47"/>
    <mergeCell ref="G47:I47"/>
    <mergeCell ref="J47:L47"/>
  </mergeCells>
  <conditionalFormatting sqref="B57:C59">
    <cfRule type="expression" dxfId="350" priority="132">
      <formula>kvartal &lt; 4</formula>
    </cfRule>
  </conditionalFormatting>
  <conditionalFormatting sqref="B63:C65">
    <cfRule type="expression" dxfId="349" priority="131">
      <formula>kvartal &lt; 4</formula>
    </cfRule>
  </conditionalFormatting>
  <conditionalFormatting sqref="B37">
    <cfRule type="expression" dxfId="348" priority="130">
      <formula>kvartal &lt; 4</formula>
    </cfRule>
  </conditionalFormatting>
  <conditionalFormatting sqref="B38">
    <cfRule type="expression" dxfId="347" priority="129">
      <formula>kvartal &lt; 4</formula>
    </cfRule>
  </conditionalFormatting>
  <conditionalFormatting sqref="B39">
    <cfRule type="expression" dxfId="346" priority="128">
      <formula>kvartal &lt; 4</formula>
    </cfRule>
  </conditionalFormatting>
  <conditionalFormatting sqref="A34">
    <cfRule type="expression" dxfId="345" priority="1">
      <formula>kvartal &lt; 4</formula>
    </cfRule>
  </conditionalFormatting>
  <conditionalFormatting sqref="C37">
    <cfRule type="expression" dxfId="344" priority="127">
      <formula>kvartal &lt; 4</formula>
    </cfRule>
  </conditionalFormatting>
  <conditionalFormatting sqref="C38">
    <cfRule type="expression" dxfId="343" priority="126">
      <formula>kvartal &lt; 4</formula>
    </cfRule>
  </conditionalFormatting>
  <conditionalFormatting sqref="C39">
    <cfRule type="expression" dxfId="342" priority="125">
      <formula>kvartal &lt; 4</formula>
    </cfRule>
  </conditionalFormatting>
  <conditionalFormatting sqref="B26:C28">
    <cfRule type="expression" dxfId="341" priority="124">
      <formula>kvartal &lt; 4</formula>
    </cfRule>
  </conditionalFormatting>
  <conditionalFormatting sqref="B32:C33">
    <cfRule type="expression" dxfId="340" priority="123">
      <formula>kvartal &lt; 4</formula>
    </cfRule>
  </conditionalFormatting>
  <conditionalFormatting sqref="B34">
    <cfRule type="expression" dxfId="339" priority="122">
      <formula>kvartal &lt; 4</formula>
    </cfRule>
  </conditionalFormatting>
  <conditionalFormatting sqref="C34">
    <cfRule type="expression" dxfId="338" priority="121">
      <formula>kvartal &lt; 4</formula>
    </cfRule>
  </conditionalFormatting>
  <conditionalFormatting sqref="F26:G28">
    <cfRule type="expression" dxfId="337" priority="120">
      <formula>kvartal &lt; 4</formula>
    </cfRule>
  </conditionalFormatting>
  <conditionalFormatting sqref="F32">
    <cfRule type="expression" dxfId="336" priority="119">
      <formula>kvartal &lt; 4</formula>
    </cfRule>
  </conditionalFormatting>
  <conditionalFormatting sqref="G32">
    <cfRule type="expression" dxfId="335" priority="118">
      <formula>kvartal &lt; 4</formula>
    </cfRule>
  </conditionalFormatting>
  <conditionalFormatting sqref="F33">
    <cfRule type="expression" dxfId="334" priority="117">
      <formula>kvartal &lt; 4</formula>
    </cfRule>
  </conditionalFormatting>
  <conditionalFormatting sqref="G33">
    <cfRule type="expression" dxfId="333" priority="116">
      <formula>kvartal &lt; 4</formula>
    </cfRule>
  </conditionalFormatting>
  <conditionalFormatting sqref="F34">
    <cfRule type="expression" dxfId="332" priority="115">
      <formula>kvartal &lt; 4</formula>
    </cfRule>
  </conditionalFormatting>
  <conditionalFormatting sqref="G34">
    <cfRule type="expression" dxfId="331" priority="114">
      <formula>kvartal &lt; 4</formula>
    </cfRule>
  </conditionalFormatting>
  <conditionalFormatting sqref="F37">
    <cfRule type="expression" dxfId="330" priority="113">
      <formula>kvartal &lt; 4</formula>
    </cfRule>
  </conditionalFormatting>
  <conditionalFormatting sqref="F38">
    <cfRule type="expression" dxfId="329" priority="112">
      <formula>kvartal &lt; 4</formula>
    </cfRule>
  </conditionalFormatting>
  <conditionalFormatting sqref="F39">
    <cfRule type="expression" dxfId="328" priority="111">
      <formula>kvartal &lt; 4</formula>
    </cfRule>
  </conditionalFormatting>
  <conditionalFormatting sqref="G37">
    <cfRule type="expression" dxfId="327" priority="110">
      <formula>kvartal &lt; 4</formula>
    </cfRule>
  </conditionalFormatting>
  <conditionalFormatting sqref="G38">
    <cfRule type="expression" dxfId="326" priority="109">
      <formula>kvartal &lt; 4</formula>
    </cfRule>
  </conditionalFormatting>
  <conditionalFormatting sqref="G39">
    <cfRule type="expression" dxfId="325" priority="108">
      <formula>kvartal &lt; 4</formula>
    </cfRule>
  </conditionalFormatting>
  <conditionalFormatting sqref="B29">
    <cfRule type="expression" dxfId="324" priority="107">
      <formula>kvartal &lt; 4</formula>
    </cfRule>
  </conditionalFormatting>
  <conditionalFormatting sqref="C29">
    <cfRule type="expression" dxfId="323" priority="106">
      <formula>kvartal &lt; 4</formula>
    </cfRule>
  </conditionalFormatting>
  <conditionalFormatting sqref="F29">
    <cfRule type="expression" dxfId="322" priority="105">
      <formula>kvartal &lt; 4</formula>
    </cfRule>
  </conditionalFormatting>
  <conditionalFormatting sqref="G29">
    <cfRule type="expression" dxfId="321" priority="104">
      <formula>kvartal &lt; 4</formula>
    </cfRule>
  </conditionalFormatting>
  <conditionalFormatting sqref="J26:K29">
    <cfRule type="expression" dxfId="320" priority="103">
      <formula>kvartal &lt; 4</formula>
    </cfRule>
  </conditionalFormatting>
  <conditionalFormatting sqref="J32:K34">
    <cfRule type="expression" dxfId="319" priority="102">
      <formula>kvartal &lt; 4</formula>
    </cfRule>
  </conditionalFormatting>
  <conditionalFormatting sqref="J37:K39">
    <cfRule type="expression" dxfId="318" priority="101">
      <formula>kvartal &lt; 4</formula>
    </cfRule>
  </conditionalFormatting>
  <conditionalFormatting sqref="B82">
    <cfRule type="expression" dxfId="317" priority="100">
      <formula>kvartal &lt; 4</formula>
    </cfRule>
  </conditionalFormatting>
  <conditionalFormatting sqref="C82">
    <cfRule type="expression" dxfId="316" priority="99">
      <formula>kvartal &lt; 4</formula>
    </cfRule>
  </conditionalFormatting>
  <conditionalFormatting sqref="B85">
    <cfRule type="expression" dxfId="315" priority="98">
      <formula>kvartal &lt; 4</formula>
    </cfRule>
  </conditionalFormatting>
  <conditionalFormatting sqref="C85">
    <cfRule type="expression" dxfId="314" priority="97">
      <formula>kvartal &lt; 4</formula>
    </cfRule>
  </conditionalFormatting>
  <conditionalFormatting sqref="B92">
    <cfRule type="expression" dxfId="313" priority="96">
      <formula>kvartal &lt; 4</formula>
    </cfRule>
  </conditionalFormatting>
  <conditionalFormatting sqref="C92">
    <cfRule type="expression" dxfId="312" priority="95">
      <formula>kvartal &lt; 4</formula>
    </cfRule>
  </conditionalFormatting>
  <conditionalFormatting sqref="B95">
    <cfRule type="expression" dxfId="311" priority="94">
      <formula>kvartal &lt; 4</formula>
    </cfRule>
  </conditionalFormatting>
  <conditionalFormatting sqref="C95">
    <cfRule type="expression" dxfId="310" priority="93">
      <formula>kvartal &lt; 4</formula>
    </cfRule>
  </conditionalFormatting>
  <conditionalFormatting sqref="B102">
    <cfRule type="expression" dxfId="309" priority="92">
      <formula>kvartal &lt; 4</formula>
    </cfRule>
  </conditionalFormatting>
  <conditionalFormatting sqref="C102">
    <cfRule type="expression" dxfId="308" priority="91">
      <formula>kvartal &lt; 4</formula>
    </cfRule>
  </conditionalFormatting>
  <conditionalFormatting sqref="B105">
    <cfRule type="expression" dxfId="307" priority="90">
      <formula>kvartal &lt; 4</formula>
    </cfRule>
  </conditionalFormatting>
  <conditionalFormatting sqref="C105">
    <cfRule type="expression" dxfId="306" priority="89">
      <formula>kvartal &lt; 4</formula>
    </cfRule>
  </conditionalFormatting>
  <conditionalFormatting sqref="B112">
    <cfRule type="expression" dxfId="305" priority="88">
      <formula>kvartal &lt; 4</formula>
    </cfRule>
  </conditionalFormatting>
  <conditionalFormatting sqref="C112">
    <cfRule type="expression" dxfId="304" priority="87">
      <formula>kvartal &lt; 4</formula>
    </cfRule>
  </conditionalFormatting>
  <conditionalFormatting sqref="B115">
    <cfRule type="expression" dxfId="303" priority="86">
      <formula>kvartal &lt; 4</formula>
    </cfRule>
  </conditionalFormatting>
  <conditionalFormatting sqref="C115">
    <cfRule type="expression" dxfId="302" priority="85">
      <formula>kvartal &lt; 4</formula>
    </cfRule>
  </conditionalFormatting>
  <conditionalFormatting sqref="B122">
    <cfRule type="expression" dxfId="301" priority="84">
      <formula>kvartal &lt; 4</formula>
    </cfRule>
  </conditionalFormatting>
  <conditionalFormatting sqref="C122">
    <cfRule type="expression" dxfId="300" priority="83">
      <formula>kvartal &lt; 4</formula>
    </cfRule>
  </conditionalFormatting>
  <conditionalFormatting sqref="B125">
    <cfRule type="expression" dxfId="299" priority="82">
      <formula>kvartal &lt; 4</formula>
    </cfRule>
  </conditionalFormatting>
  <conditionalFormatting sqref="C125">
    <cfRule type="expression" dxfId="298" priority="81">
      <formula>kvartal &lt; 4</formula>
    </cfRule>
  </conditionalFormatting>
  <conditionalFormatting sqref="B132">
    <cfRule type="expression" dxfId="297" priority="80">
      <formula>kvartal &lt; 4</formula>
    </cfRule>
  </conditionalFormatting>
  <conditionalFormatting sqref="C132">
    <cfRule type="expression" dxfId="296" priority="79">
      <formula>kvartal &lt; 4</formula>
    </cfRule>
  </conditionalFormatting>
  <conditionalFormatting sqref="B135">
    <cfRule type="expression" dxfId="295" priority="78">
      <formula>kvartal &lt; 4</formula>
    </cfRule>
  </conditionalFormatting>
  <conditionalFormatting sqref="C135">
    <cfRule type="expression" dxfId="294" priority="77">
      <formula>kvartal &lt; 4</formula>
    </cfRule>
  </conditionalFormatting>
  <conditionalFormatting sqref="B146">
    <cfRule type="expression" dxfId="293" priority="76">
      <formula>kvartal &lt; 4</formula>
    </cfRule>
  </conditionalFormatting>
  <conditionalFormatting sqref="C146">
    <cfRule type="expression" dxfId="292" priority="75">
      <formula>kvartal &lt; 4</formula>
    </cfRule>
  </conditionalFormatting>
  <conditionalFormatting sqref="B154">
    <cfRule type="expression" dxfId="291" priority="74">
      <formula>kvartal &lt; 4</formula>
    </cfRule>
  </conditionalFormatting>
  <conditionalFormatting sqref="C154">
    <cfRule type="expression" dxfId="290" priority="73">
      <formula>kvartal &lt; 4</formula>
    </cfRule>
  </conditionalFormatting>
  <conditionalFormatting sqref="F83">
    <cfRule type="expression" dxfId="289" priority="72">
      <formula>kvartal &lt; 4</formula>
    </cfRule>
  </conditionalFormatting>
  <conditionalFormatting sqref="G83">
    <cfRule type="expression" dxfId="288" priority="71">
      <formula>kvartal &lt; 4</formula>
    </cfRule>
  </conditionalFormatting>
  <conditionalFormatting sqref="F84:G84">
    <cfRule type="expression" dxfId="287" priority="70">
      <formula>kvartal &lt; 4</formula>
    </cfRule>
  </conditionalFormatting>
  <conditionalFormatting sqref="F86:G87">
    <cfRule type="expression" dxfId="286" priority="69">
      <formula>kvartal &lt; 4</formula>
    </cfRule>
  </conditionalFormatting>
  <conditionalFormatting sqref="F93:G94">
    <cfRule type="expression" dxfId="285" priority="68">
      <formula>kvartal &lt; 4</formula>
    </cfRule>
  </conditionalFormatting>
  <conditionalFormatting sqref="F96:G97">
    <cfRule type="expression" dxfId="284" priority="67">
      <formula>kvartal &lt; 4</formula>
    </cfRule>
  </conditionalFormatting>
  <conditionalFormatting sqref="F103:G104">
    <cfRule type="expression" dxfId="283" priority="66">
      <formula>kvartal &lt; 4</formula>
    </cfRule>
  </conditionalFormatting>
  <conditionalFormatting sqref="F106:G107">
    <cfRule type="expression" dxfId="282" priority="65">
      <formula>kvartal &lt; 4</formula>
    </cfRule>
  </conditionalFormatting>
  <conditionalFormatting sqref="F113:G114">
    <cfRule type="expression" dxfId="281" priority="64">
      <formula>kvartal &lt; 4</formula>
    </cfRule>
  </conditionalFormatting>
  <conditionalFormatting sqref="F116:G117">
    <cfRule type="expression" dxfId="280" priority="63">
      <formula>kvartal &lt; 4</formula>
    </cfRule>
  </conditionalFormatting>
  <conditionalFormatting sqref="F123:G124">
    <cfRule type="expression" dxfId="279" priority="62">
      <formula>kvartal &lt; 4</formula>
    </cfRule>
  </conditionalFormatting>
  <conditionalFormatting sqref="F126:G127">
    <cfRule type="expression" dxfId="278" priority="61">
      <formula>kvartal &lt; 4</formula>
    </cfRule>
  </conditionalFormatting>
  <conditionalFormatting sqref="F133:G134">
    <cfRule type="expression" dxfId="277" priority="60">
      <formula>kvartal &lt; 4</formula>
    </cfRule>
  </conditionalFormatting>
  <conditionalFormatting sqref="F136:G137">
    <cfRule type="expression" dxfId="276" priority="59">
      <formula>kvartal &lt; 4</formula>
    </cfRule>
  </conditionalFormatting>
  <conditionalFormatting sqref="F146">
    <cfRule type="expression" dxfId="275" priority="58">
      <formula>kvartal &lt; 4</formula>
    </cfRule>
  </conditionalFormatting>
  <conditionalFormatting sqref="G146">
    <cfRule type="expression" dxfId="274" priority="57">
      <formula>kvartal &lt; 4</formula>
    </cfRule>
  </conditionalFormatting>
  <conditionalFormatting sqref="F154:G154">
    <cfRule type="expression" dxfId="273" priority="56">
      <formula>kvartal &lt; 4</formula>
    </cfRule>
  </conditionalFormatting>
  <conditionalFormatting sqref="F82:G82">
    <cfRule type="expression" dxfId="272" priority="55">
      <formula>kvartal &lt; 4</formula>
    </cfRule>
  </conditionalFormatting>
  <conditionalFormatting sqref="F85:G85">
    <cfRule type="expression" dxfId="271" priority="54">
      <formula>kvartal &lt; 4</formula>
    </cfRule>
  </conditionalFormatting>
  <conditionalFormatting sqref="F92:G92">
    <cfRule type="expression" dxfId="270" priority="53">
      <formula>kvartal &lt; 4</formula>
    </cfRule>
  </conditionalFormatting>
  <conditionalFormatting sqref="F95:G95">
    <cfRule type="expression" dxfId="269" priority="52">
      <formula>kvartal &lt; 4</formula>
    </cfRule>
  </conditionalFormatting>
  <conditionalFormatting sqref="F102:G102">
    <cfRule type="expression" dxfId="268" priority="51">
      <formula>kvartal &lt; 4</formula>
    </cfRule>
  </conditionalFormatting>
  <conditionalFormatting sqref="F105:G105">
    <cfRule type="expression" dxfId="267" priority="50">
      <formula>kvartal &lt; 4</formula>
    </cfRule>
  </conditionalFormatting>
  <conditionalFormatting sqref="F112:G112">
    <cfRule type="expression" dxfId="266" priority="49">
      <formula>kvartal &lt; 4</formula>
    </cfRule>
  </conditionalFormatting>
  <conditionalFormatting sqref="F115">
    <cfRule type="expression" dxfId="265" priority="48">
      <formula>kvartal &lt; 4</formula>
    </cfRule>
  </conditionalFormatting>
  <conditionalFormatting sqref="G115">
    <cfRule type="expression" dxfId="264" priority="47">
      <formula>kvartal &lt; 4</formula>
    </cfRule>
  </conditionalFormatting>
  <conditionalFormatting sqref="F122:G122">
    <cfRule type="expression" dxfId="263" priority="46">
      <formula>kvartal &lt; 4</formula>
    </cfRule>
  </conditionalFormatting>
  <conditionalFormatting sqref="F125">
    <cfRule type="expression" dxfId="262" priority="45">
      <formula>kvartal &lt; 4</formula>
    </cfRule>
  </conditionalFormatting>
  <conditionalFormatting sqref="G125">
    <cfRule type="expression" dxfId="261" priority="44">
      <formula>kvartal &lt; 4</formula>
    </cfRule>
  </conditionalFormatting>
  <conditionalFormatting sqref="F132">
    <cfRule type="expression" dxfId="260" priority="43">
      <formula>kvartal &lt; 4</formula>
    </cfRule>
  </conditionalFormatting>
  <conditionalFormatting sqref="G132">
    <cfRule type="expression" dxfId="259" priority="42">
      <formula>kvartal &lt; 4</formula>
    </cfRule>
  </conditionalFormatting>
  <conditionalFormatting sqref="G135">
    <cfRule type="expression" dxfId="258" priority="41">
      <formula>kvartal &lt; 4</formula>
    </cfRule>
  </conditionalFormatting>
  <conditionalFormatting sqref="F135">
    <cfRule type="expression" dxfId="257" priority="40">
      <formula>kvartal &lt; 4</formula>
    </cfRule>
  </conditionalFormatting>
  <conditionalFormatting sqref="J82:K86">
    <cfRule type="expression" dxfId="256" priority="39">
      <formula>kvartal &lt; 4</formula>
    </cfRule>
  </conditionalFormatting>
  <conditionalFormatting sqref="J87:K87">
    <cfRule type="expression" dxfId="255" priority="38">
      <formula>kvartal &lt; 4</formula>
    </cfRule>
  </conditionalFormatting>
  <conditionalFormatting sqref="J92:K97">
    <cfRule type="expression" dxfId="254" priority="37">
      <formula>kvartal &lt; 4</formula>
    </cfRule>
  </conditionalFormatting>
  <conditionalFormatting sqref="J102:K107">
    <cfRule type="expression" dxfId="253" priority="36">
      <formula>kvartal &lt; 4</formula>
    </cfRule>
  </conditionalFormatting>
  <conditionalFormatting sqref="J112:K117">
    <cfRule type="expression" dxfId="252" priority="35">
      <formula>kvartal &lt; 4</formula>
    </cfRule>
  </conditionalFormatting>
  <conditionalFormatting sqref="J122:K127">
    <cfRule type="expression" dxfId="251" priority="34">
      <formula>kvartal &lt; 4</formula>
    </cfRule>
  </conditionalFormatting>
  <conditionalFormatting sqref="J132:K137">
    <cfRule type="expression" dxfId="250" priority="33">
      <formula>kvartal &lt; 4</formula>
    </cfRule>
  </conditionalFormatting>
  <conditionalFormatting sqref="J146:K146">
    <cfRule type="expression" dxfId="249" priority="32">
      <formula>kvartal &lt; 4</formula>
    </cfRule>
  </conditionalFormatting>
  <conditionalFormatting sqref="J154:K154">
    <cfRule type="expression" dxfId="248" priority="31">
      <formula>kvartal &lt; 4</formula>
    </cfRule>
  </conditionalFormatting>
  <conditionalFormatting sqref="A26:A28">
    <cfRule type="expression" dxfId="247" priority="15">
      <formula>kvartal &lt; 4</formula>
    </cfRule>
  </conditionalFormatting>
  <conditionalFormatting sqref="A32:A33">
    <cfRule type="expression" dxfId="246" priority="14">
      <formula>kvartal &lt; 4</formula>
    </cfRule>
  </conditionalFormatting>
  <conditionalFormatting sqref="A37:A39">
    <cfRule type="expression" dxfId="245" priority="13">
      <formula>kvartal &lt; 4</formula>
    </cfRule>
  </conditionalFormatting>
  <conditionalFormatting sqref="A57:A59">
    <cfRule type="expression" dxfId="244" priority="12">
      <formula>kvartal &lt; 4</formula>
    </cfRule>
  </conditionalFormatting>
  <conditionalFormatting sqref="A63:A65">
    <cfRule type="expression" dxfId="243" priority="11">
      <formula>kvartal &lt; 4</formula>
    </cfRule>
  </conditionalFormatting>
  <conditionalFormatting sqref="A82:A87">
    <cfRule type="expression" dxfId="242" priority="10">
      <formula>kvartal &lt; 4</formula>
    </cfRule>
  </conditionalFormatting>
  <conditionalFormatting sqref="A92:A97">
    <cfRule type="expression" dxfId="241" priority="9">
      <formula>kvartal &lt; 4</formula>
    </cfRule>
  </conditionalFormatting>
  <conditionalFormatting sqref="A102:A107">
    <cfRule type="expression" dxfId="240" priority="8">
      <formula>kvartal &lt; 4</formula>
    </cfRule>
  </conditionalFormatting>
  <conditionalFormatting sqref="A112:A117">
    <cfRule type="expression" dxfId="239" priority="7">
      <formula>kvartal &lt; 4</formula>
    </cfRule>
  </conditionalFormatting>
  <conditionalFormatting sqref="A122:A127">
    <cfRule type="expression" dxfId="238" priority="6">
      <formula>kvartal &lt; 4</formula>
    </cfRule>
  </conditionalFormatting>
  <conditionalFormatting sqref="A132:A137">
    <cfRule type="expression" dxfId="237" priority="5">
      <formula>kvartal &lt; 4</formula>
    </cfRule>
  </conditionalFormatting>
  <conditionalFormatting sqref="A146">
    <cfRule type="expression" dxfId="236" priority="4">
      <formula>kvartal &lt; 4</formula>
    </cfRule>
  </conditionalFormatting>
  <conditionalFormatting sqref="A154">
    <cfRule type="expression" dxfId="235" priority="3">
      <formula>kvartal &lt; 4</formula>
    </cfRule>
  </conditionalFormatting>
  <conditionalFormatting sqref="A29">
    <cfRule type="expression" dxfId="234" priority="2">
      <formula>kvartal &lt; 4</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1"/>
  <dimension ref="A1:N176"/>
  <sheetViews>
    <sheetView showGridLines="0" zoomScale="90" zoomScaleNormal="90" workbookViewId="0">
      <selection activeCell="A4" sqref="A4"/>
    </sheetView>
  </sheetViews>
  <sheetFormatPr baseColWidth="10" defaultColWidth="11.42578125" defaultRowHeight="12.75" x14ac:dyDescent="0.2"/>
  <cols>
    <col min="1" max="1" width="41.5703125" style="143" customWidth="1"/>
    <col min="2" max="2" width="10.85546875" style="143" customWidth="1"/>
    <col min="3" max="3" width="11" style="143" customWidth="1"/>
    <col min="4" max="5" width="8.7109375" style="143" customWidth="1"/>
    <col min="6" max="7" width="10.85546875" style="143" customWidth="1"/>
    <col min="8" max="9" width="8.7109375" style="143" customWidth="1"/>
    <col min="10" max="11" width="10.85546875" style="143" customWidth="1"/>
    <col min="12" max="13" width="8.7109375" style="143" customWidth="1"/>
    <col min="14" max="14" width="11.42578125" style="143"/>
    <col min="15" max="16384" width="11.42578125" style="1"/>
  </cols>
  <sheetData>
    <row r="1" spans="1:14" x14ac:dyDescent="0.2">
      <c r="A1" s="165" t="s">
        <v>159</v>
      </c>
      <c r="B1" s="401"/>
      <c r="C1" s="245" t="s">
        <v>121</v>
      </c>
      <c r="D1" s="20"/>
      <c r="E1" s="20"/>
      <c r="F1" s="20"/>
      <c r="G1" s="20"/>
      <c r="H1" s="20"/>
      <c r="I1" s="20"/>
      <c r="J1" s="20"/>
      <c r="K1" s="20"/>
      <c r="L1" s="20"/>
      <c r="M1" s="20"/>
    </row>
    <row r="2" spans="1:14" ht="15.75" x14ac:dyDescent="0.25">
      <c r="A2" s="158" t="s">
        <v>36</v>
      </c>
      <c r="B2" s="835"/>
      <c r="C2" s="835"/>
      <c r="D2" s="835"/>
      <c r="E2" s="301"/>
      <c r="F2" s="835"/>
      <c r="G2" s="835"/>
      <c r="H2" s="835"/>
      <c r="I2" s="301"/>
      <c r="J2" s="835"/>
      <c r="K2" s="835"/>
      <c r="L2" s="835"/>
      <c r="M2" s="301"/>
    </row>
    <row r="3" spans="1:14" ht="15.75" x14ac:dyDescent="0.25">
      <c r="A3" s="156"/>
      <c r="B3" s="301"/>
      <c r="C3" s="301"/>
      <c r="D3" s="301"/>
      <c r="E3" s="301"/>
      <c r="F3" s="301"/>
      <c r="G3" s="301"/>
      <c r="H3" s="301"/>
      <c r="I3" s="301"/>
      <c r="J3" s="301"/>
      <c r="K3" s="301"/>
      <c r="L3" s="301"/>
      <c r="M3" s="301"/>
    </row>
    <row r="4" spans="1:14" x14ac:dyDescent="0.2">
      <c r="A4" s="138"/>
      <c r="B4" s="808" t="s">
        <v>0</v>
      </c>
      <c r="C4" s="802"/>
      <c r="D4" s="802"/>
      <c r="E4" s="802"/>
      <c r="F4" s="808" t="s">
        <v>1</v>
      </c>
      <c r="G4" s="802"/>
      <c r="H4" s="802"/>
      <c r="I4" s="803"/>
      <c r="J4" s="801" t="s">
        <v>2</v>
      </c>
      <c r="K4" s="802"/>
      <c r="L4" s="802"/>
      <c r="M4" s="803"/>
    </row>
    <row r="5" spans="1:14" x14ac:dyDescent="0.2">
      <c r="A5" s="151"/>
      <c r="B5" s="145" t="s">
        <v>400</v>
      </c>
      <c r="C5" s="145" t="s">
        <v>401</v>
      </c>
      <c r="D5" s="242" t="s">
        <v>3</v>
      </c>
      <c r="E5" s="307" t="s">
        <v>37</v>
      </c>
      <c r="F5" s="145" t="s">
        <v>400</v>
      </c>
      <c r="G5" s="145" t="s">
        <v>401</v>
      </c>
      <c r="H5" s="242" t="s">
        <v>3</v>
      </c>
      <c r="I5" s="307" t="s">
        <v>37</v>
      </c>
      <c r="J5" s="145" t="s">
        <v>400</v>
      </c>
      <c r="K5" s="145" t="s">
        <v>401</v>
      </c>
      <c r="L5" s="242" t="s">
        <v>3</v>
      </c>
      <c r="M5" s="155" t="s">
        <v>37</v>
      </c>
    </row>
    <row r="6" spans="1:14" x14ac:dyDescent="0.2">
      <c r="A6" s="402"/>
      <c r="B6" s="149"/>
      <c r="C6" s="149"/>
      <c r="D6" s="243" t="s">
        <v>4</v>
      </c>
      <c r="E6" s="149" t="s">
        <v>38</v>
      </c>
      <c r="F6" s="154"/>
      <c r="G6" s="154"/>
      <c r="H6" s="242" t="s">
        <v>4</v>
      </c>
      <c r="I6" s="149" t="s">
        <v>38</v>
      </c>
      <c r="J6" s="154"/>
      <c r="K6" s="154"/>
      <c r="L6" s="242" t="s">
        <v>4</v>
      </c>
      <c r="M6" s="149" t="s">
        <v>38</v>
      </c>
    </row>
    <row r="7" spans="1:14" ht="15.75" x14ac:dyDescent="0.2">
      <c r="A7" s="12" t="s">
        <v>30</v>
      </c>
      <c r="B7" s="308"/>
      <c r="C7" s="309"/>
      <c r="D7" s="251"/>
      <c r="E7" s="170"/>
      <c r="F7" s="308"/>
      <c r="G7" s="309"/>
      <c r="H7" s="251"/>
      <c r="I7" s="170"/>
      <c r="J7" s="310"/>
      <c r="K7" s="311"/>
      <c r="L7" s="255"/>
      <c r="M7" s="170"/>
    </row>
    <row r="8" spans="1:14" ht="15.75" x14ac:dyDescent="0.2">
      <c r="A8" s="18" t="s">
        <v>32</v>
      </c>
      <c r="B8" s="282"/>
      <c r="C8" s="283"/>
      <c r="D8" s="159"/>
      <c r="E8" s="170"/>
      <c r="F8" s="286"/>
      <c r="G8" s="287"/>
      <c r="H8" s="159"/>
      <c r="I8" s="170"/>
      <c r="J8" s="229"/>
      <c r="K8" s="288"/>
      <c r="L8" s="256"/>
      <c r="M8" s="170"/>
    </row>
    <row r="9" spans="1:14" ht="15.75" x14ac:dyDescent="0.2">
      <c r="A9" s="18" t="s">
        <v>31</v>
      </c>
      <c r="B9" s="282"/>
      <c r="C9" s="283"/>
      <c r="D9" s="159"/>
      <c r="E9" s="170"/>
      <c r="F9" s="286"/>
      <c r="G9" s="287"/>
      <c r="H9" s="159"/>
      <c r="I9" s="170"/>
      <c r="J9" s="229"/>
      <c r="K9" s="288"/>
      <c r="L9" s="256"/>
      <c r="M9" s="170"/>
    </row>
    <row r="10" spans="1:14" ht="15.75" x14ac:dyDescent="0.2">
      <c r="A10" s="11" t="s">
        <v>29</v>
      </c>
      <c r="B10" s="312"/>
      <c r="C10" s="313"/>
      <c r="D10" s="159"/>
      <c r="E10" s="170"/>
      <c r="F10" s="312"/>
      <c r="G10" s="313"/>
      <c r="H10" s="159"/>
      <c r="I10" s="170"/>
      <c r="J10" s="310"/>
      <c r="K10" s="311"/>
      <c r="L10" s="256"/>
      <c r="M10" s="170"/>
    </row>
    <row r="11" spans="1:14" ht="15.75" x14ac:dyDescent="0.2">
      <c r="A11" s="18" t="s">
        <v>32</v>
      </c>
      <c r="B11" s="282"/>
      <c r="C11" s="283"/>
      <c r="D11" s="159"/>
      <c r="E11" s="170"/>
      <c r="F11" s="286"/>
      <c r="G11" s="287"/>
      <c r="H11" s="159"/>
      <c r="I11" s="170"/>
      <c r="J11" s="229"/>
      <c r="K11" s="288"/>
      <c r="L11" s="256"/>
      <c r="M11" s="170"/>
    </row>
    <row r="12" spans="1:14" ht="15.75" x14ac:dyDescent="0.2">
      <c r="A12" s="18" t="s">
        <v>31</v>
      </c>
      <c r="B12" s="282"/>
      <c r="C12" s="283"/>
      <c r="D12" s="159"/>
      <c r="E12" s="170"/>
      <c r="F12" s="286"/>
      <c r="G12" s="287"/>
      <c r="H12" s="159"/>
      <c r="I12" s="170"/>
      <c r="J12" s="229"/>
      <c r="K12" s="288"/>
      <c r="L12" s="256"/>
      <c r="M12" s="170"/>
    </row>
    <row r="13" spans="1:14" ht="15.75" x14ac:dyDescent="0.2">
      <c r="A13" s="11" t="s">
        <v>28</v>
      </c>
      <c r="B13" s="312"/>
      <c r="C13" s="313"/>
      <c r="D13" s="159"/>
      <c r="E13" s="170"/>
      <c r="F13" s="312"/>
      <c r="G13" s="313"/>
      <c r="H13" s="159"/>
      <c r="I13" s="170"/>
      <c r="J13" s="310"/>
      <c r="K13" s="311"/>
      <c r="L13" s="256"/>
      <c r="M13" s="170"/>
    </row>
    <row r="14" spans="1:14" s="36" customFormat="1" ht="15.75" x14ac:dyDescent="0.2">
      <c r="A14" s="11" t="s">
        <v>27</v>
      </c>
      <c r="B14" s="312"/>
      <c r="C14" s="313"/>
      <c r="D14" s="159"/>
      <c r="E14" s="170"/>
      <c r="F14" s="312"/>
      <c r="G14" s="313"/>
      <c r="H14" s="159"/>
      <c r="I14" s="170"/>
      <c r="J14" s="310"/>
      <c r="K14" s="311"/>
      <c r="L14" s="256"/>
      <c r="M14" s="170"/>
      <c r="N14" s="137"/>
    </row>
    <row r="15" spans="1:14" s="36" customFormat="1" ht="15.75" x14ac:dyDescent="0.2">
      <c r="A15" s="34" t="s">
        <v>26</v>
      </c>
      <c r="B15" s="314"/>
      <c r="C15" s="315"/>
      <c r="D15" s="160"/>
      <c r="E15" s="160"/>
      <c r="F15" s="314"/>
      <c r="G15" s="315"/>
      <c r="H15" s="160"/>
      <c r="I15" s="160"/>
      <c r="J15" s="316"/>
      <c r="K15" s="317"/>
      <c r="L15" s="257"/>
      <c r="M15" s="160"/>
      <c r="N15" s="137"/>
    </row>
    <row r="16" spans="1:14" s="36" customFormat="1" x14ac:dyDescent="0.2">
      <c r="A16" s="161"/>
      <c r="B16" s="139"/>
      <c r="C16" s="27"/>
      <c r="D16" s="152"/>
      <c r="E16" s="152"/>
      <c r="F16" s="139"/>
      <c r="G16" s="27"/>
      <c r="H16" s="152"/>
      <c r="I16" s="152"/>
      <c r="J16" s="41"/>
      <c r="K16" s="41"/>
      <c r="L16" s="152"/>
      <c r="M16" s="152"/>
      <c r="N16" s="137"/>
    </row>
    <row r="17" spans="1:14" x14ac:dyDescent="0.2">
      <c r="A17" s="146" t="s">
        <v>307</v>
      </c>
      <c r="B17" s="20"/>
    </row>
    <row r="18" spans="1:14" x14ac:dyDescent="0.2">
      <c r="F18" s="140"/>
      <c r="G18" s="140"/>
      <c r="H18" s="140"/>
      <c r="I18" s="140"/>
      <c r="J18" s="140"/>
      <c r="K18" s="140"/>
      <c r="L18" s="140"/>
      <c r="M18" s="140"/>
    </row>
    <row r="19" spans="1:14" s="3" customFormat="1" ht="15.75" x14ac:dyDescent="0.25">
      <c r="A19" s="157"/>
      <c r="B19" s="142"/>
      <c r="C19" s="147"/>
      <c r="D19" s="147"/>
      <c r="E19" s="147"/>
      <c r="F19" s="147"/>
      <c r="G19" s="147"/>
      <c r="H19" s="147"/>
      <c r="I19" s="147"/>
      <c r="J19" s="147"/>
      <c r="K19" s="147"/>
      <c r="L19" s="147"/>
      <c r="M19" s="147"/>
      <c r="N19" s="142"/>
    </row>
    <row r="20" spans="1:14" ht="15.75" x14ac:dyDescent="0.25">
      <c r="A20" s="141" t="s">
        <v>304</v>
      </c>
      <c r="B20" s="150"/>
      <c r="C20" s="150"/>
      <c r="D20" s="144"/>
      <c r="E20" s="144"/>
      <c r="F20" s="150"/>
      <c r="G20" s="150"/>
      <c r="H20" s="150"/>
      <c r="I20" s="150"/>
      <c r="J20" s="150"/>
      <c r="K20" s="150"/>
      <c r="L20" s="150"/>
      <c r="M20" s="150"/>
    </row>
    <row r="21" spans="1:14" ht="15.75" x14ac:dyDescent="0.25">
      <c r="B21" s="832"/>
      <c r="C21" s="832"/>
      <c r="D21" s="832"/>
      <c r="E21" s="301"/>
      <c r="F21" s="832"/>
      <c r="G21" s="832"/>
      <c r="H21" s="832"/>
      <c r="I21" s="301"/>
      <c r="J21" s="832"/>
      <c r="K21" s="832"/>
      <c r="L21" s="832"/>
      <c r="M21" s="301"/>
    </row>
    <row r="22" spans="1:14" x14ac:dyDescent="0.2">
      <c r="A22" s="138"/>
      <c r="B22" s="833" t="s">
        <v>0</v>
      </c>
      <c r="C22" s="834"/>
      <c r="D22" s="834"/>
      <c r="E22" s="303"/>
      <c r="F22" s="833" t="s">
        <v>1</v>
      </c>
      <c r="G22" s="834"/>
      <c r="H22" s="834"/>
      <c r="I22" s="306"/>
      <c r="J22" s="833" t="s">
        <v>2</v>
      </c>
      <c r="K22" s="834"/>
      <c r="L22" s="834"/>
      <c r="M22" s="306"/>
    </row>
    <row r="23" spans="1:14" x14ac:dyDescent="0.2">
      <c r="A23" s="134" t="s">
        <v>5</v>
      </c>
      <c r="B23" s="145" t="s">
        <v>400</v>
      </c>
      <c r="C23" s="145" t="s">
        <v>401</v>
      </c>
      <c r="D23" s="242" t="s">
        <v>3</v>
      </c>
      <c r="E23" s="307" t="s">
        <v>37</v>
      </c>
      <c r="F23" s="145" t="s">
        <v>400</v>
      </c>
      <c r="G23" s="145" t="s">
        <v>401</v>
      </c>
      <c r="H23" s="242" t="s">
        <v>3</v>
      </c>
      <c r="I23" s="307" t="s">
        <v>37</v>
      </c>
      <c r="J23" s="145" t="s">
        <v>400</v>
      </c>
      <c r="K23" s="145" t="s">
        <v>401</v>
      </c>
      <c r="L23" s="242" t="s">
        <v>3</v>
      </c>
      <c r="M23" s="155" t="s">
        <v>37</v>
      </c>
    </row>
    <row r="24" spans="1:14" x14ac:dyDescent="0.2">
      <c r="A24" s="403"/>
      <c r="B24" s="149"/>
      <c r="C24" s="149"/>
      <c r="D24" s="243" t="s">
        <v>4</v>
      </c>
      <c r="E24" s="149" t="s">
        <v>38</v>
      </c>
      <c r="F24" s="154"/>
      <c r="G24" s="154"/>
      <c r="H24" s="242" t="s">
        <v>4</v>
      </c>
      <c r="I24" s="149" t="s">
        <v>38</v>
      </c>
      <c r="J24" s="154"/>
      <c r="K24" s="154"/>
      <c r="L24" s="242" t="s">
        <v>4</v>
      </c>
      <c r="M24" s="149" t="s">
        <v>38</v>
      </c>
    </row>
    <row r="25" spans="1:14" ht="15.75" x14ac:dyDescent="0.2">
      <c r="A25" s="12" t="s">
        <v>30</v>
      </c>
      <c r="B25" s="318"/>
      <c r="C25" s="319"/>
      <c r="D25" s="251"/>
      <c r="E25" s="170"/>
      <c r="F25" s="320"/>
      <c r="G25" s="319"/>
      <c r="H25" s="251"/>
      <c r="I25" s="170"/>
      <c r="J25" s="318"/>
      <c r="K25" s="318"/>
      <c r="L25" s="255"/>
      <c r="M25" s="159"/>
    </row>
    <row r="26" spans="1:14" ht="15.75" x14ac:dyDescent="0.2">
      <c r="A26" s="298" t="s">
        <v>318</v>
      </c>
      <c r="B26" s="291"/>
      <c r="C26" s="291"/>
      <c r="D26" s="159"/>
      <c r="E26" s="237"/>
      <c r="F26" s="291"/>
      <c r="G26" s="291"/>
      <c r="H26" s="159"/>
      <c r="I26" s="237"/>
      <c r="J26" s="291"/>
      <c r="K26" s="291"/>
      <c r="L26" s="159"/>
      <c r="M26" s="159"/>
    </row>
    <row r="27" spans="1:14" ht="15.75" x14ac:dyDescent="0.2">
      <c r="A27" s="298" t="s">
        <v>319</v>
      </c>
      <c r="B27" s="291"/>
      <c r="C27" s="291"/>
      <c r="D27" s="159"/>
      <c r="E27" s="237"/>
      <c r="F27" s="291"/>
      <c r="G27" s="291"/>
      <c r="H27" s="159"/>
      <c r="I27" s="237"/>
      <c r="J27" s="291"/>
      <c r="K27" s="291"/>
      <c r="L27" s="159"/>
      <c r="M27" s="159"/>
    </row>
    <row r="28" spans="1:14" ht="15.75" x14ac:dyDescent="0.2">
      <c r="A28" s="298" t="s">
        <v>320</v>
      </c>
      <c r="B28" s="291"/>
      <c r="C28" s="291"/>
      <c r="D28" s="159"/>
      <c r="E28" s="237"/>
      <c r="F28" s="291"/>
      <c r="G28" s="291"/>
      <c r="H28" s="159"/>
      <c r="I28" s="237"/>
      <c r="J28" s="291"/>
      <c r="K28" s="291"/>
      <c r="L28" s="159"/>
      <c r="M28" s="159"/>
    </row>
    <row r="29" spans="1:14" x14ac:dyDescent="0.2">
      <c r="A29" s="298" t="s">
        <v>11</v>
      </c>
      <c r="B29" s="291"/>
      <c r="C29" s="291"/>
      <c r="D29" s="159"/>
      <c r="E29" s="237"/>
      <c r="F29" s="291"/>
      <c r="G29" s="291"/>
      <c r="H29" s="159"/>
      <c r="I29" s="237"/>
      <c r="J29" s="291"/>
      <c r="K29" s="291"/>
      <c r="L29" s="159"/>
      <c r="M29" s="159"/>
    </row>
    <row r="30" spans="1:14" ht="15.75" x14ac:dyDescent="0.2">
      <c r="A30" s="42" t="s">
        <v>308</v>
      </c>
      <c r="B30" s="37"/>
      <c r="C30" s="288"/>
      <c r="D30" s="159"/>
      <c r="E30" s="170"/>
      <c r="F30" s="229"/>
      <c r="G30" s="288"/>
      <c r="H30" s="159"/>
      <c r="I30" s="170"/>
      <c r="J30" s="37"/>
      <c r="K30" s="37"/>
      <c r="L30" s="256"/>
      <c r="M30" s="159"/>
    </row>
    <row r="31" spans="1:14" ht="15.75" x14ac:dyDescent="0.2">
      <c r="A31" s="11" t="s">
        <v>29</v>
      </c>
      <c r="B31" s="231"/>
      <c r="C31" s="231"/>
      <c r="D31" s="159"/>
      <c r="E31" s="170"/>
      <c r="F31" s="310"/>
      <c r="G31" s="310"/>
      <c r="H31" s="159"/>
      <c r="I31" s="170"/>
      <c r="J31" s="231"/>
      <c r="K31" s="231"/>
      <c r="L31" s="256"/>
      <c r="M31" s="159"/>
    </row>
    <row r="32" spans="1:14" ht="15.75" x14ac:dyDescent="0.2">
      <c r="A32" s="298" t="s">
        <v>318</v>
      </c>
      <c r="B32" s="291"/>
      <c r="C32" s="291"/>
      <c r="D32" s="159"/>
      <c r="E32" s="237"/>
      <c r="F32" s="291"/>
      <c r="G32" s="291"/>
      <c r="H32" s="159"/>
      <c r="I32" s="237"/>
      <c r="J32" s="291"/>
      <c r="K32" s="291"/>
      <c r="L32" s="159"/>
      <c r="M32" s="159"/>
    </row>
    <row r="33" spans="1:14" ht="15.75" x14ac:dyDescent="0.2">
      <c r="A33" s="298" t="s">
        <v>320</v>
      </c>
      <c r="B33" s="291"/>
      <c r="C33" s="291"/>
      <c r="D33" s="159"/>
      <c r="E33" s="237"/>
      <c r="F33" s="291"/>
      <c r="G33" s="291"/>
      <c r="H33" s="159"/>
      <c r="I33" s="237"/>
      <c r="J33" s="291"/>
      <c r="K33" s="291"/>
      <c r="L33" s="159"/>
      <c r="M33" s="159"/>
    </row>
    <row r="34" spans="1:14" s="21" customFormat="1" x14ac:dyDescent="0.2">
      <c r="A34" s="298" t="s">
        <v>16</v>
      </c>
      <c r="B34" s="291"/>
      <c r="C34" s="291"/>
      <c r="D34" s="159"/>
      <c r="E34" s="237"/>
      <c r="F34" s="291"/>
      <c r="G34" s="291"/>
      <c r="H34" s="159"/>
      <c r="I34" s="237"/>
      <c r="J34" s="291"/>
      <c r="K34" s="291"/>
      <c r="L34" s="159"/>
      <c r="M34" s="159"/>
      <c r="N34" s="166"/>
    </row>
    <row r="35" spans="1:14" ht="15.75" x14ac:dyDescent="0.2">
      <c r="A35" s="42" t="s">
        <v>308</v>
      </c>
      <c r="B35" s="37"/>
      <c r="C35" s="288"/>
      <c r="D35" s="159"/>
      <c r="E35" s="170"/>
      <c r="F35" s="229"/>
      <c r="G35" s="288"/>
      <c r="H35" s="159"/>
      <c r="I35" s="170"/>
      <c r="J35" s="37"/>
      <c r="K35" s="37"/>
      <c r="L35" s="256"/>
      <c r="M35" s="159"/>
    </row>
    <row r="36" spans="1:14" s="3" customFormat="1" ht="15.75" x14ac:dyDescent="0.2">
      <c r="A36" s="11" t="s">
        <v>28</v>
      </c>
      <c r="B36" s="231"/>
      <c r="C36" s="311"/>
      <c r="D36" s="159"/>
      <c r="E36" s="170"/>
      <c r="F36" s="310"/>
      <c r="G36" s="311"/>
      <c r="H36" s="159"/>
      <c r="I36" s="170"/>
      <c r="J36" s="231"/>
      <c r="K36" s="231"/>
      <c r="L36" s="256"/>
      <c r="M36" s="159"/>
      <c r="N36" s="142"/>
    </row>
    <row r="37" spans="1:14" s="3" customFormat="1" ht="15.75" x14ac:dyDescent="0.2">
      <c r="A37" s="298" t="s">
        <v>318</v>
      </c>
      <c r="B37" s="291"/>
      <c r="C37" s="291"/>
      <c r="D37" s="159"/>
      <c r="E37" s="237"/>
      <c r="F37" s="291"/>
      <c r="G37" s="291"/>
      <c r="H37" s="159"/>
      <c r="I37" s="237"/>
      <c r="J37" s="291"/>
      <c r="K37" s="291"/>
      <c r="L37" s="159"/>
      <c r="M37" s="159"/>
      <c r="N37" s="142"/>
    </row>
    <row r="38" spans="1:14" s="3" customFormat="1" ht="15.75" x14ac:dyDescent="0.2">
      <c r="A38" s="298" t="s">
        <v>319</v>
      </c>
      <c r="B38" s="291"/>
      <c r="C38" s="291"/>
      <c r="D38" s="159"/>
      <c r="E38" s="237"/>
      <c r="F38" s="291"/>
      <c r="G38" s="291"/>
      <c r="H38" s="159"/>
      <c r="I38" s="237"/>
      <c r="J38" s="291"/>
      <c r="K38" s="291"/>
      <c r="L38" s="159"/>
      <c r="M38" s="159"/>
      <c r="N38" s="142"/>
    </row>
    <row r="39" spans="1:14" ht="15.75" x14ac:dyDescent="0.2">
      <c r="A39" s="298" t="s">
        <v>320</v>
      </c>
      <c r="B39" s="291"/>
      <c r="C39" s="291"/>
      <c r="D39" s="159"/>
      <c r="E39" s="237"/>
      <c r="F39" s="291"/>
      <c r="G39" s="291"/>
      <c r="H39" s="159"/>
      <c r="I39" s="237"/>
      <c r="J39" s="291"/>
      <c r="K39" s="291"/>
      <c r="L39" s="159"/>
      <c r="M39" s="159"/>
    </row>
    <row r="40" spans="1:14" ht="15.75" x14ac:dyDescent="0.2">
      <c r="A40" s="11" t="s">
        <v>27</v>
      </c>
      <c r="B40" s="231"/>
      <c r="C40" s="311"/>
      <c r="D40" s="159"/>
      <c r="E40" s="170"/>
      <c r="F40" s="310"/>
      <c r="G40" s="311"/>
      <c r="H40" s="159"/>
      <c r="I40" s="170"/>
      <c r="J40" s="231"/>
      <c r="K40" s="231"/>
      <c r="L40" s="256"/>
      <c r="M40" s="159"/>
    </row>
    <row r="41" spans="1:14" ht="15.75" x14ac:dyDescent="0.2">
      <c r="A41" s="11" t="s">
        <v>26</v>
      </c>
      <c r="B41" s="231"/>
      <c r="C41" s="311"/>
      <c r="D41" s="159"/>
      <c r="E41" s="170"/>
      <c r="F41" s="310"/>
      <c r="G41" s="311"/>
      <c r="H41" s="159"/>
      <c r="I41" s="170"/>
      <c r="J41" s="231"/>
      <c r="K41" s="231"/>
      <c r="L41" s="256"/>
      <c r="M41" s="159"/>
    </row>
    <row r="42" spans="1:14" ht="15.75" x14ac:dyDescent="0.2">
      <c r="A42" s="10" t="s">
        <v>321</v>
      </c>
      <c r="B42" s="231"/>
      <c r="C42" s="311"/>
      <c r="D42" s="159"/>
      <c r="E42" s="170"/>
      <c r="F42" s="321"/>
      <c r="G42" s="322"/>
      <c r="H42" s="159"/>
      <c r="I42" s="237"/>
      <c r="J42" s="231"/>
      <c r="K42" s="231"/>
      <c r="L42" s="256"/>
      <c r="M42" s="159"/>
    </row>
    <row r="43" spans="1:14" ht="15.75" x14ac:dyDescent="0.2">
      <c r="A43" s="10" t="s">
        <v>322</v>
      </c>
      <c r="B43" s="231"/>
      <c r="C43" s="311"/>
      <c r="D43" s="159"/>
      <c r="E43" s="170"/>
      <c r="F43" s="321"/>
      <c r="G43" s="322"/>
      <c r="H43" s="159"/>
      <c r="I43" s="237"/>
      <c r="J43" s="231"/>
      <c r="K43" s="231"/>
      <c r="L43" s="256"/>
      <c r="M43" s="159"/>
    </row>
    <row r="44" spans="1:14" ht="15.75" x14ac:dyDescent="0.2">
      <c r="A44" s="10" t="s">
        <v>323</v>
      </c>
      <c r="B44" s="231"/>
      <c r="C44" s="311"/>
      <c r="D44" s="159"/>
      <c r="E44" s="170"/>
      <c r="F44" s="321"/>
      <c r="G44" s="323"/>
      <c r="H44" s="159"/>
      <c r="I44" s="237"/>
      <c r="J44" s="231"/>
      <c r="K44" s="231"/>
      <c r="L44" s="256"/>
      <c r="M44" s="159"/>
    </row>
    <row r="45" spans="1:14" ht="15.75" x14ac:dyDescent="0.2">
      <c r="A45" s="10" t="s">
        <v>324</v>
      </c>
      <c r="B45" s="231"/>
      <c r="C45" s="311"/>
      <c r="D45" s="159"/>
      <c r="E45" s="170"/>
      <c r="F45" s="321"/>
      <c r="G45" s="322"/>
      <c r="H45" s="159"/>
      <c r="I45" s="237"/>
      <c r="J45" s="231"/>
      <c r="K45" s="231"/>
      <c r="L45" s="256"/>
      <c r="M45" s="159"/>
    </row>
    <row r="46" spans="1:14" ht="15.75" x14ac:dyDescent="0.2">
      <c r="A46" s="16" t="s">
        <v>325</v>
      </c>
      <c r="B46" s="277"/>
      <c r="C46" s="317"/>
      <c r="D46" s="160"/>
      <c r="E46" s="201"/>
      <c r="F46" s="324"/>
      <c r="G46" s="325"/>
      <c r="H46" s="160"/>
      <c r="I46" s="160"/>
      <c r="J46" s="231"/>
      <c r="K46" s="231"/>
      <c r="L46" s="257"/>
      <c r="M46" s="160"/>
    </row>
    <row r="47" spans="1:14" ht="15.75" x14ac:dyDescent="0.25">
      <c r="A47" s="40"/>
      <c r="B47" s="254"/>
      <c r="C47" s="254"/>
      <c r="D47" s="836"/>
      <c r="E47" s="836"/>
      <c r="F47" s="836"/>
      <c r="G47" s="836"/>
      <c r="H47" s="836"/>
      <c r="I47" s="836"/>
      <c r="J47" s="836"/>
      <c r="K47" s="836"/>
      <c r="L47" s="836"/>
      <c r="M47" s="304"/>
    </row>
    <row r="48" spans="1:14" x14ac:dyDescent="0.2">
      <c r="A48" s="148"/>
    </row>
    <row r="49" spans="1:14" ht="15.75" x14ac:dyDescent="0.25">
      <c r="A49" s="141" t="s">
        <v>305</v>
      </c>
      <c r="B49" s="835"/>
      <c r="C49" s="835"/>
      <c r="D49" s="835"/>
      <c r="E49" s="301"/>
      <c r="F49" s="837"/>
      <c r="G49" s="837"/>
      <c r="H49" s="837"/>
      <c r="I49" s="304"/>
      <c r="J49" s="837"/>
      <c r="K49" s="837"/>
      <c r="L49" s="837"/>
      <c r="M49" s="304"/>
    </row>
    <row r="50" spans="1:14" ht="15.75" x14ac:dyDescent="0.25">
      <c r="A50" s="156"/>
      <c r="B50" s="305"/>
      <c r="C50" s="305"/>
      <c r="D50" s="305"/>
      <c r="E50" s="305"/>
      <c r="F50" s="304"/>
      <c r="G50" s="304"/>
      <c r="H50" s="304"/>
      <c r="I50" s="304"/>
      <c r="J50" s="304"/>
      <c r="K50" s="304"/>
      <c r="L50" s="304"/>
      <c r="M50" s="304"/>
    </row>
    <row r="51" spans="1:14" ht="15.75" x14ac:dyDescent="0.25">
      <c r="A51" s="244"/>
      <c r="B51" s="833" t="s">
        <v>0</v>
      </c>
      <c r="C51" s="834"/>
      <c r="D51" s="834"/>
      <c r="E51" s="240"/>
      <c r="F51" s="304"/>
      <c r="G51" s="304"/>
      <c r="H51" s="304"/>
      <c r="I51" s="304"/>
      <c r="J51" s="304"/>
      <c r="K51" s="304"/>
      <c r="L51" s="304"/>
      <c r="M51" s="304"/>
    </row>
    <row r="52" spans="1:14" s="3" customFormat="1" x14ac:dyDescent="0.2">
      <c r="A52" s="134"/>
      <c r="B52" s="167" t="s">
        <v>400</v>
      </c>
      <c r="C52" s="167" t="s">
        <v>401</v>
      </c>
      <c r="D52" s="155" t="s">
        <v>3</v>
      </c>
      <c r="E52" s="155" t="s">
        <v>37</v>
      </c>
      <c r="F52" s="169"/>
      <c r="G52" s="169"/>
      <c r="H52" s="168"/>
      <c r="I52" s="168"/>
      <c r="J52" s="169"/>
      <c r="K52" s="169"/>
      <c r="L52" s="168"/>
      <c r="M52" s="168"/>
      <c r="N52" s="142"/>
    </row>
    <row r="53" spans="1:14" s="3" customFormat="1" x14ac:dyDescent="0.2">
      <c r="A53" s="403"/>
      <c r="B53" s="241"/>
      <c r="C53" s="241"/>
      <c r="D53" s="242" t="s">
        <v>4</v>
      </c>
      <c r="E53" s="149" t="s">
        <v>38</v>
      </c>
      <c r="F53" s="168"/>
      <c r="G53" s="168"/>
      <c r="H53" s="168"/>
      <c r="I53" s="168"/>
      <c r="J53" s="168"/>
      <c r="K53" s="168"/>
      <c r="L53" s="168"/>
      <c r="M53" s="168"/>
      <c r="N53" s="142"/>
    </row>
    <row r="54" spans="1:14" s="3" customFormat="1" ht="15.75" x14ac:dyDescent="0.2">
      <c r="A54" s="12" t="s">
        <v>30</v>
      </c>
      <c r="B54" s="312">
        <v>24710</v>
      </c>
      <c r="C54" s="313">
        <v>25828</v>
      </c>
      <c r="D54" s="255">
        <f t="shared" ref="D54:D55" si="0">IF(B54=0, "    ---- ", IF(ABS(ROUND(100/B54*C54-100,1))&lt;999,ROUND(100/B54*C54-100,1),IF(ROUND(100/B54*C54-100,1)&gt;999,999,-999)))</f>
        <v>4.5</v>
      </c>
      <c r="E54" s="170">
        <f>IFERROR(100/'Skjema total MA'!C54*C54,0)</f>
        <v>0.69176740609650089</v>
      </c>
      <c r="F54" s="139"/>
      <c r="G54" s="27"/>
      <c r="H54" s="152"/>
      <c r="I54" s="152"/>
      <c r="J54" s="30"/>
      <c r="K54" s="30"/>
      <c r="L54" s="152"/>
      <c r="M54" s="152"/>
      <c r="N54" s="142"/>
    </row>
    <row r="55" spans="1:14" s="3" customFormat="1" ht="15.75" x14ac:dyDescent="0.2">
      <c r="A55" s="31" t="s">
        <v>326</v>
      </c>
      <c r="B55" s="282">
        <v>24710</v>
      </c>
      <c r="C55" s="283">
        <v>25828</v>
      </c>
      <c r="D55" s="256">
        <f t="shared" si="0"/>
        <v>4.5</v>
      </c>
      <c r="E55" s="170">
        <f>IFERROR(100/'Skjema total MA'!C55*C55,0)</f>
        <v>1.2688160854083024</v>
      </c>
      <c r="F55" s="139"/>
      <c r="G55" s="27"/>
      <c r="H55" s="139"/>
      <c r="I55" s="139"/>
      <c r="J55" s="27"/>
      <c r="K55" s="27"/>
      <c r="L55" s="152"/>
      <c r="M55" s="152"/>
      <c r="N55" s="142"/>
    </row>
    <row r="56" spans="1:14" s="3" customFormat="1" ht="15.75" x14ac:dyDescent="0.2">
      <c r="A56" s="31" t="s">
        <v>327</v>
      </c>
      <c r="B56" s="37"/>
      <c r="C56" s="288"/>
      <c r="D56" s="256"/>
      <c r="E56" s="170"/>
      <c r="F56" s="139"/>
      <c r="G56" s="27"/>
      <c r="H56" s="139"/>
      <c r="I56" s="139"/>
      <c r="J56" s="30"/>
      <c r="K56" s="30"/>
      <c r="L56" s="152"/>
      <c r="M56" s="152"/>
      <c r="N56" s="142"/>
    </row>
    <row r="57" spans="1:14" s="3" customFormat="1" x14ac:dyDescent="0.2">
      <c r="A57" s="298" t="s">
        <v>6</v>
      </c>
      <c r="B57" s="291"/>
      <c r="C57" s="292"/>
      <c r="D57" s="256"/>
      <c r="E57" s="159"/>
      <c r="F57" s="139"/>
      <c r="G57" s="27"/>
      <c r="H57" s="139"/>
      <c r="I57" s="139"/>
      <c r="J57" s="27"/>
      <c r="K57" s="27"/>
      <c r="L57" s="152"/>
      <c r="M57" s="152"/>
      <c r="N57" s="142"/>
    </row>
    <row r="58" spans="1:14" s="3" customFormat="1" x14ac:dyDescent="0.2">
      <c r="A58" s="298" t="s">
        <v>7</v>
      </c>
      <c r="B58" s="291"/>
      <c r="C58" s="292"/>
      <c r="D58" s="256"/>
      <c r="E58" s="159"/>
      <c r="F58" s="139"/>
      <c r="G58" s="27"/>
      <c r="H58" s="139"/>
      <c r="I58" s="139"/>
      <c r="J58" s="27"/>
      <c r="K58" s="27"/>
      <c r="L58" s="152"/>
      <c r="M58" s="152"/>
      <c r="N58" s="142"/>
    </row>
    <row r="59" spans="1:14" s="3" customFormat="1" x14ac:dyDescent="0.2">
      <c r="A59" s="298" t="s">
        <v>8</v>
      </c>
      <c r="B59" s="291"/>
      <c r="C59" s="292"/>
      <c r="D59" s="256"/>
      <c r="E59" s="159"/>
      <c r="F59" s="139"/>
      <c r="G59" s="27"/>
      <c r="H59" s="139"/>
      <c r="I59" s="139"/>
      <c r="J59" s="27"/>
      <c r="K59" s="27"/>
      <c r="L59" s="152"/>
      <c r="M59" s="152"/>
      <c r="N59" s="142"/>
    </row>
    <row r="60" spans="1:14" s="3" customFormat="1" ht="15.75" x14ac:dyDescent="0.2">
      <c r="A60" s="11" t="s">
        <v>29</v>
      </c>
      <c r="B60" s="312"/>
      <c r="C60" s="313"/>
      <c r="D60" s="256"/>
      <c r="E60" s="170"/>
      <c r="F60" s="139"/>
      <c r="G60" s="27"/>
      <c r="H60" s="139"/>
      <c r="I60" s="139"/>
      <c r="J60" s="27"/>
      <c r="K60" s="27"/>
      <c r="L60" s="152"/>
      <c r="M60" s="152"/>
      <c r="N60" s="142"/>
    </row>
    <row r="61" spans="1:14" s="3" customFormat="1" ht="15.75" x14ac:dyDescent="0.2">
      <c r="A61" s="31" t="s">
        <v>326</v>
      </c>
      <c r="B61" s="282"/>
      <c r="C61" s="283"/>
      <c r="D61" s="256"/>
      <c r="E61" s="170"/>
      <c r="F61" s="139"/>
      <c r="G61" s="27"/>
      <c r="H61" s="139"/>
      <c r="I61" s="139"/>
      <c r="J61" s="27"/>
      <c r="K61" s="27"/>
      <c r="L61" s="152"/>
      <c r="M61" s="152"/>
      <c r="N61" s="142"/>
    </row>
    <row r="62" spans="1:14" s="3" customFormat="1" ht="15.75" x14ac:dyDescent="0.2">
      <c r="A62" s="31" t="s">
        <v>327</v>
      </c>
      <c r="B62" s="37"/>
      <c r="C62" s="288"/>
      <c r="D62" s="256"/>
      <c r="E62" s="170"/>
      <c r="F62" s="139"/>
      <c r="G62" s="27"/>
      <c r="H62" s="139"/>
      <c r="I62" s="139"/>
      <c r="J62" s="27"/>
      <c r="K62" s="27"/>
      <c r="L62" s="152"/>
      <c r="M62" s="152"/>
      <c r="N62" s="142"/>
    </row>
    <row r="63" spans="1:14" s="3" customFormat="1" x14ac:dyDescent="0.2">
      <c r="A63" s="298" t="s">
        <v>6</v>
      </c>
      <c r="B63" s="282"/>
      <c r="C63" s="283"/>
      <c r="D63" s="256"/>
      <c r="E63" s="159"/>
      <c r="F63" s="139"/>
      <c r="G63" s="27"/>
      <c r="H63" s="139"/>
      <c r="I63" s="139"/>
      <c r="J63" s="27"/>
      <c r="K63" s="27"/>
      <c r="L63" s="152"/>
      <c r="M63" s="152"/>
      <c r="N63" s="142"/>
    </row>
    <row r="64" spans="1:14" s="3" customFormat="1" x14ac:dyDescent="0.2">
      <c r="A64" s="298" t="s">
        <v>7</v>
      </c>
      <c r="B64" s="282"/>
      <c r="C64" s="283"/>
      <c r="D64" s="256"/>
      <c r="E64" s="159"/>
      <c r="F64" s="139"/>
      <c r="G64" s="27"/>
      <c r="H64" s="139"/>
      <c r="I64" s="139"/>
      <c r="J64" s="27"/>
      <c r="K64" s="27"/>
      <c r="L64" s="152"/>
      <c r="M64" s="152"/>
      <c r="N64" s="142"/>
    </row>
    <row r="65" spans="1:14" s="3" customFormat="1" x14ac:dyDescent="0.2">
      <c r="A65" s="298" t="s">
        <v>8</v>
      </c>
      <c r="B65" s="282"/>
      <c r="C65" s="283"/>
      <c r="D65" s="256"/>
      <c r="E65" s="159"/>
      <c r="F65" s="139"/>
      <c r="G65" s="27"/>
      <c r="H65" s="139"/>
      <c r="I65" s="139"/>
      <c r="J65" s="27"/>
      <c r="K65" s="27"/>
      <c r="L65" s="152"/>
      <c r="M65" s="152"/>
      <c r="N65" s="142"/>
    </row>
    <row r="66" spans="1:14" s="3" customFormat="1" ht="15.75" x14ac:dyDescent="0.2">
      <c r="A66" s="32" t="s">
        <v>328</v>
      </c>
      <c r="B66" s="312"/>
      <c r="C66" s="313"/>
      <c r="D66" s="256"/>
      <c r="E66" s="170"/>
      <c r="F66" s="139"/>
      <c r="G66" s="27"/>
      <c r="H66" s="139"/>
      <c r="I66" s="139"/>
      <c r="J66" s="27"/>
      <c r="K66" s="27"/>
      <c r="L66" s="152"/>
      <c r="M66" s="152"/>
      <c r="N66" s="142"/>
    </row>
    <row r="67" spans="1:14" s="3" customFormat="1" ht="15.75" x14ac:dyDescent="0.2">
      <c r="A67" s="31" t="s">
        <v>326</v>
      </c>
      <c r="B67" s="282"/>
      <c r="C67" s="283"/>
      <c r="D67" s="256"/>
      <c r="E67" s="170"/>
      <c r="F67" s="139"/>
      <c r="G67" s="27"/>
      <c r="H67" s="139"/>
      <c r="I67" s="139"/>
      <c r="J67" s="27"/>
      <c r="K67" s="27"/>
      <c r="L67" s="152"/>
      <c r="M67" s="152"/>
      <c r="N67" s="142"/>
    </row>
    <row r="68" spans="1:14" s="3" customFormat="1" ht="15.75" x14ac:dyDescent="0.2">
      <c r="A68" s="31" t="s">
        <v>327</v>
      </c>
      <c r="B68" s="282"/>
      <c r="C68" s="283"/>
      <c r="D68" s="256"/>
      <c r="E68" s="170"/>
      <c r="F68" s="139"/>
      <c r="G68" s="27"/>
      <c r="H68" s="139"/>
      <c r="I68" s="139"/>
      <c r="J68" s="27"/>
      <c r="K68" s="27"/>
      <c r="L68" s="152"/>
      <c r="M68" s="152"/>
      <c r="N68" s="142"/>
    </row>
    <row r="69" spans="1:14" s="3" customFormat="1" ht="15.75" x14ac:dyDescent="0.2">
      <c r="A69" s="32" t="s">
        <v>329</v>
      </c>
      <c r="B69" s="312"/>
      <c r="C69" s="313"/>
      <c r="D69" s="256"/>
      <c r="E69" s="170"/>
      <c r="F69" s="139"/>
      <c r="G69" s="27"/>
      <c r="H69" s="139"/>
      <c r="I69" s="139"/>
      <c r="J69" s="27"/>
      <c r="K69" s="27"/>
      <c r="L69" s="152"/>
      <c r="M69" s="152"/>
      <c r="N69" s="142"/>
    </row>
    <row r="70" spans="1:14" s="3" customFormat="1" ht="15.75" x14ac:dyDescent="0.2">
      <c r="A70" s="31" t="s">
        <v>326</v>
      </c>
      <c r="B70" s="282"/>
      <c r="C70" s="283"/>
      <c r="D70" s="256"/>
      <c r="E70" s="170"/>
      <c r="F70" s="139"/>
      <c r="G70" s="27"/>
      <c r="H70" s="139"/>
      <c r="I70" s="139"/>
      <c r="J70" s="27"/>
      <c r="K70" s="27"/>
      <c r="L70" s="152"/>
      <c r="M70" s="152"/>
      <c r="N70" s="142"/>
    </row>
    <row r="71" spans="1:14" s="3" customFormat="1" ht="15.75" x14ac:dyDescent="0.2">
      <c r="A71" s="39" t="s">
        <v>327</v>
      </c>
      <c r="B71" s="284"/>
      <c r="C71" s="285"/>
      <c r="D71" s="257"/>
      <c r="E71" s="160"/>
      <c r="F71" s="139"/>
      <c r="G71" s="27"/>
      <c r="H71" s="139"/>
      <c r="I71" s="139"/>
      <c r="J71" s="27"/>
      <c r="K71" s="27"/>
      <c r="L71" s="152"/>
      <c r="M71" s="152"/>
      <c r="N71" s="142"/>
    </row>
    <row r="72" spans="1:14" s="3" customFormat="1" ht="15.75" x14ac:dyDescent="0.25">
      <c r="A72" s="157"/>
      <c r="B72" s="147"/>
      <c r="C72" s="147"/>
      <c r="D72" s="147"/>
      <c r="E72" s="147"/>
      <c r="F72" s="136"/>
      <c r="G72" s="136"/>
      <c r="H72" s="136"/>
      <c r="I72" s="136"/>
      <c r="J72" s="136"/>
      <c r="K72" s="136"/>
      <c r="L72" s="136"/>
      <c r="M72" s="136"/>
      <c r="N72" s="142"/>
    </row>
    <row r="73" spans="1:14" x14ac:dyDescent="0.2">
      <c r="A73" s="148"/>
    </row>
    <row r="74" spans="1:14" ht="15.75" x14ac:dyDescent="0.25">
      <c r="A74" s="141" t="s">
        <v>306</v>
      </c>
      <c r="C74" s="20"/>
      <c r="D74" s="20"/>
      <c r="E74" s="20"/>
      <c r="F74" s="20"/>
      <c r="G74" s="20"/>
      <c r="H74" s="20"/>
      <c r="I74" s="20"/>
      <c r="J74" s="20"/>
      <c r="K74" s="20"/>
      <c r="L74" s="20"/>
      <c r="M74" s="20"/>
    </row>
    <row r="75" spans="1:14" ht="15.75" x14ac:dyDescent="0.25">
      <c r="B75" s="832"/>
      <c r="C75" s="832"/>
      <c r="D75" s="832"/>
      <c r="E75" s="301"/>
      <c r="F75" s="832"/>
      <c r="G75" s="832"/>
      <c r="H75" s="832"/>
      <c r="I75" s="301"/>
      <c r="J75" s="832"/>
      <c r="K75" s="832"/>
      <c r="L75" s="832"/>
      <c r="M75" s="301"/>
    </row>
    <row r="76" spans="1:14" x14ac:dyDescent="0.2">
      <c r="A76" s="138"/>
      <c r="B76" s="833" t="s">
        <v>0</v>
      </c>
      <c r="C76" s="834"/>
      <c r="D76" s="838"/>
      <c r="E76" s="302"/>
      <c r="F76" s="834" t="s">
        <v>1</v>
      </c>
      <c r="G76" s="834"/>
      <c r="H76" s="834"/>
      <c r="I76" s="306"/>
      <c r="J76" s="833" t="s">
        <v>2</v>
      </c>
      <c r="K76" s="834"/>
      <c r="L76" s="834"/>
      <c r="M76" s="306"/>
    </row>
    <row r="77" spans="1:14" x14ac:dyDescent="0.2">
      <c r="A77" s="134"/>
      <c r="B77" s="145" t="s">
        <v>400</v>
      </c>
      <c r="C77" s="145" t="s">
        <v>401</v>
      </c>
      <c r="D77" s="242" t="s">
        <v>3</v>
      </c>
      <c r="E77" s="307" t="s">
        <v>37</v>
      </c>
      <c r="F77" s="145" t="s">
        <v>400</v>
      </c>
      <c r="G77" s="145" t="s">
        <v>401</v>
      </c>
      <c r="H77" s="242" t="s">
        <v>3</v>
      </c>
      <c r="I77" s="307" t="s">
        <v>37</v>
      </c>
      <c r="J77" s="145" t="s">
        <v>400</v>
      </c>
      <c r="K77" s="145" t="s">
        <v>401</v>
      </c>
      <c r="L77" s="242" t="s">
        <v>3</v>
      </c>
      <c r="M77" s="155" t="s">
        <v>37</v>
      </c>
    </row>
    <row r="78" spans="1:14" x14ac:dyDescent="0.2">
      <c r="A78" s="403"/>
      <c r="B78" s="149"/>
      <c r="C78" s="149"/>
      <c r="D78" s="243" t="s">
        <v>4</v>
      </c>
      <c r="E78" s="149" t="s">
        <v>38</v>
      </c>
      <c r="F78" s="154"/>
      <c r="G78" s="154"/>
      <c r="H78" s="242" t="s">
        <v>4</v>
      </c>
      <c r="I78" s="149" t="s">
        <v>38</v>
      </c>
      <c r="J78" s="154"/>
      <c r="K78" s="154"/>
      <c r="L78" s="242" t="s">
        <v>4</v>
      </c>
      <c r="M78" s="149" t="s">
        <v>38</v>
      </c>
    </row>
    <row r="79" spans="1:14" ht="15.75" x14ac:dyDescent="0.2">
      <c r="A79" s="12" t="s">
        <v>30</v>
      </c>
      <c r="B79" s="355"/>
      <c r="C79" s="355"/>
      <c r="D79" s="251"/>
      <c r="E79" s="170"/>
      <c r="F79" s="354"/>
      <c r="G79" s="354"/>
      <c r="H79" s="251"/>
      <c r="I79" s="170"/>
      <c r="J79" s="311"/>
      <c r="K79" s="318"/>
      <c r="L79" s="255"/>
      <c r="M79" s="170"/>
    </row>
    <row r="80" spans="1:14" x14ac:dyDescent="0.2">
      <c r="A80" s="18" t="s">
        <v>9</v>
      </c>
      <c r="B80" s="37"/>
      <c r="C80" s="139"/>
      <c r="D80" s="159"/>
      <c r="E80" s="170"/>
      <c r="F80" s="229"/>
      <c r="G80" s="139"/>
      <c r="H80" s="159"/>
      <c r="I80" s="170"/>
      <c r="J80" s="288"/>
      <c r="K80" s="37"/>
      <c r="L80" s="256"/>
      <c r="M80" s="170"/>
    </row>
    <row r="81" spans="1:14" x14ac:dyDescent="0.2">
      <c r="A81" s="18" t="s">
        <v>10</v>
      </c>
      <c r="B81" s="293"/>
      <c r="C81" s="294"/>
      <c r="D81" s="159"/>
      <c r="E81" s="170"/>
      <c r="F81" s="293"/>
      <c r="G81" s="294"/>
      <c r="H81" s="159"/>
      <c r="I81" s="170"/>
      <c r="J81" s="288"/>
      <c r="K81" s="37"/>
      <c r="L81" s="256"/>
      <c r="M81" s="170"/>
    </row>
    <row r="82" spans="1:14" ht="15.75" x14ac:dyDescent="0.2">
      <c r="A82" s="298" t="s">
        <v>330</v>
      </c>
      <c r="B82" s="282"/>
      <c r="C82" s="282"/>
      <c r="D82" s="159"/>
      <c r="E82" s="237"/>
      <c r="F82" s="282"/>
      <c r="G82" s="282"/>
      <c r="H82" s="159"/>
      <c r="I82" s="237"/>
      <c r="J82" s="291"/>
      <c r="K82" s="291"/>
      <c r="L82" s="159"/>
      <c r="M82" s="159"/>
    </row>
    <row r="83" spans="1:14" x14ac:dyDescent="0.2">
      <c r="A83" s="298" t="s">
        <v>12</v>
      </c>
      <c r="B83" s="295"/>
      <c r="C83" s="296"/>
      <c r="D83" s="159"/>
      <c r="E83" s="237"/>
      <c r="F83" s="282"/>
      <c r="G83" s="282"/>
      <c r="H83" s="159"/>
      <c r="I83" s="237"/>
      <c r="J83" s="291"/>
      <c r="K83" s="291"/>
      <c r="L83" s="159"/>
      <c r="M83" s="159"/>
    </row>
    <row r="84" spans="1:14" x14ac:dyDescent="0.2">
      <c r="A84" s="298" t="s">
        <v>13</v>
      </c>
      <c r="B84" s="230"/>
      <c r="C84" s="290"/>
      <c r="D84" s="159"/>
      <c r="E84" s="237"/>
      <c r="F84" s="282"/>
      <c r="G84" s="282"/>
      <c r="H84" s="159"/>
      <c r="I84" s="237"/>
      <c r="J84" s="291"/>
      <c r="K84" s="291"/>
      <c r="L84" s="159"/>
      <c r="M84" s="159"/>
    </row>
    <row r="85" spans="1:14" ht="15.75" x14ac:dyDescent="0.2">
      <c r="A85" s="298" t="s">
        <v>331</v>
      </c>
      <c r="B85" s="282"/>
      <c r="C85" s="282"/>
      <c r="D85" s="159"/>
      <c r="E85" s="237"/>
      <c r="F85" s="282"/>
      <c r="G85" s="282"/>
      <c r="H85" s="159"/>
      <c r="I85" s="237"/>
      <c r="J85" s="291"/>
      <c r="K85" s="291"/>
      <c r="L85" s="159"/>
      <c r="M85" s="159"/>
    </row>
    <row r="86" spans="1:14" x14ac:dyDescent="0.2">
      <c r="A86" s="298" t="s">
        <v>12</v>
      </c>
      <c r="B86" s="230"/>
      <c r="C86" s="290"/>
      <c r="D86" s="159"/>
      <c r="E86" s="237"/>
      <c r="F86" s="282"/>
      <c r="G86" s="282"/>
      <c r="H86" s="159"/>
      <c r="I86" s="237"/>
      <c r="J86" s="291"/>
      <c r="K86" s="291"/>
      <c r="L86" s="159"/>
      <c r="M86" s="159"/>
    </row>
    <row r="87" spans="1:14" s="3" customFormat="1" x14ac:dyDescent="0.2">
      <c r="A87" s="298" t="s">
        <v>13</v>
      </c>
      <c r="B87" s="230"/>
      <c r="C87" s="290"/>
      <c r="D87" s="159"/>
      <c r="E87" s="237"/>
      <c r="F87" s="282"/>
      <c r="G87" s="282"/>
      <c r="H87" s="159"/>
      <c r="I87" s="237"/>
      <c r="J87" s="291"/>
      <c r="K87" s="291"/>
      <c r="L87" s="159"/>
      <c r="M87" s="159"/>
      <c r="N87" s="142"/>
    </row>
    <row r="88" spans="1:14" s="3" customFormat="1" x14ac:dyDescent="0.2">
      <c r="A88" s="18" t="s">
        <v>33</v>
      </c>
      <c r="B88" s="229"/>
      <c r="C88" s="139"/>
      <c r="D88" s="159"/>
      <c r="E88" s="170"/>
      <c r="F88" s="229"/>
      <c r="G88" s="139"/>
      <c r="H88" s="159"/>
      <c r="I88" s="170"/>
      <c r="J88" s="288"/>
      <c r="K88" s="37"/>
      <c r="L88" s="256"/>
      <c r="M88" s="170"/>
      <c r="N88" s="142"/>
    </row>
    <row r="89" spans="1:14" ht="15.75" x14ac:dyDescent="0.2">
      <c r="A89" s="18" t="s">
        <v>332</v>
      </c>
      <c r="B89" s="229"/>
      <c r="C89" s="229"/>
      <c r="D89" s="159"/>
      <c r="E89" s="170"/>
      <c r="F89" s="229"/>
      <c r="G89" s="139"/>
      <c r="H89" s="159"/>
      <c r="I89" s="170"/>
      <c r="J89" s="288"/>
      <c r="K89" s="37"/>
      <c r="L89" s="256"/>
      <c r="M89" s="170"/>
    </row>
    <row r="90" spans="1:14" x14ac:dyDescent="0.2">
      <c r="A90" s="18" t="s">
        <v>9</v>
      </c>
      <c r="B90" s="229"/>
      <c r="C90" s="139"/>
      <c r="D90" s="159"/>
      <c r="E90" s="170"/>
      <c r="F90" s="229"/>
      <c r="G90" s="139"/>
      <c r="H90" s="159"/>
      <c r="I90" s="170"/>
      <c r="J90" s="288"/>
      <c r="K90" s="37"/>
      <c r="L90" s="256"/>
      <c r="M90" s="170"/>
    </row>
    <row r="91" spans="1:14" x14ac:dyDescent="0.2">
      <c r="A91" s="18" t="s">
        <v>10</v>
      </c>
      <c r="B91" s="293"/>
      <c r="C91" s="294"/>
      <c r="D91" s="159"/>
      <c r="E91" s="170"/>
      <c r="F91" s="293"/>
      <c r="G91" s="294"/>
      <c r="H91" s="159"/>
      <c r="I91" s="170"/>
      <c r="J91" s="288"/>
      <c r="K91" s="37"/>
      <c r="L91" s="256"/>
      <c r="M91" s="170"/>
    </row>
    <row r="92" spans="1:14" ht="15.75" x14ac:dyDescent="0.2">
      <c r="A92" s="298" t="s">
        <v>330</v>
      </c>
      <c r="B92" s="282"/>
      <c r="C92" s="282"/>
      <c r="D92" s="159"/>
      <c r="E92" s="237"/>
      <c r="F92" s="282"/>
      <c r="G92" s="282"/>
      <c r="H92" s="159"/>
      <c r="I92" s="237"/>
      <c r="J92" s="291"/>
      <c r="K92" s="291"/>
      <c r="L92" s="159"/>
      <c r="M92" s="159"/>
    </row>
    <row r="93" spans="1:14" x14ac:dyDescent="0.2">
      <c r="A93" s="298" t="s">
        <v>12</v>
      </c>
      <c r="B93" s="230"/>
      <c r="C93" s="290"/>
      <c r="D93" s="159"/>
      <c r="E93" s="237"/>
      <c r="F93" s="282"/>
      <c r="G93" s="282"/>
      <c r="H93" s="159"/>
      <c r="I93" s="237"/>
      <c r="J93" s="291"/>
      <c r="K93" s="291"/>
      <c r="L93" s="159"/>
      <c r="M93" s="159"/>
    </row>
    <row r="94" spans="1:14" x14ac:dyDescent="0.2">
      <c r="A94" s="298" t="s">
        <v>13</v>
      </c>
      <c r="B94" s="230"/>
      <c r="C94" s="290"/>
      <c r="D94" s="159"/>
      <c r="E94" s="237"/>
      <c r="F94" s="282"/>
      <c r="G94" s="282"/>
      <c r="H94" s="159"/>
      <c r="I94" s="237"/>
      <c r="J94" s="291"/>
      <c r="K94" s="291"/>
      <c r="L94" s="159"/>
      <c r="M94" s="159"/>
    </row>
    <row r="95" spans="1:14" ht="15.75" x14ac:dyDescent="0.2">
      <c r="A95" s="298" t="s">
        <v>331</v>
      </c>
      <c r="B95" s="282"/>
      <c r="C95" s="282"/>
      <c r="D95" s="159"/>
      <c r="E95" s="237"/>
      <c r="F95" s="282"/>
      <c r="G95" s="282"/>
      <c r="H95" s="159"/>
      <c r="I95" s="237"/>
      <c r="J95" s="291"/>
      <c r="K95" s="291"/>
      <c r="L95" s="159"/>
      <c r="M95" s="159"/>
    </row>
    <row r="96" spans="1:14" x14ac:dyDescent="0.2">
      <c r="A96" s="298" t="s">
        <v>12</v>
      </c>
      <c r="B96" s="230"/>
      <c r="C96" s="290"/>
      <c r="D96" s="159"/>
      <c r="E96" s="237"/>
      <c r="F96" s="282"/>
      <c r="G96" s="282"/>
      <c r="H96" s="159"/>
      <c r="I96" s="237"/>
      <c r="J96" s="291"/>
      <c r="K96" s="291"/>
      <c r="L96" s="159"/>
      <c r="M96" s="159"/>
    </row>
    <row r="97" spans="1:13" x14ac:dyDescent="0.2">
      <c r="A97" s="298" t="s">
        <v>13</v>
      </c>
      <c r="B97" s="230"/>
      <c r="C97" s="290"/>
      <c r="D97" s="159"/>
      <c r="E97" s="237"/>
      <c r="F97" s="282"/>
      <c r="G97" s="282"/>
      <c r="H97" s="159"/>
      <c r="I97" s="237"/>
      <c r="J97" s="291"/>
      <c r="K97" s="291"/>
      <c r="L97" s="159"/>
      <c r="M97" s="159"/>
    </row>
    <row r="98" spans="1:13" ht="15.75" x14ac:dyDescent="0.2">
      <c r="A98" s="18" t="s">
        <v>342</v>
      </c>
      <c r="B98" s="229"/>
      <c r="C98" s="139"/>
      <c r="D98" s="159"/>
      <c r="E98" s="170"/>
      <c r="F98" s="229"/>
      <c r="G98" s="139"/>
      <c r="H98" s="159"/>
      <c r="I98" s="170"/>
      <c r="J98" s="288"/>
      <c r="K98" s="37"/>
      <c r="L98" s="256"/>
      <c r="M98" s="170"/>
    </row>
    <row r="99" spans="1:13" ht="15.75" x14ac:dyDescent="0.2">
      <c r="A99" s="11" t="s">
        <v>29</v>
      </c>
      <c r="B99" s="310"/>
      <c r="C99" s="310"/>
      <c r="D99" s="159"/>
      <c r="E99" s="170"/>
      <c r="F99" s="310"/>
      <c r="G99" s="310"/>
      <c r="H99" s="159"/>
      <c r="I99" s="170"/>
      <c r="J99" s="311"/>
      <c r="K99" s="231"/>
      <c r="L99" s="256"/>
      <c r="M99" s="170"/>
    </row>
    <row r="100" spans="1:13" x14ac:dyDescent="0.2">
      <c r="A100" s="18" t="s">
        <v>9</v>
      </c>
      <c r="B100" s="229"/>
      <c r="C100" s="139"/>
      <c r="D100" s="159"/>
      <c r="E100" s="170"/>
      <c r="F100" s="229"/>
      <c r="G100" s="139"/>
      <c r="H100" s="159"/>
      <c r="I100" s="170"/>
      <c r="J100" s="288"/>
      <c r="K100" s="37"/>
      <c r="L100" s="256"/>
      <c r="M100" s="170"/>
    </row>
    <row r="101" spans="1:13" x14ac:dyDescent="0.2">
      <c r="A101" s="18" t="s">
        <v>10</v>
      </c>
      <c r="B101" s="229"/>
      <c r="C101" s="139"/>
      <c r="D101" s="159"/>
      <c r="E101" s="170"/>
      <c r="F101" s="293"/>
      <c r="G101" s="293"/>
      <c r="H101" s="159"/>
      <c r="I101" s="170"/>
      <c r="J101" s="288"/>
      <c r="K101" s="37"/>
      <c r="L101" s="256"/>
      <c r="M101" s="170"/>
    </row>
    <row r="102" spans="1:13" ht="15.75" x14ac:dyDescent="0.2">
      <c r="A102" s="298" t="s">
        <v>330</v>
      </c>
      <c r="B102" s="282"/>
      <c r="C102" s="282"/>
      <c r="D102" s="159"/>
      <c r="E102" s="237"/>
      <c r="F102" s="282"/>
      <c r="G102" s="282"/>
      <c r="H102" s="159"/>
      <c r="I102" s="237"/>
      <c r="J102" s="291"/>
      <c r="K102" s="291"/>
      <c r="L102" s="159"/>
      <c r="M102" s="159"/>
    </row>
    <row r="103" spans="1:13" x14ac:dyDescent="0.2">
      <c r="A103" s="298" t="s">
        <v>12</v>
      </c>
      <c r="B103" s="230"/>
      <c r="C103" s="290"/>
      <c r="D103" s="159"/>
      <c r="E103" s="237"/>
      <c r="F103" s="282"/>
      <c r="G103" s="282"/>
      <c r="H103" s="159"/>
      <c r="I103" s="237"/>
      <c r="J103" s="291"/>
      <c r="K103" s="291"/>
      <c r="L103" s="159"/>
      <c r="M103" s="159"/>
    </row>
    <row r="104" spans="1:13" x14ac:dyDescent="0.2">
      <c r="A104" s="298" t="s">
        <v>13</v>
      </c>
      <c r="B104" s="230"/>
      <c r="C104" s="290"/>
      <c r="D104" s="159"/>
      <c r="E104" s="237"/>
      <c r="F104" s="282"/>
      <c r="G104" s="282"/>
      <c r="H104" s="159"/>
      <c r="I104" s="237"/>
      <c r="J104" s="291"/>
      <c r="K104" s="291"/>
      <c r="L104" s="159"/>
      <c r="M104" s="159"/>
    </row>
    <row r="105" spans="1:13" ht="15.75" x14ac:dyDescent="0.2">
      <c r="A105" s="298" t="s">
        <v>331</v>
      </c>
      <c r="B105" s="282"/>
      <c r="C105" s="282"/>
      <c r="D105" s="159"/>
      <c r="E105" s="237"/>
      <c r="F105" s="282"/>
      <c r="G105" s="282"/>
      <c r="H105" s="159"/>
      <c r="I105" s="237"/>
      <c r="J105" s="291"/>
      <c r="K105" s="291"/>
      <c r="L105" s="159"/>
      <c r="M105" s="159"/>
    </row>
    <row r="106" spans="1:13" x14ac:dyDescent="0.2">
      <c r="A106" s="298" t="s">
        <v>12</v>
      </c>
      <c r="B106" s="230"/>
      <c r="C106" s="290"/>
      <c r="D106" s="159"/>
      <c r="E106" s="237"/>
      <c r="F106" s="282"/>
      <c r="G106" s="282"/>
      <c r="H106" s="159"/>
      <c r="I106" s="237"/>
      <c r="J106" s="291"/>
      <c r="K106" s="291"/>
      <c r="L106" s="159"/>
      <c r="M106" s="159"/>
    </row>
    <row r="107" spans="1:13" x14ac:dyDescent="0.2">
      <c r="A107" s="298" t="s">
        <v>13</v>
      </c>
      <c r="B107" s="230"/>
      <c r="C107" s="290"/>
      <c r="D107" s="159"/>
      <c r="E107" s="237"/>
      <c r="F107" s="282"/>
      <c r="G107" s="282"/>
      <c r="H107" s="159"/>
      <c r="I107" s="237"/>
      <c r="J107" s="291"/>
      <c r="K107" s="291"/>
      <c r="L107" s="159"/>
      <c r="M107" s="159"/>
    </row>
    <row r="108" spans="1:13" x14ac:dyDescent="0.2">
      <c r="A108" s="18" t="s">
        <v>33</v>
      </c>
      <c r="B108" s="229"/>
      <c r="C108" s="139"/>
      <c r="D108" s="159"/>
      <c r="E108" s="170"/>
      <c r="F108" s="229"/>
      <c r="G108" s="139"/>
      <c r="H108" s="159"/>
      <c r="I108" s="170"/>
      <c r="J108" s="288"/>
      <c r="K108" s="37"/>
      <c r="L108" s="256"/>
      <c r="M108" s="170"/>
    </row>
    <row r="109" spans="1:13" ht="15.75" x14ac:dyDescent="0.2">
      <c r="A109" s="18" t="s">
        <v>332</v>
      </c>
      <c r="B109" s="229"/>
      <c r="C109" s="139"/>
      <c r="D109" s="159"/>
      <c r="E109" s="170"/>
      <c r="F109" s="293"/>
      <c r="G109" s="293"/>
      <c r="H109" s="159"/>
      <c r="I109" s="170"/>
      <c r="J109" s="288"/>
      <c r="K109" s="37"/>
      <c r="L109" s="256"/>
      <c r="M109" s="170"/>
    </row>
    <row r="110" spans="1:13" x14ac:dyDescent="0.2">
      <c r="A110" s="18" t="s">
        <v>9</v>
      </c>
      <c r="B110" s="229"/>
      <c r="C110" s="139"/>
      <c r="D110" s="159"/>
      <c r="E110" s="170"/>
      <c r="F110" s="293"/>
      <c r="G110" s="294"/>
      <c r="H110" s="159"/>
      <c r="I110" s="170"/>
      <c r="J110" s="288"/>
      <c r="K110" s="37"/>
      <c r="L110" s="256"/>
      <c r="M110" s="170"/>
    </row>
    <row r="111" spans="1:13" x14ac:dyDescent="0.2">
      <c r="A111" s="18" t="s">
        <v>10</v>
      </c>
      <c r="B111" s="293"/>
      <c r="C111" s="294"/>
      <c r="D111" s="159"/>
      <c r="E111" s="170"/>
      <c r="F111" s="293"/>
      <c r="G111" s="294"/>
      <c r="H111" s="159"/>
      <c r="I111" s="170"/>
      <c r="J111" s="288"/>
      <c r="K111" s="37"/>
      <c r="L111" s="256"/>
      <c r="M111" s="170"/>
    </row>
    <row r="112" spans="1:13" ht="15.75" x14ac:dyDescent="0.2">
      <c r="A112" s="298" t="s">
        <v>330</v>
      </c>
      <c r="B112" s="282"/>
      <c r="C112" s="282"/>
      <c r="D112" s="159"/>
      <c r="E112" s="237"/>
      <c r="F112" s="282"/>
      <c r="G112" s="282"/>
      <c r="H112" s="159"/>
      <c r="I112" s="237"/>
      <c r="J112" s="291"/>
      <c r="K112" s="291"/>
      <c r="L112" s="159"/>
      <c r="M112" s="159"/>
    </row>
    <row r="113" spans="1:13" x14ac:dyDescent="0.2">
      <c r="A113" s="298" t="s">
        <v>12</v>
      </c>
      <c r="B113" s="230"/>
      <c r="C113" s="290"/>
      <c r="D113" s="159"/>
      <c r="E113" s="237"/>
      <c r="F113" s="282"/>
      <c r="G113" s="282"/>
      <c r="H113" s="159"/>
      <c r="I113" s="237"/>
      <c r="J113" s="291"/>
      <c r="K113" s="291"/>
      <c r="L113" s="159"/>
      <c r="M113" s="159"/>
    </row>
    <row r="114" spans="1:13" x14ac:dyDescent="0.2">
      <c r="A114" s="298" t="s">
        <v>13</v>
      </c>
      <c r="B114" s="230"/>
      <c r="C114" s="290"/>
      <c r="D114" s="159"/>
      <c r="E114" s="237"/>
      <c r="F114" s="282"/>
      <c r="G114" s="282"/>
      <c r="H114" s="159"/>
      <c r="I114" s="237"/>
      <c r="J114" s="291"/>
      <c r="K114" s="291"/>
      <c r="L114" s="159"/>
      <c r="M114" s="159"/>
    </row>
    <row r="115" spans="1:13" ht="15.75" x14ac:dyDescent="0.2">
      <c r="A115" s="298" t="s">
        <v>331</v>
      </c>
      <c r="B115" s="282"/>
      <c r="C115" s="282"/>
      <c r="D115" s="159"/>
      <c r="E115" s="237"/>
      <c r="F115" s="282"/>
      <c r="G115" s="282"/>
      <c r="H115" s="159"/>
      <c r="I115" s="237"/>
      <c r="J115" s="291"/>
      <c r="K115" s="291"/>
      <c r="L115" s="159"/>
      <c r="M115" s="159"/>
    </row>
    <row r="116" spans="1:13" x14ac:dyDescent="0.2">
      <c r="A116" s="298" t="s">
        <v>12</v>
      </c>
      <c r="B116" s="230"/>
      <c r="C116" s="290"/>
      <c r="D116" s="159"/>
      <c r="E116" s="237"/>
      <c r="F116" s="282"/>
      <c r="G116" s="282"/>
      <c r="H116" s="159"/>
      <c r="I116" s="237"/>
      <c r="J116" s="291"/>
      <c r="K116" s="291"/>
      <c r="L116" s="159"/>
      <c r="M116" s="159"/>
    </row>
    <row r="117" spans="1:13" x14ac:dyDescent="0.2">
      <c r="A117" s="298" t="s">
        <v>13</v>
      </c>
      <c r="B117" s="232"/>
      <c r="C117" s="297"/>
      <c r="D117" s="159"/>
      <c r="E117" s="237"/>
      <c r="F117" s="282"/>
      <c r="G117" s="282"/>
      <c r="H117" s="159"/>
      <c r="I117" s="237"/>
      <c r="J117" s="291"/>
      <c r="K117" s="291"/>
      <c r="L117" s="159"/>
      <c r="M117" s="159"/>
    </row>
    <row r="118" spans="1:13" ht="15.75" x14ac:dyDescent="0.2">
      <c r="A118" s="18" t="s">
        <v>342</v>
      </c>
      <c r="B118" s="229"/>
      <c r="C118" s="139"/>
      <c r="D118" s="159"/>
      <c r="E118" s="170"/>
      <c r="F118" s="229"/>
      <c r="G118" s="139"/>
      <c r="H118" s="159"/>
      <c r="I118" s="170"/>
      <c r="J118" s="288"/>
      <c r="K118" s="37"/>
      <c r="L118" s="256"/>
      <c r="M118" s="170"/>
    </row>
    <row r="119" spans="1:13" ht="15.75" x14ac:dyDescent="0.2">
      <c r="A119" s="11" t="s">
        <v>28</v>
      </c>
      <c r="B119" s="355"/>
      <c r="C119" s="355"/>
      <c r="D119" s="159"/>
      <c r="E119" s="170"/>
      <c r="F119" s="354"/>
      <c r="G119" s="354"/>
      <c r="H119" s="159"/>
      <c r="I119" s="170"/>
      <c r="J119" s="311"/>
      <c r="K119" s="231"/>
      <c r="L119" s="256"/>
      <c r="M119" s="170"/>
    </row>
    <row r="120" spans="1:13" x14ac:dyDescent="0.2">
      <c r="A120" s="18" t="s">
        <v>9</v>
      </c>
      <c r="B120" s="229"/>
      <c r="C120" s="139"/>
      <c r="D120" s="159"/>
      <c r="E120" s="170"/>
      <c r="F120" s="229"/>
      <c r="G120" s="139"/>
      <c r="H120" s="159"/>
      <c r="I120" s="170"/>
      <c r="J120" s="288"/>
      <c r="K120" s="37"/>
      <c r="L120" s="256"/>
      <c r="M120" s="170"/>
    </row>
    <row r="121" spans="1:13" x14ac:dyDescent="0.2">
      <c r="A121" s="18" t="s">
        <v>10</v>
      </c>
      <c r="B121" s="229"/>
      <c r="C121" s="139"/>
      <c r="D121" s="159"/>
      <c r="E121" s="170"/>
      <c r="F121" s="229"/>
      <c r="G121" s="139"/>
      <c r="H121" s="159"/>
      <c r="I121" s="170"/>
      <c r="J121" s="288"/>
      <c r="K121" s="37"/>
      <c r="L121" s="256"/>
      <c r="M121" s="170"/>
    </row>
    <row r="122" spans="1:13" ht="15.75" x14ac:dyDescent="0.2">
      <c r="A122" s="298" t="s">
        <v>330</v>
      </c>
      <c r="B122" s="282"/>
      <c r="C122" s="282"/>
      <c r="D122" s="159"/>
      <c r="E122" s="237"/>
      <c r="F122" s="282"/>
      <c r="G122" s="282"/>
      <c r="H122" s="159"/>
      <c r="I122" s="237"/>
      <c r="J122" s="291"/>
      <c r="K122" s="291"/>
      <c r="L122" s="159"/>
      <c r="M122" s="159"/>
    </row>
    <row r="123" spans="1:13" x14ac:dyDescent="0.2">
      <c r="A123" s="298" t="s">
        <v>12</v>
      </c>
      <c r="B123" s="230"/>
      <c r="C123" s="290"/>
      <c r="D123" s="159"/>
      <c r="E123" s="237"/>
      <c r="F123" s="282"/>
      <c r="G123" s="282"/>
      <c r="H123" s="159"/>
      <c r="I123" s="237"/>
      <c r="J123" s="291"/>
      <c r="K123" s="291"/>
      <c r="L123" s="159"/>
      <c r="M123" s="159"/>
    </row>
    <row r="124" spans="1:13" x14ac:dyDescent="0.2">
      <c r="A124" s="298" t="s">
        <v>13</v>
      </c>
      <c r="B124" s="230"/>
      <c r="C124" s="290"/>
      <c r="D124" s="159"/>
      <c r="E124" s="237"/>
      <c r="F124" s="282"/>
      <c r="G124" s="282"/>
      <c r="H124" s="159"/>
      <c r="I124" s="237"/>
      <c r="J124" s="291"/>
      <c r="K124" s="291"/>
      <c r="L124" s="159"/>
      <c r="M124" s="159"/>
    </row>
    <row r="125" spans="1:13" ht="15.75" x14ac:dyDescent="0.2">
      <c r="A125" s="298" t="s">
        <v>331</v>
      </c>
      <c r="B125" s="282"/>
      <c r="C125" s="282"/>
      <c r="D125" s="159"/>
      <c r="E125" s="237"/>
      <c r="F125" s="282"/>
      <c r="G125" s="282"/>
      <c r="H125" s="159"/>
      <c r="I125" s="237"/>
      <c r="J125" s="291"/>
      <c r="K125" s="291"/>
      <c r="L125" s="159"/>
      <c r="M125" s="159"/>
    </row>
    <row r="126" spans="1:13" x14ac:dyDescent="0.2">
      <c r="A126" s="298" t="s">
        <v>12</v>
      </c>
      <c r="B126" s="230"/>
      <c r="C126" s="290"/>
      <c r="D126" s="159"/>
      <c r="E126" s="237"/>
      <c r="F126" s="282"/>
      <c r="G126" s="282"/>
      <c r="H126" s="159"/>
      <c r="I126" s="237"/>
      <c r="J126" s="291"/>
      <c r="K126" s="291"/>
      <c r="L126" s="159"/>
      <c r="M126" s="159"/>
    </row>
    <row r="127" spans="1:13" x14ac:dyDescent="0.2">
      <c r="A127" s="298" t="s">
        <v>13</v>
      </c>
      <c r="B127" s="230"/>
      <c r="C127" s="290"/>
      <c r="D127" s="159"/>
      <c r="E127" s="237"/>
      <c r="F127" s="282"/>
      <c r="G127" s="282"/>
      <c r="H127" s="159"/>
      <c r="I127" s="237"/>
      <c r="J127" s="291"/>
      <c r="K127" s="291"/>
      <c r="L127" s="159"/>
      <c r="M127" s="159"/>
    </row>
    <row r="128" spans="1:13" x14ac:dyDescent="0.2">
      <c r="A128" s="18" t="s">
        <v>34</v>
      </c>
      <c r="B128" s="229"/>
      <c r="C128" s="139"/>
      <c r="D128" s="159"/>
      <c r="E128" s="170"/>
      <c r="F128" s="229"/>
      <c r="G128" s="139"/>
      <c r="H128" s="159"/>
      <c r="I128" s="170"/>
      <c r="J128" s="288"/>
      <c r="K128" s="37"/>
      <c r="L128" s="256"/>
      <c r="M128" s="170"/>
    </row>
    <row r="129" spans="1:13" ht="15.75" x14ac:dyDescent="0.2">
      <c r="A129" s="18" t="s">
        <v>332</v>
      </c>
      <c r="B129" s="229"/>
      <c r="C129" s="229"/>
      <c r="D129" s="159"/>
      <c r="E129" s="170"/>
      <c r="F129" s="293"/>
      <c r="G129" s="293"/>
      <c r="H129" s="159"/>
      <c r="I129" s="170"/>
      <c r="J129" s="288"/>
      <c r="K129" s="37"/>
      <c r="L129" s="256"/>
      <c r="M129" s="170"/>
    </row>
    <row r="130" spans="1:13" x14ac:dyDescent="0.2">
      <c r="A130" s="18" t="s">
        <v>9</v>
      </c>
      <c r="B130" s="293"/>
      <c r="C130" s="294"/>
      <c r="D130" s="159"/>
      <c r="E130" s="170"/>
      <c r="F130" s="229"/>
      <c r="G130" s="139"/>
      <c r="H130" s="159"/>
      <c r="I130" s="170"/>
      <c r="J130" s="288"/>
      <c r="K130" s="37"/>
      <c r="L130" s="256"/>
      <c r="M130" s="170"/>
    </row>
    <row r="131" spans="1:13" x14ac:dyDescent="0.2">
      <c r="A131" s="18" t="s">
        <v>10</v>
      </c>
      <c r="B131" s="293"/>
      <c r="C131" s="294"/>
      <c r="D131" s="159"/>
      <c r="E131" s="170"/>
      <c r="F131" s="229"/>
      <c r="G131" s="229"/>
      <c r="H131" s="159"/>
      <c r="I131" s="170"/>
      <c r="J131" s="288"/>
      <c r="K131" s="37"/>
      <c r="L131" s="256"/>
      <c r="M131" s="170"/>
    </row>
    <row r="132" spans="1:13" ht="15.75" x14ac:dyDescent="0.2">
      <c r="A132" s="298" t="s">
        <v>330</v>
      </c>
      <c r="B132" s="282"/>
      <c r="C132" s="282"/>
      <c r="D132" s="159"/>
      <c r="E132" s="237"/>
      <c r="F132" s="282"/>
      <c r="G132" s="282"/>
      <c r="H132" s="159"/>
      <c r="I132" s="237"/>
      <c r="J132" s="291"/>
      <c r="K132" s="291"/>
      <c r="L132" s="159"/>
      <c r="M132" s="159"/>
    </row>
    <row r="133" spans="1:13" x14ac:dyDescent="0.2">
      <c r="A133" s="298" t="s">
        <v>12</v>
      </c>
      <c r="B133" s="230"/>
      <c r="C133" s="290"/>
      <c r="D133" s="159"/>
      <c r="E133" s="237"/>
      <c r="F133" s="282"/>
      <c r="G133" s="282"/>
      <c r="H133" s="159"/>
      <c r="I133" s="237"/>
      <c r="J133" s="291"/>
      <c r="K133" s="291"/>
      <c r="L133" s="159"/>
      <c r="M133" s="159"/>
    </row>
    <row r="134" spans="1:13" x14ac:dyDescent="0.2">
      <c r="A134" s="298" t="s">
        <v>13</v>
      </c>
      <c r="B134" s="230"/>
      <c r="C134" s="290"/>
      <c r="D134" s="159"/>
      <c r="E134" s="237"/>
      <c r="F134" s="282"/>
      <c r="G134" s="282"/>
      <c r="H134" s="159"/>
      <c r="I134" s="237"/>
      <c r="J134" s="291"/>
      <c r="K134" s="291"/>
      <c r="L134" s="159"/>
      <c r="M134" s="159"/>
    </row>
    <row r="135" spans="1:13" ht="15.75" x14ac:dyDescent="0.2">
      <c r="A135" s="298" t="s">
        <v>331</v>
      </c>
      <c r="B135" s="282"/>
      <c r="C135" s="282"/>
      <c r="D135" s="159"/>
      <c r="E135" s="237"/>
      <c r="F135" s="282"/>
      <c r="G135" s="282"/>
      <c r="H135" s="159"/>
      <c r="I135" s="237"/>
      <c r="J135" s="291"/>
      <c r="K135" s="291"/>
      <c r="L135" s="159"/>
      <c r="M135" s="159"/>
    </row>
    <row r="136" spans="1:13" x14ac:dyDescent="0.2">
      <c r="A136" s="298" t="s">
        <v>12</v>
      </c>
      <c r="B136" s="230"/>
      <c r="C136" s="290"/>
      <c r="D136" s="159"/>
      <c r="E136" s="237"/>
      <c r="F136" s="282"/>
      <c r="G136" s="282"/>
      <c r="H136" s="159"/>
      <c r="I136" s="237"/>
      <c r="J136" s="291"/>
      <c r="K136" s="291"/>
      <c r="L136" s="159"/>
      <c r="M136" s="159"/>
    </row>
    <row r="137" spans="1:13" x14ac:dyDescent="0.2">
      <c r="A137" s="298" t="s">
        <v>13</v>
      </c>
      <c r="B137" s="230"/>
      <c r="C137" s="290"/>
      <c r="D137" s="159"/>
      <c r="E137" s="237"/>
      <c r="F137" s="282"/>
      <c r="G137" s="282"/>
      <c r="H137" s="159"/>
      <c r="I137" s="237"/>
      <c r="J137" s="291"/>
      <c r="K137" s="291"/>
      <c r="L137" s="159"/>
      <c r="M137" s="159"/>
    </row>
    <row r="138" spans="1:13" ht="15.75" x14ac:dyDescent="0.2">
      <c r="A138" s="18" t="s">
        <v>342</v>
      </c>
      <c r="B138" s="229"/>
      <c r="C138" s="139"/>
      <c r="D138" s="159"/>
      <c r="E138" s="170"/>
      <c r="F138" s="229"/>
      <c r="G138" s="139"/>
      <c r="H138" s="159"/>
      <c r="I138" s="170"/>
      <c r="J138" s="288"/>
      <c r="K138" s="37"/>
      <c r="L138" s="256"/>
      <c r="M138" s="170"/>
    </row>
    <row r="139" spans="1:13" ht="15.75" x14ac:dyDescent="0.2">
      <c r="A139" s="18" t="s">
        <v>343</v>
      </c>
      <c r="B139" s="229"/>
      <c r="C139" s="229"/>
      <c r="D139" s="159"/>
      <c r="E139" s="170"/>
      <c r="F139" s="229"/>
      <c r="G139" s="229"/>
      <c r="H139" s="159"/>
      <c r="I139" s="170"/>
      <c r="J139" s="288"/>
      <c r="K139" s="37"/>
      <c r="L139" s="256"/>
      <c r="M139" s="170"/>
    </row>
    <row r="140" spans="1:13" ht="15.75" x14ac:dyDescent="0.2">
      <c r="A140" s="18" t="s">
        <v>334</v>
      </c>
      <c r="B140" s="229"/>
      <c r="C140" s="229"/>
      <c r="D140" s="159"/>
      <c r="E140" s="170"/>
      <c r="F140" s="229"/>
      <c r="G140" s="229"/>
      <c r="H140" s="159"/>
      <c r="I140" s="170"/>
      <c r="J140" s="288"/>
      <c r="K140" s="37"/>
      <c r="L140" s="256"/>
      <c r="M140" s="170"/>
    </row>
    <row r="141" spans="1:13" ht="15.75" x14ac:dyDescent="0.2">
      <c r="A141" s="18" t="s">
        <v>335</v>
      </c>
      <c r="B141" s="229"/>
      <c r="C141" s="229"/>
      <c r="D141" s="159"/>
      <c r="E141" s="170"/>
      <c r="F141" s="229"/>
      <c r="G141" s="229"/>
      <c r="H141" s="159"/>
      <c r="I141" s="170"/>
      <c r="J141" s="288"/>
      <c r="K141" s="37"/>
      <c r="L141" s="256"/>
      <c r="M141" s="170"/>
    </row>
    <row r="142" spans="1:13" ht="15.75" x14ac:dyDescent="0.2">
      <c r="A142" s="11" t="s">
        <v>27</v>
      </c>
      <c r="B142" s="310"/>
      <c r="C142" s="152"/>
      <c r="D142" s="159"/>
      <c r="E142" s="170"/>
      <c r="F142" s="310"/>
      <c r="G142" s="152"/>
      <c r="H142" s="159"/>
      <c r="I142" s="170"/>
      <c r="J142" s="311"/>
      <c r="K142" s="231"/>
      <c r="L142" s="256"/>
      <c r="M142" s="170"/>
    </row>
    <row r="143" spans="1:13" x14ac:dyDescent="0.2">
      <c r="A143" s="18" t="s">
        <v>9</v>
      </c>
      <c r="B143" s="229"/>
      <c r="C143" s="139"/>
      <c r="D143" s="159"/>
      <c r="E143" s="170"/>
      <c r="F143" s="229"/>
      <c r="G143" s="139"/>
      <c r="H143" s="159"/>
      <c r="I143" s="170"/>
      <c r="J143" s="288"/>
      <c r="K143" s="37"/>
      <c r="L143" s="256"/>
      <c r="M143" s="170"/>
    </row>
    <row r="144" spans="1:13" x14ac:dyDescent="0.2">
      <c r="A144" s="18" t="s">
        <v>10</v>
      </c>
      <c r="B144" s="229"/>
      <c r="C144" s="139"/>
      <c r="D144" s="159"/>
      <c r="E144" s="170"/>
      <c r="F144" s="229"/>
      <c r="G144" s="139"/>
      <c r="H144" s="159"/>
      <c r="I144" s="170"/>
      <c r="J144" s="288"/>
      <c r="K144" s="37"/>
      <c r="L144" s="256"/>
      <c r="M144" s="170"/>
    </row>
    <row r="145" spans="1:14" x14ac:dyDescent="0.2">
      <c r="A145" s="18" t="s">
        <v>34</v>
      </c>
      <c r="B145" s="229"/>
      <c r="C145" s="139"/>
      <c r="D145" s="159"/>
      <c r="E145" s="170"/>
      <c r="F145" s="229"/>
      <c r="G145" s="139"/>
      <c r="H145" s="159"/>
      <c r="I145" s="170"/>
      <c r="J145" s="288"/>
      <c r="K145" s="37"/>
      <c r="L145" s="256"/>
      <c r="M145" s="170"/>
    </row>
    <row r="146" spans="1:14" x14ac:dyDescent="0.2">
      <c r="A146" s="298" t="s">
        <v>15</v>
      </c>
      <c r="B146" s="282"/>
      <c r="C146" s="282"/>
      <c r="D146" s="159"/>
      <c r="E146" s="237"/>
      <c r="F146" s="282"/>
      <c r="G146" s="282"/>
      <c r="H146" s="159"/>
      <c r="I146" s="237"/>
      <c r="J146" s="291"/>
      <c r="K146" s="291"/>
      <c r="L146" s="159"/>
      <c r="M146" s="159"/>
    </row>
    <row r="147" spans="1:14" ht="15.75" x14ac:dyDescent="0.2">
      <c r="A147" s="18" t="s">
        <v>344</v>
      </c>
      <c r="B147" s="229"/>
      <c r="C147" s="229"/>
      <c r="D147" s="159"/>
      <c r="E147" s="170"/>
      <c r="F147" s="229"/>
      <c r="G147" s="229"/>
      <c r="H147" s="159"/>
      <c r="I147" s="170"/>
      <c r="J147" s="288"/>
      <c r="K147" s="37"/>
      <c r="L147" s="256"/>
      <c r="M147" s="170"/>
    </row>
    <row r="148" spans="1:14" ht="15.75" x14ac:dyDescent="0.2">
      <c r="A148" s="18" t="s">
        <v>336</v>
      </c>
      <c r="B148" s="229"/>
      <c r="C148" s="229"/>
      <c r="D148" s="159"/>
      <c r="E148" s="170"/>
      <c r="F148" s="229"/>
      <c r="G148" s="229"/>
      <c r="H148" s="159"/>
      <c r="I148" s="170"/>
      <c r="J148" s="288"/>
      <c r="K148" s="37"/>
      <c r="L148" s="256"/>
      <c r="M148" s="170"/>
    </row>
    <row r="149" spans="1:14" ht="15.75" x14ac:dyDescent="0.2">
      <c r="A149" s="18" t="s">
        <v>335</v>
      </c>
      <c r="B149" s="229"/>
      <c r="C149" s="229"/>
      <c r="D149" s="159"/>
      <c r="E149" s="170"/>
      <c r="F149" s="229"/>
      <c r="G149" s="229"/>
      <c r="H149" s="159"/>
      <c r="I149" s="170"/>
      <c r="J149" s="288"/>
      <c r="K149" s="37"/>
      <c r="L149" s="256"/>
      <c r="M149" s="170"/>
    </row>
    <row r="150" spans="1:14" ht="15.75" x14ac:dyDescent="0.2">
      <c r="A150" s="11" t="s">
        <v>26</v>
      </c>
      <c r="B150" s="310"/>
      <c r="C150" s="152"/>
      <c r="D150" s="159"/>
      <c r="E150" s="170"/>
      <c r="F150" s="310"/>
      <c r="G150" s="152"/>
      <c r="H150" s="159"/>
      <c r="I150" s="170"/>
      <c r="J150" s="311"/>
      <c r="K150" s="231"/>
      <c r="L150" s="256"/>
      <c r="M150" s="170"/>
    </row>
    <row r="151" spans="1:14" x14ac:dyDescent="0.2">
      <c r="A151" s="18" t="s">
        <v>9</v>
      </c>
      <c r="B151" s="229"/>
      <c r="C151" s="139"/>
      <c r="D151" s="159"/>
      <c r="E151" s="170"/>
      <c r="F151" s="229"/>
      <c r="G151" s="139"/>
      <c r="H151" s="159"/>
      <c r="I151" s="170"/>
      <c r="J151" s="288"/>
      <c r="K151" s="37"/>
      <c r="L151" s="256"/>
      <c r="M151" s="170"/>
    </row>
    <row r="152" spans="1:14" x14ac:dyDescent="0.2">
      <c r="A152" s="18" t="s">
        <v>10</v>
      </c>
      <c r="B152" s="229"/>
      <c r="C152" s="139"/>
      <c r="D152" s="159"/>
      <c r="E152" s="170"/>
      <c r="F152" s="229"/>
      <c r="G152" s="139"/>
      <c r="H152" s="159"/>
      <c r="I152" s="170"/>
      <c r="J152" s="288"/>
      <c r="K152" s="37"/>
      <c r="L152" s="256"/>
      <c r="M152" s="170"/>
    </row>
    <row r="153" spans="1:14" x14ac:dyDescent="0.2">
      <c r="A153" s="18" t="s">
        <v>34</v>
      </c>
      <c r="B153" s="229"/>
      <c r="C153" s="139"/>
      <c r="D153" s="159"/>
      <c r="E153" s="170"/>
      <c r="F153" s="229"/>
      <c r="G153" s="139"/>
      <c r="H153" s="159"/>
      <c r="I153" s="170"/>
      <c r="J153" s="288"/>
      <c r="K153" s="37"/>
      <c r="L153" s="256"/>
      <c r="M153" s="170"/>
    </row>
    <row r="154" spans="1:14" x14ac:dyDescent="0.2">
      <c r="A154" s="298" t="s">
        <v>14</v>
      </c>
      <c r="B154" s="282"/>
      <c r="C154" s="282"/>
      <c r="D154" s="159"/>
      <c r="E154" s="237"/>
      <c r="F154" s="282"/>
      <c r="G154" s="282"/>
      <c r="H154" s="159"/>
      <c r="I154" s="237"/>
      <c r="J154" s="291"/>
      <c r="K154" s="291"/>
      <c r="L154" s="159"/>
      <c r="M154" s="159"/>
    </row>
    <row r="155" spans="1:14" ht="15.75" x14ac:dyDescent="0.2">
      <c r="A155" s="18" t="s">
        <v>333</v>
      </c>
      <c r="B155" s="229"/>
      <c r="C155" s="229"/>
      <c r="D155" s="159"/>
      <c r="E155" s="170"/>
      <c r="F155" s="229"/>
      <c r="G155" s="229"/>
      <c r="H155" s="159"/>
      <c r="I155" s="170"/>
      <c r="J155" s="288"/>
      <c r="K155" s="37"/>
      <c r="L155" s="256"/>
      <c r="M155" s="170"/>
    </row>
    <row r="156" spans="1:14" ht="15.75" x14ac:dyDescent="0.2">
      <c r="A156" s="18" t="s">
        <v>334</v>
      </c>
      <c r="B156" s="229"/>
      <c r="C156" s="229"/>
      <c r="D156" s="159"/>
      <c r="E156" s="170"/>
      <c r="F156" s="229"/>
      <c r="G156" s="229"/>
      <c r="H156" s="159"/>
      <c r="I156" s="170"/>
      <c r="J156" s="288"/>
      <c r="K156" s="37"/>
      <c r="L156" s="256"/>
      <c r="M156" s="170"/>
    </row>
    <row r="157" spans="1:14" ht="15.75" x14ac:dyDescent="0.2">
      <c r="A157" s="9" t="s">
        <v>335</v>
      </c>
      <c r="B157" s="38"/>
      <c r="C157" s="38"/>
      <c r="D157" s="160"/>
      <c r="E157" s="201"/>
      <c r="F157" s="38"/>
      <c r="G157" s="38"/>
      <c r="H157" s="160"/>
      <c r="I157" s="160"/>
      <c r="J157" s="289"/>
      <c r="K157" s="38"/>
      <c r="L157" s="257"/>
      <c r="M157" s="160"/>
    </row>
    <row r="158" spans="1:14" x14ac:dyDescent="0.2">
      <c r="A158" s="148"/>
      <c r="L158" s="20"/>
      <c r="M158" s="20"/>
      <c r="N158" s="20"/>
    </row>
    <row r="159" spans="1:14" x14ac:dyDescent="0.2">
      <c r="L159" s="20"/>
      <c r="M159" s="20"/>
      <c r="N159" s="20"/>
    </row>
    <row r="160" spans="1:14" ht="15.75" x14ac:dyDescent="0.25">
      <c r="A160" s="158" t="s">
        <v>35</v>
      </c>
    </row>
    <row r="161" spans="1:14" ht="15.75" x14ac:dyDescent="0.25">
      <c r="B161" s="832"/>
      <c r="C161" s="832"/>
      <c r="D161" s="832"/>
      <c r="E161" s="301"/>
      <c r="F161" s="832"/>
      <c r="G161" s="832"/>
      <c r="H161" s="832"/>
      <c r="I161" s="301"/>
      <c r="J161" s="832"/>
      <c r="K161" s="832"/>
      <c r="L161" s="832"/>
      <c r="M161" s="301"/>
    </row>
    <row r="162" spans="1:14" s="3" customFormat="1" x14ac:dyDescent="0.2">
      <c r="A162" s="138"/>
      <c r="B162" s="833" t="s">
        <v>0</v>
      </c>
      <c r="C162" s="834"/>
      <c r="D162" s="834"/>
      <c r="E162" s="303"/>
      <c r="F162" s="833" t="s">
        <v>1</v>
      </c>
      <c r="G162" s="834"/>
      <c r="H162" s="834"/>
      <c r="I162" s="306"/>
      <c r="J162" s="833" t="s">
        <v>2</v>
      </c>
      <c r="K162" s="834"/>
      <c r="L162" s="834"/>
      <c r="M162" s="306"/>
      <c r="N162" s="142"/>
    </row>
    <row r="163" spans="1:14" s="3" customFormat="1" x14ac:dyDescent="0.2">
      <c r="A163" s="134"/>
      <c r="B163" s="145" t="s">
        <v>400</v>
      </c>
      <c r="C163" s="145" t="s">
        <v>401</v>
      </c>
      <c r="D163" s="242" t="s">
        <v>3</v>
      </c>
      <c r="E163" s="307" t="s">
        <v>37</v>
      </c>
      <c r="F163" s="145" t="s">
        <v>400</v>
      </c>
      <c r="G163" s="145" t="s">
        <v>401</v>
      </c>
      <c r="H163" s="242" t="s">
        <v>3</v>
      </c>
      <c r="I163" s="307" t="s">
        <v>37</v>
      </c>
      <c r="J163" s="145" t="s">
        <v>400</v>
      </c>
      <c r="K163" s="145" t="s">
        <v>401</v>
      </c>
      <c r="L163" s="242" t="s">
        <v>3</v>
      </c>
      <c r="M163" s="155" t="s">
        <v>37</v>
      </c>
      <c r="N163" s="142"/>
    </row>
    <row r="164" spans="1:14" s="3" customFormat="1" x14ac:dyDescent="0.2">
      <c r="A164" s="403"/>
      <c r="B164" s="149"/>
      <c r="C164" s="149"/>
      <c r="D164" s="243" t="s">
        <v>4</v>
      </c>
      <c r="E164" s="149" t="s">
        <v>38</v>
      </c>
      <c r="F164" s="154"/>
      <c r="G164" s="154"/>
      <c r="H164" s="242" t="s">
        <v>4</v>
      </c>
      <c r="I164" s="149" t="s">
        <v>38</v>
      </c>
      <c r="J164" s="154"/>
      <c r="K164" s="154"/>
      <c r="L164" s="242" t="s">
        <v>4</v>
      </c>
      <c r="M164" s="149" t="s">
        <v>38</v>
      </c>
      <c r="N164" s="142"/>
    </row>
    <row r="165" spans="1:14" s="3" customFormat="1" ht="15.75" x14ac:dyDescent="0.2">
      <c r="A165" s="12" t="s">
        <v>337</v>
      </c>
      <c r="B165" s="231"/>
      <c r="C165" s="311"/>
      <c r="D165" s="251"/>
      <c r="E165" s="170"/>
      <c r="F165" s="318"/>
      <c r="G165" s="319"/>
      <c r="H165" s="252"/>
      <c r="I165" s="159"/>
      <c r="J165" s="320"/>
      <c r="K165" s="320"/>
      <c r="L165" s="255"/>
      <c r="M165" s="170"/>
      <c r="N165" s="142"/>
    </row>
    <row r="166" spans="1:14" s="3" customFormat="1" ht="15.75" x14ac:dyDescent="0.2">
      <c r="A166" s="11" t="s">
        <v>338</v>
      </c>
      <c r="B166" s="231"/>
      <c r="C166" s="311"/>
      <c r="D166" s="159"/>
      <c r="E166" s="170"/>
      <c r="F166" s="231"/>
      <c r="G166" s="311"/>
      <c r="H166" s="236"/>
      <c r="I166" s="159"/>
      <c r="J166" s="310"/>
      <c r="K166" s="310"/>
      <c r="L166" s="256"/>
      <c r="M166" s="170"/>
      <c r="N166" s="142"/>
    </row>
    <row r="167" spans="1:14" s="3" customFormat="1" ht="15.75" x14ac:dyDescent="0.2">
      <c r="A167" s="11" t="s">
        <v>339</v>
      </c>
      <c r="B167" s="231"/>
      <c r="C167" s="311"/>
      <c r="D167" s="159"/>
      <c r="E167" s="170"/>
      <c r="F167" s="231"/>
      <c r="G167" s="311"/>
      <c r="H167" s="236"/>
      <c r="I167" s="159"/>
      <c r="J167" s="310"/>
      <c r="K167" s="310"/>
      <c r="L167" s="256"/>
      <c r="M167" s="170"/>
      <c r="N167" s="142"/>
    </row>
    <row r="168" spans="1:14" s="3" customFormat="1" ht="15.75" x14ac:dyDescent="0.2">
      <c r="A168" s="11" t="s">
        <v>340</v>
      </c>
      <c r="B168" s="231"/>
      <c r="C168" s="311"/>
      <c r="D168" s="159"/>
      <c r="E168" s="170"/>
      <c r="F168" s="231"/>
      <c r="G168" s="311"/>
      <c r="H168" s="236"/>
      <c r="I168" s="159"/>
      <c r="J168" s="310"/>
      <c r="K168" s="310"/>
      <c r="L168" s="256"/>
      <c r="M168" s="170"/>
      <c r="N168" s="142"/>
    </row>
    <row r="169" spans="1:14" s="3" customFormat="1" ht="15.75" x14ac:dyDescent="0.2">
      <c r="A169" s="34" t="s">
        <v>341</v>
      </c>
      <c r="B169" s="277"/>
      <c r="C169" s="317"/>
      <c r="D169" s="160"/>
      <c r="E169" s="201"/>
      <c r="F169" s="277"/>
      <c r="G169" s="317"/>
      <c r="H169" s="239"/>
      <c r="I169" s="160"/>
      <c r="J169" s="316"/>
      <c r="K169" s="316"/>
      <c r="L169" s="257"/>
      <c r="M169" s="160"/>
      <c r="N169" s="142"/>
    </row>
    <row r="170" spans="1:14" s="3" customFormat="1" x14ac:dyDescent="0.2">
      <c r="A170" s="161"/>
      <c r="B170" s="27"/>
      <c r="C170" s="27"/>
      <c r="D170" s="152"/>
      <c r="E170" s="152"/>
      <c r="F170" s="27"/>
      <c r="G170" s="27"/>
      <c r="H170" s="152"/>
      <c r="I170" s="152"/>
      <c r="J170" s="27"/>
      <c r="K170" s="27"/>
      <c r="L170" s="152"/>
      <c r="M170" s="152"/>
      <c r="N170" s="142"/>
    </row>
    <row r="171" spans="1:14" x14ac:dyDescent="0.2">
      <c r="A171" s="161"/>
      <c r="B171" s="27"/>
      <c r="C171" s="27"/>
      <c r="D171" s="152"/>
      <c r="E171" s="152"/>
      <c r="F171" s="27"/>
      <c r="G171" s="27"/>
      <c r="H171" s="152"/>
      <c r="I171" s="152"/>
      <c r="J171" s="27"/>
      <c r="K171" s="27"/>
      <c r="L171" s="152"/>
      <c r="M171" s="152"/>
      <c r="N171" s="142"/>
    </row>
    <row r="172" spans="1:14" x14ac:dyDescent="0.2">
      <c r="A172" s="161"/>
      <c r="B172" s="27"/>
      <c r="C172" s="27"/>
      <c r="D172" s="152"/>
      <c r="E172" s="152"/>
      <c r="F172" s="27"/>
      <c r="G172" s="27"/>
      <c r="H172" s="152"/>
      <c r="I172" s="152"/>
      <c r="J172" s="27"/>
      <c r="K172" s="27"/>
      <c r="L172" s="152"/>
      <c r="M172" s="152"/>
      <c r="N172" s="142"/>
    </row>
    <row r="173" spans="1:14" x14ac:dyDescent="0.2">
      <c r="A173" s="140"/>
      <c r="B173" s="140"/>
      <c r="C173" s="140"/>
      <c r="D173" s="140"/>
      <c r="E173" s="140"/>
      <c r="F173" s="140"/>
      <c r="G173" s="140"/>
      <c r="H173" s="140"/>
      <c r="I173" s="140"/>
      <c r="J173" s="140"/>
      <c r="K173" s="140"/>
      <c r="L173" s="140"/>
      <c r="M173" s="140"/>
      <c r="N173" s="140"/>
    </row>
    <row r="174" spans="1:14" ht="15.75" x14ac:dyDescent="0.25">
      <c r="B174" s="136"/>
      <c r="C174" s="136"/>
      <c r="D174" s="136"/>
      <c r="E174" s="136"/>
      <c r="F174" s="136"/>
      <c r="G174" s="136"/>
      <c r="H174" s="136"/>
      <c r="I174" s="136"/>
      <c r="J174" s="136"/>
      <c r="K174" s="136"/>
      <c r="L174" s="136"/>
      <c r="M174" s="136"/>
      <c r="N174" s="136"/>
    </row>
    <row r="175" spans="1:14" ht="15.75" x14ac:dyDescent="0.25">
      <c r="B175" s="150"/>
      <c r="C175" s="150"/>
      <c r="D175" s="150"/>
      <c r="E175" s="150"/>
      <c r="F175" s="150"/>
      <c r="G175" s="150"/>
      <c r="H175" s="150"/>
      <c r="I175" s="150"/>
      <c r="J175" s="150"/>
      <c r="K175" s="150"/>
      <c r="L175" s="150"/>
      <c r="M175" s="150"/>
      <c r="N175" s="150"/>
    </row>
    <row r="176" spans="1:14" ht="15.75" x14ac:dyDescent="0.25">
      <c r="B176" s="150"/>
      <c r="C176" s="150"/>
      <c r="D176" s="150"/>
      <c r="E176" s="150"/>
      <c r="F176" s="150"/>
      <c r="G176" s="150"/>
      <c r="H176" s="150"/>
      <c r="I176" s="150"/>
      <c r="J176" s="150"/>
      <c r="K176" s="150"/>
      <c r="L176" s="150"/>
      <c r="M176" s="150"/>
      <c r="N176" s="150"/>
    </row>
  </sheetData>
  <mergeCells count="28">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22:D22"/>
    <mergeCell ref="F22:H22"/>
    <mergeCell ref="J22:L22"/>
    <mergeCell ref="D47:F47"/>
    <mergeCell ref="G47:I47"/>
    <mergeCell ref="J47:L47"/>
  </mergeCells>
  <conditionalFormatting sqref="B57:C59">
    <cfRule type="expression" dxfId="233" priority="132">
      <formula>kvartal &lt; 4</formula>
    </cfRule>
  </conditionalFormatting>
  <conditionalFormatting sqref="B63:C65">
    <cfRule type="expression" dxfId="232" priority="131">
      <formula>kvartal &lt; 4</formula>
    </cfRule>
  </conditionalFormatting>
  <conditionalFormatting sqref="B37">
    <cfRule type="expression" dxfId="231" priority="130">
      <formula>kvartal &lt; 4</formula>
    </cfRule>
  </conditionalFormatting>
  <conditionalFormatting sqref="B38">
    <cfRule type="expression" dxfId="230" priority="129">
      <formula>kvartal &lt; 4</formula>
    </cfRule>
  </conditionalFormatting>
  <conditionalFormatting sqref="B39">
    <cfRule type="expression" dxfId="229" priority="128">
      <formula>kvartal &lt; 4</formula>
    </cfRule>
  </conditionalFormatting>
  <conditionalFormatting sqref="A34">
    <cfRule type="expression" dxfId="228" priority="1">
      <formula>kvartal &lt; 4</formula>
    </cfRule>
  </conditionalFormatting>
  <conditionalFormatting sqref="C37">
    <cfRule type="expression" dxfId="227" priority="127">
      <formula>kvartal &lt; 4</formula>
    </cfRule>
  </conditionalFormatting>
  <conditionalFormatting sqref="C38">
    <cfRule type="expression" dxfId="226" priority="126">
      <formula>kvartal &lt; 4</formula>
    </cfRule>
  </conditionalFormatting>
  <conditionalFormatting sqref="C39">
    <cfRule type="expression" dxfId="225" priority="125">
      <formula>kvartal &lt; 4</formula>
    </cfRule>
  </conditionalFormatting>
  <conditionalFormatting sqref="B26:C28">
    <cfRule type="expression" dxfId="224" priority="124">
      <formula>kvartal &lt; 4</formula>
    </cfRule>
  </conditionalFormatting>
  <conditionalFormatting sqref="B32:C33">
    <cfRule type="expression" dxfId="223" priority="123">
      <formula>kvartal &lt; 4</formula>
    </cfRule>
  </conditionalFormatting>
  <conditionalFormatting sqref="B34">
    <cfRule type="expression" dxfId="222" priority="122">
      <formula>kvartal &lt; 4</formula>
    </cfRule>
  </conditionalFormatting>
  <conditionalFormatting sqref="C34">
    <cfRule type="expression" dxfId="221" priority="121">
      <formula>kvartal &lt; 4</formula>
    </cfRule>
  </conditionalFormatting>
  <conditionalFormatting sqref="F26:G28">
    <cfRule type="expression" dxfId="220" priority="120">
      <formula>kvartal &lt; 4</formula>
    </cfRule>
  </conditionalFormatting>
  <conditionalFormatting sqref="F32">
    <cfRule type="expression" dxfId="219" priority="119">
      <formula>kvartal &lt; 4</formula>
    </cfRule>
  </conditionalFormatting>
  <conditionalFormatting sqref="G32">
    <cfRule type="expression" dxfId="218" priority="118">
      <formula>kvartal &lt; 4</formula>
    </cfRule>
  </conditionalFormatting>
  <conditionalFormatting sqref="F33">
    <cfRule type="expression" dxfId="217" priority="117">
      <formula>kvartal &lt; 4</formula>
    </cfRule>
  </conditionalFormatting>
  <conditionalFormatting sqref="G33">
    <cfRule type="expression" dxfId="216" priority="116">
      <formula>kvartal &lt; 4</formula>
    </cfRule>
  </conditionalFormatting>
  <conditionalFormatting sqref="F34">
    <cfRule type="expression" dxfId="215" priority="115">
      <formula>kvartal &lt; 4</formula>
    </cfRule>
  </conditionalFormatting>
  <conditionalFormatting sqref="G34">
    <cfRule type="expression" dxfId="214" priority="114">
      <formula>kvartal &lt; 4</formula>
    </cfRule>
  </conditionalFormatting>
  <conditionalFormatting sqref="F37">
    <cfRule type="expression" dxfId="213" priority="113">
      <formula>kvartal &lt; 4</formula>
    </cfRule>
  </conditionalFormatting>
  <conditionalFormatting sqref="F38">
    <cfRule type="expression" dxfId="212" priority="112">
      <formula>kvartal &lt; 4</formula>
    </cfRule>
  </conditionalFormatting>
  <conditionalFormatting sqref="F39">
    <cfRule type="expression" dxfId="211" priority="111">
      <formula>kvartal &lt; 4</formula>
    </cfRule>
  </conditionalFormatting>
  <conditionalFormatting sqref="G37">
    <cfRule type="expression" dxfId="210" priority="110">
      <formula>kvartal &lt; 4</formula>
    </cfRule>
  </conditionalFormatting>
  <conditionalFormatting sqref="G38">
    <cfRule type="expression" dxfId="209" priority="109">
      <formula>kvartal &lt; 4</formula>
    </cfRule>
  </conditionalFormatting>
  <conditionalFormatting sqref="G39">
    <cfRule type="expression" dxfId="208" priority="108">
      <formula>kvartal &lt; 4</formula>
    </cfRule>
  </conditionalFormatting>
  <conditionalFormatting sqref="B29">
    <cfRule type="expression" dxfId="207" priority="107">
      <formula>kvartal &lt; 4</formula>
    </cfRule>
  </conditionalFormatting>
  <conditionalFormatting sqref="C29">
    <cfRule type="expression" dxfId="206" priority="106">
      <formula>kvartal &lt; 4</formula>
    </cfRule>
  </conditionalFormatting>
  <conditionalFormatting sqref="F29">
    <cfRule type="expression" dxfId="205" priority="105">
      <formula>kvartal &lt; 4</formula>
    </cfRule>
  </conditionalFormatting>
  <conditionalFormatting sqref="G29">
    <cfRule type="expression" dxfId="204" priority="104">
      <formula>kvartal &lt; 4</formula>
    </cfRule>
  </conditionalFormatting>
  <conditionalFormatting sqref="J26:K29">
    <cfRule type="expression" dxfId="203" priority="103">
      <formula>kvartal &lt; 4</formula>
    </cfRule>
  </conditionalFormatting>
  <conditionalFormatting sqref="J32:K34">
    <cfRule type="expression" dxfId="202" priority="102">
      <formula>kvartal &lt; 4</formula>
    </cfRule>
  </conditionalFormatting>
  <conditionalFormatting sqref="J37:K39">
    <cfRule type="expression" dxfId="201" priority="101">
      <formula>kvartal &lt; 4</formula>
    </cfRule>
  </conditionalFormatting>
  <conditionalFormatting sqref="B82">
    <cfRule type="expression" dxfId="200" priority="100">
      <formula>kvartal &lt; 4</formula>
    </cfRule>
  </conditionalFormatting>
  <conditionalFormatting sqref="C82">
    <cfRule type="expression" dxfId="199" priority="99">
      <formula>kvartal &lt; 4</formula>
    </cfRule>
  </conditionalFormatting>
  <conditionalFormatting sqref="B85">
    <cfRule type="expression" dxfId="198" priority="98">
      <formula>kvartal &lt; 4</formula>
    </cfRule>
  </conditionalFormatting>
  <conditionalFormatting sqref="C85">
    <cfRule type="expression" dxfId="197" priority="97">
      <formula>kvartal &lt; 4</formula>
    </cfRule>
  </conditionalFormatting>
  <conditionalFormatting sqref="B92">
    <cfRule type="expression" dxfId="196" priority="96">
      <formula>kvartal &lt; 4</formula>
    </cfRule>
  </conditionalFormatting>
  <conditionalFormatting sqref="C92">
    <cfRule type="expression" dxfId="195" priority="95">
      <formula>kvartal &lt; 4</formula>
    </cfRule>
  </conditionalFormatting>
  <conditionalFormatting sqref="B95">
    <cfRule type="expression" dxfId="194" priority="94">
      <formula>kvartal &lt; 4</formula>
    </cfRule>
  </conditionalFormatting>
  <conditionalFormatting sqref="C95">
    <cfRule type="expression" dxfId="193" priority="93">
      <formula>kvartal &lt; 4</formula>
    </cfRule>
  </conditionalFormatting>
  <conditionalFormatting sqref="B102">
    <cfRule type="expression" dxfId="192" priority="92">
      <formula>kvartal &lt; 4</formula>
    </cfRule>
  </conditionalFormatting>
  <conditionalFormatting sqref="C102">
    <cfRule type="expression" dxfId="191" priority="91">
      <formula>kvartal &lt; 4</formula>
    </cfRule>
  </conditionalFormatting>
  <conditionalFormatting sqref="B105">
    <cfRule type="expression" dxfId="190" priority="90">
      <formula>kvartal &lt; 4</formula>
    </cfRule>
  </conditionalFormatting>
  <conditionalFormatting sqref="C105">
    <cfRule type="expression" dxfId="189" priority="89">
      <formula>kvartal &lt; 4</formula>
    </cfRule>
  </conditionalFormatting>
  <conditionalFormatting sqref="B112">
    <cfRule type="expression" dxfId="188" priority="88">
      <formula>kvartal &lt; 4</formula>
    </cfRule>
  </conditionalFormatting>
  <conditionalFormatting sqref="C112">
    <cfRule type="expression" dxfId="187" priority="87">
      <formula>kvartal &lt; 4</formula>
    </cfRule>
  </conditionalFormatting>
  <conditionalFormatting sqref="B115">
    <cfRule type="expression" dxfId="186" priority="86">
      <formula>kvartal &lt; 4</formula>
    </cfRule>
  </conditionalFormatting>
  <conditionalFormatting sqref="C115">
    <cfRule type="expression" dxfId="185" priority="85">
      <formula>kvartal &lt; 4</formula>
    </cfRule>
  </conditionalFormatting>
  <conditionalFormatting sqref="B122">
    <cfRule type="expression" dxfId="184" priority="84">
      <formula>kvartal &lt; 4</formula>
    </cfRule>
  </conditionalFormatting>
  <conditionalFormatting sqref="C122">
    <cfRule type="expression" dxfId="183" priority="83">
      <formula>kvartal &lt; 4</formula>
    </cfRule>
  </conditionalFormatting>
  <conditionalFormatting sqref="B125">
    <cfRule type="expression" dxfId="182" priority="82">
      <formula>kvartal &lt; 4</formula>
    </cfRule>
  </conditionalFormatting>
  <conditionalFormatting sqref="C125">
    <cfRule type="expression" dxfId="181" priority="81">
      <formula>kvartal &lt; 4</formula>
    </cfRule>
  </conditionalFormatting>
  <conditionalFormatting sqref="B132">
    <cfRule type="expression" dxfId="180" priority="80">
      <formula>kvartal &lt; 4</formula>
    </cfRule>
  </conditionalFormatting>
  <conditionalFormatting sqref="C132">
    <cfRule type="expression" dxfId="179" priority="79">
      <formula>kvartal &lt; 4</formula>
    </cfRule>
  </conditionalFormatting>
  <conditionalFormatting sqref="B135">
    <cfRule type="expression" dxfId="178" priority="78">
      <formula>kvartal &lt; 4</formula>
    </cfRule>
  </conditionalFormatting>
  <conditionalFormatting sqref="C135">
    <cfRule type="expression" dxfId="177" priority="77">
      <formula>kvartal &lt; 4</formula>
    </cfRule>
  </conditionalFormatting>
  <conditionalFormatting sqref="B146">
    <cfRule type="expression" dxfId="176" priority="76">
      <formula>kvartal &lt; 4</formula>
    </cfRule>
  </conditionalFormatting>
  <conditionalFormatting sqref="C146">
    <cfRule type="expression" dxfId="175" priority="75">
      <formula>kvartal &lt; 4</formula>
    </cfRule>
  </conditionalFormatting>
  <conditionalFormatting sqref="B154">
    <cfRule type="expression" dxfId="174" priority="74">
      <formula>kvartal &lt; 4</formula>
    </cfRule>
  </conditionalFormatting>
  <conditionalFormatting sqref="C154">
    <cfRule type="expression" dxfId="173" priority="73">
      <formula>kvartal &lt; 4</formula>
    </cfRule>
  </conditionalFormatting>
  <conditionalFormatting sqref="F83">
    <cfRule type="expression" dxfId="172" priority="72">
      <formula>kvartal &lt; 4</formula>
    </cfRule>
  </conditionalFormatting>
  <conditionalFormatting sqref="G83">
    <cfRule type="expression" dxfId="171" priority="71">
      <formula>kvartal &lt; 4</formula>
    </cfRule>
  </conditionalFormatting>
  <conditionalFormatting sqref="F84:G84">
    <cfRule type="expression" dxfId="170" priority="70">
      <formula>kvartal &lt; 4</formula>
    </cfRule>
  </conditionalFormatting>
  <conditionalFormatting sqref="F86:G87">
    <cfRule type="expression" dxfId="169" priority="69">
      <formula>kvartal &lt; 4</formula>
    </cfRule>
  </conditionalFormatting>
  <conditionalFormatting sqref="F93:G94">
    <cfRule type="expression" dxfId="168" priority="68">
      <formula>kvartal &lt; 4</formula>
    </cfRule>
  </conditionalFormatting>
  <conditionalFormatting sqref="F96:G97">
    <cfRule type="expression" dxfId="167" priority="67">
      <formula>kvartal &lt; 4</formula>
    </cfRule>
  </conditionalFormatting>
  <conditionalFormatting sqref="F103:G104">
    <cfRule type="expression" dxfId="166" priority="66">
      <formula>kvartal &lt; 4</formula>
    </cfRule>
  </conditionalFormatting>
  <conditionalFormatting sqref="F106:G107">
    <cfRule type="expression" dxfId="165" priority="65">
      <formula>kvartal &lt; 4</formula>
    </cfRule>
  </conditionalFormatting>
  <conditionalFormatting sqref="F113:G114">
    <cfRule type="expression" dxfId="164" priority="64">
      <formula>kvartal &lt; 4</formula>
    </cfRule>
  </conditionalFormatting>
  <conditionalFormatting sqref="F116:G117">
    <cfRule type="expression" dxfId="163" priority="63">
      <formula>kvartal &lt; 4</formula>
    </cfRule>
  </conditionalFormatting>
  <conditionalFormatting sqref="F123:G124">
    <cfRule type="expression" dxfId="162" priority="62">
      <formula>kvartal &lt; 4</formula>
    </cfRule>
  </conditionalFormatting>
  <conditionalFormatting sqref="F126:G127">
    <cfRule type="expression" dxfId="161" priority="61">
      <formula>kvartal &lt; 4</formula>
    </cfRule>
  </conditionalFormatting>
  <conditionalFormatting sqref="F133:G134">
    <cfRule type="expression" dxfId="160" priority="60">
      <formula>kvartal &lt; 4</formula>
    </cfRule>
  </conditionalFormatting>
  <conditionalFormatting sqref="F136:G137">
    <cfRule type="expression" dxfId="159" priority="59">
      <formula>kvartal &lt; 4</formula>
    </cfRule>
  </conditionalFormatting>
  <conditionalFormatting sqref="F146">
    <cfRule type="expression" dxfId="158" priority="58">
      <formula>kvartal &lt; 4</formula>
    </cfRule>
  </conditionalFormatting>
  <conditionalFormatting sqref="G146">
    <cfRule type="expression" dxfId="157" priority="57">
      <formula>kvartal &lt; 4</formula>
    </cfRule>
  </conditionalFormatting>
  <conditionalFormatting sqref="F154:G154">
    <cfRule type="expression" dxfId="156" priority="56">
      <formula>kvartal &lt; 4</formula>
    </cfRule>
  </conditionalFormatting>
  <conditionalFormatting sqref="F82:G82">
    <cfRule type="expression" dxfId="155" priority="55">
      <formula>kvartal &lt; 4</formula>
    </cfRule>
  </conditionalFormatting>
  <conditionalFormatting sqref="F85:G85">
    <cfRule type="expression" dxfId="154" priority="54">
      <formula>kvartal &lt; 4</formula>
    </cfRule>
  </conditionalFormatting>
  <conditionalFormatting sqref="F92:G92">
    <cfRule type="expression" dxfId="153" priority="53">
      <formula>kvartal &lt; 4</formula>
    </cfRule>
  </conditionalFormatting>
  <conditionalFormatting sqref="F95:G95">
    <cfRule type="expression" dxfId="152" priority="52">
      <formula>kvartal &lt; 4</formula>
    </cfRule>
  </conditionalFormatting>
  <conditionalFormatting sqref="F102:G102">
    <cfRule type="expression" dxfId="151" priority="51">
      <formula>kvartal &lt; 4</formula>
    </cfRule>
  </conditionalFormatting>
  <conditionalFormatting sqref="F105:G105">
    <cfRule type="expression" dxfId="150" priority="50">
      <formula>kvartal &lt; 4</formula>
    </cfRule>
  </conditionalFormatting>
  <conditionalFormatting sqref="F112:G112">
    <cfRule type="expression" dxfId="149" priority="49">
      <formula>kvartal &lt; 4</formula>
    </cfRule>
  </conditionalFormatting>
  <conditionalFormatting sqref="F115">
    <cfRule type="expression" dxfId="148" priority="48">
      <formula>kvartal &lt; 4</formula>
    </cfRule>
  </conditionalFormatting>
  <conditionalFormatting sqref="G115">
    <cfRule type="expression" dxfId="147" priority="47">
      <formula>kvartal &lt; 4</formula>
    </cfRule>
  </conditionalFormatting>
  <conditionalFormatting sqref="F122:G122">
    <cfRule type="expression" dxfId="146" priority="46">
      <formula>kvartal &lt; 4</formula>
    </cfRule>
  </conditionalFormatting>
  <conditionalFormatting sqref="F125">
    <cfRule type="expression" dxfId="145" priority="45">
      <formula>kvartal &lt; 4</formula>
    </cfRule>
  </conditionalFormatting>
  <conditionalFormatting sqref="G125">
    <cfRule type="expression" dxfId="144" priority="44">
      <formula>kvartal &lt; 4</formula>
    </cfRule>
  </conditionalFormatting>
  <conditionalFormatting sqref="F132">
    <cfRule type="expression" dxfId="143" priority="43">
      <formula>kvartal &lt; 4</formula>
    </cfRule>
  </conditionalFormatting>
  <conditionalFormatting sqref="G132">
    <cfRule type="expression" dxfId="142" priority="42">
      <formula>kvartal &lt; 4</formula>
    </cfRule>
  </conditionalFormatting>
  <conditionalFormatting sqref="G135">
    <cfRule type="expression" dxfId="141" priority="41">
      <formula>kvartal &lt; 4</formula>
    </cfRule>
  </conditionalFormatting>
  <conditionalFormatting sqref="F135">
    <cfRule type="expression" dxfId="140" priority="40">
      <formula>kvartal &lt; 4</formula>
    </cfRule>
  </conditionalFormatting>
  <conditionalFormatting sqref="J82:K86">
    <cfRule type="expression" dxfId="139" priority="39">
      <formula>kvartal &lt; 4</formula>
    </cfRule>
  </conditionalFormatting>
  <conditionalFormatting sqref="J87:K87">
    <cfRule type="expression" dxfId="138" priority="38">
      <formula>kvartal &lt; 4</formula>
    </cfRule>
  </conditionalFormatting>
  <conditionalFormatting sqref="J92:K97">
    <cfRule type="expression" dxfId="137" priority="37">
      <formula>kvartal &lt; 4</formula>
    </cfRule>
  </conditionalFormatting>
  <conditionalFormatting sqref="J102:K107">
    <cfRule type="expression" dxfId="136" priority="36">
      <formula>kvartal &lt; 4</formula>
    </cfRule>
  </conditionalFormatting>
  <conditionalFormatting sqref="J112:K117">
    <cfRule type="expression" dxfId="135" priority="35">
      <formula>kvartal &lt; 4</formula>
    </cfRule>
  </conditionalFormatting>
  <conditionalFormatting sqref="J122:K127">
    <cfRule type="expression" dxfId="134" priority="34">
      <formula>kvartal &lt; 4</formula>
    </cfRule>
  </conditionalFormatting>
  <conditionalFormatting sqref="J132:K137">
    <cfRule type="expression" dxfId="133" priority="33">
      <formula>kvartal &lt; 4</formula>
    </cfRule>
  </conditionalFormatting>
  <conditionalFormatting sqref="J146:K146">
    <cfRule type="expression" dxfId="132" priority="32">
      <formula>kvartal &lt; 4</formula>
    </cfRule>
  </conditionalFormatting>
  <conditionalFormatting sqref="J154:K154">
    <cfRule type="expression" dxfId="131" priority="31">
      <formula>kvartal &lt; 4</formula>
    </cfRule>
  </conditionalFormatting>
  <conditionalFormatting sqref="A26:A28">
    <cfRule type="expression" dxfId="130" priority="15">
      <formula>kvartal &lt; 4</formula>
    </cfRule>
  </conditionalFormatting>
  <conditionalFormatting sqref="A32:A33">
    <cfRule type="expression" dxfId="129" priority="14">
      <formula>kvartal &lt; 4</formula>
    </cfRule>
  </conditionalFormatting>
  <conditionalFormatting sqref="A37:A39">
    <cfRule type="expression" dxfId="128" priority="13">
      <formula>kvartal &lt; 4</formula>
    </cfRule>
  </conditionalFormatting>
  <conditionalFormatting sqref="A57:A59">
    <cfRule type="expression" dxfId="127" priority="12">
      <formula>kvartal &lt; 4</formula>
    </cfRule>
  </conditionalFormatting>
  <conditionalFormatting sqref="A63:A65">
    <cfRule type="expression" dxfId="126" priority="11">
      <formula>kvartal &lt; 4</formula>
    </cfRule>
  </conditionalFormatting>
  <conditionalFormatting sqref="A82:A87">
    <cfRule type="expression" dxfId="125" priority="10">
      <formula>kvartal &lt; 4</formula>
    </cfRule>
  </conditionalFormatting>
  <conditionalFormatting sqref="A92:A97">
    <cfRule type="expression" dxfId="124" priority="9">
      <formula>kvartal &lt; 4</formula>
    </cfRule>
  </conditionalFormatting>
  <conditionalFormatting sqref="A102:A107">
    <cfRule type="expression" dxfId="123" priority="8">
      <formula>kvartal &lt; 4</formula>
    </cfRule>
  </conditionalFormatting>
  <conditionalFormatting sqref="A112:A117">
    <cfRule type="expression" dxfId="122" priority="7">
      <formula>kvartal &lt; 4</formula>
    </cfRule>
  </conditionalFormatting>
  <conditionalFormatting sqref="A122:A127">
    <cfRule type="expression" dxfId="121" priority="6">
      <formula>kvartal &lt; 4</formula>
    </cfRule>
  </conditionalFormatting>
  <conditionalFormatting sqref="A132:A137">
    <cfRule type="expression" dxfId="120" priority="5">
      <formula>kvartal &lt; 4</formula>
    </cfRule>
  </conditionalFormatting>
  <conditionalFormatting sqref="A146">
    <cfRule type="expression" dxfId="119" priority="4">
      <formula>kvartal &lt; 4</formula>
    </cfRule>
  </conditionalFormatting>
  <conditionalFormatting sqref="A154">
    <cfRule type="expression" dxfId="118" priority="3">
      <formula>kvartal &lt; 4</formula>
    </cfRule>
  </conditionalFormatting>
  <conditionalFormatting sqref="A29">
    <cfRule type="expression" dxfId="117" priority="2">
      <formula>kvartal &lt; 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Q232"/>
  <sheetViews>
    <sheetView showGridLines="0" showZeros="0" zoomScale="70" zoomScaleNormal="70" workbookViewId="0">
      <selection activeCell="A4" sqref="A4"/>
    </sheetView>
  </sheetViews>
  <sheetFormatPr baseColWidth="10" defaultColWidth="11.42578125" defaultRowHeight="18.75" x14ac:dyDescent="0.3"/>
  <cols>
    <col min="10" max="11" width="16.7109375" customWidth="1"/>
    <col min="12" max="12" width="23.140625" style="67" customWidth="1"/>
    <col min="13" max="13" width="17.5703125" style="67" bestFit="1" customWidth="1"/>
    <col min="14" max="14" width="15.85546875" style="67" bestFit="1" customWidth="1"/>
    <col min="15" max="15" width="22.85546875" customWidth="1"/>
    <col min="16" max="16" width="13.42578125" customWidth="1"/>
    <col min="17" max="17" width="13.85546875" customWidth="1"/>
  </cols>
  <sheetData>
    <row r="1" spans="1:15" x14ac:dyDescent="0.3">
      <c r="A1" s="66" t="s">
        <v>64</v>
      </c>
    </row>
    <row r="2" spans="1:15" x14ac:dyDescent="0.3">
      <c r="A2" s="68"/>
      <c r="B2" s="67"/>
      <c r="C2" s="67"/>
      <c r="D2" s="67"/>
      <c r="E2" s="67"/>
      <c r="F2" s="67"/>
      <c r="G2" s="67"/>
      <c r="H2" s="67"/>
      <c r="I2" s="67"/>
      <c r="J2" s="67"/>
      <c r="K2" s="67"/>
      <c r="O2" s="67"/>
    </row>
    <row r="3" spans="1:15" x14ac:dyDescent="0.3">
      <c r="A3" s="68" t="s">
        <v>40</v>
      </c>
      <c r="B3" s="67"/>
      <c r="C3" s="67"/>
      <c r="D3" s="67"/>
      <c r="E3" s="67"/>
      <c r="F3" s="67"/>
      <c r="G3" s="67"/>
      <c r="H3" s="67"/>
      <c r="I3" s="67"/>
      <c r="J3" s="67"/>
      <c r="K3" s="67"/>
      <c r="O3" s="67"/>
    </row>
    <row r="4" spans="1:15" x14ac:dyDescent="0.3">
      <c r="A4" s="67"/>
      <c r="B4" s="67"/>
      <c r="C4" s="67"/>
      <c r="D4" s="67"/>
      <c r="E4" s="67"/>
      <c r="F4" s="67"/>
      <c r="G4" s="67"/>
      <c r="H4" s="67"/>
      <c r="I4" s="67"/>
      <c r="J4" s="67"/>
      <c r="K4" s="67"/>
      <c r="L4" s="69"/>
      <c r="O4" s="67"/>
    </row>
    <row r="5" spans="1:15" x14ac:dyDescent="0.3">
      <c r="A5" s="68" t="s">
        <v>421</v>
      </c>
      <c r="B5" s="67"/>
      <c r="C5" s="67"/>
      <c r="D5" s="67"/>
      <c r="E5" s="67"/>
      <c r="F5" s="67"/>
      <c r="G5" s="67"/>
      <c r="H5" s="67"/>
      <c r="I5" s="72"/>
      <c r="J5" s="67"/>
      <c r="K5" s="67"/>
      <c r="O5" s="67"/>
    </row>
    <row r="6" spans="1:15" x14ac:dyDescent="0.3">
      <c r="A6" s="67"/>
      <c r="B6" s="67"/>
      <c r="C6" s="67"/>
      <c r="D6" s="67"/>
      <c r="E6" s="67"/>
      <c r="F6" s="67"/>
      <c r="G6" s="67"/>
      <c r="H6" s="67"/>
      <c r="I6" s="67"/>
      <c r="J6" s="67"/>
      <c r="K6" s="67"/>
      <c r="L6" s="67" t="s">
        <v>65</v>
      </c>
      <c r="O6" s="67"/>
    </row>
    <row r="7" spans="1:15" x14ac:dyDescent="0.3">
      <c r="A7" s="67"/>
      <c r="B7" s="67"/>
      <c r="C7" s="67"/>
      <c r="D7" s="67"/>
      <c r="E7" s="67"/>
      <c r="F7" s="67"/>
      <c r="G7" s="67"/>
      <c r="H7" s="67"/>
      <c r="I7" s="67"/>
      <c r="J7" s="67"/>
      <c r="K7" s="67"/>
      <c r="L7" s="67" t="s">
        <v>0</v>
      </c>
      <c r="O7" s="67"/>
    </row>
    <row r="8" spans="1:15" x14ac:dyDescent="0.3">
      <c r="A8" s="67"/>
      <c r="B8" s="67"/>
      <c r="C8" s="67"/>
      <c r="D8" s="67"/>
      <c r="E8" s="67"/>
      <c r="F8" s="67"/>
      <c r="G8" s="67"/>
      <c r="H8" s="67"/>
      <c r="I8" s="67"/>
      <c r="J8" s="67"/>
      <c r="K8" s="67"/>
      <c r="M8" s="67">
        <v>2015</v>
      </c>
      <c r="N8" s="67">
        <v>2016</v>
      </c>
      <c r="O8" s="67"/>
    </row>
    <row r="9" spans="1:15" x14ac:dyDescent="0.3">
      <c r="A9" s="67"/>
      <c r="B9" s="67"/>
      <c r="C9" s="67"/>
      <c r="D9" s="67"/>
      <c r="E9" s="67"/>
      <c r="F9" s="67"/>
      <c r="G9" s="67"/>
      <c r="H9" s="67"/>
      <c r="I9" s="67"/>
      <c r="J9" s="67"/>
      <c r="K9" s="67"/>
      <c r="L9" s="67" t="s">
        <v>66</v>
      </c>
      <c r="M9" s="70">
        <f>'Tabel 1.1'!B9</f>
        <v>107796.07081</v>
      </c>
      <c r="N9" s="70">
        <f>'Tabel 1.1'!C9</f>
        <v>0</v>
      </c>
      <c r="O9" s="67"/>
    </row>
    <row r="10" spans="1:15" x14ac:dyDescent="0.3">
      <c r="A10" s="67"/>
      <c r="B10" s="67"/>
      <c r="C10" s="67"/>
      <c r="D10" s="67"/>
      <c r="E10" s="67"/>
      <c r="F10" s="67"/>
      <c r="G10" s="67"/>
      <c r="H10" s="67"/>
      <c r="I10" s="67"/>
      <c r="J10" s="67"/>
      <c r="K10" s="67"/>
      <c r="L10" s="67" t="s">
        <v>67</v>
      </c>
      <c r="M10" s="70">
        <f>'Tabel 1.1'!B10</f>
        <v>380538.26800000004</v>
      </c>
      <c r="N10" s="70">
        <f>'Tabel 1.1'!C10</f>
        <v>392275.09299999999</v>
      </c>
      <c r="O10" s="67"/>
    </row>
    <row r="11" spans="1:15" x14ac:dyDescent="0.3">
      <c r="A11" s="67"/>
      <c r="B11" s="67"/>
      <c r="C11" s="67"/>
      <c r="D11" s="67"/>
      <c r="E11" s="67"/>
      <c r="F11" s="67"/>
      <c r="G11" s="67"/>
      <c r="H11" s="67"/>
      <c r="I11" s="67"/>
      <c r="J11" s="67"/>
      <c r="K11" s="67"/>
      <c r="L11" s="67" t="s">
        <v>68</v>
      </c>
      <c r="M11" s="70">
        <f>'Tabel 1.1'!B11</f>
        <v>11032332</v>
      </c>
      <c r="N11" s="70">
        <f>'Tabel 1.1'!C11</f>
        <v>6354769</v>
      </c>
      <c r="O11" s="67"/>
    </row>
    <row r="12" spans="1:15" x14ac:dyDescent="0.3">
      <c r="A12" s="67"/>
      <c r="B12" s="67"/>
      <c r="C12" s="67"/>
      <c r="D12" s="67"/>
      <c r="E12" s="67"/>
      <c r="F12" s="67"/>
      <c r="G12" s="67"/>
      <c r="H12" s="67"/>
      <c r="I12" s="67"/>
      <c r="J12" s="67"/>
      <c r="K12" s="67"/>
      <c r="L12" s="67" t="s">
        <v>69</v>
      </c>
      <c r="M12" s="70">
        <f>'Tabel 1.1'!B12</f>
        <v>222483</v>
      </c>
      <c r="N12" s="70">
        <f>'Tabel 1.1'!C12</f>
        <v>351394</v>
      </c>
      <c r="O12" s="67"/>
    </row>
    <row r="13" spans="1:15" x14ac:dyDescent="0.3">
      <c r="A13" s="67"/>
      <c r="B13" s="67"/>
      <c r="C13" s="67"/>
      <c r="D13" s="67"/>
      <c r="E13" s="67"/>
      <c r="F13" s="67"/>
      <c r="G13" s="67"/>
      <c r="H13" s="67"/>
      <c r="I13" s="67"/>
      <c r="J13" s="67"/>
      <c r="K13" s="67"/>
      <c r="L13" s="67" t="s">
        <v>70</v>
      </c>
      <c r="M13" s="70">
        <f>'Tabel 1.1'!B13</f>
        <v>422840</v>
      </c>
      <c r="N13" s="70">
        <f>'Tabel 1.1'!C13</f>
        <v>452991</v>
      </c>
      <c r="O13" s="67"/>
    </row>
    <row r="14" spans="1:15" x14ac:dyDescent="0.3">
      <c r="A14" s="67"/>
      <c r="B14" s="67"/>
      <c r="C14" s="67"/>
      <c r="D14" s="67"/>
      <c r="E14" s="67"/>
      <c r="F14" s="67"/>
      <c r="G14" s="67"/>
      <c r="H14" s="67"/>
      <c r="I14" s="67"/>
      <c r="J14" s="67"/>
      <c r="K14" s="67"/>
      <c r="L14" s="67" t="s">
        <v>71</v>
      </c>
      <c r="M14" s="70">
        <f>'Tabel 1.1'!B14</f>
        <v>3484</v>
      </c>
      <c r="N14" s="70">
        <f>'Tabel 1.1'!C14</f>
        <v>4460</v>
      </c>
      <c r="O14" s="67"/>
    </row>
    <row r="15" spans="1:15" x14ac:dyDescent="0.3">
      <c r="A15" s="67"/>
      <c r="B15" s="67"/>
      <c r="C15" s="67"/>
      <c r="D15" s="67"/>
      <c r="E15" s="67"/>
      <c r="F15" s="67"/>
      <c r="G15" s="67"/>
      <c r="H15" s="67"/>
      <c r="I15" s="67"/>
      <c r="J15" s="67"/>
      <c r="K15" s="67"/>
      <c r="L15" s="67" t="s">
        <v>72</v>
      </c>
      <c r="M15" s="70">
        <f>'Tabel 1.1'!B15</f>
        <v>1534904</v>
      </c>
      <c r="N15" s="70">
        <f>'Tabel 1.1'!C15</f>
        <v>1537000</v>
      </c>
      <c r="O15" s="67"/>
    </row>
    <row r="16" spans="1:15" x14ac:dyDescent="0.3">
      <c r="A16" s="67"/>
      <c r="B16" s="67"/>
      <c r="C16" s="67"/>
      <c r="D16" s="67"/>
      <c r="E16" s="67"/>
      <c r="F16" s="67"/>
      <c r="G16" s="67"/>
      <c r="H16" s="67"/>
      <c r="I16" s="67"/>
      <c r="J16" s="67"/>
      <c r="K16" s="67"/>
      <c r="L16" s="67" t="s">
        <v>73</v>
      </c>
      <c r="M16" s="70">
        <f>'Tabel 1.1'!B16</f>
        <v>393529</v>
      </c>
      <c r="N16" s="70">
        <f>'Tabel 1.1'!C16</f>
        <v>459333</v>
      </c>
      <c r="O16" s="67"/>
    </row>
    <row r="17" spans="1:15" x14ac:dyDescent="0.3">
      <c r="A17" s="67"/>
      <c r="B17" s="67"/>
      <c r="C17" s="67"/>
      <c r="D17" s="67"/>
      <c r="E17" s="67"/>
      <c r="F17" s="67"/>
      <c r="G17" s="67"/>
      <c r="H17" s="67"/>
      <c r="I17" s="67"/>
      <c r="J17" s="67"/>
      <c r="K17" s="67"/>
      <c r="L17" s="67" t="s">
        <v>74</v>
      </c>
      <c r="M17" s="70">
        <f>'Tabel 1.1'!B17</f>
        <v>40133</v>
      </c>
      <c r="N17" s="70">
        <f>'Tabel 1.1'!C17</f>
        <v>38617</v>
      </c>
      <c r="O17" s="67"/>
    </row>
    <row r="18" spans="1:15" x14ac:dyDescent="0.3">
      <c r="A18" s="67"/>
      <c r="B18" s="67"/>
      <c r="C18" s="67"/>
      <c r="D18" s="67"/>
      <c r="E18" s="67"/>
      <c r="F18" s="67"/>
      <c r="G18" s="67"/>
      <c r="H18" s="67"/>
      <c r="I18" s="67"/>
      <c r="J18" s="67"/>
      <c r="K18" s="67"/>
      <c r="L18" s="67" t="s">
        <v>75</v>
      </c>
      <c r="M18" s="70">
        <f>'Tabel 1.1'!B18</f>
        <v>390668.43199999997</v>
      </c>
      <c r="N18" s="70">
        <f>'Tabel 1.1'!C18</f>
        <v>414284.755</v>
      </c>
      <c r="O18" s="67"/>
    </row>
    <row r="19" spans="1:15" x14ac:dyDescent="0.3">
      <c r="A19" s="67"/>
      <c r="B19" s="67"/>
      <c r="C19" s="67"/>
      <c r="D19" s="67"/>
      <c r="E19" s="67"/>
      <c r="F19" s="67"/>
      <c r="G19" s="67"/>
      <c r="H19" s="67"/>
      <c r="I19" s="67"/>
      <c r="J19" s="67"/>
      <c r="K19" s="67"/>
      <c r="L19" s="67" t="s">
        <v>76</v>
      </c>
      <c r="M19" s="70">
        <f>'Tabel 1.1'!B19</f>
        <v>29434379.388159998</v>
      </c>
      <c r="N19" s="70">
        <f>'Tabel 1.1'!C19</f>
        <v>33472682.388949998</v>
      </c>
      <c r="O19" s="67"/>
    </row>
    <row r="20" spans="1:15" x14ac:dyDescent="0.3">
      <c r="A20" s="67"/>
      <c r="B20" s="67"/>
      <c r="C20" s="67"/>
      <c r="D20" s="67"/>
      <c r="E20" s="67"/>
      <c r="F20" s="67"/>
      <c r="G20" s="67"/>
      <c r="H20" s="67"/>
      <c r="I20" s="67"/>
      <c r="J20" s="67"/>
      <c r="K20" s="67"/>
      <c r="L20" s="67" t="s">
        <v>77</v>
      </c>
      <c r="M20" s="70">
        <f>'Tabel 1.1'!B20</f>
        <v>123611</v>
      </c>
      <c r="N20" s="70">
        <f>'Tabel 1.1'!C20</f>
        <v>115325</v>
      </c>
      <c r="O20" s="67"/>
    </row>
    <row r="21" spans="1:15" x14ac:dyDescent="0.3">
      <c r="A21" s="67"/>
      <c r="B21" s="67"/>
      <c r="C21" s="67"/>
      <c r="D21" s="67"/>
      <c r="E21" s="67"/>
      <c r="F21" s="67"/>
      <c r="G21" s="67"/>
      <c r="H21" s="67"/>
      <c r="I21" s="67"/>
      <c r="J21" s="67"/>
      <c r="K21" s="67"/>
      <c r="L21" s="67" t="s">
        <v>78</v>
      </c>
      <c r="M21" s="70">
        <f>'Tabel 1.1'!B21</f>
        <v>115950</v>
      </c>
      <c r="N21" s="70">
        <f>'Tabel 1.1'!C21</f>
        <v>135344</v>
      </c>
      <c r="O21" s="67"/>
    </row>
    <row r="22" spans="1:15" x14ac:dyDescent="0.3">
      <c r="A22" s="67"/>
      <c r="B22" s="67"/>
      <c r="C22" s="67"/>
      <c r="D22" s="67"/>
      <c r="E22" s="67"/>
      <c r="F22" s="67"/>
      <c r="G22" s="67"/>
      <c r="H22" s="67"/>
      <c r="I22" s="67"/>
      <c r="J22" s="67"/>
      <c r="K22" s="67"/>
      <c r="L22" s="67" t="s">
        <v>79</v>
      </c>
      <c r="M22" s="70">
        <f>'Tabel 1.1'!B22</f>
        <v>39880</v>
      </c>
      <c r="N22" s="70">
        <f>'Tabel 1.1'!C22</f>
        <v>25735</v>
      </c>
      <c r="O22" s="67"/>
    </row>
    <row r="23" spans="1:15" x14ac:dyDescent="0.3">
      <c r="A23" s="67"/>
      <c r="B23" s="67"/>
      <c r="C23" s="67"/>
      <c r="D23" s="67"/>
      <c r="E23" s="67"/>
      <c r="F23" s="67"/>
      <c r="G23" s="67"/>
      <c r="H23" s="67"/>
      <c r="I23" s="67"/>
      <c r="J23" s="67"/>
      <c r="K23" s="67"/>
      <c r="L23" s="67" t="s">
        <v>80</v>
      </c>
      <c r="M23" s="70">
        <f>'Tabel 1.1'!B23</f>
        <v>2346</v>
      </c>
      <c r="N23" s="70">
        <f>'Tabel 1.1'!C23</f>
        <v>2338</v>
      </c>
      <c r="O23" s="67"/>
    </row>
    <row r="24" spans="1:15" x14ac:dyDescent="0.3">
      <c r="A24" s="67"/>
      <c r="B24" s="67"/>
      <c r="C24" s="67"/>
      <c r="D24" s="67"/>
      <c r="E24" s="67"/>
      <c r="F24" s="67"/>
      <c r="G24" s="67"/>
      <c r="H24" s="67"/>
      <c r="I24" s="67"/>
      <c r="J24" s="67"/>
      <c r="K24" s="67"/>
      <c r="L24" s="67" t="s">
        <v>81</v>
      </c>
      <c r="M24" s="70">
        <f>'Tabel 1.1'!B24</f>
        <v>2657396.2051484557</v>
      </c>
      <c r="N24" s="70">
        <f>'Tabel 1.1'!C24</f>
        <v>2085502.9796573399</v>
      </c>
      <c r="O24" s="67"/>
    </row>
    <row r="25" spans="1:15" x14ac:dyDescent="0.3">
      <c r="A25" s="67"/>
      <c r="B25" s="67"/>
      <c r="C25" s="67"/>
      <c r="D25" s="67"/>
      <c r="E25" s="67"/>
      <c r="F25" s="67"/>
      <c r="G25" s="67"/>
      <c r="H25" s="67"/>
      <c r="I25" s="67"/>
      <c r="J25" s="67"/>
      <c r="K25" s="67"/>
      <c r="L25" s="67" t="s">
        <v>82</v>
      </c>
      <c r="M25" s="70">
        <f>'Tabel 1.1'!B25</f>
        <v>4084610</v>
      </c>
      <c r="N25" s="70">
        <f>'Tabel 1.1'!C25</f>
        <v>4018088</v>
      </c>
      <c r="O25" s="67"/>
    </row>
    <row r="26" spans="1:15" x14ac:dyDescent="0.3">
      <c r="A26" s="67"/>
      <c r="B26" s="67"/>
      <c r="C26" s="67"/>
      <c r="D26" s="67"/>
      <c r="E26" s="67"/>
      <c r="F26" s="67"/>
      <c r="G26" s="67"/>
      <c r="H26" s="67"/>
      <c r="I26" s="67"/>
      <c r="J26" s="67"/>
      <c r="K26" s="67"/>
      <c r="L26" s="67" t="s">
        <v>83</v>
      </c>
      <c r="M26" s="70">
        <f>'Tabel 1.1'!B27</f>
        <v>2449137.9735400002</v>
      </c>
      <c r="N26" s="70">
        <f>'Tabel 1.1'!C27</f>
        <v>2505584.0598300006</v>
      </c>
      <c r="O26" s="67"/>
    </row>
    <row r="27" spans="1:15" x14ac:dyDescent="0.3">
      <c r="A27" s="67"/>
      <c r="B27" s="67"/>
      <c r="C27" s="67"/>
      <c r="D27" s="67"/>
      <c r="E27" s="67"/>
      <c r="F27" s="67"/>
      <c r="G27" s="67"/>
      <c r="H27" s="67"/>
      <c r="I27" s="67"/>
      <c r="J27" s="67"/>
      <c r="K27" s="67"/>
      <c r="L27" s="67" t="s">
        <v>84</v>
      </c>
      <c r="M27" s="70">
        <f>'Tabel 1.1'!B28</f>
        <v>7918141.5200000005</v>
      </c>
      <c r="N27" s="70">
        <f>'Tabel 1.1'!C28</f>
        <v>6656214.8409999991</v>
      </c>
    </row>
    <row r="28" spans="1:15" x14ac:dyDescent="0.3">
      <c r="A28" s="67"/>
      <c r="B28" s="67"/>
      <c r="C28" s="67"/>
      <c r="D28" s="67"/>
      <c r="E28" s="67"/>
      <c r="F28" s="67"/>
      <c r="G28" s="67"/>
      <c r="H28" s="67"/>
      <c r="I28" s="67"/>
      <c r="J28" s="67"/>
      <c r="K28" s="67"/>
      <c r="L28" s="67" t="s">
        <v>85</v>
      </c>
      <c r="M28" s="70">
        <f>'Tabel 1.1'!B29</f>
        <v>24710</v>
      </c>
      <c r="N28" s="70">
        <f>'Tabel 1.1'!C29</f>
        <v>25828</v>
      </c>
    </row>
    <row r="29" spans="1:15" x14ac:dyDescent="0.3">
      <c r="A29" s="67"/>
      <c r="B29" s="67"/>
      <c r="C29" s="67"/>
      <c r="D29" s="67"/>
      <c r="E29" s="67"/>
      <c r="F29" s="67"/>
      <c r="G29" s="67"/>
      <c r="H29" s="67"/>
      <c r="I29" s="67"/>
      <c r="J29" s="67"/>
      <c r="K29" s="67"/>
      <c r="L29" s="67" t="s">
        <v>86</v>
      </c>
      <c r="M29" s="70">
        <f>'Tabel 1.1'!B30</f>
        <v>555281.85226000007</v>
      </c>
      <c r="N29" s="70">
        <f>'Tabel 1.1'!C30</f>
        <v>542694.08400000003</v>
      </c>
    </row>
    <row r="30" spans="1:15" x14ac:dyDescent="0.3">
      <c r="A30" s="68" t="s">
        <v>422</v>
      </c>
      <c r="B30" s="67"/>
      <c r="C30" s="67"/>
      <c r="D30" s="67"/>
      <c r="E30" s="67"/>
      <c r="F30" s="67"/>
      <c r="G30" s="67"/>
      <c r="H30" s="67"/>
      <c r="I30" s="72"/>
      <c r="J30" s="67"/>
      <c r="K30" s="67"/>
    </row>
    <row r="31" spans="1:15" x14ac:dyDescent="0.3">
      <c r="B31" s="67"/>
      <c r="C31" s="67"/>
      <c r="D31" s="67"/>
      <c r="E31" s="67"/>
      <c r="F31" s="67"/>
      <c r="G31" s="67"/>
      <c r="H31" s="67"/>
      <c r="I31" s="67"/>
      <c r="J31" s="67"/>
      <c r="K31" s="67"/>
    </row>
    <row r="32" spans="1:15" x14ac:dyDescent="0.3">
      <c r="B32" s="67"/>
      <c r="C32" s="67"/>
      <c r="D32" s="67"/>
      <c r="E32" s="67"/>
      <c r="F32" s="67"/>
      <c r="G32" s="67"/>
      <c r="H32" s="67"/>
      <c r="I32" s="67"/>
      <c r="J32" s="67"/>
      <c r="K32" s="67"/>
    </row>
    <row r="33" spans="1:15" x14ac:dyDescent="0.3">
      <c r="A33" s="67"/>
      <c r="B33" s="67"/>
      <c r="C33" s="67"/>
      <c r="D33" s="67"/>
      <c r="E33" s="67"/>
      <c r="F33" s="67"/>
      <c r="G33" s="67"/>
      <c r="H33" s="67"/>
      <c r="I33" s="67"/>
      <c r="J33" s="67"/>
      <c r="K33" s="67"/>
      <c r="L33" s="67" t="s">
        <v>65</v>
      </c>
    </row>
    <row r="34" spans="1:15" x14ac:dyDescent="0.3">
      <c r="A34" s="67"/>
      <c r="B34" s="67"/>
      <c r="C34" s="67"/>
      <c r="D34" s="67"/>
      <c r="E34" s="67"/>
      <c r="F34" s="67"/>
      <c r="G34" s="67"/>
      <c r="H34" s="67"/>
      <c r="I34" s="67"/>
      <c r="J34" s="67"/>
      <c r="K34" s="67"/>
      <c r="L34" s="67" t="s">
        <v>1</v>
      </c>
    </row>
    <row r="35" spans="1:15" x14ac:dyDescent="0.3">
      <c r="A35" s="67"/>
      <c r="B35" s="67"/>
      <c r="C35" s="67"/>
      <c r="D35" s="67"/>
      <c r="E35" s="67"/>
      <c r="F35" s="67"/>
      <c r="G35" s="67"/>
      <c r="H35" s="67"/>
      <c r="I35" s="67"/>
      <c r="J35" s="67"/>
      <c r="K35" s="67"/>
      <c r="M35" s="67">
        <v>2015</v>
      </c>
      <c r="N35" s="67">
        <v>2016</v>
      </c>
    </row>
    <row r="36" spans="1:15" x14ac:dyDescent="0.3">
      <c r="A36" s="67"/>
      <c r="B36" s="67"/>
      <c r="C36" s="67"/>
      <c r="D36" s="67"/>
      <c r="E36" s="67"/>
      <c r="F36" s="67"/>
      <c r="G36" s="67"/>
      <c r="H36" s="67"/>
      <c r="I36" s="67"/>
      <c r="J36" s="67"/>
      <c r="K36" s="67"/>
      <c r="L36" s="72" t="s">
        <v>67</v>
      </c>
      <c r="M36" s="71">
        <f>'Tabel 1.1'!B34</f>
        <v>1318736.672</v>
      </c>
      <c r="N36" s="71">
        <f>'Tabel 1.1'!C34</f>
        <v>1601249.9339999999</v>
      </c>
    </row>
    <row r="37" spans="1:15" x14ac:dyDescent="0.3">
      <c r="A37" s="67"/>
      <c r="B37" s="67"/>
      <c r="C37" s="67"/>
      <c r="D37" s="67"/>
      <c r="E37" s="67"/>
      <c r="F37" s="67"/>
      <c r="G37" s="67"/>
      <c r="H37" s="67"/>
      <c r="I37" s="67"/>
      <c r="J37" s="67"/>
      <c r="K37" s="67"/>
      <c r="L37" s="67" t="s">
        <v>68</v>
      </c>
      <c r="M37" s="71">
        <f>'Tabel 1.1'!B35</f>
        <v>6671259</v>
      </c>
      <c r="N37" s="71">
        <f>'Tabel 1.1'!C35</f>
        <v>7888720</v>
      </c>
    </row>
    <row r="38" spans="1:15" x14ac:dyDescent="0.3">
      <c r="A38" s="67"/>
      <c r="B38" s="67"/>
      <c r="C38" s="67"/>
      <c r="D38" s="67"/>
      <c r="E38" s="67"/>
      <c r="F38" s="67"/>
      <c r="G38" s="67"/>
      <c r="H38" s="67"/>
      <c r="I38" s="67"/>
      <c r="J38" s="67"/>
      <c r="K38" s="67"/>
      <c r="L38" s="67" t="s">
        <v>70</v>
      </c>
      <c r="M38" s="71">
        <f>'Tabel 1.1'!B36</f>
        <v>288724</v>
      </c>
      <c r="N38" s="71">
        <f>'Tabel 1.1'!C36</f>
        <v>317316</v>
      </c>
    </row>
    <row r="39" spans="1:15" x14ac:dyDescent="0.3">
      <c r="A39" s="67"/>
      <c r="B39" s="67"/>
      <c r="C39" s="67"/>
      <c r="D39" s="67"/>
      <c r="E39" s="67"/>
      <c r="F39" s="67"/>
      <c r="G39" s="67"/>
      <c r="H39" s="67"/>
      <c r="I39" s="67"/>
      <c r="J39" s="67"/>
      <c r="K39" s="67"/>
      <c r="L39" s="72" t="s">
        <v>73</v>
      </c>
      <c r="M39" s="71">
        <f>'Tabel 1.1'!B37</f>
        <v>1752127</v>
      </c>
      <c r="N39" s="71">
        <f>'Tabel 1.1'!C37</f>
        <v>2012747</v>
      </c>
    </row>
    <row r="40" spans="1:15" x14ac:dyDescent="0.3">
      <c r="A40" s="67"/>
      <c r="B40" s="67"/>
      <c r="C40" s="67"/>
      <c r="D40" s="67"/>
      <c r="E40" s="67"/>
      <c r="F40" s="67"/>
      <c r="G40" s="67"/>
      <c r="H40" s="67"/>
      <c r="I40" s="67"/>
      <c r="J40" s="67"/>
      <c r="K40" s="67"/>
      <c r="L40" s="67" t="s">
        <v>76</v>
      </c>
      <c r="M40" s="71">
        <f>'Tabel 1.1'!B38</f>
        <v>108686.046</v>
      </c>
      <c r="N40" s="71">
        <f>'Tabel 1.1'!C38</f>
        <v>133629.31599999999</v>
      </c>
      <c r="O40" s="67"/>
    </row>
    <row r="41" spans="1:15" x14ac:dyDescent="0.3">
      <c r="A41" s="67"/>
      <c r="B41" s="67"/>
      <c r="C41" s="67"/>
      <c r="D41" s="67"/>
      <c r="E41" s="67"/>
      <c r="F41" s="67"/>
      <c r="G41" s="67"/>
      <c r="H41" s="67"/>
      <c r="I41" s="67"/>
      <c r="J41" s="67"/>
      <c r="K41" s="67"/>
      <c r="L41" s="72" t="s">
        <v>77</v>
      </c>
      <c r="M41" s="71">
        <f>'Tabel 1.1'!B39</f>
        <v>212431</v>
      </c>
      <c r="N41" s="71">
        <f>'Tabel 1.1'!C39</f>
        <v>274248</v>
      </c>
      <c r="O41" s="67"/>
    </row>
    <row r="42" spans="1:15" x14ac:dyDescent="0.3">
      <c r="A42" s="67"/>
      <c r="B42" s="67"/>
      <c r="C42" s="67"/>
      <c r="D42" s="67"/>
      <c r="E42" s="67"/>
      <c r="F42" s="67"/>
      <c r="G42" s="67"/>
      <c r="H42" s="67"/>
      <c r="I42" s="67"/>
      <c r="J42" s="67"/>
      <c r="K42" s="67"/>
      <c r="L42" s="72" t="s">
        <v>81</v>
      </c>
      <c r="M42" s="71">
        <f>'Tabel 1.1'!B40</f>
        <v>8718284.4820400029</v>
      </c>
      <c r="N42" s="71">
        <f>'Tabel 1.1'!C40</f>
        <v>8569024.0165900029</v>
      </c>
      <c r="O42" s="67"/>
    </row>
    <row r="43" spans="1:15" x14ac:dyDescent="0.3">
      <c r="A43" s="67"/>
      <c r="B43" s="67"/>
      <c r="C43" s="67"/>
      <c r="D43" s="67"/>
      <c r="E43" s="67"/>
      <c r="F43" s="67"/>
      <c r="G43" s="67"/>
      <c r="H43" s="67"/>
      <c r="I43" s="67"/>
      <c r="J43" s="67"/>
      <c r="K43" s="67"/>
      <c r="L43" s="72" t="s">
        <v>87</v>
      </c>
      <c r="M43" s="71">
        <f>'Tabel 1.1'!B41</f>
        <v>155206</v>
      </c>
      <c r="N43" s="71">
        <f>'Tabel 1.1'!C41</f>
        <v>173110</v>
      </c>
      <c r="O43" s="67"/>
    </row>
    <row r="44" spans="1:15" x14ac:dyDescent="0.3">
      <c r="A44" s="67"/>
      <c r="B44" s="67"/>
      <c r="C44" s="67"/>
      <c r="D44" s="67"/>
      <c r="E44" s="67"/>
      <c r="F44" s="67"/>
      <c r="G44" s="67"/>
      <c r="H44" s="67"/>
      <c r="I44" s="67"/>
      <c r="J44" s="67"/>
      <c r="K44" s="67"/>
      <c r="L44" s="67" t="s">
        <v>88</v>
      </c>
      <c r="M44" s="71">
        <f>'Tabel 1.1'!B42</f>
        <v>14.59357003</v>
      </c>
      <c r="N44" s="71">
        <f>'Tabel 1.1'!C42</f>
        <v>0</v>
      </c>
      <c r="O44" s="67"/>
    </row>
    <row r="45" spans="1:15" x14ac:dyDescent="0.3">
      <c r="A45" s="67"/>
      <c r="B45" s="67"/>
      <c r="C45" s="67"/>
      <c r="D45" s="67"/>
      <c r="E45" s="67"/>
      <c r="F45" s="67"/>
      <c r="G45" s="67"/>
      <c r="H45" s="67"/>
      <c r="I45" s="67"/>
      <c r="J45" s="67"/>
      <c r="K45" s="67"/>
      <c r="L45" s="72" t="s">
        <v>83</v>
      </c>
      <c r="M45" s="71">
        <f>'Tabel 1.1'!B43</f>
        <v>1662297.2335399999</v>
      </c>
      <c r="N45" s="71">
        <f>'Tabel 1.1'!C43</f>
        <v>2177088.1554299998</v>
      </c>
      <c r="O45" s="67"/>
    </row>
    <row r="46" spans="1:15" x14ac:dyDescent="0.3">
      <c r="A46" s="67"/>
      <c r="B46" s="67"/>
      <c r="C46" s="67"/>
      <c r="D46" s="67"/>
      <c r="E46" s="67"/>
      <c r="F46" s="67"/>
      <c r="G46" s="67"/>
      <c r="H46" s="67"/>
      <c r="I46" s="67"/>
      <c r="J46" s="67"/>
      <c r="K46" s="67"/>
      <c r="L46" s="72" t="s">
        <v>89</v>
      </c>
      <c r="M46" s="71">
        <f>'Tabel 1.1'!B44</f>
        <v>7963561.2149999999</v>
      </c>
      <c r="N46" s="71">
        <f>'Tabel 1.1'!C44</f>
        <v>9586837.9849999994</v>
      </c>
      <c r="O46" s="67"/>
    </row>
    <row r="47" spans="1:15" x14ac:dyDescent="0.3">
      <c r="A47" s="67"/>
      <c r="B47" s="67"/>
      <c r="C47" s="67"/>
      <c r="D47" s="67"/>
      <c r="E47" s="67"/>
      <c r="F47" s="67"/>
      <c r="G47" s="67"/>
      <c r="H47" s="67"/>
      <c r="I47" s="67"/>
      <c r="J47" s="67"/>
      <c r="K47" s="67"/>
      <c r="L47" s="72"/>
      <c r="M47" s="71"/>
      <c r="N47" s="71"/>
      <c r="O47" s="67"/>
    </row>
    <row r="48" spans="1:15" x14ac:dyDescent="0.3">
      <c r="A48" s="67"/>
      <c r="B48" s="67"/>
      <c r="C48" s="67"/>
      <c r="D48" s="67"/>
      <c r="E48" s="67"/>
      <c r="F48" s="67"/>
      <c r="G48" s="67"/>
      <c r="H48" s="67"/>
      <c r="I48" s="67"/>
      <c r="J48" s="67"/>
      <c r="K48" s="67"/>
      <c r="M48" s="70"/>
      <c r="N48" s="70"/>
      <c r="O48" s="67"/>
    </row>
    <row r="49" spans="1:15" x14ac:dyDescent="0.3">
      <c r="A49" s="67"/>
      <c r="B49" s="67"/>
      <c r="C49" s="67"/>
      <c r="D49" s="67"/>
      <c r="E49" s="67"/>
      <c r="F49" s="67"/>
      <c r="G49" s="67"/>
      <c r="H49" s="67"/>
      <c r="I49" s="67"/>
      <c r="J49" s="67"/>
      <c r="K49" s="67"/>
      <c r="M49" s="70"/>
      <c r="N49" s="70"/>
      <c r="O49" s="67"/>
    </row>
    <row r="50" spans="1:15" x14ac:dyDescent="0.3">
      <c r="A50" s="67"/>
      <c r="B50" s="67"/>
      <c r="C50" s="67"/>
      <c r="D50" s="67"/>
      <c r="E50" s="67"/>
      <c r="F50" s="67"/>
      <c r="G50" s="67"/>
      <c r="H50" s="67"/>
      <c r="I50" s="67"/>
      <c r="J50" s="67"/>
      <c r="K50" s="67"/>
      <c r="M50" s="70"/>
      <c r="N50" s="70"/>
      <c r="O50" s="67"/>
    </row>
    <row r="51" spans="1:15" x14ac:dyDescent="0.3">
      <c r="A51" s="67"/>
      <c r="B51" s="67"/>
      <c r="C51" s="67"/>
      <c r="D51" s="67"/>
      <c r="E51" s="67"/>
      <c r="F51" s="67"/>
      <c r="G51" s="67"/>
      <c r="H51" s="67"/>
      <c r="I51" s="67"/>
      <c r="J51" s="67"/>
      <c r="K51" s="67"/>
      <c r="M51" s="70"/>
      <c r="N51" s="70"/>
      <c r="O51" s="67"/>
    </row>
    <row r="52" spans="1:15" x14ac:dyDescent="0.3">
      <c r="A52" s="67"/>
      <c r="B52" s="67"/>
      <c r="C52" s="67"/>
      <c r="D52" s="67"/>
      <c r="E52" s="67"/>
      <c r="F52" s="67"/>
      <c r="G52" s="67"/>
      <c r="H52" s="67"/>
      <c r="I52" s="67"/>
      <c r="J52" s="67"/>
      <c r="K52" s="67"/>
      <c r="O52" s="67"/>
    </row>
    <row r="53" spans="1:15" x14ac:dyDescent="0.3">
      <c r="A53" s="67"/>
      <c r="B53" s="67"/>
      <c r="C53" s="67"/>
      <c r="D53" s="67"/>
      <c r="E53" s="67"/>
      <c r="F53" s="67"/>
      <c r="G53" s="67"/>
      <c r="H53" s="67"/>
      <c r="I53" s="67"/>
      <c r="J53" s="67"/>
      <c r="K53" s="67"/>
      <c r="O53" s="67"/>
    </row>
    <row r="54" spans="1:15" x14ac:dyDescent="0.3">
      <c r="A54" s="67"/>
      <c r="B54" s="67"/>
      <c r="C54" s="67"/>
      <c r="D54" s="67"/>
      <c r="E54" s="67"/>
      <c r="F54" s="67"/>
      <c r="G54" s="67"/>
      <c r="H54" s="67"/>
      <c r="I54" s="67"/>
      <c r="J54" s="67"/>
      <c r="K54" s="67"/>
      <c r="O54" s="67"/>
    </row>
    <row r="55" spans="1:15" x14ac:dyDescent="0.3">
      <c r="A55" s="67"/>
      <c r="B55" s="67"/>
      <c r="C55" s="67"/>
      <c r="D55" s="67"/>
      <c r="E55" s="67"/>
      <c r="F55" s="67"/>
      <c r="G55" s="67"/>
      <c r="H55" s="67"/>
      <c r="I55" s="67"/>
      <c r="J55" s="67"/>
      <c r="K55" s="67"/>
      <c r="O55" s="67"/>
    </row>
    <row r="56" spans="1:15" x14ac:dyDescent="0.3">
      <c r="A56" s="68" t="s">
        <v>423</v>
      </c>
      <c r="B56" s="67"/>
      <c r="C56" s="67"/>
      <c r="D56" s="67"/>
      <c r="E56" s="67"/>
      <c r="F56" s="67"/>
      <c r="G56" s="67"/>
      <c r="H56" s="67"/>
      <c r="I56" s="72"/>
      <c r="J56" s="67"/>
      <c r="K56" s="67"/>
      <c r="O56" s="67"/>
    </row>
    <row r="57" spans="1:15" x14ac:dyDescent="0.3">
      <c r="A57" s="67"/>
      <c r="B57" s="67"/>
      <c r="C57" s="67"/>
      <c r="D57" s="67"/>
      <c r="E57" s="67"/>
      <c r="F57" s="67"/>
      <c r="G57" s="67"/>
      <c r="H57" s="67"/>
      <c r="I57" s="67"/>
      <c r="J57" s="67"/>
      <c r="K57" s="67"/>
      <c r="L57" s="67" t="s">
        <v>90</v>
      </c>
      <c r="O57" s="67"/>
    </row>
    <row r="58" spans="1:15" x14ac:dyDescent="0.3">
      <c r="A58" s="67"/>
      <c r="B58" s="67"/>
      <c r="C58" s="67"/>
      <c r="D58" s="67"/>
      <c r="E58" s="67"/>
      <c r="F58" s="67"/>
      <c r="G58" s="67"/>
      <c r="H58" s="67"/>
      <c r="I58" s="67"/>
      <c r="J58" s="67"/>
      <c r="K58" s="67"/>
      <c r="L58" s="67" t="s">
        <v>0</v>
      </c>
      <c r="O58" s="67"/>
    </row>
    <row r="59" spans="1:15" x14ac:dyDescent="0.3">
      <c r="A59" s="67"/>
      <c r="B59" s="67"/>
      <c r="C59" s="67"/>
      <c r="D59" s="67"/>
      <c r="E59" s="67"/>
      <c r="F59" s="67"/>
      <c r="G59" s="67"/>
      <c r="H59" s="67"/>
      <c r="I59" s="67"/>
      <c r="J59" s="67"/>
      <c r="K59" s="67"/>
      <c r="M59" s="67">
        <v>2015</v>
      </c>
      <c r="N59" s="67">
        <v>2016</v>
      </c>
      <c r="O59" s="67"/>
    </row>
    <row r="60" spans="1:15" x14ac:dyDescent="0.3">
      <c r="A60" s="67"/>
      <c r="B60" s="67"/>
      <c r="C60" s="67"/>
      <c r="D60" s="67"/>
      <c r="E60" s="67"/>
      <c r="F60" s="67"/>
      <c r="G60" s="67"/>
      <c r="H60" s="67"/>
      <c r="I60" s="67"/>
      <c r="J60" s="67"/>
      <c r="K60" s="67"/>
      <c r="L60" s="67" t="s">
        <v>66</v>
      </c>
      <c r="M60" s="70">
        <f>'Tabel 1.1'!G9</f>
        <v>4749.2426599999999</v>
      </c>
      <c r="N60" s="70">
        <f>'Tabel 1.1'!H9</f>
        <v>0</v>
      </c>
      <c r="O60" s="67"/>
    </row>
    <row r="61" spans="1:15" x14ac:dyDescent="0.3">
      <c r="A61" s="67"/>
      <c r="B61" s="67"/>
      <c r="C61" s="67"/>
      <c r="D61" s="67"/>
      <c r="E61" s="67"/>
      <c r="F61" s="67"/>
      <c r="G61" s="67"/>
      <c r="H61" s="67"/>
      <c r="I61" s="67"/>
      <c r="J61" s="67"/>
      <c r="K61" s="67"/>
      <c r="L61" s="67" t="s">
        <v>67</v>
      </c>
      <c r="M61" s="70">
        <f>'Tabel 1.1'!G10</f>
        <v>21906.855</v>
      </c>
      <c r="N61" s="70">
        <f>'Tabel 1.1'!H10</f>
        <v>34640</v>
      </c>
      <c r="O61" s="67"/>
    </row>
    <row r="62" spans="1:15" x14ac:dyDescent="0.3">
      <c r="A62" s="67"/>
      <c r="B62" s="67"/>
      <c r="C62" s="67"/>
      <c r="D62" s="67"/>
      <c r="E62" s="67"/>
      <c r="F62" s="67"/>
      <c r="G62" s="67"/>
      <c r="H62" s="67"/>
      <c r="I62" s="67"/>
      <c r="J62" s="67"/>
      <c r="K62" s="67"/>
      <c r="L62" s="67" t="s">
        <v>68</v>
      </c>
      <c r="M62" s="70">
        <f>'Tabel 1.1'!G11</f>
        <v>2098027</v>
      </c>
      <c r="N62" s="70">
        <f>'Tabel 1.1'!H11</f>
        <v>273122</v>
      </c>
      <c r="O62" s="67"/>
    </row>
    <row r="63" spans="1:15" x14ac:dyDescent="0.3">
      <c r="A63" s="67"/>
      <c r="B63" s="67"/>
      <c r="C63" s="67"/>
      <c r="D63" s="67"/>
      <c r="E63" s="67"/>
      <c r="F63" s="67"/>
      <c r="G63" s="67"/>
      <c r="H63" s="67"/>
      <c r="I63" s="67"/>
      <c r="J63" s="67"/>
      <c r="K63" s="67"/>
      <c r="L63" s="67" t="s">
        <v>69</v>
      </c>
      <c r="M63" s="70">
        <f>'Tabel 1.1'!G12</f>
        <v>34634</v>
      </c>
      <c r="N63" s="70">
        <f>'Tabel 1.1'!H12</f>
        <v>35755</v>
      </c>
      <c r="O63" s="67"/>
    </row>
    <row r="64" spans="1:15" x14ac:dyDescent="0.3">
      <c r="A64" s="67"/>
      <c r="B64" s="67"/>
      <c r="C64" s="67"/>
      <c r="D64" s="67"/>
      <c r="E64" s="67"/>
      <c r="F64" s="67"/>
      <c r="G64" s="67"/>
      <c r="H64" s="67"/>
      <c r="I64" s="67"/>
      <c r="J64" s="67"/>
      <c r="K64" s="67"/>
      <c r="L64" s="67" t="s">
        <v>70</v>
      </c>
      <c r="M64" s="70">
        <f>'Tabel 1.1'!G13</f>
        <v>10344</v>
      </c>
      <c r="N64" s="70">
        <f>'Tabel 1.1'!H13</f>
        <v>6501</v>
      </c>
      <c r="O64" s="67"/>
    </row>
    <row r="65" spans="1:15" x14ac:dyDescent="0.3">
      <c r="A65" s="67"/>
      <c r="B65" s="67"/>
      <c r="C65" s="67"/>
      <c r="D65" s="67"/>
      <c r="E65" s="67"/>
      <c r="F65" s="67"/>
      <c r="G65" s="67"/>
      <c r="H65" s="67"/>
      <c r="I65" s="67"/>
      <c r="J65" s="67"/>
      <c r="K65" s="67"/>
      <c r="L65" s="67" t="s">
        <v>72</v>
      </c>
      <c r="M65" s="70">
        <f>'Tabel 1.1'!G15</f>
        <v>55314</v>
      </c>
      <c r="N65" s="70">
        <f>'Tabel 1.1'!H15</f>
        <v>59672</v>
      </c>
      <c r="O65" s="67"/>
    </row>
    <row r="66" spans="1:15" x14ac:dyDescent="0.3">
      <c r="A66" s="67"/>
      <c r="B66" s="67"/>
      <c r="C66" s="67"/>
      <c r="D66" s="67"/>
      <c r="E66" s="67"/>
      <c r="F66" s="67"/>
      <c r="G66" s="67"/>
      <c r="H66" s="67"/>
      <c r="I66" s="67"/>
      <c r="J66" s="67"/>
      <c r="K66" s="67"/>
      <c r="L66" s="67" t="s">
        <v>73</v>
      </c>
      <c r="M66" s="70">
        <f>'Tabel 1.1'!G16</f>
        <v>72471</v>
      </c>
      <c r="N66" s="70">
        <f>'Tabel 1.1'!H16</f>
        <v>76624</v>
      </c>
      <c r="O66" s="67"/>
    </row>
    <row r="67" spans="1:15" x14ac:dyDescent="0.3">
      <c r="A67" s="67"/>
      <c r="B67" s="67"/>
      <c r="C67" s="67"/>
      <c r="D67" s="67"/>
      <c r="E67" s="67"/>
      <c r="F67" s="67"/>
      <c r="G67" s="67"/>
      <c r="H67" s="67"/>
      <c r="I67" s="67"/>
      <c r="J67" s="67"/>
      <c r="K67" s="67"/>
      <c r="L67" s="67" t="s">
        <v>74</v>
      </c>
      <c r="M67" s="70">
        <f>'Tabel 1.1'!G17</f>
        <v>2739</v>
      </c>
      <c r="N67" s="70">
        <f>'Tabel 1.1'!H17</f>
        <v>1814</v>
      </c>
      <c r="O67" s="67"/>
    </row>
    <row r="68" spans="1:15" x14ac:dyDescent="0.3">
      <c r="A68" s="67"/>
      <c r="B68" s="67"/>
      <c r="C68" s="67"/>
      <c r="D68" s="67"/>
      <c r="E68" s="67"/>
      <c r="F68" s="67"/>
      <c r="G68" s="67"/>
      <c r="H68" s="67"/>
      <c r="I68" s="67"/>
      <c r="J68" s="67"/>
      <c r="K68" s="67"/>
      <c r="L68" s="67" t="s">
        <v>75</v>
      </c>
      <c r="M68" s="70">
        <f>'Tabel 1.1'!G18</f>
        <v>30210.170999999998</v>
      </c>
      <c r="N68" s="70">
        <f>'Tabel 1.1'!H18</f>
        <v>34592.843000000001</v>
      </c>
      <c r="O68" s="67"/>
    </row>
    <row r="69" spans="1:15" x14ac:dyDescent="0.3">
      <c r="A69" s="67"/>
      <c r="B69" s="67"/>
      <c r="C69" s="67"/>
      <c r="D69" s="67"/>
      <c r="E69" s="67"/>
      <c r="F69" s="67"/>
      <c r="G69" s="67"/>
      <c r="H69" s="67"/>
      <c r="I69" s="67"/>
      <c r="J69" s="67"/>
      <c r="K69" s="67"/>
      <c r="L69" s="67" t="s">
        <v>76</v>
      </c>
      <c r="M69" s="70">
        <f>'Tabel 1.1'!G19</f>
        <v>6252.7</v>
      </c>
      <c r="N69" s="70">
        <f>'Tabel 1.1'!H19</f>
        <v>6182</v>
      </c>
      <c r="O69" s="67"/>
    </row>
    <row r="70" spans="1:15" x14ac:dyDescent="0.3">
      <c r="A70" s="67"/>
      <c r="B70" s="67"/>
      <c r="C70" s="67"/>
      <c r="D70" s="67"/>
      <c r="E70" s="67"/>
      <c r="F70" s="67"/>
      <c r="G70" s="67"/>
      <c r="H70" s="67"/>
      <c r="I70" s="67"/>
      <c r="J70" s="67"/>
      <c r="K70" s="67"/>
      <c r="L70" s="67" t="s">
        <v>77</v>
      </c>
      <c r="M70" s="70">
        <f>'Tabel 1.1'!G20</f>
        <v>0</v>
      </c>
      <c r="N70" s="70">
        <f>'Tabel 1.1'!H20</f>
        <v>0</v>
      </c>
      <c r="O70" s="67"/>
    </row>
    <row r="71" spans="1:15" x14ac:dyDescent="0.3">
      <c r="A71" s="67"/>
      <c r="B71" s="67"/>
      <c r="C71" s="67"/>
      <c r="D71" s="67"/>
      <c r="E71" s="67"/>
      <c r="F71" s="67"/>
      <c r="G71" s="67"/>
      <c r="H71" s="67"/>
      <c r="I71" s="67"/>
      <c r="J71" s="67"/>
      <c r="K71" s="67"/>
      <c r="L71" s="67" t="s">
        <v>78</v>
      </c>
      <c r="M71" s="70">
        <f>'Tabel 1.1'!G21</f>
        <v>6485</v>
      </c>
      <c r="N71" s="70">
        <f>'Tabel 1.1'!H21</f>
        <v>7686</v>
      </c>
      <c r="O71" s="67"/>
    </row>
    <row r="72" spans="1:15" x14ac:dyDescent="0.3">
      <c r="A72" s="67"/>
      <c r="B72" s="67"/>
      <c r="C72" s="67"/>
      <c r="D72" s="67"/>
      <c r="E72" s="67"/>
      <c r="F72" s="67"/>
      <c r="G72" s="67"/>
      <c r="H72" s="67"/>
      <c r="I72" s="67"/>
      <c r="J72" s="67"/>
      <c r="K72" s="67"/>
      <c r="L72" s="67" t="s">
        <v>79</v>
      </c>
      <c r="M72" s="70">
        <f>'Tabel 1.1'!G22</f>
        <v>2270</v>
      </c>
      <c r="N72" s="70">
        <f>'Tabel 1.1'!H22</f>
        <v>2376</v>
      </c>
      <c r="O72" s="67"/>
    </row>
    <row r="73" spans="1:15" x14ac:dyDescent="0.3">
      <c r="A73" s="67"/>
      <c r="B73" s="67"/>
      <c r="C73" s="67"/>
      <c r="D73" s="67"/>
      <c r="E73" s="67"/>
      <c r="F73" s="67"/>
      <c r="G73" s="67"/>
      <c r="H73" s="67"/>
      <c r="I73" s="67"/>
      <c r="J73" s="67"/>
      <c r="K73" s="67"/>
      <c r="L73" s="67" t="s">
        <v>80</v>
      </c>
      <c r="M73" s="70">
        <f>'Tabel 1.1'!G23</f>
        <v>0</v>
      </c>
      <c r="N73" s="70">
        <f>'Tabel 1.1'!H23</f>
        <v>28</v>
      </c>
      <c r="O73" s="67"/>
    </row>
    <row r="74" spans="1:15" x14ac:dyDescent="0.3">
      <c r="A74" s="67"/>
      <c r="B74" s="67"/>
      <c r="C74" s="67"/>
      <c r="D74" s="67"/>
      <c r="E74" s="67"/>
      <c r="F74" s="67"/>
      <c r="G74" s="67"/>
      <c r="H74" s="67"/>
      <c r="I74" s="67"/>
      <c r="J74" s="67"/>
      <c r="K74" s="67"/>
      <c r="L74" s="67" t="s">
        <v>81</v>
      </c>
      <c r="M74" s="70">
        <f>'Tabel 1.1'!G24</f>
        <v>83372.505000000005</v>
      </c>
      <c r="N74" s="70">
        <f>'Tabel 1.1'!H24</f>
        <v>68567.329759244501</v>
      </c>
      <c r="O74" s="67"/>
    </row>
    <row r="75" spans="1:15" x14ac:dyDescent="0.3">
      <c r="A75" s="67"/>
      <c r="B75" s="67"/>
      <c r="C75" s="67"/>
      <c r="D75" s="67"/>
      <c r="E75" s="67"/>
      <c r="F75" s="67"/>
      <c r="G75" s="67"/>
      <c r="H75" s="67"/>
      <c r="I75" s="67"/>
      <c r="J75" s="67"/>
      <c r="K75" s="67"/>
      <c r="L75" s="67" t="s">
        <v>83</v>
      </c>
      <c r="M75" s="70">
        <f>'Tabel 1.1'!G27</f>
        <v>162186.32499999998</v>
      </c>
      <c r="N75" s="70">
        <f>'Tabel 1.1'!H27</f>
        <v>191591</v>
      </c>
      <c r="O75" s="67"/>
    </row>
    <row r="76" spans="1:15" x14ac:dyDescent="0.3">
      <c r="A76" s="67"/>
      <c r="B76" s="67"/>
      <c r="C76" s="67"/>
      <c r="D76" s="67"/>
      <c r="E76" s="67"/>
      <c r="F76" s="67"/>
      <c r="G76" s="67"/>
      <c r="H76" s="67"/>
      <c r="I76" s="67"/>
      <c r="J76" s="67"/>
      <c r="K76" s="67"/>
      <c r="L76" s="67" t="s">
        <v>84</v>
      </c>
      <c r="M76" s="70">
        <f>'Tabel 1.1'!G28</f>
        <v>128440.82500000001</v>
      </c>
      <c r="N76" s="70">
        <f>'Tabel 1.1'!H28</f>
        <v>227389.864</v>
      </c>
      <c r="O76" s="67"/>
    </row>
    <row r="77" spans="1:15" x14ac:dyDescent="0.3">
      <c r="A77" s="67"/>
      <c r="B77" s="67"/>
      <c r="C77" s="67"/>
      <c r="D77" s="67"/>
      <c r="E77" s="67"/>
      <c r="F77" s="67"/>
      <c r="G77" s="67"/>
      <c r="H77" s="67"/>
      <c r="I77" s="67"/>
      <c r="J77" s="67"/>
      <c r="K77" s="67"/>
      <c r="L77" s="67" t="s">
        <v>86</v>
      </c>
      <c r="M77" s="70">
        <f>'Tabel 1.1'!G30</f>
        <v>11707.462000000001</v>
      </c>
      <c r="N77" s="70">
        <f>'Tabel 1.1'!H30</f>
        <v>9858.2170000000006</v>
      </c>
      <c r="O77" s="67"/>
    </row>
    <row r="78" spans="1:15" x14ac:dyDescent="0.3">
      <c r="A78" s="67"/>
      <c r="B78" s="67"/>
      <c r="C78" s="67"/>
      <c r="D78" s="67"/>
      <c r="E78" s="67"/>
      <c r="F78" s="67"/>
      <c r="G78" s="67"/>
      <c r="H78" s="67"/>
      <c r="I78" s="67"/>
      <c r="J78" s="67"/>
      <c r="K78" s="67"/>
      <c r="O78" s="67"/>
    </row>
    <row r="79" spans="1:15" x14ac:dyDescent="0.3">
      <c r="A79" s="67"/>
      <c r="B79" s="67"/>
      <c r="C79" s="67"/>
      <c r="D79" s="67"/>
      <c r="E79" s="67"/>
      <c r="F79" s="67"/>
      <c r="G79" s="67"/>
      <c r="H79" s="67"/>
      <c r="I79" s="67"/>
      <c r="J79" s="67"/>
      <c r="K79" s="67"/>
      <c r="O79" s="67"/>
    </row>
    <row r="80" spans="1:15" x14ac:dyDescent="0.3">
      <c r="A80" s="67"/>
      <c r="B80" s="67"/>
      <c r="C80" s="67"/>
      <c r="D80" s="67"/>
      <c r="E80" s="67"/>
      <c r="F80" s="67"/>
      <c r="G80" s="67"/>
      <c r="H80" s="67"/>
      <c r="I80" s="67"/>
      <c r="J80" s="67"/>
      <c r="K80" s="67"/>
      <c r="O80" s="67"/>
    </row>
    <row r="81" spans="1:15" x14ac:dyDescent="0.3">
      <c r="A81" s="68" t="s">
        <v>424</v>
      </c>
      <c r="B81" s="67"/>
      <c r="C81" s="67"/>
      <c r="D81" s="67"/>
      <c r="E81" s="67"/>
      <c r="F81" s="67"/>
      <c r="G81" s="67"/>
      <c r="H81" s="67"/>
      <c r="I81" s="72"/>
      <c r="J81" s="67"/>
      <c r="K81" s="67"/>
      <c r="O81" s="67"/>
    </row>
    <row r="82" spans="1:15" x14ac:dyDescent="0.3">
      <c r="A82" s="67"/>
      <c r="B82" s="67"/>
      <c r="C82" s="67"/>
      <c r="D82" s="67"/>
      <c r="E82" s="67"/>
      <c r="F82" s="67"/>
      <c r="G82" s="67"/>
      <c r="H82" s="67"/>
      <c r="I82" s="67"/>
      <c r="J82" s="67"/>
      <c r="K82" s="67"/>
      <c r="O82" s="67"/>
    </row>
    <row r="83" spans="1:15" x14ac:dyDescent="0.3">
      <c r="A83" s="67"/>
      <c r="B83" s="67"/>
      <c r="C83" s="67"/>
      <c r="D83" s="67"/>
      <c r="E83" s="67"/>
      <c r="F83" s="67"/>
      <c r="G83" s="67"/>
      <c r="H83" s="67"/>
      <c r="I83" s="67"/>
      <c r="J83" s="67"/>
      <c r="K83" s="67"/>
      <c r="O83" s="67"/>
    </row>
    <row r="84" spans="1:15" x14ac:dyDescent="0.3">
      <c r="B84" s="67"/>
      <c r="C84" s="67"/>
      <c r="D84" s="67"/>
      <c r="E84" s="67"/>
      <c r="F84" s="67"/>
      <c r="G84" s="67"/>
      <c r="H84" s="67"/>
      <c r="I84" s="67"/>
      <c r="J84" s="67"/>
      <c r="K84" s="67"/>
      <c r="O84" s="67"/>
    </row>
    <row r="85" spans="1:15" x14ac:dyDescent="0.3">
      <c r="A85" s="67"/>
      <c r="B85" s="67"/>
      <c r="C85" s="67"/>
      <c r="D85" s="67"/>
      <c r="E85" s="67"/>
      <c r="F85" s="67"/>
      <c r="G85" s="67"/>
      <c r="H85" s="67"/>
      <c r="I85" s="67"/>
      <c r="J85" s="67"/>
      <c r="K85" s="67"/>
      <c r="L85" s="67" t="s">
        <v>90</v>
      </c>
      <c r="O85" s="67"/>
    </row>
    <row r="86" spans="1:15" x14ac:dyDescent="0.3">
      <c r="A86" s="67"/>
      <c r="B86" s="67"/>
      <c r="C86" s="67"/>
      <c r="D86" s="67"/>
      <c r="E86" s="67"/>
      <c r="F86" s="67"/>
      <c r="G86" s="67"/>
      <c r="H86" s="67"/>
      <c r="I86" s="67"/>
      <c r="J86" s="67"/>
      <c r="K86" s="67"/>
      <c r="L86" s="67" t="s">
        <v>1</v>
      </c>
      <c r="O86" s="67"/>
    </row>
    <row r="87" spans="1:15" x14ac:dyDescent="0.3">
      <c r="A87" s="67"/>
      <c r="B87" s="67"/>
      <c r="C87" s="67"/>
      <c r="D87" s="67"/>
      <c r="E87" s="67"/>
      <c r="F87" s="67"/>
      <c r="G87" s="67"/>
      <c r="H87" s="67"/>
      <c r="I87" s="67"/>
      <c r="J87" s="67"/>
      <c r="K87" s="67"/>
      <c r="M87" s="67">
        <v>2015</v>
      </c>
      <c r="N87" s="67">
        <v>2016</v>
      </c>
      <c r="O87" s="67"/>
    </row>
    <row r="88" spans="1:15" x14ac:dyDescent="0.3">
      <c r="A88" s="67"/>
      <c r="B88" s="67"/>
      <c r="C88" s="67"/>
      <c r="D88" s="67"/>
      <c r="E88" s="67"/>
      <c r="F88" s="67"/>
      <c r="G88" s="67"/>
      <c r="H88" s="67"/>
      <c r="I88" s="67"/>
      <c r="J88" s="67"/>
      <c r="K88" s="67"/>
      <c r="L88" s="67" t="s">
        <v>67</v>
      </c>
      <c r="M88" s="70">
        <f>'Tabel 1.1'!G34</f>
        <v>297843.3</v>
      </c>
      <c r="N88" s="70">
        <f>'Tabel 1.1'!H34</f>
        <v>484261</v>
      </c>
      <c r="O88" s="67"/>
    </row>
    <row r="89" spans="1:15" x14ac:dyDescent="0.3">
      <c r="A89" s="67"/>
      <c r="B89" s="67"/>
      <c r="C89" s="67"/>
      <c r="D89" s="67"/>
      <c r="E89" s="67"/>
      <c r="F89" s="67"/>
      <c r="G89" s="67"/>
      <c r="H89" s="67"/>
      <c r="I89" s="67"/>
      <c r="J89" s="67"/>
      <c r="K89" s="67"/>
      <c r="L89" s="67" t="s">
        <v>68</v>
      </c>
      <c r="M89" s="70">
        <f>'Tabel 1.1'!G35</f>
        <v>646194.66399999999</v>
      </c>
      <c r="N89" s="70">
        <f>'Tabel 1.1'!H35</f>
        <v>694367.89100000006</v>
      </c>
      <c r="O89" s="67"/>
    </row>
    <row r="90" spans="1:15" x14ac:dyDescent="0.3">
      <c r="A90" s="67"/>
      <c r="B90" s="67"/>
      <c r="C90" s="67"/>
      <c r="D90" s="67"/>
      <c r="E90" s="67"/>
      <c r="F90" s="67"/>
      <c r="G90" s="67"/>
      <c r="H90" s="67"/>
      <c r="I90" s="67"/>
      <c r="J90" s="67"/>
      <c r="K90" s="67"/>
      <c r="L90" s="67" t="s">
        <v>70</v>
      </c>
      <c r="M90" s="70">
        <f>'Tabel 1.1'!G36</f>
        <v>44529</v>
      </c>
      <c r="N90" s="70">
        <f>'Tabel 1.1'!H36</f>
        <v>13587</v>
      </c>
      <c r="O90" s="67"/>
    </row>
    <row r="91" spans="1:15" x14ac:dyDescent="0.3">
      <c r="A91" s="67"/>
      <c r="B91" s="67"/>
      <c r="C91" s="67"/>
      <c r="D91" s="67"/>
      <c r="E91" s="67"/>
      <c r="F91" s="67"/>
      <c r="G91" s="67"/>
      <c r="H91" s="67"/>
      <c r="I91" s="67"/>
      <c r="J91" s="67"/>
      <c r="K91" s="67"/>
      <c r="L91" s="72" t="s">
        <v>73</v>
      </c>
      <c r="M91" s="70">
        <f>'Tabel 1.1'!G37</f>
        <v>151008</v>
      </c>
      <c r="N91" s="70">
        <f>'Tabel 1.1'!H37</f>
        <v>151960</v>
      </c>
      <c r="O91" s="67"/>
    </row>
    <row r="92" spans="1:15" x14ac:dyDescent="0.3">
      <c r="A92" s="67"/>
      <c r="B92" s="67"/>
      <c r="C92" s="67"/>
      <c r="D92" s="67"/>
      <c r="E92" s="67"/>
      <c r="F92" s="67"/>
      <c r="G92" s="67"/>
      <c r="H92" s="67"/>
      <c r="I92" s="67"/>
      <c r="J92" s="67"/>
      <c r="K92" s="67"/>
      <c r="L92" s="67" t="s">
        <v>77</v>
      </c>
      <c r="M92" s="70">
        <f>'Tabel 1.1'!G39</f>
        <v>62123</v>
      </c>
      <c r="N92" s="70">
        <f>'Tabel 1.1'!H39</f>
        <v>80082</v>
      </c>
      <c r="O92" s="67"/>
    </row>
    <row r="93" spans="1:15" x14ac:dyDescent="0.3">
      <c r="A93" s="67"/>
      <c r="B93" s="67"/>
      <c r="C93" s="67"/>
      <c r="D93" s="67"/>
      <c r="E93" s="67"/>
      <c r="F93" s="67"/>
      <c r="G93" s="67"/>
      <c r="H93" s="67"/>
      <c r="I93" s="67"/>
      <c r="J93" s="67"/>
      <c r="K93" s="67"/>
      <c r="L93" s="67" t="s">
        <v>81</v>
      </c>
      <c r="M93" s="70">
        <f>'Tabel 1.1'!G40</f>
        <v>5238162.1816099994</v>
      </c>
      <c r="N93" s="70">
        <f>'Tabel 1.1'!H40</f>
        <v>5526911.1478300001</v>
      </c>
      <c r="O93" s="67"/>
    </row>
    <row r="94" spans="1:15" x14ac:dyDescent="0.3">
      <c r="A94" s="67"/>
      <c r="B94" s="67"/>
      <c r="C94" s="67"/>
      <c r="D94" s="67"/>
      <c r="E94" s="67"/>
      <c r="F94" s="67"/>
      <c r="G94" s="67"/>
      <c r="H94" s="67"/>
      <c r="I94" s="67"/>
      <c r="J94" s="67"/>
      <c r="K94" s="67"/>
      <c r="L94" s="67" t="s">
        <v>87</v>
      </c>
      <c r="M94" s="70">
        <f>'Tabel 1.1'!G41</f>
        <v>91161</v>
      </c>
      <c r="N94" s="70">
        <f>'Tabel 1.1'!H41</f>
        <v>172618</v>
      </c>
      <c r="O94" s="67"/>
    </row>
    <row r="95" spans="1:15" x14ac:dyDescent="0.3">
      <c r="A95" s="67"/>
      <c r="B95" s="67"/>
      <c r="C95" s="67"/>
      <c r="D95" s="67"/>
      <c r="E95" s="67"/>
      <c r="F95" s="67"/>
      <c r="G95" s="67"/>
      <c r="H95" s="67"/>
      <c r="I95" s="67"/>
      <c r="J95" s="67"/>
      <c r="K95" s="67"/>
      <c r="L95" s="67" t="s">
        <v>83</v>
      </c>
      <c r="M95" s="70">
        <f>'Tabel 1.1'!G43</f>
        <v>174692.01799999998</v>
      </c>
      <c r="N95" s="70">
        <f>'Tabel 1.1'!H43</f>
        <v>436852</v>
      </c>
      <c r="O95" s="67"/>
    </row>
    <row r="96" spans="1:15" x14ac:dyDescent="0.3">
      <c r="A96" s="67"/>
      <c r="B96" s="67"/>
      <c r="C96" s="67"/>
      <c r="D96" s="67"/>
      <c r="E96" s="67"/>
      <c r="F96" s="67"/>
      <c r="G96" s="67"/>
      <c r="H96" s="67"/>
      <c r="I96" s="67"/>
      <c r="J96" s="67"/>
      <c r="K96" s="67"/>
      <c r="L96" s="67" t="s">
        <v>89</v>
      </c>
      <c r="M96" s="70">
        <f>'Tabel 1.1'!G44</f>
        <v>1538451.3119999999</v>
      </c>
      <c r="N96" s="70">
        <f>'Tabel 1.1'!H44</f>
        <v>1339646.3900000001</v>
      </c>
      <c r="O96" s="67"/>
    </row>
    <row r="97" spans="1:15" x14ac:dyDescent="0.3">
      <c r="A97" s="67"/>
      <c r="B97" s="67"/>
      <c r="C97" s="67"/>
      <c r="D97" s="67"/>
      <c r="E97" s="67"/>
      <c r="F97" s="67"/>
      <c r="G97" s="67"/>
      <c r="H97" s="67"/>
      <c r="I97" s="67"/>
      <c r="J97" s="67"/>
      <c r="K97" s="67"/>
      <c r="M97" s="70"/>
      <c r="N97" s="70"/>
      <c r="O97" s="67"/>
    </row>
    <row r="98" spans="1:15" x14ac:dyDescent="0.3">
      <c r="A98" s="67"/>
      <c r="B98" s="67"/>
      <c r="C98" s="67"/>
      <c r="D98" s="67"/>
      <c r="E98" s="67"/>
      <c r="F98" s="67"/>
      <c r="G98" s="67"/>
      <c r="H98" s="67"/>
      <c r="I98" s="67"/>
      <c r="J98" s="67"/>
      <c r="K98" s="67"/>
      <c r="O98" s="67"/>
    </row>
    <row r="99" spans="1:15" x14ac:dyDescent="0.3">
      <c r="A99" s="67"/>
      <c r="B99" s="67"/>
      <c r="C99" s="67"/>
      <c r="D99" s="67"/>
      <c r="E99" s="67"/>
      <c r="F99" s="67"/>
      <c r="G99" s="67"/>
      <c r="H99" s="67"/>
      <c r="I99" s="67"/>
      <c r="J99" s="67"/>
      <c r="K99" s="67"/>
      <c r="O99" s="67"/>
    </row>
    <row r="100" spans="1:15" x14ac:dyDescent="0.3">
      <c r="A100" s="67"/>
      <c r="B100" s="67"/>
      <c r="C100" s="67"/>
      <c r="D100" s="67"/>
      <c r="E100" s="67"/>
      <c r="F100" s="67"/>
      <c r="G100" s="67"/>
      <c r="H100" s="67"/>
      <c r="I100" s="67"/>
      <c r="J100" s="67"/>
      <c r="K100" s="67"/>
      <c r="O100" s="67"/>
    </row>
    <row r="101" spans="1:15" x14ac:dyDescent="0.3">
      <c r="A101" s="67"/>
      <c r="B101" s="67"/>
      <c r="C101" s="67"/>
      <c r="D101" s="67"/>
      <c r="E101" s="67"/>
      <c r="F101" s="67"/>
      <c r="G101" s="67"/>
      <c r="H101" s="67"/>
      <c r="I101" s="67"/>
      <c r="J101" s="67"/>
      <c r="K101" s="67"/>
      <c r="O101" s="67"/>
    </row>
    <row r="102" spans="1:15" x14ac:dyDescent="0.3">
      <c r="A102" s="67"/>
      <c r="B102" s="67"/>
      <c r="C102" s="67"/>
      <c r="D102" s="67"/>
      <c r="E102" s="67"/>
      <c r="F102" s="67"/>
      <c r="G102" s="67"/>
      <c r="H102" s="67"/>
      <c r="I102" s="67"/>
      <c r="J102" s="67"/>
      <c r="K102" s="67"/>
      <c r="O102" s="67"/>
    </row>
    <row r="103" spans="1:15" x14ac:dyDescent="0.3">
      <c r="A103" s="67"/>
      <c r="B103" s="67"/>
      <c r="C103" s="67"/>
      <c r="D103" s="67"/>
      <c r="E103" s="67"/>
      <c r="F103" s="67"/>
      <c r="G103" s="67"/>
      <c r="H103" s="67"/>
      <c r="I103" s="67"/>
      <c r="J103" s="67"/>
      <c r="K103" s="67"/>
      <c r="O103" s="67"/>
    </row>
    <row r="104" spans="1:15" x14ac:dyDescent="0.3">
      <c r="A104" s="67"/>
      <c r="B104" s="67"/>
      <c r="C104" s="67"/>
      <c r="D104" s="67"/>
      <c r="E104" s="67"/>
      <c r="F104" s="67"/>
      <c r="G104" s="67"/>
      <c r="H104" s="67"/>
      <c r="I104" s="67"/>
      <c r="J104" s="67"/>
      <c r="K104" s="67"/>
      <c r="O104" s="67"/>
    </row>
    <row r="105" spans="1:15" x14ac:dyDescent="0.3">
      <c r="A105" s="67"/>
      <c r="B105" s="67"/>
      <c r="C105" s="67"/>
      <c r="D105" s="67"/>
      <c r="E105" s="67"/>
      <c r="F105" s="67"/>
      <c r="G105" s="67"/>
      <c r="H105" s="67"/>
      <c r="I105" s="67"/>
      <c r="J105" s="67"/>
      <c r="K105" s="67"/>
      <c r="O105" s="67"/>
    </row>
    <row r="106" spans="1:15" x14ac:dyDescent="0.3">
      <c r="A106" s="67"/>
      <c r="B106" s="67"/>
      <c r="C106" s="67"/>
      <c r="D106" s="67"/>
      <c r="E106" s="67"/>
      <c r="F106" s="67"/>
      <c r="G106" s="67"/>
      <c r="H106" s="67"/>
      <c r="I106" s="67"/>
      <c r="J106" s="67"/>
      <c r="K106" s="67"/>
      <c r="O106" s="67"/>
    </row>
    <row r="107" spans="1:15" x14ac:dyDescent="0.3">
      <c r="A107" s="68" t="s">
        <v>425</v>
      </c>
      <c r="B107" s="67"/>
      <c r="C107" s="67"/>
      <c r="D107" s="67"/>
      <c r="E107" s="67"/>
      <c r="F107" s="67"/>
      <c r="G107" s="67"/>
      <c r="H107" s="67"/>
      <c r="I107" s="72"/>
      <c r="J107" s="67"/>
      <c r="K107" s="67"/>
      <c r="O107" s="67"/>
    </row>
    <row r="108" spans="1:15" x14ac:dyDescent="0.3">
      <c r="A108" s="67"/>
      <c r="B108" s="67"/>
      <c r="C108" s="67"/>
      <c r="D108" s="67"/>
      <c r="E108" s="67"/>
      <c r="F108" s="67"/>
      <c r="G108" s="67"/>
      <c r="H108" s="67"/>
      <c r="I108" s="67"/>
      <c r="J108" s="67"/>
      <c r="K108" s="67"/>
      <c r="L108" s="67" t="s">
        <v>91</v>
      </c>
      <c r="O108" s="67"/>
    </row>
    <row r="109" spans="1:15" x14ac:dyDescent="0.3">
      <c r="A109" s="67"/>
      <c r="B109" s="67"/>
      <c r="C109" s="67"/>
      <c r="D109" s="67"/>
      <c r="E109" s="67"/>
      <c r="F109" s="67"/>
      <c r="G109" s="67"/>
      <c r="H109" s="67"/>
      <c r="I109" s="67"/>
      <c r="J109" s="67"/>
      <c r="K109" s="67"/>
      <c r="L109" s="67" t="s">
        <v>0</v>
      </c>
      <c r="O109" s="67"/>
    </row>
    <row r="110" spans="1:15" x14ac:dyDescent="0.3">
      <c r="A110" s="67"/>
      <c r="B110" s="67"/>
      <c r="C110" s="67"/>
      <c r="D110" s="67"/>
      <c r="E110" s="67"/>
      <c r="F110" s="67"/>
      <c r="G110" s="67"/>
      <c r="H110" s="67"/>
      <c r="I110" s="67"/>
      <c r="J110" s="67"/>
      <c r="K110" s="67"/>
      <c r="M110" s="67">
        <v>2015</v>
      </c>
      <c r="N110" s="67">
        <v>2016</v>
      </c>
      <c r="O110" s="67"/>
    </row>
    <row r="111" spans="1:15" x14ac:dyDescent="0.3">
      <c r="A111" s="67"/>
      <c r="B111" s="67"/>
      <c r="C111" s="67"/>
      <c r="D111" s="67"/>
      <c r="E111" s="67"/>
      <c r="F111" s="67"/>
      <c r="G111" s="67"/>
      <c r="H111" s="67"/>
      <c r="I111" s="67"/>
      <c r="J111" s="67"/>
      <c r="K111" s="67"/>
      <c r="L111" s="67" t="s">
        <v>67</v>
      </c>
      <c r="M111" s="70">
        <f>'Tabel 1.1'!L10</f>
        <v>893959.11699999997</v>
      </c>
      <c r="N111" s="70">
        <f>'Tabel 1.1'!M10</f>
        <v>937089.63400000008</v>
      </c>
      <c r="O111" s="67"/>
    </row>
    <row r="112" spans="1:15" x14ac:dyDescent="0.3">
      <c r="A112" s="67"/>
      <c r="B112" s="67"/>
      <c r="C112" s="67"/>
      <c r="D112" s="67"/>
      <c r="E112" s="67"/>
      <c r="F112" s="67"/>
      <c r="G112" s="67"/>
      <c r="H112" s="67"/>
      <c r="I112" s="67"/>
      <c r="J112" s="67"/>
      <c r="K112" s="67"/>
      <c r="L112" s="67" t="s">
        <v>68</v>
      </c>
      <c r="M112" s="70">
        <f>'Tabel 1.1'!L11</f>
        <v>204051672</v>
      </c>
      <c r="N112" s="70">
        <f>'Tabel 1.1'!M11</f>
        <v>203364389</v>
      </c>
      <c r="O112" s="67"/>
    </row>
    <row r="113" spans="1:15" x14ac:dyDescent="0.3">
      <c r="A113" s="67"/>
      <c r="B113" s="67"/>
      <c r="C113" s="67"/>
      <c r="D113" s="67"/>
      <c r="E113" s="67"/>
      <c r="F113" s="67"/>
      <c r="G113" s="67"/>
      <c r="H113" s="67"/>
      <c r="I113" s="67"/>
      <c r="J113" s="67"/>
      <c r="K113" s="67"/>
      <c r="L113" s="67" t="s">
        <v>69</v>
      </c>
      <c r="M113" s="70">
        <f>'Tabel 1.1'!L12</f>
        <v>377974</v>
      </c>
      <c r="N113" s="70">
        <f>'Tabel 1.1'!M12</f>
        <v>401746</v>
      </c>
      <c r="O113" s="67"/>
    </row>
    <row r="114" spans="1:15" x14ac:dyDescent="0.3">
      <c r="A114" s="67"/>
      <c r="B114" s="67"/>
      <c r="C114" s="67"/>
      <c r="D114" s="67"/>
      <c r="E114" s="67"/>
      <c r="F114" s="67"/>
      <c r="G114" s="67"/>
      <c r="H114" s="67"/>
      <c r="I114" s="67"/>
      <c r="J114" s="67"/>
      <c r="K114" s="67"/>
      <c r="L114" s="67" t="s">
        <v>70</v>
      </c>
      <c r="M114" s="70">
        <f>'Tabel 1.1'!L13</f>
        <v>585097</v>
      </c>
      <c r="N114" s="70">
        <f>'Tabel 1.1'!M13</f>
        <v>667456</v>
      </c>
      <c r="O114" s="67"/>
    </row>
    <row r="115" spans="1:15" x14ac:dyDescent="0.3">
      <c r="A115" s="67"/>
      <c r="B115" s="67"/>
      <c r="C115" s="67"/>
      <c r="D115" s="67"/>
      <c r="E115" s="67"/>
      <c r="F115" s="67"/>
      <c r="G115" s="67"/>
      <c r="H115" s="67"/>
      <c r="I115" s="67"/>
      <c r="J115" s="67"/>
      <c r="K115" s="67"/>
      <c r="L115" s="67" t="s">
        <v>72</v>
      </c>
      <c r="M115" s="70">
        <f>'Tabel 1.1'!L15</f>
        <v>1246980</v>
      </c>
      <c r="N115" s="70">
        <f>'Tabel 1.1'!M15</f>
        <v>1194028</v>
      </c>
      <c r="O115" s="67"/>
    </row>
    <row r="116" spans="1:15" x14ac:dyDescent="0.3">
      <c r="A116" s="67"/>
      <c r="B116" s="67"/>
      <c r="C116" s="67"/>
      <c r="D116" s="67"/>
      <c r="E116" s="67"/>
      <c r="F116" s="67"/>
      <c r="G116" s="67"/>
      <c r="H116" s="67"/>
      <c r="I116" s="67"/>
      <c r="J116" s="67"/>
      <c r="K116" s="67"/>
      <c r="L116" s="67" t="s">
        <v>110</v>
      </c>
      <c r="M116" s="70">
        <f>'Tabel 1.1'!L16</f>
        <v>4877540</v>
      </c>
      <c r="N116" s="70">
        <f>'Tabel 1.1'!M16</f>
        <v>5409556</v>
      </c>
      <c r="O116" s="67"/>
    </row>
    <row r="117" spans="1:15" x14ac:dyDescent="0.3">
      <c r="A117" s="67"/>
      <c r="B117" s="67"/>
      <c r="C117" s="67"/>
      <c r="D117" s="67"/>
      <c r="E117" s="67"/>
      <c r="F117" s="67"/>
      <c r="G117" s="67"/>
      <c r="H117" s="67"/>
      <c r="I117" s="67"/>
      <c r="J117" s="67"/>
      <c r="K117" s="67"/>
      <c r="L117" s="67" t="s">
        <v>74</v>
      </c>
      <c r="M117" s="70">
        <f>'Tabel 1.1'!L17</f>
        <v>29117</v>
      </c>
      <c r="N117" s="70">
        <f>'Tabel 1.1'!M17</f>
        <v>25901</v>
      </c>
      <c r="O117" s="67"/>
    </row>
    <row r="118" spans="1:15" x14ac:dyDescent="0.3">
      <c r="A118" s="67"/>
      <c r="B118" s="67"/>
      <c r="C118" s="67"/>
      <c r="D118" s="67"/>
      <c r="E118" s="67"/>
      <c r="F118" s="67"/>
      <c r="G118" s="67"/>
      <c r="H118" s="67"/>
      <c r="I118" s="67"/>
      <c r="J118" s="67"/>
      <c r="K118" s="67"/>
      <c r="L118" s="67" t="s">
        <v>75</v>
      </c>
      <c r="M118" s="70">
        <f>'Tabel 1.1'!L18</f>
        <v>311920</v>
      </c>
      <c r="N118" s="70">
        <f>'Tabel 1.1'!M18</f>
        <v>378750</v>
      </c>
      <c r="O118" s="67"/>
    </row>
    <row r="119" spans="1:15" x14ac:dyDescent="0.3">
      <c r="A119" s="67"/>
      <c r="B119" s="67"/>
      <c r="C119" s="67"/>
      <c r="D119" s="67"/>
      <c r="E119" s="67"/>
      <c r="F119" s="67"/>
      <c r="G119" s="67"/>
      <c r="H119" s="67"/>
      <c r="I119" s="67"/>
      <c r="J119" s="67"/>
      <c r="K119" s="67"/>
      <c r="L119" s="67" t="s">
        <v>76</v>
      </c>
      <c r="M119" s="70">
        <f>'Tabel 1.1'!L19</f>
        <v>388847836</v>
      </c>
      <c r="N119" s="70">
        <f>'Tabel 1.1'!M19</f>
        <v>421845952.55084002</v>
      </c>
      <c r="O119" s="67"/>
    </row>
    <row r="120" spans="1:15" x14ac:dyDescent="0.3">
      <c r="A120" s="67"/>
      <c r="B120" s="67"/>
      <c r="C120" s="67"/>
      <c r="D120" s="67"/>
      <c r="E120" s="67"/>
      <c r="F120" s="67"/>
      <c r="G120" s="67"/>
      <c r="H120" s="67"/>
      <c r="I120" s="67"/>
      <c r="J120" s="67"/>
      <c r="K120" s="67"/>
      <c r="L120" s="67" t="s">
        <v>77</v>
      </c>
      <c r="M120" s="70">
        <f>'Tabel 1.1'!L20</f>
        <v>1379522</v>
      </c>
      <c r="N120" s="70">
        <f>'Tabel 1.1'!M20</f>
        <v>1500502</v>
      </c>
      <c r="O120" s="67"/>
    </row>
    <row r="121" spans="1:15" s="135" customFormat="1" x14ac:dyDescent="0.3">
      <c r="A121" s="67"/>
      <c r="B121" s="67"/>
      <c r="C121" s="67"/>
      <c r="D121" s="67"/>
      <c r="E121" s="67"/>
      <c r="F121" s="67"/>
      <c r="G121" s="67"/>
      <c r="H121" s="67"/>
      <c r="I121" s="67"/>
      <c r="J121" s="67"/>
      <c r="K121" s="67"/>
      <c r="L121" s="67" t="s">
        <v>399</v>
      </c>
      <c r="M121" s="70"/>
      <c r="N121" s="70">
        <f>'Tabel 1.1'!M21</f>
        <v>3590</v>
      </c>
      <c r="O121" s="69"/>
    </row>
    <row r="122" spans="1:15" x14ac:dyDescent="0.3">
      <c r="A122" s="67"/>
      <c r="B122" s="67"/>
      <c r="C122" s="67"/>
      <c r="D122" s="67"/>
      <c r="E122" s="67"/>
      <c r="F122" s="67"/>
      <c r="G122" s="67"/>
      <c r="H122" s="67"/>
      <c r="I122" s="67"/>
      <c r="J122" s="67"/>
      <c r="K122" s="67"/>
      <c r="L122" s="67" t="s">
        <v>81</v>
      </c>
      <c r="M122" s="70">
        <f>'Tabel 1.1'!L24</f>
        <v>47126733.776330195</v>
      </c>
      <c r="N122" s="70">
        <f>'Tabel 1.1'!M24</f>
        <v>48522570.000125237</v>
      </c>
      <c r="O122" s="67"/>
    </row>
    <row r="123" spans="1:15" x14ac:dyDescent="0.3">
      <c r="A123" s="67"/>
      <c r="B123" s="67"/>
      <c r="C123" s="67"/>
      <c r="D123" s="67"/>
      <c r="E123" s="67"/>
      <c r="F123" s="67"/>
      <c r="G123" s="67"/>
      <c r="H123" s="67"/>
      <c r="I123" s="67"/>
      <c r="J123" s="67"/>
      <c r="K123" s="67"/>
      <c r="L123" s="67" t="s">
        <v>82</v>
      </c>
      <c r="M123" s="70">
        <f>'Tabel 1.1'!L25</f>
        <v>60552187</v>
      </c>
      <c r="N123" s="70">
        <f>'Tabel 1.1'!M25</f>
        <v>64732970</v>
      </c>
      <c r="O123" s="67"/>
    </row>
    <row r="124" spans="1:15" x14ac:dyDescent="0.3">
      <c r="A124" s="67"/>
      <c r="B124" s="67"/>
      <c r="C124" s="67"/>
      <c r="D124" s="67"/>
      <c r="E124" s="67"/>
      <c r="F124" s="67"/>
      <c r="G124" s="67"/>
      <c r="H124" s="67"/>
      <c r="I124" s="67"/>
      <c r="J124" s="67"/>
      <c r="K124" s="67"/>
      <c r="L124" s="67" t="s">
        <v>88</v>
      </c>
      <c r="M124" s="70">
        <f>'Tabel 1.1'!L26</f>
        <v>8556698.3527799994</v>
      </c>
      <c r="N124" s="70">
        <f>'Tabel 1.1'!M26</f>
        <v>0</v>
      </c>
      <c r="O124" s="67"/>
    </row>
    <row r="125" spans="1:15" x14ac:dyDescent="0.3">
      <c r="A125" s="67"/>
      <c r="B125" s="67"/>
      <c r="C125" s="67"/>
      <c r="D125" s="67"/>
      <c r="E125" s="67"/>
      <c r="F125" s="67"/>
      <c r="G125" s="67"/>
      <c r="H125" s="67"/>
      <c r="I125" s="67"/>
      <c r="J125" s="67"/>
      <c r="K125" s="67"/>
      <c r="L125" s="67" t="s">
        <v>83</v>
      </c>
      <c r="M125" s="70">
        <f>'Tabel 1.1'!L27</f>
        <v>16536094.940310001</v>
      </c>
      <c r="N125" s="70">
        <f>'Tabel 1.1'!M27</f>
        <v>17312529.77214</v>
      </c>
      <c r="O125" s="67"/>
    </row>
    <row r="126" spans="1:15" x14ac:dyDescent="0.3">
      <c r="A126" s="67"/>
      <c r="B126" s="67"/>
      <c r="C126" s="67"/>
      <c r="D126" s="67"/>
      <c r="E126" s="67"/>
      <c r="F126" s="67"/>
      <c r="G126" s="67"/>
      <c r="H126" s="67"/>
      <c r="I126" s="67"/>
      <c r="J126" s="67"/>
      <c r="K126" s="67"/>
      <c r="L126" s="67" t="s">
        <v>84</v>
      </c>
      <c r="M126" s="70">
        <f>'Tabel 1.1'!L28</f>
        <v>173057918.17499998</v>
      </c>
      <c r="N126" s="70">
        <f>'Tabel 1.1'!M28</f>
        <v>176557322.10000002</v>
      </c>
      <c r="O126" s="67"/>
    </row>
    <row r="127" spans="1:15" x14ac:dyDescent="0.3">
      <c r="A127" s="67"/>
      <c r="B127" s="67"/>
      <c r="C127" s="67"/>
      <c r="D127" s="67"/>
      <c r="E127" s="67"/>
      <c r="F127" s="67"/>
      <c r="G127" s="67"/>
      <c r="H127" s="67"/>
      <c r="I127" s="67"/>
      <c r="J127" s="67"/>
      <c r="K127" s="67"/>
      <c r="O127" s="67"/>
    </row>
    <row r="128" spans="1:15" x14ac:dyDescent="0.3">
      <c r="A128" s="67"/>
      <c r="B128" s="67"/>
      <c r="C128" s="67"/>
      <c r="D128" s="67"/>
      <c r="E128" s="67"/>
      <c r="F128" s="67"/>
      <c r="G128" s="67"/>
      <c r="H128" s="67"/>
      <c r="I128" s="67"/>
      <c r="J128" s="67"/>
      <c r="K128" s="67"/>
      <c r="O128" s="67"/>
    </row>
    <row r="129" spans="1:15" x14ac:dyDescent="0.3">
      <c r="A129" s="67"/>
      <c r="B129" s="67"/>
      <c r="C129" s="67"/>
      <c r="D129" s="67"/>
      <c r="E129" s="67"/>
      <c r="F129" s="67"/>
      <c r="G129" s="67"/>
      <c r="H129" s="67"/>
      <c r="I129" s="67"/>
      <c r="J129" s="67"/>
      <c r="K129" s="67"/>
      <c r="O129" s="67"/>
    </row>
    <row r="130" spans="1:15" x14ac:dyDescent="0.3">
      <c r="A130" s="67"/>
      <c r="B130" s="67"/>
      <c r="C130" s="67"/>
      <c r="D130" s="67"/>
      <c r="E130" s="67"/>
      <c r="F130" s="67"/>
      <c r="G130" s="67"/>
      <c r="H130" s="67"/>
      <c r="I130" s="67"/>
      <c r="J130" s="67"/>
      <c r="K130" s="67"/>
      <c r="O130" s="67"/>
    </row>
    <row r="131" spans="1:15" x14ac:dyDescent="0.3">
      <c r="A131" s="67"/>
      <c r="B131" s="67"/>
      <c r="C131" s="67"/>
      <c r="D131" s="67"/>
      <c r="E131" s="67"/>
      <c r="F131" s="67"/>
      <c r="G131" s="67"/>
      <c r="H131" s="67"/>
      <c r="I131" s="67"/>
      <c r="J131" s="67"/>
      <c r="K131" s="67"/>
      <c r="O131" s="67"/>
    </row>
    <row r="132" spans="1:15" x14ac:dyDescent="0.3">
      <c r="A132" s="67"/>
      <c r="B132" s="67"/>
      <c r="C132" s="67"/>
      <c r="D132" s="67"/>
      <c r="E132" s="67"/>
      <c r="F132" s="67"/>
      <c r="G132" s="67"/>
      <c r="H132" s="67"/>
      <c r="I132" s="67"/>
      <c r="J132" s="67"/>
      <c r="K132" s="67"/>
      <c r="O132" s="67"/>
    </row>
    <row r="133" spans="1:15" x14ac:dyDescent="0.3">
      <c r="A133" s="68" t="s">
        <v>426</v>
      </c>
      <c r="B133" s="67"/>
      <c r="C133" s="67"/>
      <c r="D133" s="67"/>
      <c r="E133" s="67"/>
      <c r="F133" s="67"/>
      <c r="G133" s="67"/>
      <c r="H133" s="67"/>
      <c r="I133" s="72"/>
      <c r="J133" s="67"/>
      <c r="K133" s="67"/>
      <c r="O133" s="67"/>
    </row>
    <row r="134" spans="1:15" x14ac:dyDescent="0.3">
      <c r="B134" s="67"/>
      <c r="C134" s="67"/>
      <c r="D134" s="67"/>
      <c r="E134" s="67"/>
      <c r="F134" s="67"/>
      <c r="G134" s="67"/>
      <c r="H134" s="67"/>
      <c r="I134" s="67"/>
      <c r="J134" s="67"/>
      <c r="K134" s="67"/>
      <c r="L134" s="67" t="s">
        <v>91</v>
      </c>
      <c r="O134" s="67"/>
    </row>
    <row r="135" spans="1:15" x14ac:dyDescent="0.3">
      <c r="A135" s="67"/>
      <c r="B135" s="67"/>
      <c r="C135" s="67"/>
      <c r="D135" s="67"/>
      <c r="E135" s="67"/>
      <c r="F135" s="67"/>
      <c r="G135" s="67"/>
      <c r="H135" s="67"/>
      <c r="I135" s="67"/>
      <c r="J135" s="67"/>
      <c r="K135" s="67"/>
      <c r="L135" s="67" t="s">
        <v>1</v>
      </c>
      <c r="O135" s="67"/>
    </row>
    <row r="136" spans="1:15" x14ac:dyDescent="0.3">
      <c r="A136" s="67"/>
      <c r="B136" s="67"/>
      <c r="C136" s="67"/>
      <c r="D136" s="67"/>
      <c r="E136" s="67"/>
      <c r="F136" s="67"/>
      <c r="G136" s="67"/>
      <c r="H136" s="67"/>
      <c r="I136" s="67"/>
      <c r="J136" s="67"/>
      <c r="K136" s="67"/>
      <c r="M136" s="67">
        <v>2015</v>
      </c>
      <c r="N136" s="67">
        <v>2016</v>
      </c>
      <c r="O136" s="67"/>
    </row>
    <row r="137" spans="1:15" x14ac:dyDescent="0.3">
      <c r="A137" s="67"/>
      <c r="B137" s="67"/>
      <c r="C137" s="67"/>
      <c r="D137" s="67"/>
      <c r="E137" s="67"/>
      <c r="F137" s="67"/>
      <c r="G137" s="67"/>
      <c r="H137" s="67"/>
      <c r="I137" s="67"/>
      <c r="J137" s="67"/>
      <c r="K137" s="67"/>
      <c r="L137" s="67" t="s">
        <v>67</v>
      </c>
      <c r="M137" s="70">
        <f>'Tabel 1.1'!L34</f>
        <v>12330572.925000001</v>
      </c>
      <c r="N137" s="70">
        <f>'Tabel 1.1'!M34</f>
        <v>14037345.691</v>
      </c>
      <c r="O137" s="67"/>
    </row>
    <row r="138" spans="1:15" x14ac:dyDescent="0.3">
      <c r="B138" s="67"/>
      <c r="C138" s="67"/>
      <c r="D138" s="67"/>
      <c r="E138" s="67"/>
      <c r="F138" s="67"/>
      <c r="G138" s="67"/>
      <c r="H138" s="67"/>
      <c r="I138" s="67"/>
      <c r="J138" s="67"/>
      <c r="K138" s="67"/>
      <c r="L138" s="67" t="s">
        <v>68</v>
      </c>
      <c r="M138" s="70">
        <f>'Tabel 1.1'!L35</f>
        <v>49679142.280000001</v>
      </c>
      <c r="N138" s="70">
        <f>'Tabel 1.1'!M35</f>
        <v>60220192.588040002</v>
      </c>
      <c r="O138" s="67"/>
    </row>
    <row r="139" spans="1:15" x14ac:dyDescent="0.3">
      <c r="B139" s="67"/>
      <c r="C139" s="67"/>
      <c r="D139" s="67"/>
      <c r="E139" s="67"/>
      <c r="F139" s="67"/>
      <c r="G139" s="67"/>
      <c r="H139" s="67"/>
      <c r="I139" s="67"/>
      <c r="J139" s="67"/>
      <c r="K139" s="67"/>
      <c r="L139" s="67" t="s">
        <v>70</v>
      </c>
      <c r="M139" s="70">
        <f>'Tabel 1.1'!L36</f>
        <v>2345808</v>
      </c>
      <c r="N139" s="70">
        <f>'Tabel 1.1'!M36</f>
        <v>2660563</v>
      </c>
      <c r="O139" s="67"/>
    </row>
    <row r="140" spans="1:15" x14ac:dyDescent="0.3">
      <c r="B140" s="67"/>
      <c r="C140" s="67"/>
      <c r="D140" s="67"/>
      <c r="E140" s="67"/>
      <c r="F140" s="67"/>
      <c r="G140" s="67"/>
      <c r="H140" s="67"/>
      <c r="I140" s="67"/>
      <c r="J140" s="67"/>
      <c r="K140" s="67"/>
      <c r="L140" s="72" t="s">
        <v>73</v>
      </c>
      <c r="M140" s="70">
        <f>'Tabel 1.1'!L37</f>
        <v>15155471</v>
      </c>
      <c r="N140" s="70">
        <f>'Tabel 1.1'!M37</f>
        <v>17827699</v>
      </c>
      <c r="O140" s="67"/>
    </row>
    <row r="141" spans="1:15" x14ac:dyDescent="0.3">
      <c r="B141" s="67"/>
      <c r="C141" s="67"/>
      <c r="D141" s="67"/>
      <c r="E141" s="67"/>
      <c r="F141" s="67"/>
      <c r="G141" s="67"/>
      <c r="H141" s="67"/>
      <c r="I141" s="67"/>
      <c r="J141" s="67"/>
      <c r="K141" s="67"/>
      <c r="L141" s="67" t="s">
        <v>76</v>
      </c>
      <c r="M141" s="70">
        <f>'Tabel 1.1'!L38</f>
        <v>2035724</v>
      </c>
      <c r="N141" s="70">
        <f>'Tabel 1.1'!M38</f>
        <v>2181469.20615</v>
      </c>
      <c r="O141" s="67"/>
    </row>
    <row r="142" spans="1:15" x14ac:dyDescent="0.3">
      <c r="B142" s="67"/>
      <c r="C142" s="67"/>
      <c r="D142" s="67"/>
      <c r="E142" s="67"/>
      <c r="F142" s="67"/>
      <c r="G142" s="67"/>
      <c r="H142" s="67"/>
      <c r="I142" s="67"/>
      <c r="J142" s="67"/>
      <c r="K142" s="67"/>
      <c r="L142" s="67" t="s">
        <v>77</v>
      </c>
      <c r="M142" s="70">
        <f>'Tabel 1.1'!L39</f>
        <v>1182480</v>
      </c>
      <c r="N142" s="70">
        <f>'Tabel 1.1'!M39</f>
        <v>1673718</v>
      </c>
      <c r="O142" s="67"/>
    </row>
    <row r="143" spans="1:15" x14ac:dyDescent="0.3">
      <c r="B143" s="67"/>
      <c r="C143" s="67"/>
      <c r="D143" s="67"/>
      <c r="E143" s="67"/>
      <c r="F143" s="67"/>
      <c r="G143" s="67"/>
      <c r="H143" s="67"/>
      <c r="I143" s="67"/>
      <c r="J143" s="67"/>
      <c r="K143" s="67"/>
      <c r="L143" s="67" t="s">
        <v>81</v>
      </c>
      <c r="M143" s="70">
        <f>'Tabel 1.1'!L40</f>
        <v>39157649.860661566</v>
      </c>
      <c r="N143" s="70">
        <f>'Tabel 1.1'!M40</f>
        <v>47300719.99999994</v>
      </c>
      <c r="O143" s="67"/>
    </row>
    <row r="144" spans="1:15" x14ac:dyDescent="0.3">
      <c r="A144" s="67"/>
      <c r="B144" s="67"/>
      <c r="C144" s="67"/>
      <c r="D144" s="67"/>
      <c r="E144" s="67"/>
      <c r="F144" s="67"/>
      <c r="G144" s="67"/>
      <c r="H144" s="67"/>
      <c r="I144" s="67"/>
      <c r="J144" s="67"/>
      <c r="K144" s="67"/>
      <c r="L144" s="67" t="s">
        <v>87</v>
      </c>
      <c r="M144" s="70">
        <f>'Tabel 1.1'!L41</f>
        <v>1610956</v>
      </c>
      <c r="N144" s="70">
        <f>'Tabel 1.1'!M41</f>
        <v>1764000</v>
      </c>
      <c r="O144" s="67"/>
    </row>
    <row r="145" spans="1:17" x14ac:dyDescent="0.3">
      <c r="A145" s="67"/>
      <c r="B145" s="67"/>
      <c r="C145" s="67"/>
      <c r="D145" s="67"/>
      <c r="E145" s="67"/>
      <c r="F145" s="67"/>
      <c r="G145" s="67"/>
      <c r="H145" s="67"/>
      <c r="I145" s="67"/>
      <c r="J145" s="67"/>
      <c r="K145" s="67"/>
      <c r="L145" s="67" t="s">
        <v>88</v>
      </c>
      <c r="M145" s="70">
        <f>'Tabel 1.1'!L42</f>
        <v>554655.76254000003</v>
      </c>
      <c r="N145" s="70">
        <f>'Tabel 1.1'!M42</f>
        <v>0</v>
      </c>
      <c r="O145" s="67"/>
    </row>
    <row r="146" spans="1:17" ht="18.75" customHeight="1" x14ac:dyDescent="0.3">
      <c r="A146" s="67"/>
      <c r="B146" s="67"/>
      <c r="C146" s="67"/>
      <c r="D146" s="67"/>
      <c r="E146" s="67"/>
      <c r="F146" s="67"/>
      <c r="G146" s="67"/>
      <c r="H146" s="67"/>
      <c r="I146" s="67"/>
      <c r="J146" s="67"/>
      <c r="K146" s="67"/>
      <c r="L146" s="67" t="s">
        <v>83</v>
      </c>
      <c r="M146" s="70">
        <f>'Tabel 1.1'!L43</f>
        <v>15766545.6006</v>
      </c>
      <c r="N146" s="70">
        <f>'Tabel 1.1'!M43</f>
        <v>19386681.029040001</v>
      </c>
      <c r="O146" s="67"/>
    </row>
    <row r="147" spans="1:17" ht="18.75" customHeight="1" x14ac:dyDescent="0.3">
      <c r="A147" s="67"/>
      <c r="B147" s="67"/>
      <c r="C147" s="67"/>
      <c r="D147" s="67"/>
      <c r="E147" s="67"/>
      <c r="F147" s="67"/>
      <c r="G147" s="67"/>
      <c r="H147" s="67"/>
      <c r="I147" s="67"/>
      <c r="J147" s="67"/>
      <c r="K147" s="67"/>
      <c r="L147" s="67" t="s">
        <v>89</v>
      </c>
      <c r="M147" s="70">
        <f>'Tabel 1.1'!L44</f>
        <v>53833907.767999999</v>
      </c>
      <c r="N147" s="70">
        <f>'Tabel 1.1'!M44</f>
        <v>65092912.276000008</v>
      </c>
      <c r="O147" s="67"/>
    </row>
    <row r="148" spans="1:17" ht="18.75" customHeight="1" x14ac:dyDescent="0.3">
      <c r="A148" s="67"/>
      <c r="B148" s="67"/>
      <c r="C148" s="67"/>
      <c r="D148" s="67"/>
      <c r="E148" s="67"/>
      <c r="F148" s="67"/>
      <c r="G148" s="67"/>
      <c r="H148" s="67"/>
      <c r="I148" s="67"/>
      <c r="J148" s="67"/>
      <c r="K148" s="67"/>
      <c r="M148" s="70"/>
      <c r="O148" s="67"/>
    </row>
    <row r="149" spans="1:17" ht="18.75" customHeight="1" x14ac:dyDescent="0.3">
      <c r="A149" s="67"/>
      <c r="B149" s="67"/>
      <c r="C149" s="67"/>
      <c r="D149" s="67"/>
      <c r="E149" s="67"/>
      <c r="F149" s="67"/>
      <c r="G149" s="67"/>
      <c r="H149" s="67"/>
      <c r="I149" s="67"/>
      <c r="J149" s="67"/>
      <c r="K149" s="67"/>
      <c r="O149" s="67"/>
    </row>
    <row r="150" spans="1:17" ht="18.75" customHeight="1" x14ac:dyDescent="0.3">
      <c r="A150" s="67"/>
      <c r="B150" s="67"/>
      <c r="C150" s="67"/>
      <c r="D150" s="67"/>
      <c r="E150" s="67"/>
      <c r="F150" s="67"/>
      <c r="G150" s="67"/>
      <c r="H150" s="67"/>
      <c r="I150" s="67"/>
      <c r="J150" s="67"/>
      <c r="K150" s="67"/>
      <c r="O150" s="67"/>
    </row>
    <row r="151" spans="1:17" ht="18.75" customHeight="1" x14ac:dyDescent="0.3">
      <c r="A151" s="67"/>
      <c r="B151" s="67"/>
      <c r="C151" s="67"/>
      <c r="D151" s="67"/>
      <c r="E151" s="67"/>
      <c r="F151" s="67"/>
      <c r="G151" s="67"/>
      <c r="H151" s="67"/>
      <c r="I151" s="67"/>
      <c r="J151" s="67"/>
      <c r="K151" s="67"/>
      <c r="O151" s="67"/>
      <c r="Q151" s="67"/>
    </row>
    <row r="152" spans="1:17" ht="18.75" customHeight="1" x14ac:dyDescent="0.3">
      <c r="A152" s="67"/>
      <c r="B152" s="67"/>
      <c r="C152" s="67"/>
      <c r="D152" s="67"/>
      <c r="E152" s="67"/>
      <c r="F152" s="67"/>
      <c r="G152" s="67"/>
      <c r="H152" s="67"/>
      <c r="I152" s="67"/>
      <c r="J152" s="67"/>
      <c r="K152" s="67"/>
      <c r="O152" s="67"/>
      <c r="Q152" s="67"/>
    </row>
    <row r="153" spans="1:17" ht="18.75" customHeight="1" x14ac:dyDescent="0.3">
      <c r="A153" s="67"/>
      <c r="B153" s="67"/>
      <c r="C153" s="67"/>
      <c r="D153" s="67"/>
      <c r="E153" s="67"/>
      <c r="F153" s="67"/>
      <c r="G153" s="67"/>
      <c r="H153" s="67"/>
      <c r="I153" s="67"/>
      <c r="J153" s="67"/>
      <c r="K153" s="67"/>
      <c r="O153" s="67"/>
      <c r="Q153" s="67"/>
    </row>
    <row r="154" spans="1:17" ht="18.75" customHeight="1" x14ac:dyDescent="0.3">
      <c r="A154" s="67"/>
      <c r="B154" s="67"/>
      <c r="C154" s="67"/>
      <c r="D154" s="67"/>
      <c r="E154" s="67"/>
      <c r="F154" s="67"/>
      <c r="G154" s="67"/>
      <c r="H154" s="67"/>
      <c r="I154" s="67"/>
      <c r="J154" s="67"/>
      <c r="K154" s="67"/>
      <c r="O154" s="67"/>
      <c r="Q154" s="67"/>
    </row>
    <row r="155" spans="1:17" ht="18.75" customHeight="1" x14ac:dyDescent="0.3">
      <c r="A155" s="67"/>
      <c r="B155" s="67"/>
      <c r="C155" s="67"/>
      <c r="D155" s="67"/>
      <c r="E155" s="67"/>
      <c r="F155" s="67"/>
      <c r="G155" s="67"/>
      <c r="H155" s="67"/>
      <c r="I155" s="67"/>
      <c r="J155" s="67"/>
      <c r="K155" s="67"/>
      <c r="O155" s="67"/>
      <c r="Q155" s="67"/>
    </row>
    <row r="156" spans="1:17" ht="18.75" customHeight="1" x14ac:dyDescent="0.3">
      <c r="A156" s="67"/>
      <c r="B156" s="67"/>
      <c r="C156" s="67"/>
      <c r="D156" s="67"/>
      <c r="E156" s="67"/>
      <c r="F156" s="67"/>
      <c r="G156" s="67"/>
      <c r="H156" s="67"/>
      <c r="I156" s="67"/>
      <c r="J156" s="67"/>
      <c r="K156" s="67"/>
      <c r="O156" s="67"/>
      <c r="Q156" s="67"/>
    </row>
    <row r="157" spans="1:17" ht="18.75" customHeight="1" x14ac:dyDescent="0.3">
      <c r="A157" s="67"/>
      <c r="B157" s="67"/>
      <c r="C157" s="67"/>
      <c r="D157" s="67"/>
      <c r="E157" s="67"/>
      <c r="F157" s="67"/>
      <c r="G157" s="67"/>
      <c r="H157" s="67"/>
      <c r="I157" s="67"/>
      <c r="J157" s="67"/>
      <c r="K157" s="67"/>
      <c r="O157" s="67"/>
      <c r="Q157" s="67"/>
    </row>
    <row r="158" spans="1:17" ht="18.75" customHeight="1" x14ac:dyDescent="0.3">
      <c r="A158" s="67"/>
      <c r="B158" s="67"/>
      <c r="C158" s="67"/>
      <c r="D158" s="67"/>
      <c r="E158" s="67"/>
      <c r="F158" s="67"/>
      <c r="G158" s="67"/>
      <c r="H158" s="67"/>
      <c r="I158" s="67"/>
      <c r="J158" s="67"/>
      <c r="K158" s="67"/>
      <c r="O158" s="67"/>
      <c r="Q158" s="67"/>
    </row>
    <row r="159" spans="1:17" ht="18.75" customHeight="1" x14ac:dyDescent="0.3">
      <c r="A159" s="67"/>
      <c r="B159" s="67"/>
      <c r="C159" s="67"/>
      <c r="D159" s="67"/>
      <c r="E159" s="67"/>
      <c r="F159" s="67"/>
      <c r="G159" s="67"/>
      <c r="H159" s="67"/>
      <c r="I159" s="67"/>
      <c r="J159" s="67"/>
      <c r="K159" s="67"/>
      <c r="O159" s="67"/>
      <c r="Q159" s="67"/>
    </row>
    <row r="160" spans="1:17" ht="18.75" customHeight="1" x14ac:dyDescent="0.3">
      <c r="A160" s="68" t="s">
        <v>427</v>
      </c>
      <c r="B160" s="67"/>
      <c r="C160" s="67"/>
      <c r="D160" s="67"/>
      <c r="E160" s="67"/>
      <c r="F160" s="67"/>
      <c r="G160" s="67"/>
      <c r="H160" s="72"/>
      <c r="I160" s="67"/>
      <c r="J160" s="67"/>
      <c r="K160" s="67"/>
      <c r="O160" s="67"/>
      <c r="Q160" s="67"/>
    </row>
    <row r="161" spans="1:17" ht="18.75" customHeight="1" x14ac:dyDescent="0.3">
      <c r="A161" s="67"/>
      <c r="B161" s="67"/>
      <c r="C161" s="67"/>
      <c r="D161" s="67"/>
      <c r="E161" s="67"/>
      <c r="F161" s="67"/>
      <c r="G161" s="67"/>
      <c r="H161" s="67"/>
      <c r="I161" s="67"/>
      <c r="J161" s="67"/>
      <c r="K161" s="67"/>
      <c r="L161" s="67" t="s">
        <v>92</v>
      </c>
      <c r="O161" s="67"/>
      <c r="Q161" s="67"/>
    </row>
    <row r="162" spans="1:17" ht="18.75" customHeight="1" x14ac:dyDescent="0.3">
      <c r="A162" s="67"/>
      <c r="B162" s="67"/>
      <c r="C162" s="67"/>
      <c r="D162" s="67"/>
      <c r="E162" s="67"/>
      <c r="F162" s="67"/>
      <c r="G162" s="67"/>
      <c r="H162" s="67"/>
      <c r="I162" s="67"/>
      <c r="J162" s="67"/>
      <c r="K162" s="67"/>
      <c r="L162" s="67" t="s">
        <v>0</v>
      </c>
      <c r="O162" s="67"/>
      <c r="Q162" s="67"/>
    </row>
    <row r="163" spans="1:17" ht="18.75" customHeight="1" x14ac:dyDescent="0.3">
      <c r="A163" s="67"/>
      <c r="B163" s="67"/>
      <c r="C163" s="67"/>
      <c r="D163" s="67"/>
      <c r="E163" s="67"/>
      <c r="F163" s="67"/>
      <c r="G163" s="67"/>
      <c r="H163" s="67"/>
      <c r="I163" s="67"/>
      <c r="J163" s="67"/>
      <c r="K163" s="67"/>
      <c r="M163" s="67">
        <v>2015</v>
      </c>
      <c r="N163" s="67">
        <v>2016</v>
      </c>
      <c r="O163" s="67"/>
      <c r="Q163" s="67"/>
    </row>
    <row r="164" spans="1:17" ht="18.75" customHeight="1" x14ac:dyDescent="0.3">
      <c r="A164" s="67"/>
      <c r="B164" s="67"/>
      <c r="C164" s="67"/>
      <c r="D164" s="67"/>
      <c r="E164" s="67"/>
      <c r="F164" s="67"/>
      <c r="G164" s="67"/>
      <c r="H164" s="67"/>
      <c r="I164" s="67"/>
      <c r="J164" s="67"/>
      <c r="K164" s="67"/>
      <c r="L164" s="67" t="s">
        <v>67</v>
      </c>
      <c r="M164" s="70">
        <f>'Danica Pensjonsforsikring'!B14-'Danica Pensjonsforsikring'!B15+'Danica Pensjonsforsikring'!B40-'Danica Pensjonsforsikring'!B41+'Danica Pensjonsforsikring'!B45-'Danica Pensjonsforsikring'!B46+'Danica Pensjonsforsikring'!B142-'Danica Pensjonsforsikring'!B150+'Danica Pensjonsforsikring'!B168-'Danica Pensjonsforsikring'!B169</f>
        <v>-4357.268</v>
      </c>
      <c r="N164" s="70">
        <f>'Danica Pensjonsforsikring'!C14-'Danica Pensjonsforsikring'!C15+'Danica Pensjonsforsikring'!C40-'Danica Pensjonsforsikring'!C41+'Danica Pensjonsforsikring'!C45-'Danica Pensjonsforsikring'!C46+'Danica Pensjonsforsikring'!C142-'Danica Pensjonsforsikring'!C150+'Danica Pensjonsforsikring'!C168-'Danica Pensjonsforsikring'!C169</f>
        <v>-13497.161</v>
      </c>
      <c r="O164" s="67"/>
      <c r="Q164" s="67"/>
    </row>
    <row r="165" spans="1:17" ht="18.75" customHeight="1" x14ac:dyDescent="0.3">
      <c r="A165" s="67"/>
      <c r="B165" s="67"/>
      <c r="C165" s="67"/>
      <c r="D165" s="67"/>
      <c r="E165" s="67"/>
      <c r="F165" s="67"/>
      <c r="G165" s="67"/>
      <c r="H165" s="67"/>
      <c r="I165" s="67"/>
      <c r="J165" s="67"/>
      <c r="K165" s="67"/>
      <c r="L165" s="67" t="s">
        <v>68</v>
      </c>
      <c r="M165" s="70">
        <f>'DNB Livsforsikring'!B14-'DNB Livsforsikring'!B15+'DNB Livsforsikring'!B40-'DNB Livsforsikring'!B41+'DNB Livsforsikring'!B45-'DNB Livsforsikring'!B46+'DNB Livsforsikring'!B142-'DNB Livsforsikring'!B150+'DNB Livsforsikring'!B168-'DNB Livsforsikring'!B169</f>
        <v>-13223570</v>
      </c>
      <c r="N165" s="70">
        <f>'DNB Livsforsikring'!C14-'DNB Livsforsikring'!C15+'DNB Livsforsikring'!C40-'DNB Livsforsikring'!C41+'DNB Livsforsikring'!C45-'DNB Livsforsikring'!C46+'DNB Livsforsikring'!C142-'DNB Livsforsikring'!C150+'DNB Livsforsikring'!C168-'DNB Livsforsikring'!C169</f>
        <v>699030</v>
      </c>
      <c r="O165" s="67"/>
      <c r="Q165" s="67"/>
    </row>
    <row r="166" spans="1:17" ht="18.75" customHeight="1" x14ac:dyDescent="0.3">
      <c r="A166" s="67"/>
      <c r="B166" s="67"/>
      <c r="C166" s="67"/>
      <c r="D166" s="67"/>
      <c r="E166" s="67"/>
      <c r="F166" s="67"/>
      <c r="G166" s="67"/>
      <c r="H166" s="67"/>
      <c r="I166" s="67"/>
      <c r="J166" s="67"/>
      <c r="K166" s="67"/>
      <c r="L166" s="72" t="s">
        <v>73</v>
      </c>
      <c r="M166" s="70">
        <f>'Gjensidige Pensjon'!B14-'Gjensidige Pensjon'!B15+'Gjensidige Pensjon'!B40-'Gjensidige Pensjon'!B41+'Gjensidige Pensjon'!B45-'Gjensidige Pensjon'!B46+'Gjensidige Pensjon'!B142-'Gjensidige Pensjon'!B150+'Gjensidige Pensjon'!B168-'Gjensidige Pensjon'!B169</f>
        <v>219040.41500000001</v>
      </c>
      <c r="N166" s="70">
        <f>'Gjensidige Pensjon'!C14-'Gjensidige Pensjon'!C15+'Gjensidige Pensjon'!C40-'Gjensidige Pensjon'!C41+'Gjensidige Pensjon'!C45-'Gjensidige Pensjon'!C46+'Gjensidige Pensjon'!C142-'Gjensidige Pensjon'!C150+'Gjensidige Pensjon'!C168-'Gjensidige Pensjon'!C169</f>
        <v>20522</v>
      </c>
      <c r="O166" s="67"/>
      <c r="Q166" s="67"/>
    </row>
    <row r="167" spans="1:17" ht="18.75" customHeight="1" x14ac:dyDescent="0.3">
      <c r="A167" s="67"/>
      <c r="B167" s="67"/>
      <c r="C167" s="67"/>
      <c r="D167" s="67"/>
      <c r="E167" s="67"/>
      <c r="F167" s="67"/>
      <c r="G167" s="67"/>
      <c r="H167" s="67"/>
      <c r="I167" s="67"/>
      <c r="J167" s="67"/>
      <c r="K167" s="67"/>
      <c r="L167" s="72" t="s">
        <v>76</v>
      </c>
      <c r="M167" s="70">
        <f>KLP!B14-KLP!B15+KLP!B40-KLP!B41+KLP!B45-KLP!B46+KLP!B142-KLP!B150+KLP!B168-KLP!B169</f>
        <v>9108692.8528800011</v>
      </c>
      <c r="N167" s="70">
        <f>KLP!C14-KLP!C15+KLP!C40-KLP!C41+KLP!C45-KLP!C46+KLP!C142-KLP!C150+KLP!C168-KLP!C169</f>
        <v>3128337.7660000003</v>
      </c>
      <c r="O167" s="67"/>
      <c r="Q167" s="67"/>
    </row>
    <row r="168" spans="1:17" ht="18.75" customHeight="1" x14ac:dyDescent="0.3">
      <c r="A168" s="67"/>
      <c r="B168" s="67"/>
      <c r="C168" s="67"/>
      <c r="D168" s="67"/>
      <c r="E168" s="67"/>
      <c r="F168" s="67"/>
      <c r="G168" s="67"/>
      <c r="H168" s="67"/>
      <c r="I168" s="67"/>
      <c r="J168" s="67"/>
      <c r="K168" s="67"/>
      <c r="L168" s="72" t="s">
        <v>77</v>
      </c>
      <c r="M168" s="70">
        <f>'KLP Bedriftspensjon AS'!B14-'KLP Bedriftspensjon AS'!B15+'KLP Bedriftspensjon AS'!B40-'KLP Bedriftspensjon AS'!B41+'KLP Bedriftspensjon AS'!B45-'KLP Bedriftspensjon AS'!B46+'KLP Bedriftspensjon AS'!B142-'KLP Bedriftspensjon AS'!B150+'KLP Bedriftspensjon AS'!B168-'KLP Bedriftspensjon AS'!B169</f>
        <v>2807</v>
      </c>
      <c r="N168" s="70">
        <f>'KLP Bedriftspensjon AS'!C14-'KLP Bedriftspensjon AS'!C15+'KLP Bedriftspensjon AS'!C40-'KLP Bedriftspensjon AS'!C41+'KLP Bedriftspensjon AS'!C45-'KLP Bedriftspensjon AS'!C46+'KLP Bedriftspensjon AS'!C142-'KLP Bedriftspensjon AS'!C150+'KLP Bedriftspensjon AS'!C168-'KLP Bedriftspensjon AS'!C169</f>
        <v>1141</v>
      </c>
      <c r="O168" s="67"/>
      <c r="Q168" s="67"/>
    </row>
    <row r="169" spans="1:17" ht="18.75" customHeight="1" x14ac:dyDescent="0.3">
      <c r="A169" s="67"/>
      <c r="B169" s="67"/>
      <c r="C169" s="67"/>
      <c r="D169" s="67"/>
      <c r="E169" s="67"/>
      <c r="F169" s="67"/>
      <c r="G169" s="67"/>
      <c r="H169" s="67"/>
      <c r="I169" s="67"/>
      <c r="J169" s="67"/>
      <c r="K169" s="67"/>
      <c r="L169" s="67" t="s">
        <v>81</v>
      </c>
      <c r="M169" s="70">
        <f>'Nordea Liv '!B14-'Nordea Liv '!B15+'Nordea Liv '!B40-'Nordea Liv '!B41+'Nordea Liv '!B45-'Nordea Liv '!B46+'Nordea Liv '!B142-'Nordea Liv '!B150+'Nordea Liv '!B168-'Nordea Liv '!B169</f>
        <v>-273970.86333999998</v>
      </c>
      <c r="N169" s="70">
        <f>'Nordea Liv '!C14-'Nordea Liv '!C15+'Nordea Liv '!C40-'Nordea Liv '!C41+'Nordea Liv '!C45-'Nordea Liv '!C46+'Nordea Liv '!C142-'Nordea Liv '!C150+'Nordea Liv '!C168-'Nordea Liv '!C169</f>
        <v>-92816.804760000028</v>
      </c>
      <c r="O169" s="67"/>
      <c r="Q169" s="67"/>
    </row>
    <row r="170" spans="1:17" ht="18.75" customHeight="1" x14ac:dyDescent="0.3">
      <c r="A170" s="67"/>
      <c r="B170" s="67"/>
      <c r="C170" s="67"/>
      <c r="D170" s="67"/>
      <c r="E170" s="67"/>
      <c r="F170" s="67"/>
      <c r="G170" s="67"/>
      <c r="H170" s="67"/>
      <c r="I170" s="67"/>
      <c r="J170" s="67"/>
      <c r="K170" s="67"/>
      <c r="L170" s="67" t="s">
        <v>88</v>
      </c>
      <c r="M170" s="70">
        <f>'Silver Pensjonsforsikring AS'!B14-'Silver Pensjonsforsikring AS'!B15+'Silver Pensjonsforsikring AS'!B40-'Silver Pensjonsforsikring AS'!B41+'Silver Pensjonsforsikring AS'!B45-'Silver Pensjonsforsikring AS'!B46+'Silver Pensjonsforsikring AS'!B142-'Silver Pensjonsforsikring AS'!B150+'Silver Pensjonsforsikring AS'!B168-'Silver Pensjonsforsikring AS'!B169</f>
        <v>-26528.197459999999</v>
      </c>
      <c r="N170" s="70">
        <f>'Silver Pensjonsforsikring AS'!C14-'Silver Pensjonsforsikring AS'!C15+'Silver Pensjonsforsikring AS'!C40-'Silver Pensjonsforsikring AS'!C41+'Silver Pensjonsforsikring AS'!C45-'Silver Pensjonsforsikring AS'!C46+'Silver Pensjonsforsikring AS'!C142-'Silver Pensjonsforsikring AS'!C150+'Silver Pensjonsforsikring AS'!C168-'Silver Pensjonsforsikring AS'!C169</f>
        <v>0</v>
      </c>
      <c r="O170" s="67"/>
      <c r="Q170" s="67"/>
    </row>
    <row r="171" spans="1:17" ht="18.75" customHeight="1" x14ac:dyDescent="0.3">
      <c r="A171" s="67"/>
      <c r="B171" s="67"/>
      <c r="C171" s="67"/>
      <c r="D171" s="67"/>
      <c r="E171" s="67"/>
      <c r="F171" s="67"/>
      <c r="G171" s="67"/>
      <c r="H171" s="67"/>
      <c r="I171" s="67"/>
      <c r="J171" s="67"/>
      <c r="K171" s="67"/>
      <c r="L171" s="67" t="s">
        <v>83</v>
      </c>
      <c r="M171" s="70">
        <f>'Sparebank 1'!B14-'Sparebank 1'!B15+'Sparebank 1'!B40-'Sparebank 1'!B41+'Sparebank 1'!B45-'Sparebank 1'!B46+'Sparebank 1'!B142-'Sparebank 1'!B150+'Sparebank 1'!B168-'Sparebank 1'!B169</f>
        <v>56365.878530000009</v>
      </c>
      <c r="N171" s="70">
        <f>'Sparebank 1'!C14-'Sparebank 1'!C15+'Sparebank 1'!C40-'Sparebank 1'!C41+'Sparebank 1'!C45-'Sparebank 1'!C46+'Sparebank 1'!C142-'Sparebank 1'!C150+'Sparebank 1'!C168-'Sparebank 1'!C169</f>
        <v>100246.76105</v>
      </c>
      <c r="O171" s="67"/>
      <c r="Q171" s="67"/>
    </row>
    <row r="172" spans="1:17" ht="18.75" customHeight="1" x14ac:dyDescent="0.3">
      <c r="A172" s="67"/>
      <c r="B172" s="67"/>
      <c r="C172" s="67"/>
      <c r="D172" s="67"/>
      <c r="E172" s="67"/>
      <c r="F172" s="67"/>
      <c r="G172" s="67"/>
      <c r="H172" s="67"/>
      <c r="I172" s="67"/>
      <c r="J172" s="67"/>
      <c r="K172" s="67"/>
      <c r="L172" s="67" t="s">
        <v>84</v>
      </c>
      <c r="M172" s="70">
        <f>'Storebrand Livsforsikring'!B14-'Storebrand Livsforsikring'!B15+'Storebrand Livsforsikring'!B40-'Storebrand Livsforsikring'!B41+'Storebrand Livsforsikring'!B45-'Storebrand Livsforsikring'!B46+'Storebrand Livsforsikring'!B142-'Storebrand Livsforsikring'!B150+'Storebrand Livsforsikring'!B168-'Storebrand Livsforsikring'!B169</f>
        <v>-3542779.4469999997</v>
      </c>
      <c r="N172" s="70">
        <f>'Storebrand Livsforsikring'!C14-'Storebrand Livsforsikring'!C15+'Storebrand Livsforsikring'!C40-'Storebrand Livsforsikring'!C41+'Storebrand Livsforsikring'!C45-'Storebrand Livsforsikring'!C46+'Storebrand Livsforsikring'!C142-'Storebrand Livsforsikring'!C150+'Storebrand Livsforsikring'!C168-'Storebrand Livsforsikring'!C169</f>
        <v>-2009393.2790000001</v>
      </c>
      <c r="O172" s="67"/>
    </row>
    <row r="173" spans="1:17" ht="18.75" customHeight="1" x14ac:dyDescent="0.3">
      <c r="A173" s="67"/>
      <c r="B173" s="67"/>
      <c r="C173" s="67"/>
      <c r="D173" s="67"/>
      <c r="E173" s="67"/>
      <c r="F173" s="67"/>
      <c r="G173" s="67"/>
      <c r="H173" s="67"/>
      <c r="I173" s="67"/>
      <c r="J173" s="67"/>
      <c r="K173" s="67"/>
      <c r="M173" s="70"/>
      <c r="N173" s="70"/>
      <c r="O173" s="67"/>
    </row>
    <row r="174" spans="1:17" ht="18.75" customHeight="1" x14ac:dyDescent="0.3">
      <c r="A174" s="67"/>
      <c r="B174" s="67"/>
      <c r="C174" s="67"/>
      <c r="D174" s="67"/>
      <c r="E174" s="67"/>
      <c r="F174" s="67"/>
      <c r="G174" s="67"/>
      <c r="H174" s="67"/>
      <c r="I174" s="67"/>
      <c r="J174" s="67"/>
      <c r="K174" s="67"/>
      <c r="M174" s="70"/>
      <c r="N174" s="70"/>
      <c r="O174" s="67"/>
    </row>
    <row r="175" spans="1:17" ht="18.75" customHeight="1" x14ac:dyDescent="0.3">
      <c r="A175" s="67"/>
      <c r="B175" s="67"/>
      <c r="C175" s="67"/>
      <c r="D175" s="67"/>
      <c r="E175" s="67"/>
      <c r="F175" s="67"/>
      <c r="G175" s="67"/>
      <c r="H175" s="67"/>
      <c r="I175" s="67"/>
      <c r="J175" s="67"/>
      <c r="K175" s="67"/>
      <c r="M175" s="70"/>
      <c r="N175" s="70"/>
      <c r="O175" s="67"/>
    </row>
    <row r="176" spans="1:17" ht="18.75" customHeight="1" x14ac:dyDescent="0.3">
      <c r="A176" s="67"/>
      <c r="B176" s="67"/>
      <c r="C176" s="67"/>
      <c r="D176" s="67"/>
      <c r="E176" s="67"/>
      <c r="F176" s="67"/>
      <c r="G176" s="67"/>
      <c r="H176" s="67"/>
      <c r="I176" s="67"/>
      <c r="J176" s="67"/>
      <c r="K176" s="67"/>
      <c r="M176" s="70"/>
      <c r="N176" s="70"/>
      <c r="O176" s="67"/>
    </row>
    <row r="177" spans="1:15" ht="18.75" customHeight="1" x14ac:dyDescent="0.3">
      <c r="A177" s="67"/>
      <c r="B177" s="67"/>
      <c r="C177" s="67"/>
      <c r="D177" s="67"/>
      <c r="E177" s="67"/>
      <c r="F177" s="67"/>
      <c r="G177" s="67"/>
      <c r="H177" s="67"/>
      <c r="I177" s="67"/>
      <c r="J177" s="67"/>
      <c r="K177" s="67"/>
      <c r="M177" s="70"/>
      <c r="N177" s="70"/>
      <c r="O177" s="67"/>
    </row>
    <row r="178" spans="1:15" x14ac:dyDescent="0.3">
      <c r="A178" s="67"/>
      <c r="B178" s="67"/>
      <c r="C178" s="67"/>
      <c r="D178" s="67"/>
      <c r="E178" s="67"/>
      <c r="F178" s="67"/>
      <c r="G178" s="67"/>
      <c r="H178" s="67"/>
      <c r="I178" s="67"/>
      <c r="J178" s="67"/>
      <c r="K178" s="67"/>
      <c r="M178" s="70"/>
      <c r="N178" s="70"/>
      <c r="O178" s="67"/>
    </row>
    <row r="179" spans="1:15" x14ac:dyDescent="0.3">
      <c r="A179" s="67"/>
      <c r="B179" s="67"/>
      <c r="C179" s="67"/>
      <c r="D179" s="67"/>
      <c r="E179" s="67"/>
      <c r="F179" s="67"/>
      <c r="G179" s="67"/>
      <c r="H179" s="67"/>
      <c r="I179" s="67"/>
      <c r="J179" s="67"/>
      <c r="K179" s="67"/>
      <c r="M179" s="70"/>
      <c r="N179" s="70"/>
      <c r="O179" s="67"/>
    </row>
    <row r="180" spans="1:15" x14ac:dyDescent="0.3">
      <c r="A180" s="67"/>
      <c r="B180" s="67"/>
      <c r="C180" s="67"/>
      <c r="D180" s="67"/>
      <c r="E180" s="67"/>
      <c r="F180" s="67"/>
      <c r="G180" s="67"/>
      <c r="H180" s="67"/>
      <c r="I180" s="67"/>
      <c r="J180" s="67"/>
      <c r="K180" s="67"/>
      <c r="M180" s="70"/>
      <c r="N180" s="70"/>
      <c r="O180" s="67"/>
    </row>
    <row r="181" spans="1:15" x14ac:dyDescent="0.3">
      <c r="A181" s="67"/>
      <c r="B181" s="67"/>
      <c r="C181" s="67"/>
      <c r="D181" s="67"/>
      <c r="E181" s="67"/>
      <c r="F181" s="67"/>
      <c r="G181" s="67"/>
      <c r="H181" s="67"/>
      <c r="I181" s="67"/>
      <c r="J181" s="67"/>
      <c r="K181" s="67"/>
      <c r="O181" s="67"/>
    </row>
    <row r="182" spans="1:15" x14ac:dyDescent="0.3">
      <c r="A182" s="67"/>
      <c r="B182" s="67"/>
      <c r="C182" s="67"/>
      <c r="D182" s="67"/>
      <c r="E182" s="67"/>
      <c r="F182" s="67"/>
      <c r="G182" s="67"/>
      <c r="H182" s="67"/>
      <c r="I182" s="67"/>
      <c r="J182" s="67"/>
      <c r="K182" s="67"/>
      <c r="O182" s="67"/>
    </row>
    <row r="183" spans="1:15" x14ac:dyDescent="0.3">
      <c r="A183" s="67"/>
      <c r="B183" s="67"/>
      <c r="C183" s="67"/>
      <c r="D183" s="67"/>
      <c r="E183" s="67"/>
      <c r="F183" s="67"/>
      <c r="G183" s="67"/>
      <c r="H183" s="67"/>
      <c r="I183" s="67"/>
      <c r="J183" s="67"/>
      <c r="K183" s="67"/>
      <c r="O183" s="67"/>
    </row>
    <row r="184" spans="1:15" x14ac:dyDescent="0.3">
      <c r="A184" s="67"/>
      <c r="B184" s="67"/>
      <c r="C184" s="67"/>
      <c r="D184" s="67"/>
      <c r="E184" s="67"/>
      <c r="F184" s="67"/>
      <c r="G184" s="67"/>
      <c r="H184" s="67"/>
      <c r="I184" s="67"/>
      <c r="J184" s="67"/>
      <c r="K184" s="67"/>
      <c r="O184" s="67"/>
    </row>
    <row r="185" spans="1:15" x14ac:dyDescent="0.3">
      <c r="A185" s="68" t="s">
        <v>428</v>
      </c>
      <c r="B185" s="67"/>
      <c r="C185" s="67"/>
      <c r="D185" s="67"/>
      <c r="E185" s="67"/>
      <c r="F185" s="67"/>
      <c r="G185" s="67"/>
      <c r="H185" s="72"/>
      <c r="I185" s="67"/>
      <c r="J185" s="67"/>
      <c r="K185" s="67"/>
      <c r="O185" s="67"/>
    </row>
    <row r="186" spans="1:15" x14ac:dyDescent="0.3">
      <c r="B186" s="67"/>
      <c r="C186" s="67"/>
      <c r="D186" s="67"/>
      <c r="E186" s="67"/>
      <c r="F186" s="67"/>
      <c r="G186" s="67"/>
      <c r="H186" s="67"/>
      <c r="I186" s="67"/>
      <c r="J186" s="67"/>
      <c r="K186" s="67"/>
      <c r="O186" s="67"/>
    </row>
    <row r="187" spans="1:15" x14ac:dyDescent="0.3">
      <c r="A187" s="67"/>
      <c r="B187" s="67"/>
      <c r="C187" s="67"/>
      <c r="D187" s="67"/>
      <c r="E187" s="67"/>
      <c r="F187" s="67"/>
      <c r="G187" s="67"/>
      <c r="H187" s="67"/>
      <c r="I187" s="67"/>
      <c r="J187" s="67"/>
      <c r="K187" s="67"/>
      <c r="L187" s="67" t="s">
        <v>93</v>
      </c>
      <c r="O187" s="67"/>
    </row>
    <row r="188" spans="1:15" x14ac:dyDescent="0.3">
      <c r="A188" s="67"/>
      <c r="B188" s="67"/>
      <c r="C188" s="67"/>
      <c r="D188" s="67"/>
      <c r="E188" s="67"/>
      <c r="F188" s="67"/>
      <c r="G188" s="67"/>
      <c r="H188" s="67"/>
      <c r="I188" s="67"/>
      <c r="J188" s="67"/>
      <c r="K188" s="67"/>
      <c r="L188" s="67" t="s">
        <v>1</v>
      </c>
      <c r="O188" s="67"/>
    </row>
    <row r="189" spans="1:15" x14ac:dyDescent="0.3">
      <c r="A189" s="67"/>
      <c r="B189" s="67"/>
      <c r="C189" s="67"/>
      <c r="D189" s="67"/>
      <c r="E189" s="67"/>
      <c r="F189" s="67"/>
      <c r="G189" s="67"/>
      <c r="H189" s="67"/>
      <c r="I189" s="67"/>
      <c r="J189" s="67"/>
      <c r="K189" s="67"/>
      <c r="M189" s="67">
        <v>2015</v>
      </c>
      <c r="N189" s="67">
        <v>2016</v>
      </c>
      <c r="O189" s="67"/>
    </row>
    <row r="190" spans="1:15" x14ac:dyDescent="0.3">
      <c r="A190" s="67"/>
      <c r="B190" s="67"/>
      <c r="C190" s="67"/>
      <c r="D190" s="67"/>
      <c r="E190" s="67"/>
      <c r="F190" s="67"/>
      <c r="G190" s="67"/>
      <c r="H190" s="67"/>
      <c r="I190" s="67"/>
      <c r="J190" s="67"/>
      <c r="K190" s="67"/>
      <c r="L190" s="67" t="s">
        <v>67</v>
      </c>
      <c r="M190" s="70">
        <f>'Danica Pensjonsforsikring'!F14-'Danica Pensjonsforsikring'!F15+'Danica Pensjonsforsikring'!F40-'Danica Pensjonsforsikring'!F41+'Danica Pensjonsforsikring'!F45-'Danica Pensjonsforsikring'!F46+'Danica Pensjonsforsikring'!F142-'Danica Pensjonsforsikring'!F150+'Danica Pensjonsforsikring'!F168-'Danica Pensjonsforsikring'!F169</f>
        <v>60202.512999999977</v>
      </c>
      <c r="N190" s="70">
        <f>'Danica Pensjonsforsikring'!G14-'Danica Pensjonsforsikring'!G15+'Danica Pensjonsforsikring'!G40-'Danica Pensjonsforsikring'!G41+'Danica Pensjonsforsikring'!G45-'Danica Pensjonsforsikring'!G46+'Danica Pensjonsforsikring'!G142-'Danica Pensjonsforsikring'!G150+'Danica Pensjonsforsikring'!G168-'Danica Pensjonsforsikring'!G169</f>
        <v>103090.35200000007</v>
      </c>
      <c r="O190" s="67"/>
    </row>
    <row r="191" spans="1:15" x14ac:dyDescent="0.3">
      <c r="A191" s="67"/>
      <c r="B191" s="67"/>
      <c r="C191" s="67"/>
      <c r="D191" s="67"/>
      <c r="E191" s="67"/>
      <c r="F191" s="67"/>
      <c r="G191" s="67"/>
      <c r="H191" s="67"/>
      <c r="I191" s="67"/>
      <c r="J191" s="67"/>
      <c r="K191" s="67"/>
      <c r="L191" s="67" t="s">
        <v>68</v>
      </c>
      <c r="M191" s="70">
        <f>'DNB Livsforsikring'!F14-'DNB Livsforsikring'!F15+'DNB Livsforsikring'!F40-'DNB Livsforsikring'!F41+'DNB Livsforsikring'!F45-'DNB Livsforsikring'!F46+'DNB Livsforsikring'!F142-'DNB Livsforsikring'!F150+'DNB Livsforsikring'!F168-'DNB Livsforsikring'!F169</f>
        <v>106208</v>
      </c>
      <c r="N191" s="70">
        <f>'DNB Livsforsikring'!G14-'DNB Livsforsikring'!G15+'DNB Livsforsikring'!G40-'DNB Livsforsikring'!G41+'DNB Livsforsikring'!G45-'DNB Livsforsikring'!G46+'DNB Livsforsikring'!G142-'DNB Livsforsikring'!G150+'DNB Livsforsikring'!G168-'DNB Livsforsikring'!G169</f>
        <v>287011</v>
      </c>
      <c r="O191" s="67"/>
    </row>
    <row r="192" spans="1:15" x14ac:dyDescent="0.3">
      <c r="A192" s="67"/>
      <c r="B192" s="67"/>
      <c r="C192" s="67"/>
      <c r="D192" s="67"/>
      <c r="E192" s="67"/>
      <c r="F192" s="67"/>
      <c r="G192" s="67"/>
      <c r="H192" s="67"/>
      <c r="I192" s="67"/>
      <c r="J192" s="67"/>
      <c r="K192" s="67"/>
      <c r="L192" s="67" t="s">
        <v>70</v>
      </c>
      <c r="M192" s="70">
        <f>'Frende Livsforsikring'!F14-'Frende Livsforsikring'!F15+'Frende Livsforsikring'!F40-'Frende Livsforsikring'!F41+'Frende Livsforsikring'!F45-'Frende Livsforsikring'!F46+'Frende Livsforsikring'!F142-'Frende Livsforsikring'!F150+'Frende Livsforsikring'!F168-'Frende Livsforsikring'!F169</f>
        <v>82162</v>
      </c>
      <c r="N192" s="70">
        <f>'Frende Livsforsikring'!G14-'Frende Livsforsikring'!G15+'Frende Livsforsikring'!G40-'Frende Livsforsikring'!G41+'Frende Livsforsikring'!G45-'Frende Livsforsikring'!G46+'Frende Livsforsikring'!G142-'Frende Livsforsikring'!G150+'Frende Livsforsikring'!G168-'Frende Livsforsikring'!G169</f>
        <v>-28214</v>
      </c>
      <c r="O192" s="67"/>
    </row>
    <row r="193" spans="1:15" x14ac:dyDescent="0.3">
      <c r="A193" s="67"/>
      <c r="B193" s="67"/>
      <c r="C193" s="67"/>
      <c r="D193" s="67"/>
      <c r="E193" s="67"/>
      <c r="F193" s="67"/>
      <c r="G193" s="67"/>
      <c r="H193" s="67"/>
      <c r="I193" s="67"/>
      <c r="J193" s="67"/>
      <c r="K193" s="67"/>
      <c r="L193" s="72" t="s">
        <v>73</v>
      </c>
      <c r="M193" s="70">
        <f>'Gjensidige Pensjon'!F14-'Gjensidige Pensjon'!F15+'Gjensidige Pensjon'!F40-'Gjensidige Pensjon'!F41+'Gjensidige Pensjon'!F45-'Gjensidige Pensjon'!F46+'Gjensidige Pensjon'!F142-'Gjensidige Pensjon'!F150+'Gjensidige Pensjon'!F168-'Gjensidige Pensjon'!F169</f>
        <v>-82011.826000000001</v>
      </c>
      <c r="N193" s="70">
        <f>'Gjensidige Pensjon'!G14-'Gjensidige Pensjon'!G15+'Gjensidige Pensjon'!G40-'Gjensidige Pensjon'!G41+'Gjensidige Pensjon'!G45-'Gjensidige Pensjon'!G46+'Gjensidige Pensjon'!G142-'Gjensidige Pensjon'!G150+'Gjensidige Pensjon'!G168-'Gjensidige Pensjon'!G169</f>
        <v>415769</v>
      </c>
      <c r="O193" s="67"/>
    </row>
    <row r="194" spans="1:15" x14ac:dyDescent="0.3">
      <c r="A194" s="67"/>
      <c r="B194" s="67"/>
      <c r="C194" s="67"/>
      <c r="D194" s="67"/>
      <c r="E194" s="67"/>
      <c r="F194" s="67"/>
      <c r="G194" s="67"/>
      <c r="H194" s="67"/>
      <c r="I194" s="67"/>
      <c r="J194" s="67"/>
      <c r="K194" s="67"/>
      <c r="L194" s="67" t="s">
        <v>77</v>
      </c>
      <c r="M194" s="70">
        <f>'KLP Bedriftspensjon AS'!F14-'KLP Bedriftspensjon AS'!F15+'KLP Bedriftspensjon AS'!F40-'KLP Bedriftspensjon AS'!F41+'KLP Bedriftspensjon AS'!F45-'KLP Bedriftspensjon AS'!F46+'KLP Bedriftspensjon AS'!F142-'KLP Bedriftspensjon AS'!F150+'KLP Bedriftspensjon AS'!F168-'KLP Bedriftspensjon AS'!F169</f>
        <v>130702</v>
      </c>
      <c r="N194" s="70">
        <f>'KLP Bedriftspensjon AS'!G14-'KLP Bedriftspensjon AS'!G15+'KLP Bedriftspensjon AS'!G40-'KLP Bedriftspensjon AS'!G41+'KLP Bedriftspensjon AS'!G45-'KLP Bedriftspensjon AS'!G46+'KLP Bedriftspensjon AS'!G142-'KLP Bedriftspensjon AS'!G150+'KLP Bedriftspensjon AS'!G168-'KLP Bedriftspensjon AS'!G169</f>
        <v>135635</v>
      </c>
      <c r="O194" s="67"/>
    </row>
    <row r="195" spans="1:15" x14ac:dyDescent="0.3">
      <c r="A195" s="67"/>
      <c r="B195" s="67"/>
      <c r="C195" s="67"/>
      <c r="D195" s="67"/>
      <c r="E195" s="67"/>
      <c r="F195" s="67"/>
      <c r="G195" s="67"/>
      <c r="H195" s="67"/>
      <c r="I195" s="67"/>
      <c r="J195" s="67"/>
      <c r="K195" s="67"/>
      <c r="L195" s="67" t="s">
        <v>81</v>
      </c>
      <c r="M195" s="70">
        <f>'Nordea Liv '!F14-'Nordea Liv '!F15+'Nordea Liv '!F40-'Nordea Liv '!F41+'Nordea Liv '!F45-'Nordea Liv '!F46+'Nordea Liv '!F142-'Nordea Liv '!F150+'Nordea Liv '!F168-'Nordea Liv '!F169</f>
        <v>-129309.97355</v>
      </c>
      <c r="N195" s="70">
        <f>'Nordea Liv '!G14-'Nordea Liv '!G15+'Nordea Liv '!G40-'Nordea Liv '!G41+'Nordea Liv '!G45-'Nordea Liv '!G46+'Nordea Liv '!G142-'Nordea Liv '!G150+'Nordea Liv '!G168-'Nordea Liv '!G169</f>
        <v>-423133.50978000008</v>
      </c>
      <c r="O195" s="67"/>
    </row>
    <row r="196" spans="1:15" x14ac:dyDescent="0.3">
      <c r="A196" s="67"/>
      <c r="B196" s="67"/>
      <c r="C196" s="67"/>
      <c r="D196" s="67"/>
      <c r="E196" s="67"/>
      <c r="F196" s="67"/>
      <c r="G196" s="67"/>
      <c r="H196" s="67"/>
      <c r="I196" s="67"/>
      <c r="J196" s="67"/>
      <c r="K196" s="67"/>
      <c r="L196" s="67" t="s">
        <v>87</v>
      </c>
      <c r="M196" s="70">
        <f>'SHB Liv'!F14-'SHB Liv'!F15+'SHB Liv'!F40-'SHB Liv'!F41+'SHB Liv'!F45-'SHB Liv'!F46+'SHB Liv'!F142-'SHB Liv'!F150+'SHB Liv'!F168-'SHB Liv'!F169</f>
        <v>-6245</v>
      </c>
      <c r="N196" s="70">
        <f>'SHB Liv'!G14-'SHB Liv'!G15+'SHB Liv'!G40-'SHB Liv'!G41+'SHB Liv'!G45-'SHB Liv'!G46+'SHB Liv'!G142-'SHB Liv'!G150+'SHB Liv'!G168-'SHB Liv'!G169</f>
        <v>87560</v>
      </c>
      <c r="O196" s="67"/>
    </row>
    <row r="197" spans="1:15" x14ac:dyDescent="0.3">
      <c r="A197" s="67"/>
      <c r="B197" s="67"/>
      <c r="C197" s="67"/>
      <c r="D197" s="67"/>
      <c r="E197" s="67"/>
      <c r="F197" s="67"/>
      <c r="G197" s="67"/>
      <c r="H197" s="67"/>
      <c r="I197" s="67"/>
      <c r="J197" s="67"/>
      <c r="K197" s="67"/>
      <c r="L197" s="67" t="s">
        <v>88</v>
      </c>
      <c r="M197" s="70">
        <f>'Silver Pensjonsforsikring AS'!F14-'Silver Pensjonsforsikring AS'!F15+'Silver Pensjonsforsikring AS'!F40-'Silver Pensjonsforsikring AS'!F41+'Silver Pensjonsforsikring AS'!F45-'Silver Pensjonsforsikring AS'!F46+'Silver Pensjonsforsikring AS'!F142-'Silver Pensjonsforsikring AS'!F150+'Silver Pensjonsforsikring AS'!F168-'Silver Pensjonsforsikring AS'!F169</f>
        <v>24227.527000000002</v>
      </c>
      <c r="N197" s="70">
        <f>'Silver Pensjonsforsikring AS'!G14-'Silver Pensjonsforsikring AS'!G15+'Silver Pensjonsforsikring AS'!G40-'Silver Pensjonsforsikring AS'!G41+'Silver Pensjonsforsikring AS'!G45-'Silver Pensjonsforsikring AS'!G46+'Silver Pensjonsforsikring AS'!G142-'Silver Pensjonsforsikring AS'!G150+'Silver Pensjonsforsikring AS'!G168-'Silver Pensjonsforsikring AS'!G169</f>
        <v>0</v>
      </c>
      <c r="O197" s="67"/>
    </row>
    <row r="198" spans="1:15" x14ac:dyDescent="0.3">
      <c r="A198" s="67"/>
      <c r="B198" s="67"/>
      <c r="C198" s="67"/>
      <c r="D198" s="67"/>
      <c r="E198" s="67"/>
      <c r="F198" s="67"/>
      <c r="G198" s="67"/>
      <c r="H198" s="67"/>
      <c r="I198" s="67"/>
      <c r="J198" s="67"/>
      <c r="K198" s="67"/>
      <c r="L198" s="67" t="s">
        <v>83</v>
      </c>
      <c r="M198" s="70">
        <f>'Sparebank 1'!F14-'Sparebank 1'!F15+'Sparebank 1'!F40-'Sparebank 1'!F41+'Sparebank 1'!F45-'Sparebank 1'!F46+'Sparebank 1'!F142-'Sparebank 1'!F150+'Sparebank 1'!F168-'Sparebank 1'!F169</f>
        <v>97268.581089999992</v>
      </c>
      <c r="N198" s="70">
        <f>'Sparebank 1'!G14-'Sparebank 1'!G15+'Sparebank 1'!G40-'Sparebank 1'!G41+'Sparebank 1'!G45-'Sparebank 1'!G46+'Sparebank 1'!G142-'Sparebank 1'!G150+'Sparebank 1'!G168-'Sparebank 1'!G169</f>
        <v>1135606.9406599998</v>
      </c>
      <c r="O198" s="67"/>
    </row>
    <row r="199" spans="1:15" x14ac:dyDescent="0.3">
      <c r="A199" s="67"/>
      <c r="B199" s="67"/>
      <c r="C199" s="67"/>
      <c r="D199" s="67"/>
      <c r="E199" s="67"/>
      <c r="F199" s="67"/>
      <c r="G199" s="67"/>
      <c r="H199" s="67"/>
      <c r="I199" s="67"/>
      <c r="J199" s="67"/>
      <c r="K199" s="67"/>
      <c r="L199" s="67" t="s">
        <v>89</v>
      </c>
      <c r="M199" s="70">
        <f>'Storebrand Livsforsikring'!F14-'Storebrand Livsforsikring'!F15+'Storebrand Livsforsikring'!F40-'Storebrand Livsforsikring'!F41+'Storebrand Livsforsikring'!F45-'Storebrand Livsforsikring'!F46+'Storebrand Livsforsikring'!F142-'Storebrand Livsforsikring'!F150+'Storebrand Livsforsikring'!F168-'Storebrand Livsforsikring'!F169</f>
        <v>-88254.657000000007</v>
      </c>
      <c r="N199" s="70">
        <f>'Storebrand Livsforsikring'!G14-'Storebrand Livsforsikring'!G15+'Storebrand Livsforsikring'!G40-'Storebrand Livsforsikring'!G41+'Storebrand Livsforsikring'!G45-'Storebrand Livsforsikring'!G46+'Storebrand Livsforsikring'!G142-'Storebrand Livsforsikring'!G150+'Storebrand Livsforsikring'!G168-'Storebrand Livsforsikring'!G169</f>
        <v>-1591684.1879999998</v>
      </c>
      <c r="O199" s="67"/>
    </row>
    <row r="200" spans="1:15" x14ac:dyDescent="0.3">
      <c r="A200" s="67"/>
      <c r="B200" s="67"/>
      <c r="C200" s="67"/>
      <c r="D200" s="67"/>
      <c r="E200" s="67"/>
      <c r="F200" s="67"/>
      <c r="G200" s="67"/>
      <c r="H200" s="67"/>
      <c r="I200" s="67"/>
      <c r="J200" s="67"/>
      <c r="K200" s="67"/>
      <c r="O200" s="67"/>
    </row>
    <row r="201" spans="1:15" x14ac:dyDescent="0.3">
      <c r="A201" s="67"/>
      <c r="B201" s="67"/>
      <c r="C201" s="67"/>
      <c r="D201" s="67"/>
      <c r="E201" s="67"/>
      <c r="F201" s="67"/>
      <c r="G201" s="67"/>
      <c r="H201" s="67"/>
      <c r="I201" s="67"/>
      <c r="J201" s="67"/>
      <c r="K201" s="67"/>
      <c r="O201" s="67"/>
    </row>
    <row r="202" spans="1:15" x14ac:dyDescent="0.3">
      <c r="A202" s="67"/>
      <c r="B202" s="67"/>
      <c r="C202" s="67"/>
      <c r="D202" s="67"/>
      <c r="E202" s="67"/>
      <c r="F202" s="67"/>
      <c r="G202" s="67"/>
      <c r="H202" s="67"/>
      <c r="I202" s="67"/>
      <c r="J202" s="67"/>
      <c r="K202" s="67"/>
      <c r="O202" s="67"/>
    </row>
    <row r="203" spans="1:15" x14ac:dyDescent="0.3">
      <c r="A203" s="67"/>
      <c r="B203" s="67"/>
      <c r="C203" s="67"/>
      <c r="D203" s="67"/>
      <c r="E203" s="67"/>
      <c r="F203" s="67"/>
      <c r="G203" s="67"/>
      <c r="H203" s="67"/>
      <c r="I203" s="67"/>
      <c r="J203" s="67"/>
      <c r="K203" s="67"/>
      <c r="O203" s="67"/>
    </row>
    <row r="204" spans="1:15" x14ac:dyDescent="0.3">
      <c r="A204" s="67"/>
      <c r="B204" s="67"/>
      <c r="C204" s="67"/>
      <c r="D204" s="67"/>
      <c r="E204" s="67"/>
      <c r="F204" s="67"/>
      <c r="G204" s="67"/>
      <c r="H204" s="67"/>
      <c r="I204" s="67"/>
      <c r="J204" s="67"/>
      <c r="K204" s="67"/>
      <c r="O204" s="67"/>
    </row>
    <row r="205" spans="1:15" x14ac:dyDescent="0.3">
      <c r="A205" s="67"/>
      <c r="B205" s="67"/>
      <c r="C205" s="67"/>
      <c r="D205" s="67"/>
      <c r="E205" s="67"/>
      <c r="F205" s="67"/>
      <c r="G205" s="67"/>
      <c r="H205" s="67"/>
      <c r="I205" s="67"/>
      <c r="J205" s="67"/>
      <c r="K205" s="67"/>
      <c r="O205" s="67"/>
    </row>
    <row r="206" spans="1:15" x14ac:dyDescent="0.3">
      <c r="A206" s="67"/>
      <c r="B206" s="67"/>
      <c r="C206" s="67"/>
      <c r="D206" s="67"/>
      <c r="E206" s="67"/>
      <c r="F206" s="67"/>
      <c r="G206" s="67"/>
      <c r="H206" s="67"/>
      <c r="I206" s="67"/>
      <c r="J206" s="67"/>
      <c r="K206" s="67"/>
      <c r="O206" s="67"/>
    </row>
    <row r="207" spans="1:15" x14ac:dyDescent="0.3">
      <c r="A207" s="67"/>
      <c r="B207" s="67"/>
      <c r="C207" s="67"/>
      <c r="D207" s="67"/>
      <c r="E207" s="67"/>
      <c r="F207" s="67"/>
      <c r="G207" s="67"/>
      <c r="H207" s="67"/>
      <c r="I207" s="67"/>
      <c r="J207" s="67"/>
      <c r="K207" s="67"/>
      <c r="O207" s="67"/>
    </row>
    <row r="208" spans="1:15" x14ac:dyDescent="0.3">
      <c r="A208" s="67"/>
      <c r="B208" s="67"/>
      <c r="C208" s="67"/>
      <c r="D208" s="67"/>
      <c r="E208" s="67"/>
      <c r="F208" s="67"/>
      <c r="G208" s="67"/>
      <c r="H208" s="67"/>
      <c r="I208" s="67"/>
      <c r="J208" s="67"/>
      <c r="K208" s="67"/>
      <c r="O208" s="67"/>
    </row>
    <row r="209" spans="1:15" x14ac:dyDescent="0.3">
      <c r="A209" s="67"/>
      <c r="B209" s="67"/>
      <c r="C209" s="67"/>
      <c r="D209" s="67"/>
      <c r="E209" s="67"/>
      <c r="F209" s="67"/>
      <c r="G209" s="67"/>
      <c r="H209" s="67"/>
      <c r="I209" s="67"/>
      <c r="J209" s="67"/>
      <c r="K209" s="67"/>
      <c r="O209" s="67"/>
    </row>
    <row r="210" spans="1:15" x14ac:dyDescent="0.3">
      <c r="O210" s="67"/>
    </row>
    <row r="211" spans="1:15" x14ac:dyDescent="0.3">
      <c r="O211" s="67"/>
    </row>
    <row r="212" spans="1:15" x14ac:dyDescent="0.3">
      <c r="O212" s="67"/>
    </row>
    <row r="213" spans="1:15" x14ac:dyDescent="0.3">
      <c r="O213" s="67"/>
    </row>
    <row r="214" spans="1:15" x14ac:dyDescent="0.3">
      <c r="O214" s="67"/>
    </row>
    <row r="215" spans="1:15" x14ac:dyDescent="0.3">
      <c r="O215" s="67"/>
    </row>
    <row r="216" spans="1:15" x14ac:dyDescent="0.3">
      <c r="O216" s="67"/>
    </row>
    <row r="217" spans="1:15" x14ac:dyDescent="0.3">
      <c r="O217" s="67"/>
    </row>
    <row r="218" spans="1:15" x14ac:dyDescent="0.3">
      <c r="O218" s="67"/>
    </row>
    <row r="219" spans="1:15" x14ac:dyDescent="0.3">
      <c r="O219" s="67"/>
    </row>
    <row r="220" spans="1:15" x14ac:dyDescent="0.3">
      <c r="O220" s="67"/>
    </row>
    <row r="221" spans="1:15" x14ac:dyDescent="0.3">
      <c r="O221" s="67"/>
    </row>
    <row r="222" spans="1:15" x14ac:dyDescent="0.3">
      <c r="O222" s="67"/>
    </row>
    <row r="223" spans="1:15" x14ac:dyDescent="0.3">
      <c r="O223" s="67"/>
    </row>
    <row r="224" spans="1:15" x14ac:dyDescent="0.3">
      <c r="O224" s="67"/>
    </row>
    <row r="225" spans="1:15" x14ac:dyDescent="0.3">
      <c r="O225" s="67"/>
    </row>
    <row r="226" spans="1:15" x14ac:dyDescent="0.3">
      <c r="A226" s="67"/>
      <c r="B226" s="67"/>
      <c r="C226" s="67"/>
      <c r="D226" s="67"/>
      <c r="E226" s="67"/>
      <c r="F226" s="67"/>
      <c r="G226" s="67"/>
      <c r="H226" s="67"/>
      <c r="I226" s="67"/>
      <c r="J226" s="67"/>
      <c r="K226" s="67"/>
      <c r="O226" s="67"/>
    </row>
    <row r="227" spans="1:15" x14ac:dyDescent="0.3">
      <c r="A227" s="67"/>
      <c r="B227" s="67"/>
      <c r="C227" s="67"/>
      <c r="D227" s="67"/>
      <c r="E227" s="67"/>
      <c r="F227" s="67"/>
      <c r="G227" s="67"/>
      <c r="H227" s="67"/>
      <c r="I227" s="67"/>
      <c r="J227" s="67"/>
      <c r="K227" s="67"/>
      <c r="O227" s="67"/>
    </row>
    <row r="228" spans="1:15" x14ac:dyDescent="0.3">
      <c r="A228" s="67"/>
      <c r="B228" s="67"/>
      <c r="C228" s="67"/>
      <c r="D228" s="67"/>
      <c r="E228" s="67"/>
      <c r="F228" s="67"/>
      <c r="G228" s="67"/>
      <c r="H228" s="67"/>
      <c r="I228" s="67"/>
      <c r="J228" s="67"/>
      <c r="K228" s="67"/>
      <c r="O228" s="67"/>
    </row>
    <row r="229" spans="1:15" x14ac:dyDescent="0.3">
      <c r="A229" s="67"/>
      <c r="B229" s="67"/>
      <c r="C229" s="67"/>
      <c r="D229" s="67"/>
      <c r="E229" s="67"/>
      <c r="F229" s="67"/>
      <c r="G229" s="67"/>
      <c r="H229" s="67"/>
      <c r="I229" s="67"/>
      <c r="J229" s="67"/>
      <c r="K229" s="67"/>
      <c r="O229" s="67"/>
    </row>
    <row r="230" spans="1:15" x14ac:dyDescent="0.3">
      <c r="A230" s="67"/>
      <c r="B230" s="67"/>
      <c r="C230" s="67"/>
      <c r="D230" s="67"/>
      <c r="E230" s="67"/>
      <c r="F230" s="67"/>
      <c r="G230" s="67"/>
      <c r="H230" s="67"/>
      <c r="I230" s="67"/>
      <c r="J230" s="67"/>
      <c r="K230" s="67"/>
      <c r="O230" s="67"/>
    </row>
    <row r="231" spans="1:15" x14ac:dyDescent="0.3">
      <c r="A231" s="67"/>
      <c r="B231" s="67"/>
      <c r="C231" s="67"/>
      <c r="D231" s="67"/>
      <c r="E231" s="67"/>
      <c r="F231" s="67"/>
      <c r="G231" s="67"/>
      <c r="H231" s="67"/>
      <c r="I231" s="67"/>
      <c r="J231" s="67"/>
      <c r="K231" s="67"/>
      <c r="O231" s="67"/>
    </row>
    <row r="232" spans="1:15" x14ac:dyDescent="0.3">
      <c r="A232" s="67"/>
      <c r="B232" s="67"/>
      <c r="C232" s="67"/>
      <c r="D232" s="67"/>
      <c r="E232" s="67"/>
      <c r="F232" s="67"/>
      <c r="G232" s="67"/>
      <c r="H232" s="67"/>
      <c r="I232" s="67"/>
      <c r="J232" s="67"/>
      <c r="K232" s="67"/>
      <c r="O232" s="67"/>
    </row>
  </sheetData>
  <hyperlinks>
    <hyperlink ref="A1" location="Innhold!A1" display="Tilbake"/>
  </hyperlinks>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2"/>
  <dimension ref="A1:S176"/>
  <sheetViews>
    <sheetView showGridLines="0" zoomScale="90" zoomScaleNormal="90" workbookViewId="0">
      <selection activeCell="A4" sqref="A4"/>
    </sheetView>
  </sheetViews>
  <sheetFormatPr baseColWidth="10" defaultColWidth="11.42578125" defaultRowHeight="12.75" x14ac:dyDescent="0.2"/>
  <cols>
    <col min="1" max="1" width="43" style="143" customWidth="1"/>
    <col min="2" max="2" width="10.85546875" style="143" customWidth="1"/>
    <col min="3" max="3" width="11" style="143" customWidth="1"/>
    <col min="4" max="5" width="8.7109375" style="143" customWidth="1"/>
    <col min="6" max="7" width="10.85546875" style="143" customWidth="1"/>
    <col min="8" max="9" width="8.7109375" style="143" customWidth="1"/>
    <col min="10" max="11" width="10.85546875" style="143" customWidth="1"/>
    <col min="12" max="13" width="8.7109375" style="143" customWidth="1"/>
    <col min="14" max="14" width="11.42578125" style="143"/>
    <col min="15" max="16384" width="11.42578125" style="1"/>
  </cols>
  <sheetData>
    <row r="1" spans="1:19" x14ac:dyDescent="0.2">
      <c r="A1" s="165" t="s">
        <v>159</v>
      </c>
      <c r="B1" s="401"/>
      <c r="C1" s="245" t="s">
        <v>122</v>
      </c>
      <c r="D1" s="20"/>
      <c r="E1" s="20"/>
      <c r="F1" s="20"/>
      <c r="G1" s="20"/>
      <c r="H1" s="20"/>
      <c r="I1" s="20"/>
      <c r="J1" s="20"/>
      <c r="K1" s="20"/>
      <c r="L1" s="20"/>
      <c r="M1" s="20"/>
    </row>
    <row r="2" spans="1:19" ht="15.75" x14ac:dyDescent="0.25">
      <c r="A2" s="158" t="s">
        <v>36</v>
      </c>
      <c r="B2" s="835"/>
      <c r="C2" s="835"/>
      <c r="D2" s="835"/>
      <c r="E2" s="301"/>
      <c r="F2" s="835"/>
      <c r="G2" s="835"/>
      <c r="H2" s="835"/>
      <c r="I2" s="301"/>
      <c r="J2" s="835"/>
      <c r="K2" s="835"/>
      <c r="L2" s="835"/>
      <c r="M2" s="301"/>
    </row>
    <row r="3" spans="1:19" ht="15.75" x14ac:dyDescent="0.25">
      <c r="A3" s="156"/>
      <c r="B3" s="301"/>
      <c r="C3" s="301"/>
      <c r="D3" s="301"/>
      <c r="E3" s="301"/>
      <c r="F3" s="301"/>
      <c r="G3" s="301"/>
      <c r="H3" s="301"/>
      <c r="I3" s="301"/>
      <c r="J3" s="301"/>
      <c r="K3" s="301"/>
      <c r="L3" s="301"/>
      <c r="M3" s="301"/>
    </row>
    <row r="4" spans="1:19" x14ac:dyDescent="0.2">
      <c r="A4" s="138"/>
      <c r="B4" s="808" t="s">
        <v>0</v>
      </c>
      <c r="C4" s="802"/>
      <c r="D4" s="802"/>
      <c r="E4" s="802"/>
      <c r="F4" s="808" t="s">
        <v>1</v>
      </c>
      <c r="G4" s="802"/>
      <c r="H4" s="802"/>
      <c r="I4" s="803"/>
      <c r="J4" s="801" t="s">
        <v>2</v>
      </c>
      <c r="K4" s="802"/>
      <c r="L4" s="802"/>
      <c r="M4" s="803"/>
    </row>
    <row r="5" spans="1:19" x14ac:dyDescent="0.2">
      <c r="A5" s="151"/>
      <c r="B5" s="145" t="s">
        <v>400</v>
      </c>
      <c r="C5" s="145" t="s">
        <v>401</v>
      </c>
      <c r="D5" s="242" t="s">
        <v>3</v>
      </c>
      <c r="E5" s="307" t="s">
        <v>37</v>
      </c>
      <c r="F5" s="145" t="s">
        <v>400</v>
      </c>
      <c r="G5" s="145" t="s">
        <v>401</v>
      </c>
      <c r="H5" s="242" t="s">
        <v>3</v>
      </c>
      <c r="I5" s="307" t="s">
        <v>37</v>
      </c>
      <c r="J5" s="145" t="s">
        <v>400</v>
      </c>
      <c r="K5" s="145" t="s">
        <v>401</v>
      </c>
      <c r="L5" s="242" t="s">
        <v>3</v>
      </c>
      <c r="M5" s="155" t="s">
        <v>37</v>
      </c>
    </row>
    <row r="6" spans="1:19" x14ac:dyDescent="0.2">
      <c r="A6" s="402"/>
      <c r="B6" s="149"/>
      <c r="C6" s="149"/>
      <c r="D6" s="243" t="s">
        <v>4</v>
      </c>
      <c r="E6" s="149" t="s">
        <v>38</v>
      </c>
      <c r="F6" s="154"/>
      <c r="G6" s="154"/>
      <c r="H6" s="242" t="s">
        <v>4</v>
      </c>
      <c r="I6" s="149" t="s">
        <v>38</v>
      </c>
      <c r="J6" s="154"/>
      <c r="K6" s="154"/>
      <c r="L6" s="242" t="s">
        <v>4</v>
      </c>
      <c r="M6" s="149" t="s">
        <v>38</v>
      </c>
    </row>
    <row r="7" spans="1:19" ht="15.75" x14ac:dyDescent="0.2">
      <c r="A7" s="12" t="s">
        <v>30</v>
      </c>
      <c r="B7" s="397"/>
      <c r="C7" s="396"/>
      <c r="D7" s="251"/>
      <c r="E7" s="170"/>
      <c r="F7" s="308"/>
      <c r="G7" s="309"/>
      <c r="H7" s="251"/>
      <c r="I7" s="170"/>
      <c r="J7" s="310"/>
      <c r="K7" s="311"/>
      <c r="L7" s="255"/>
      <c r="M7" s="170"/>
    </row>
    <row r="8" spans="1:19" ht="15.75" x14ac:dyDescent="0.2">
      <c r="A8" s="18" t="s">
        <v>32</v>
      </c>
      <c r="B8" s="282"/>
      <c r="C8" s="283"/>
      <c r="D8" s="159"/>
      <c r="E8" s="170"/>
      <c r="F8" s="286"/>
      <c r="G8" s="287"/>
      <c r="H8" s="159"/>
      <c r="I8" s="170"/>
      <c r="J8" s="229"/>
      <c r="K8" s="288"/>
      <c r="L8" s="256"/>
      <c r="M8" s="170"/>
    </row>
    <row r="9" spans="1:19" ht="15.75" x14ac:dyDescent="0.2">
      <c r="A9" s="18" t="s">
        <v>31</v>
      </c>
      <c r="B9" s="282"/>
      <c r="C9" s="283"/>
      <c r="D9" s="159"/>
      <c r="E9" s="170"/>
      <c r="F9" s="286"/>
      <c r="G9" s="287"/>
      <c r="H9" s="159"/>
      <c r="I9" s="170"/>
      <c r="J9" s="229"/>
      <c r="K9" s="288"/>
      <c r="L9" s="256"/>
      <c r="M9" s="170"/>
    </row>
    <row r="10" spans="1:19" ht="15.75" x14ac:dyDescent="0.2">
      <c r="A10" s="11" t="s">
        <v>29</v>
      </c>
      <c r="B10" s="312"/>
      <c r="C10" s="313"/>
      <c r="D10" s="159"/>
      <c r="E10" s="170"/>
      <c r="F10" s="312"/>
      <c r="G10" s="313"/>
      <c r="H10" s="159"/>
      <c r="I10" s="170"/>
      <c r="J10" s="310"/>
      <c r="K10" s="311"/>
      <c r="L10" s="256"/>
      <c r="M10" s="170"/>
      <c r="S10" s="398" t="s">
        <v>213</v>
      </c>
    </row>
    <row r="11" spans="1:19" ht="15.75" x14ac:dyDescent="0.2">
      <c r="A11" s="18" t="s">
        <v>32</v>
      </c>
      <c r="B11" s="282"/>
      <c r="C11" s="283"/>
      <c r="D11" s="159"/>
      <c r="E11" s="170"/>
      <c r="F11" s="286"/>
      <c r="G11" s="287"/>
      <c r="H11" s="159"/>
      <c r="I11" s="170"/>
      <c r="J11" s="229"/>
      <c r="K11" s="288"/>
      <c r="L11" s="256"/>
      <c r="M11" s="170"/>
    </row>
    <row r="12" spans="1:19" ht="15.75" x14ac:dyDescent="0.2">
      <c r="A12" s="18" t="s">
        <v>31</v>
      </c>
      <c r="B12" s="282"/>
      <c r="C12" s="283"/>
      <c r="D12" s="159"/>
      <c r="E12" s="170"/>
      <c r="F12" s="286"/>
      <c r="G12" s="287"/>
      <c r="H12" s="159"/>
      <c r="I12" s="170"/>
      <c r="J12" s="229"/>
      <c r="K12" s="288"/>
      <c r="L12" s="256"/>
      <c r="M12" s="170"/>
    </row>
    <row r="13" spans="1:19" ht="15.75" x14ac:dyDescent="0.2">
      <c r="A13" s="11" t="s">
        <v>28</v>
      </c>
      <c r="B13" s="312"/>
      <c r="C13" s="313"/>
      <c r="D13" s="159"/>
      <c r="E13" s="170"/>
      <c r="F13" s="312"/>
      <c r="G13" s="313"/>
      <c r="H13" s="159"/>
      <c r="I13" s="170"/>
      <c r="J13" s="310"/>
      <c r="K13" s="311"/>
      <c r="L13" s="256"/>
      <c r="M13" s="170"/>
    </row>
    <row r="14" spans="1:19" s="36" customFormat="1" ht="15.75" x14ac:dyDescent="0.2">
      <c r="A14" s="11" t="s">
        <v>27</v>
      </c>
      <c r="B14" s="312"/>
      <c r="C14" s="313"/>
      <c r="D14" s="159"/>
      <c r="E14" s="170"/>
      <c r="F14" s="312"/>
      <c r="G14" s="313"/>
      <c r="H14" s="159"/>
      <c r="I14" s="170"/>
      <c r="J14" s="310"/>
      <c r="K14" s="311"/>
      <c r="L14" s="256"/>
      <c r="M14" s="170"/>
      <c r="N14" s="137"/>
    </row>
    <row r="15" spans="1:19" s="36" customFormat="1" ht="15.75" x14ac:dyDescent="0.2">
      <c r="A15" s="34" t="s">
        <v>26</v>
      </c>
      <c r="B15" s="314"/>
      <c r="C15" s="315"/>
      <c r="D15" s="160"/>
      <c r="E15" s="160"/>
      <c r="F15" s="314"/>
      <c r="G15" s="315"/>
      <c r="H15" s="160"/>
      <c r="I15" s="160"/>
      <c r="J15" s="316"/>
      <c r="K15" s="317"/>
      <c r="L15" s="257"/>
      <c r="M15" s="160"/>
      <c r="N15" s="137"/>
    </row>
    <row r="16" spans="1:19" s="36" customFormat="1" x14ac:dyDescent="0.2">
      <c r="A16" s="161"/>
      <c r="B16" s="139"/>
      <c r="C16" s="27"/>
      <c r="D16" s="152"/>
      <c r="E16" s="152"/>
      <c r="F16" s="139"/>
      <c r="G16" s="27"/>
      <c r="H16" s="152"/>
      <c r="I16" s="152"/>
      <c r="J16" s="41"/>
      <c r="K16" s="41"/>
      <c r="L16" s="152"/>
      <c r="M16" s="152"/>
      <c r="N16" s="137"/>
    </row>
    <row r="17" spans="1:14" x14ac:dyDescent="0.2">
      <c r="A17" s="146" t="s">
        <v>307</v>
      </c>
      <c r="B17" s="20"/>
    </row>
    <row r="18" spans="1:14" x14ac:dyDescent="0.2">
      <c r="F18" s="140"/>
      <c r="G18" s="140"/>
      <c r="H18" s="140"/>
      <c r="I18" s="140"/>
      <c r="J18" s="140"/>
      <c r="K18" s="140"/>
      <c r="L18" s="140"/>
      <c r="M18" s="140"/>
    </row>
    <row r="19" spans="1:14" s="3" customFormat="1" ht="15.75" x14ac:dyDescent="0.25">
      <c r="A19" s="157"/>
      <c r="B19" s="142"/>
      <c r="C19" s="147"/>
      <c r="D19" s="147"/>
      <c r="E19" s="147"/>
      <c r="F19" s="147"/>
      <c r="G19" s="147"/>
      <c r="H19" s="147"/>
      <c r="I19" s="147"/>
      <c r="J19" s="147"/>
      <c r="K19" s="147"/>
      <c r="L19" s="147"/>
      <c r="M19" s="147"/>
      <c r="N19" s="142"/>
    </row>
    <row r="20" spans="1:14" ht="15.75" x14ac:dyDescent="0.25">
      <c r="A20" s="141" t="s">
        <v>304</v>
      </c>
      <c r="B20" s="150"/>
      <c r="C20" s="150"/>
      <c r="D20" s="144"/>
      <c r="E20" s="144"/>
      <c r="F20" s="150"/>
      <c r="G20" s="150"/>
      <c r="H20" s="150"/>
      <c r="I20" s="150"/>
      <c r="J20" s="150"/>
      <c r="K20" s="150"/>
      <c r="L20" s="150"/>
      <c r="M20" s="150"/>
    </row>
    <row r="21" spans="1:14" ht="15.75" x14ac:dyDescent="0.25">
      <c r="B21" s="832"/>
      <c r="C21" s="832"/>
      <c r="D21" s="832"/>
      <c r="E21" s="301"/>
      <c r="F21" s="832"/>
      <c r="G21" s="832"/>
      <c r="H21" s="832"/>
      <c r="I21" s="301"/>
      <c r="J21" s="832"/>
      <c r="K21" s="832"/>
      <c r="L21" s="832"/>
      <c r="M21" s="301"/>
    </row>
    <row r="22" spans="1:14" x14ac:dyDescent="0.2">
      <c r="A22" s="138"/>
      <c r="B22" s="833" t="s">
        <v>0</v>
      </c>
      <c r="C22" s="834"/>
      <c r="D22" s="834"/>
      <c r="E22" s="303"/>
      <c r="F22" s="833" t="s">
        <v>1</v>
      </c>
      <c r="G22" s="834"/>
      <c r="H22" s="834"/>
      <c r="I22" s="306"/>
      <c r="J22" s="833" t="s">
        <v>2</v>
      </c>
      <c r="K22" s="834"/>
      <c r="L22" s="834"/>
      <c r="M22" s="306"/>
    </row>
    <row r="23" spans="1:14" x14ac:dyDescent="0.2">
      <c r="A23" s="134" t="s">
        <v>5</v>
      </c>
      <c r="B23" s="145" t="s">
        <v>400</v>
      </c>
      <c r="C23" s="145" t="s">
        <v>401</v>
      </c>
      <c r="D23" s="242" t="s">
        <v>3</v>
      </c>
      <c r="E23" s="307" t="s">
        <v>37</v>
      </c>
      <c r="F23" s="145" t="s">
        <v>400</v>
      </c>
      <c r="G23" s="145" t="s">
        <v>401</v>
      </c>
      <c r="H23" s="242" t="s">
        <v>3</v>
      </c>
      <c r="I23" s="307" t="s">
        <v>37</v>
      </c>
      <c r="J23" s="145" t="s">
        <v>400</v>
      </c>
      <c r="K23" s="145" t="s">
        <v>401</v>
      </c>
      <c r="L23" s="242" t="s">
        <v>3</v>
      </c>
      <c r="M23" s="155" t="s">
        <v>37</v>
      </c>
    </row>
    <row r="24" spans="1:14" x14ac:dyDescent="0.2">
      <c r="A24" s="403"/>
      <c r="B24" s="149"/>
      <c r="C24" s="149"/>
      <c r="D24" s="243" t="s">
        <v>4</v>
      </c>
      <c r="E24" s="149" t="s">
        <v>38</v>
      </c>
      <c r="F24" s="154"/>
      <c r="G24" s="154"/>
      <c r="H24" s="242" t="s">
        <v>4</v>
      </c>
      <c r="I24" s="149" t="s">
        <v>38</v>
      </c>
      <c r="J24" s="154"/>
      <c r="K24" s="154"/>
      <c r="L24" s="242" t="s">
        <v>4</v>
      </c>
      <c r="M24" s="149" t="s">
        <v>38</v>
      </c>
    </row>
    <row r="25" spans="1:14" ht="15.75" x14ac:dyDescent="0.2">
      <c r="A25" s="12" t="s">
        <v>30</v>
      </c>
      <c r="B25" s="318"/>
      <c r="C25" s="319"/>
      <c r="D25" s="251"/>
      <c r="E25" s="170"/>
      <c r="F25" s="320"/>
      <c r="G25" s="319"/>
      <c r="H25" s="251"/>
      <c r="I25" s="170"/>
      <c r="J25" s="318"/>
      <c r="K25" s="318"/>
      <c r="L25" s="255"/>
      <c r="M25" s="159"/>
    </row>
    <row r="26" spans="1:14" ht="15.75" x14ac:dyDescent="0.2">
      <c r="A26" s="298" t="s">
        <v>318</v>
      </c>
      <c r="B26" s="291"/>
      <c r="C26" s="291"/>
      <c r="D26" s="159"/>
      <c r="E26" s="237"/>
      <c r="F26" s="291"/>
      <c r="G26" s="291"/>
      <c r="H26" s="159"/>
      <c r="I26" s="237"/>
      <c r="J26" s="291"/>
      <c r="K26" s="291"/>
      <c r="L26" s="159"/>
      <c r="M26" s="159"/>
    </row>
    <row r="27" spans="1:14" ht="15.75" x14ac:dyDescent="0.2">
      <c r="A27" s="298" t="s">
        <v>319</v>
      </c>
      <c r="B27" s="291"/>
      <c r="C27" s="291"/>
      <c r="D27" s="159"/>
      <c r="E27" s="237"/>
      <c r="F27" s="291"/>
      <c r="G27" s="291"/>
      <c r="H27" s="159"/>
      <c r="I27" s="237"/>
      <c r="J27" s="291"/>
      <c r="K27" s="291"/>
      <c r="L27" s="159"/>
      <c r="M27" s="159"/>
    </row>
    <row r="28" spans="1:14" ht="15.75" x14ac:dyDescent="0.2">
      <c r="A28" s="298" t="s">
        <v>320</v>
      </c>
      <c r="B28" s="291"/>
      <c r="C28" s="291"/>
      <c r="D28" s="159"/>
      <c r="E28" s="237"/>
      <c r="F28" s="291"/>
      <c r="G28" s="291"/>
      <c r="H28" s="159"/>
      <c r="I28" s="237"/>
      <c r="J28" s="291"/>
      <c r="K28" s="291"/>
      <c r="L28" s="159"/>
      <c r="M28" s="159"/>
    </row>
    <row r="29" spans="1:14" x14ac:dyDescent="0.2">
      <c r="A29" s="298" t="s">
        <v>11</v>
      </c>
      <c r="B29" s="291"/>
      <c r="C29" s="291"/>
      <c r="D29" s="159"/>
      <c r="E29" s="237"/>
      <c r="F29" s="291"/>
      <c r="G29" s="291"/>
      <c r="H29" s="159"/>
      <c r="I29" s="237"/>
      <c r="J29" s="291"/>
      <c r="K29" s="291"/>
      <c r="L29" s="159"/>
      <c r="M29" s="159"/>
    </row>
    <row r="30" spans="1:14" ht="15.75" x14ac:dyDescent="0.2">
      <c r="A30" s="42" t="s">
        <v>308</v>
      </c>
      <c r="B30" s="37"/>
      <c r="C30" s="288"/>
      <c r="D30" s="159"/>
      <c r="E30" s="170"/>
      <c r="F30" s="229"/>
      <c r="G30" s="288"/>
      <c r="H30" s="159"/>
      <c r="I30" s="170"/>
      <c r="J30" s="37"/>
      <c r="K30" s="37"/>
      <c r="L30" s="256"/>
      <c r="M30" s="159"/>
    </row>
    <row r="31" spans="1:14" ht="15.75" x14ac:dyDescent="0.2">
      <c r="A31" s="11" t="s">
        <v>29</v>
      </c>
      <c r="B31" s="231"/>
      <c r="C31" s="231"/>
      <c r="D31" s="159"/>
      <c r="E31" s="170"/>
      <c r="F31" s="310"/>
      <c r="G31" s="310"/>
      <c r="H31" s="159"/>
      <c r="I31" s="170"/>
      <c r="J31" s="231"/>
      <c r="K31" s="231"/>
      <c r="L31" s="256"/>
      <c r="M31" s="159"/>
    </row>
    <row r="32" spans="1:14" ht="15.75" x14ac:dyDescent="0.2">
      <c r="A32" s="298" t="s">
        <v>318</v>
      </c>
      <c r="B32" s="291"/>
      <c r="C32" s="291"/>
      <c r="D32" s="159"/>
      <c r="E32" s="237"/>
      <c r="F32" s="291"/>
      <c r="G32" s="291"/>
      <c r="H32" s="159"/>
      <c r="I32" s="237"/>
      <c r="J32" s="291"/>
      <c r="K32" s="291"/>
      <c r="L32" s="159"/>
      <c r="M32" s="159"/>
    </row>
    <row r="33" spans="1:14" ht="15.75" x14ac:dyDescent="0.2">
      <c r="A33" s="298" t="s">
        <v>320</v>
      </c>
      <c r="B33" s="291"/>
      <c r="C33" s="291"/>
      <c r="D33" s="159"/>
      <c r="E33" s="237"/>
      <c r="F33" s="291"/>
      <c r="G33" s="291"/>
      <c r="H33" s="159"/>
      <c r="I33" s="237"/>
      <c r="J33" s="291"/>
      <c r="K33" s="291"/>
      <c r="L33" s="159"/>
      <c r="M33" s="159"/>
    </row>
    <row r="34" spans="1:14" s="21" customFormat="1" x14ac:dyDescent="0.2">
      <c r="A34" s="298" t="s">
        <v>16</v>
      </c>
      <c r="B34" s="291"/>
      <c r="C34" s="291"/>
      <c r="D34" s="159"/>
      <c r="E34" s="237"/>
      <c r="F34" s="291"/>
      <c r="G34" s="291"/>
      <c r="H34" s="159"/>
      <c r="I34" s="237"/>
      <c r="J34" s="291"/>
      <c r="K34" s="291"/>
      <c r="L34" s="159"/>
      <c r="M34" s="159"/>
      <c r="N34" s="166"/>
    </row>
    <row r="35" spans="1:14" ht="15.75" x14ac:dyDescent="0.2">
      <c r="A35" s="42" t="s">
        <v>308</v>
      </c>
      <c r="B35" s="37"/>
      <c r="C35" s="288"/>
      <c r="D35" s="159"/>
      <c r="E35" s="170"/>
      <c r="F35" s="229"/>
      <c r="G35" s="288"/>
      <c r="H35" s="159"/>
      <c r="I35" s="170"/>
      <c r="J35" s="37"/>
      <c r="K35" s="37"/>
      <c r="L35" s="256"/>
      <c r="M35" s="159"/>
    </row>
    <row r="36" spans="1:14" s="3" customFormat="1" ht="15.75" x14ac:dyDescent="0.2">
      <c r="A36" s="11" t="s">
        <v>28</v>
      </c>
      <c r="B36" s="231"/>
      <c r="C36" s="311"/>
      <c r="D36" s="159"/>
      <c r="E36" s="170"/>
      <c r="F36" s="310"/>
      <c r="G36" s="311"/>
      <c r="H36" s="159"/>
      <c r="I36" s="170"/>
      <c r="J36" s="231"/>
      <c r="K36" s="231"/>
      <c r="L36" s="256"/>
      <c r="M36" s="159"/>
      <c r="N36" s="142"/>
    </row>
    <row r="37" spans="1:14" s="3" customFormat="1" ht="15.75" x14ac:dyDescent="0.2">
      <c r="A37" s="298" t="s">
        <v>318</v>
      </c>
      <c r="B37" s="291"/>
      <c r="C37" s="291"/>
      <c r="D37" s="159"/>
      <c r="E37" s="237"/>
      <c r="F37" s="291"/>
      <c r="G37" s="291"/>
      <c r="H37" s="159"/>
      <c r="I37" s="237"/>
      <c r="J37" s="291"/>
      <c r="K37" s="291"/>
      <c r="L37" s="159"/>
      <c r="M37" s="159"/>
      <c r="N37" s="142"/>
    </row>
    <row r="38" spans="1:14" s="3" customFormat="1" ht="15.75" x14ac:dyDescent="0.2">
      <c r="A38" s="298" t="s">
        <v>319</v>
      </c>
      <c r="B38" s="291"/>
      <c r="C38" s="291"/>
      <c r="D38" s="159"/>
      <c r="E38" s="237"/>
      <c r="F38" s="291"/>
      <c r="G38" s="291"/>
      <c r="H38" s="159"/>
      <c r="I38" s="237"/>
      <c r="J38" s="291"/>
      <c r="K38" s="291"/>
      <c r="L38" s="159"/>
      <c r="M38" s="159"/>
      <c r="N38" s="142"/>
    </row>
    <row r="39" spans="1:14" ht="15.75" x14ac:dyDescent="0.2">
      <c r="A39" s="298" t="s">
        <v>320</v>
      </c>
      <c r="B39" s="291"/>
      <c r="C39" s="291"/>
      <c r="D39" s="159"/>
      <c r="E39" s="237"/>
      <c r="F39" s="291"/>
      <c r="G39" s="291"/>
      <c r="H39" s="159"/>
      <c r="I39" s="237"/>
      <c r="J39" s="291"/>
      <c r="K39" s="291"/>
      <c r="L39" s="159"/>
      <c r="M39" s="159"/>
    </row>
    <row r="40" spans="1:14" ht="15.75" x14ac:dyDescent="0.2">
      <c r="A40" s="11" t="s">
        <v>27</v>
      </c>
      <c r="B40" s="231"/>
      <c r="C40" s="311"/>
      <c r="D40" s="159"/>
      <c r="E40" s="170"/>
      <c r="F40" s="310"/>
      <c r="G40" s="311"/>
      <c r="H40" s="159"/>
      <c r="I40" s="170"/>
      <c r="J40" s="231"/>
      <c r="K40" s="231"/>
      <c r="L40" s="256"/>
      <c r="M40" s="159"/>
    </row>
    <row r="41" spans="1:14" ht="15.75" x14ac:dyDescent="0.2">
      <c r="A41" s="11" t="s">
        <v>26</v>
      </c>
      <c r="B41" s="231"/>
      <c r="C41" s="311"/>
      <c r="D41" s="159"/>
      <c r="E41" s="170"/>
      <c r="F41" s="310"/>
      <c r="G41" s="311"/>
      <c r="H41" s="159"/>
      <c r="I41" s="170"/>
      <c r="J41" s="231"/>
      <c r="K41" s="231"/>
      <c r="L41" s="256"/>
      <c r="M41" s="159"/>
    </row>
    <row r="42" spans="1:14" ht="15.75" x14ac:dyDescent="0.2">
      <c r="A42" s="10" t="s">
        <v>321</v>
      </c>
      <c r="B42" s="231"/>
      <c r="C42" s="311"/>
      <c r="D42" s="159"/>
      <c r="E42" s="170"/>
      <c r="F42" s="321"/>
      <c r="G42" s="322"/>
      <c r="H42" s="159"/>
      <c r="I42" s="237"/>
      <c r="J42" s="231"/>
      <c r="K42" s="231"/>
      <c r="L42" s="256"/>
      <c r="M42" s="159"/>
    </row>
    <row r="43" spans="1:14" ht="15.75" x14ac:dyDescent="0.2">
      <c r="A43" s="10" t="s">
        <v>322</v>
      </c>
      <c r="B43" s="231"/>
      <c r="C43" s="311"/>
      <c r="D43" s="159"/>
      <c r="E43" s="170"/>
      <c r="F43" s="321"/>
      <c r="G43" s="322"/>
      <c r="H43" s="159"/>
      <c r="I43" s="237"/>
      <c r="J43" s="231"/>
      <c r="K43" s="231"/>
      <c r="L43" s="256"/>
      <c r="M43" s="159"/>
    </row>
    <row r="44" spans="1:14" ht="15.75" x14ac:dyDescent="0.2">
      <c r="A44" s="10" t="s">
        <v>323</v>
      </c>
      <c r="B44" s="231"/>
      <c r="C44" s="311"/>
      <c r="D44" s="159"/>
      <c r="E44" s="170"/>
      <c r="F44" s="321"/>
      <c r="G44" s="323"/>
      <c r="H44" s="159"/>
      <c r="I44" s="237"/>
      <c r="J44" s="231"/>
      <c r="K44" s="231"/>
      <c r="L44" s="256"/>
      <c r="M44" s="159"/>
    </row>
    <row r="45" spans="1:14" ht="15.75" x14ac:dyDescent="0.2">
      <c r="A45" s="10" t="s">
        <v>324</v>
      </c>
      <c r="B45" s="231"/>
      <c r="C45" s="311"/>
      <c r="D45" s="159"/>
      <c r="E45" s="170"/>
      <c r="F45" s="321"/>
      <c r="G45" s="322"/>
      <c r="H45" s="159"/>
      <c r="I45" s="237"/>
      <c r="J45" s="231"/>
      <c r="K45" s="231"/>
      <c r="L45" s="256"/>
      <c r="M45" s="159"/>
    </row>
    <row r="46" spans="1:14" ht="15.75" x14ac:dyDescent="0.2">
      <c r="A46" s="16" t="s">
        <v>325</v>
      </c>
      <c r="B46" s="277"/>
      <c r="C46" s="317"/>
      <c r="D46" s="160"/>
      <c r="E46" s="201"/>
      <c r="F46" s="324"/>
      <c r="G46" s="325"/>
      <c r="H46" s="160"/>
      <c r="I46" s="160"/>
      <c r="J46" s="231"/>
      <c r="K46" s="231"/>
      <c r="L46" s="257"/>
      <c r="M46" s="160"/>
    </row>
    <row r="47" spans="1:14" ht="15.75" x14ac:dyDescent="0.25">
      <c r="A47" s="40"/>
      <c r="B47" s="254"/>
      <c r="C47" s="254"/>
      <c r="D47" s="836"/>
      <c r="E47" s="836"/>
      <c r="F47" s="836"/>
      <c r="G47" s="836"/>
      <c r="H47" s="836"/>
      <c r="I47" s="836"/>
      <c r="J47" s="836"/>
      <c r="K47" s="836"/>
      <c r="L47" s="836"/>
      <c r="M47" s="304"/>
    </row>
    <row r="48" spans="1:14" x14ac:dyDescent="0.2">
      <c r="A48" s="148"/>
    </row>
    <row r="49" spans="1:14" ht="15.75" x14ac:dyDescent="0.25">
      <c r="A49" s="141" t="s">
        <v>305</v>
      </c>
      <c r="B49" s="835"/>
      <c r="C49" s="835"/>
      <c r="D49" s="835"/>
      <c r="E49" s="301"/>
      <c r="F49" s="837"/>
      <c r="G49" s="837"/>
      <c r="H49" s="837"/>
      <c r="I49" s="304"/>
      <c r="J49" s="837"/>
      <c r="K49" s="837"/>
      <c r="L49" s="837"/>
      <c r="M49" s="304"/>
    </row>
    <row r="50" spans="1:14" ht="15.75" x14ac:dyDescent="0.25">
      <c r="A50" s="156"/>
      <c r="B50" s="305"/>
      <c r="C50" s="305"/>
      <c r="D50" s="305"/>
      <c r="E50" s="305"/>
      <c r="F50" s="304"/>
      <c r="G50" s="304"/>
      <c r="H50" s="304"/>
      <c r="I50" s="304"/>
      <c r="J50" s="304"/>
      <c r="K50" s="304"/>
      <c r="L50" s="304"/>
      <c r="M50" s="304"/>
    </row>
    <row r="51" spans="1:14" ht="15.75" x14ac:dyDescent="0.25">
      <c r="A51" s="244"/>
      <c r="B51" s="833" t="s">
        <v>0</v>
      </c>
      <c r="C51" s="834"/>
      <c r="D51" s="834"/>
      <c r="E51" s="240"/>
      <c r="F51" s="304"/>
      <c r="G51" s="304"/>
      <c r="H51" s="304"/>
      <c r="I51" s="304"/>
      <c r="J51" s="304"/>
      <c r="K51" s="304"/>
      <c r="L51" s="304"/>
      <c r="M51" s="304"/>
    </row>
    <row r="52" spans="1:14" s="3" customFormat="1" x14ac:dyDescent="0.2">
      <c r="A52" s="134"/>
      <c r="B52" s="167" t="s">
        <v>400</v>
      </c>
      <c r="C52" s="167" t="s">
        <v>401</v>
      </c>
      <c r="D52" s="155" t="s">
        <v>3</v>
      </c>
      <c r="E52" s="155" t="s">
        <v>37</v>
      </c>
      <c r="F52" s="169"/>
      <c r="G52" s="169"/>
      <c r="H52" s="168"/>
      <c r="I52" s="168"/>
      <c r="J52" s="169"/>
      <c r="K52" s="169"/>
      <c r="L52" s="168"/>
      <c r="M52" s="168"/>
      <c r="N52" s="142"/>
    </row>
    <row r="53" spans="1:14" s="3" customFormat="1" x14ac:dyDescent="0.2">
      <c r="A53" s="403"/>
      <c r="B53" s="241"/>
      <c r="C53" s="241"/>
      <c r="D53" s="242" t="s">
        <v>4</v>
      </c>
      <c r="E53" s="149" t="s">
        <v>38</v>
      </c>
      <c r="F53" s="168"/>
      <c r="G53" s="168"/>
      <c r="H53" s="168"/>
      <c r="I53" s="168"/>
      <c r="J53" s="168"/>
      <c r="K53" s="168"/>
      <c r="L53" s="168"/>
      <c r="M53" s="168"/>
      <c r="N53" s="142"/>
    </row>
    <row r="54" spans="1:14" s="3" customFormat="1" ht="15.75" x14ac:dyDescent="0.2">
      <c r="A54" s="12" t="s">
        <v>30</v>
      </c>
      <c r="B54" s="312">
        <v>555281.85226000007</v>
      </c>
      <c r="C54" s="313">
        <v>542694.08400000003</v>
      </c>
      <c r="D54" s="255">
        <f t="shared" ref="D54:D71" si="0">IF(B54=0, "    ---- ", IF(ABS(ROUND(100/B54*C54-100,1))&lt;999,ROUND(100/B54*C54-100,1),IF(ROUND(100/B54*C54-100,1)&gt;999,999,-999)))</f>
        <v>-2.2999999999999998</v>
      </c>
      <c r="E54" s="170">
        <f>IFERROR(100/'Skjema total MA'!C54*C54,0)</f>
        <v>14.535313566385186</v>
      </c>
      <c r="F54" s="139"/>
      <c r="G54" s="27"/>
      <c r="H54" s="152"/>
      <c r="I54" s="152"/>
      <c r="J54" s="30"/>
      <c r="K54" s="30"/>
      <c r="L54" s="152"/>
      <c r="M54" s="152"/>
      <c r="N54" s="142"/>
    </row>
    <row r="55" spans="1:14" s="3" customFormat="1" ht="15.75" x14ac:dyDescent="0.2">
      <c r="A55" s="31" t="s">
        <v>326</v>
      </c>
      <c r="B55" s="282">
        <v>270018.35625999997</v>
      </c>
      <c r="C55" s="283">
        <v>262662</v>
      </c>
      <c r="D55" s="256">
        <f t="shared" si="0"/>
        <v>-2.7</v>
      </c>
      <c r="E55" s="170">
        <f>IFERROR(100/'Skjema total MA'!C55*C55,0)</f>
        <v>12.903429248316382</v>
      </c>
      <c r="F55" s="139"/>
      <c r="G55" s="27"/>
      <c r="H55" s="139"/>
      <c r="I55" s="139"/>
      <c r="J55" s="27"/>
      <c r="K55" s="27"/>
      <c r="L55" s="152"/>
      <c r="M55" s="152"/>
      <c r="N55" s="142"/>
    </row>
    <row r="56" spans="1:14" s="3" customFormat="1" ht="15.75" x14ac:dyDescent="0.2">
      <c r="A56" s="31" t="s">
        <v>327</v>
      </c>
      <c r="B56" s="37">
        <v>285263.49600000004</v>
      </c>
      <c r="C56" s="288">
        <v>280032.08399999997</v>
      </c>
      <c r="D56" s="256">
        <f>IF(B56=0, "    ---- ", IF(ABS(ROUND(100/B56*C56-100,1))&lt;999,ROUND(100/B56*C56-100,1),IF(ROUND(100/B56*C56-100,1)&gt;999,999,-999)))</f>
        <v>-1.8</v>
      </c>
      <c r="E56" s="170">
        <f>IFERROR(100/'Skjema total MA'!C56*C56,0)</f>
        <v>16.491620585589072</v>
      </c>
      <c r="F56" s="139"/>
      <c r="G56" s="27"/>
      <c r="H56" s="139"/>
      <c r="I56" s="139"/>
      <c r="J56" s="30"/>
      <c r="K56" s="30"/>
      <c r="L56" s="152"/>
      <c r="M56" s="152"/>
      <c r="N56" s="142"/>
    </row>
    <row r="57" spans="1:14" s="3" customFormat="1" x14ac:dyDescent="0.2">
      <c r="A57" s="298" t="s">
        <v>6</v>
      </c>
      <c r="B57" s="291"/>
      <c r="C57" s="292"/>
      <c r="D57" s="256"/>
      <c r="E57" s="170"/>
      <c r="F57" s="139"/>
      <c r="G57" s="27"/>
      <c r="H57" s="139"/>
      <c r="I57" s="139"/>
      <c r="J57" s="27"/>
      <c r="K57" s="27"/>
      <c r="L57" s="152"/>
      <c r="M57" s="152"/>
      <c r="N57" s="142"/>
    </row>
    <row r="58" spans="1:14" s="3" customFormat="1" x14ac:dyDescent="0.2">
      <c r="A58" s="298" t="s">
        <v>7</v>
      </c>
      <c r="B58" s="291">
        <v>273624.27500000002</v>
      </c>
      <c r="C58" s="292">
        <v>268347.08399999997</v>
      </c>
      <c r="D58" s="256">
        <f t="shared" si="0"/>
        <v>-1.9</v>
      </c>
      <c r="E58" s="170">
        <f>IFERROR(100/'Skjema total MA'!C58*C58,0)</f>
        <v>18.529251524918227</v>
      </c>
      <c r="F58" s="139"/>
      <c r="G58" s="27"/>
      <c r="H58" s="139"/>
      <c r="I58" s="139"/>
      <c r="J58" s="27"/>
      <c r="K58" s="27"/>
      <c r="L58" s="152"/>
      <c r="M58" s="152"/>
      <c r="N58" s="142"/>
    </row>
    <row r="59" spans="1:14" s="3" customFormat="1" x14ac:dyDescent="0.2">
      <c r="A59" s="298" t="s">
        <v>8</v>
      </c>
      <c r="B59" s="291">
        <v>11639.221</v>
      </c>
      <c r="C59" s="292">
        <v>11685</v>
      </c>
      <c r="D59" s="256">
        <f t="shared" si="0"/>
        <v>0.4</v>
      </c>
      <c r="E59" s="170">
        <f>IFERROR(100/'Skjema total MA'!C59*C59,0)</f>
        <v>4.7497103835132002</v>
      </c>
      <c r="F59" s="139"/>
      <c r="G59" s="27"/>
      <c r="H59" s="139"/>
      <c r="I59" s="139"/>
      <c r="J59" s="27"/>
      <c r="K59" s="27"/>
      <c r="L59" s="152"/>
      <c r="M59" s="152"/>
      <c r="N59" s="142"/>
    </row>
    <row r="60" spans="1:14" s="3" customFormat="1" ht="15.75" x14ac:dyDescent="0.2">
      <c r="A60" s="11" t="s">
        <v>29</v>
      </c>
      <c r="B60" s="312">
        <v>11707.462000000001</v>
      </c>
      <c r="C60" s="313">
        <v>9858.2170000000006</v>
      </c>
      <c r="D60" s="256">
        <f t="shared" si="0"/>
        <v>-15.8</v>
      </c>
      <c r="E60" s="170">
        <f>IFERROR(100/'Skjema total MA'!C60*C60,0)</f>
        <v>11.161374180603</v>
      </c>
      <c r="F60" s="139"/>
      <c r="G60" s="27"/>
      <c r="H60" s="139"/>
      <c r="I60" s="139"/>
      <c r="J60" s="27"/>
      <c r="K60" s="27"/>
      <c r="L60" s="152"/>
      <c r="M60" s="152"/>
      <c r="N60" s="142"/>
    </row>
    <row r="61" spans="1:14" s="3" customFormat="1" ht="15.75" x14ac:dyDescent="0.2">
      <c r="A61" s="31" t="s">
        <v>326</v>
      </c>
      <c r="B61" s="282">
        <v>10448.985000000001</v>
      </c>
      <c r="C61" s="283">
        <v>8296.1419999999998</v>
      </c>
      <c r="D61" s="256">
        <f t="shared" si="0"/>
        <v>-20.6</v>
      </c>
      <c r="E61" s="170">
        <f>IFERROR(100/'Skjema total MA'!C61*C61,0)</f>
        <v>21.382731270861242</v>
      </c>
      <c r="F61" s="139"/>
      <c r="G61" s="27"/>
      <c r="H61" s="139"/>
      <c r="I61" s="139"/>
      <c r="J61" s="27"/>
      <c r="K61" s="27"/>
      <c r="L61" s="152"/>
      <c r="M61" s="152"/>
      <c r="N61" s="142"/>
    </row>
    <row r="62" spans="1:14" s="3" customFormat="1" ht="15.75" x14ac:dyDescent="0.2">
      <c r="A62" s="31" t="s">
        <v>327</v>
      </c>
      <c r="B62" s="37">
        <v>1258.4770000000001</v>
      </c>
      <c r="C62" s="288">
        <v>1562.075</v>
      </c>
      <c r="D62" s="256">
        <f t="shared" si="0"/>
        <v>24.1</v>
      </c>
      <c r="E62" s="170">
        <f>IFERROR(100/'Skjema total MA'!C62*C62,0)</f>
        <v>3.1540456214226547</v>
      </c>
      <c r="F62" s="139"/>
      <c r="G62" s="27"/>
      <c r="H62" s="139"/>
      <c r="I62" s="139"/>
      <c r="J62" s="27"/>
      <c r="K62" s="27"/>
      <c r="L62" s="152"/>
      <c r="M62" s="152"/>
      <c r="N62" s="142"/>
    </row>
    <row r="63" spans="1:14" s="3" customFormat="1" x14ac:dyDescent="0.2">
      <c r="A63" s="298" t="s">
        <v>6</v>
      </c>
      <c r="B63" s="282"/>
      <c r="C63" s="283"/>
      <c r="D63" s="256"/>
      <c r="E63" s="170"/>
      <c r="F63" s="139"/>
      <c r="G63" s="27"/>
      <c r="H63" s="139"/>
      <c r="I63" s="139"/>
      <c r="J63" s="27"/>
      <c r="K63" s="27"/>
      <c r="L63" s="152"/>
      <c r="M63" s="152"/>
      <c r="N63" s="142"/>
    </row>
    <row r="64" spans="1:14" s="3" customFormat="1" x14ac:dyDescent="0.2">
      <c r="A64" s="298" t="s">
        <v>7</v>
      </c>
      <c r="B64" s="282">
        <v>53.238</v>
      </c>
      <c r="C64" s="283">
        <v>28.998999999999999</v>
      </c>
      <c r="D64" s="256"/>
      <c r="E64" s="170">
        <f>IFERROR(100/'Skjema total MA'!C64*C64,0)</f>
        <v>6.0423396337453292E-2</v>
      </c>
      <c r="F64" s="139"/>
      <c r="G64" s="27"/>
      <c r="H64" s="139"/>
      <c r="I64" s="139"/>
      <c r="J64" s="27"/>
      <c r="K64" s="27"/>
      <c r="L64" s="152"/>
      <c r="M64" s="152"/>
      <c r="N64" s="142"/>
    </row>
    <row r="65" spans="1:14" s="3" customFormat="1" x14ac:dyDescent="0.2">
      <c r="A65" s="298" t="s">
        <v>8</v>
      </c>
      <c r="B65" s="282">
        <v>1205.239</v>
      </c>
      <c r="C65" s="283">
        <v>1533.076</v>
      </c>
      <c r="D65" s="256"/>
      <c r="E65" s="170">
        <f>IFERROR(100/'Skjema total MA'!C65*C65,0)</f>
        <v>100.00000000000001</v>
      </c>
      <c r="F65" s="139"/>
      <c r="G65" s="27"/>
      <c r="H65" s="139"/>
      <c r="I65" s="139"/>
      <c r="J65" s="27"/>
      <c r="K65" s="27"/>
      <c r="L65" s="152"/>
      <c r="M65" s="152"/>
      <c r="N65" s="142"/>
    </row>
    <row r="66" spans="1:14" s="3" customFormat="1" ht="15.75" x14ac:dyDescent="0.2">
      <c r="A66" s="32" t="s">
        <v>328</v>
      </c>
      <c r="B66" s="312">
        <v>22908.304</v>
      </c>
      <c r="C66" s="313">
        <v>31499.825000000001</v>
      </c>
      <c r="D66" s="256">
        <f t="shared" si="0"/>
        <v>37.5</v>
      </c>
      <c r="E66" s="170">
        <f>IFERROR(100/'Skjema total MA'!C66*C66,0)</f>
        <v>18.724972337860798</v>
      </c>
      <c r="F66" s="139"/>
      <c r="G66" s="27"/>
      <c r="H66" s="139"/>
      <c r="I66" s="139"/>
      <c r="J66" s="27"/>
      <c r="K66" s="27"/>
      <c r="L66" s="152"/>
      <c r="M66" s="152"/>
      <c r="N66" s="142"/>
    </row>
    <row r="67" spans="1:14" s="3" customFormat="1" ht="15.75" x14ac:dyDescent="0.2">
      <c r="A67" s="31" t="s">
        <v>326</v>
      </c>
      <c r="B67" s="282">
        <v>22908.304</v>
      </c>
      <c r="C67" s="283">
        <v>29724.204000000002</v>
      </c>
      <c r="D67" s="256">
        <f t="shared" si="0"/>
        <v>29.8</v>
      </c>
      <c r="E67" s="170">
        <f>IFERROR(100/'Skjema total MA'!C67*C67,0)</f>
        <v>21.432306976537937</v>
      </c>
      <c r="F67" s="139"/>
      <c r="G67" s="27"/>
      <c r="H67" s="139"/>
      <c r="I67" s="139"/>
      <c r="J67" s="27"/>
      <c r="K67" s="27"/>
      <c r="L67" s="152"/>
      <c r="M67" s="152"/>
      <c r="N67" s="142"/>
    </row>
    <row r="68" spans="1:14" s="3" customFormat="1" ht="15.75" x14ac:dyDescent="0.2">
      <c r="A68" s="31" t="s">
        <v>327</v>
      </c>
      <c r="B68" s="282">
        <v>0</v>
      </c>
      <c r="C68" s="283">
        <v>1775.6210000000001</v>
      </c>
      <c r="D68" s="256" t="str">
        <f t="shared" si="0"/>
        <v xml:space="preserve">    ---- </v>
      </c>
      <c r="E68" s="170">
        <f>IFERROR(100/'Skjema total MA'!C68*C68,0)</f>
        <v>6.0119544248050394</v>
      </c>
      <c r="F68" s="139"/>
      <c r="G68" s="27"/>
      <c r="H68" s="139"/>
      <c r="I68" s="139"/>
      <c r="J68" s="27"/>
      <c r="K68" s="27"/>
      <c r="L68" s="152"/>
      <c r="M68" s="152"/>
      <c r="N68" s="142"/>
    </row>
    <row r="69" spans="1:14" s="3" customFormat="1" ht="15.75" x14ac:dyDescent="0.2">
      <c r="A69" s="32" t="s">
        <v>329</v>
      </c>
      <c r="B69" s="312">
        <v>28141.243999999999</v>
      </c>
      <c r="C69" s="313">
        <v>51289.288</v>
      </c>
      <c r="D69" s="256">
        <f t="shared" si="0"/>
        <v>82.3</v>
      </c>
      <c r="E69" s="170">
        <f>IFERROR(100/'Skjema total MA'!C69*C69,0)</f>
        <v>26.962213071928115</v>
      </c>
      <c r="F69" s="139"/>
      <c r="G69" s="27"/>
      <c r="H69" s="139"/>
      <c r="I69" s="139"/>
      <c r="J69" s="27"/>
      <c r="K69" s="27"/>
      <c r="L69" s="152"/>
      <c r="M69" s="152"/>
      <c r="N69" s="142"/>
    </row>
    <row r="70" spans="1:14" s="3" customFormat="1" ht="15.75" x14ac:dyDescent="0.2">
      <c r="A70" s="31" t="s">
        <v>326</v>
      </c>
      <c r="B70" s="282">
        <v>28141.243999999999</v>
      </c>
      <c r="C70" s="283">
        <v>51209.05</v>
      </c>
      <c r="D70" s="256">
        <f t="shared" si="0"/>
        <v>82</v>
      </c>
      <c r="E70" s="170">
        <f>IFERROR(100/'Skjema total MA'!C70*C70,0)</f>
        <v>27.348337159011759</v>
      </c>
      <c r="F70" s="139"/>
      <c r="G70" s="27"/>
      <c r="H70" s="139"/>
      <c r="I70" s="139"/>
      <c r="J70" s="27"/>
      <c r="K70" s="27"/>
      <c r="L70" s="152"/>
      <c r="M70" s="152"/>
      <c r="N70" s="142"/>
    </row>
    <row r="71" spans="1:14" s="3" customFormat="1" ht="15.75" x14ac:dyDescent="0.2">
      <c r="A71" s="39" t="s">
        <v>327</v>
      </c>
      <c r="B71" s="284">
        <v>0</v>
      </c>
      <c r="C71" s="285">
        <v>80.238</v>
      </c>
      <c r="D71" s="257" t="str">
        <f t="shared" si="0"/>
        <v xml:space="preserve">    ---- </v>
      </c>
      <c r="E71" s="160">
        <f>IFERROR(100/'Skjema total MA'!C71*C71,0)</f>
        <v>2.6933167559090641</v>
      </c>
      <c r="F71" s="139"/>
      <c r="G71" s="27"/>
      <c r="H71" s="139"/>
      <c r="I71" s="139"/>
      <c r="J71" s="27"/>
      <c r="K71" s="27"/>
      <c r="L71" s="152"/>
      <c r="M71" s="152"/>
      <c r="N71" s="142"/>
    </row>
    <row r="72" spans="1:14" s="3" customFormat="1" ht="15.75" x14ac:dyDescent="0.25">
      <c r="A72" s="157"/>
      <c r="B72" s="147"/>
      <c r="C72" s="147"/>
      <c r="D72" s="147"/>
      <c r="E72" s="147"/>
      <c r="F72" s="136"/>
      <c r="G72" s="136"/>
      <c r="H72" s="136"/>
      <c r="I72" s="136"/>
      <c r="J72" s="136"/>
      <c r="K72" s="136"/>
      <c r="L72" s="136"/>
      <c r="M72" s="136"/>
      <c r="N72" s="142"/>
    </row>
    <row r="73" spans="1:14" x14ac:dyDescent="0.2">
      <c r="A73" s="148"/>
    </row>
    <row r="74" spans="1:14" ht="15.75" x14ac:dyDescent="0.25">
      <c r="A74" s="141" t="s">
        <v>306</v>
      </c>
      <c r="C74" s="20"/>
      <c r="D74" s="20"/>
      <c r="E74" s="20"/>
      <c r="F74" s="20"/>
      <c r="G74" s="20"/>
      <c r="H74" s="20"/>
      <c r="I74" s="20"/>
      <c r="J74" s="20"/>
      <c r="K74" s="20"/>
      <c r="L74" s="20"/>
      <c r="M74" s="20"/>
    </row>
    <row r="75" spans="1:14" ht="15.75" x14ac:dyDescent="0.25">
      <c r="B75" s="832"/>
      <c r="C75" s="832"/>
      <c r="D75" s="832"/>
      <c r="E75" s="301"/>
      <c r="F75" s="832"/>
      <c r="G75" s="832"/>
      <c r="H75" s="832"/>
      <c r="I75" s="301"/>
      <c r="J75" s="832"/>
      <c r="K75" s="832"/>
      <c r="L75" s="832"/>
      <c r="M75" s="301"/>
    </row>
    <row r="76" spans="1:14" x14ac:dyDescent="0.2">
      <c r="A76" s="138"/>
      <c r="B76" s="833" t="s">
        <v>0</v>
      </c>
      <c r="C76" s="834"/>
      <c r="D76" s="838"/>
      <c r="E76" s="302"/>
      <c r="F76" s="834" t="s">
        <v>1</v>
      </c>
      <c r="G76" s="834"/>
      <c r="H76" s="834"/>
      <c r="I76" s="306"/>
      <c r="J76" s="833" t="s">
        <v>2</v>
      </c>
      <c r="K76" s="834"/>
      <c r="L76" s="834"/>
      <c r="M76" s="306"/>
    </row>
    <row r="77" spans="1:14" x14ac:dyDescent="0.2">
      <c r="A77" s="134"/>
      <c r="B77" s="145" t="s">
        <v>400</v>
      </c>
      <c r="C77" s="145" t="s">
        <v>401</v>
      </c>
      <c r="D77" s="242" t="s">
        <v>3</v>
      </c>
      <c r="E77" s="307" t="s">
        <v>37</v>
      </c>
      <c r="F77" s="145" t="s">
        <v>400</v>
      </c>
      <c r="G77" s="145" t="s">
        <v>401</v>
      </c>
      <c r="H77" s="242" t="s">
        <v>3</v>
      </c>
      <c r="I77" s="307" t="s">
        <v>37</v>
      </c>
      <c r="J77" s="145" t="s">
        <v>400</v>
      </c>
      <c r="K77" s="145" t="s">
        <v>401</v>
      </c>
      <c r="L77" s="242" t="s">
        <v>3</v>
      </c>
      <c r="M77" s="155" t="s">
        <v>37</v>
      </c>
    </row>
    <row r="78" spans="1:14" x14ac:dyDescent="0.2">
      <c r="A78" s="403"/>
      <c r="B78" s="149"/>
      <c r="C78" s="149"/>
      <c r="D78" s="243" t="s">
        <v>4</v>
      </c>
      <c r="E78" s="149" t="s">
        <v>38</v>
      </c>
      <c r="F78" s="154"/>
      <c r="G78" s="154"/>
      <c r="H78" s="242" t="s">
        <v>4</v>
      </c>
      <c r="I78" s="149" t="s">
        <v>38</v>
      </c>
      <c r="J78" s="154"/>
      <c r="K78" s="154"/>
      <c r="L78" s="242" t="s">
        <v>4</v>
      </c>
      <c r="M78" s="149" t="s">
        <v>38</v>
      </c>
    </row>
    <row r="79" spans="1:14" ht="15.75" x14ac:dyDescent="0.2">
      <c r="A79" s="12" t="s">
        <v>30</v>
      </c>
      <c r="B79" s="355"/>
      <c r="C79" s="355"/>
      <c r="D79" s="251"/>
      <c r="E79" s="170"/>
      <c r="F79" s="354"/>
      <c r="G79" s="354"/>
      <c r="H79" s="251"/>
      <c r="I79" s="170"/>
      <c r="J79" s="311"/>
      <c r="K79" s="318"/>
      <c r="L79" s="255"/>
      <c r="M79" s="170"/>
    </row>
    <row r="80" spans="1:14" x14ac:dyDescent="0.2">
      <c r="A80" s="18" t="s">
        <v>9</v>
      </c>
      <c r="B80" s="37"/>
      <c r="C80" s="139"/>
      <c r="D80" s="159"/>
      <c r="E80" s="170"/>
      <c r="F80" s="229"/>
      <c r="G80" s="139"/>
      <c r="H80" s="159"/>
      <c r="I80" s="170"/>
      <c r="J80" s="288"/>
      <c r="K80" s="37"/>
      <c r="L80" s="256"/>
      <c r="M80" s="170"/>
    </row>
    <row r="81" spans="1:14" x14ac:dyDescent="0.2">
      <c r="A81" s="18" t="s">
        <v>10</v>
      </c>
      <c r="B81" s="293"/>
      <c r="C81" s="294"/>
      <c r="D81" s="159"/>
      <c r="E81" s="170"/>
      <c r="F81" s="293"/>
      <c r="G81" s="294"/>
      <c r="H81" s="159"/>
      <c r="I81" s="170"/>
      <c r="J81" s="288"/>
      <c r="K81" s="37"/>
      <c r="L81" s="256"/>
      <c r="M81" s="170"/>
    </row>
    <row r="82" spans="1:14" ht="15.75" x14ac:dyDescent="0.2">
      <c r="A82" s="298" t="s">
        <v>330</v>
      </c>
      <c r="B82" s="282"/>
      <c r="C82" s="282"/>
      <c r="D82" s="159"/>
      <c r="E82" s="237"/>
      <c r="F82" s="282"/>
      <c r="G82" s="282"/>
      <c r="H82" s="159"/>
      <c r="I82" s="237"/>
      <c r="J82" s="291"/>
      <c r="K82" s="291"/>
      <c r="L82" s="159"/>
      <c r="M82" s="159"/>
    </row>
    <row r="83" spans="1:14" x14ac:dyDescent="0.2">
      <c r="A83" s="298" t="s">
        <v>12</v>
      </c>
      <c r="B83" s="295"/>
      <c r="C83" s="296"/>
      <c r="D83" s="159"/>
      <c r="E83" s="237"/>
      <c r="F83" s="282"/>
      <c r="G83" s="282"/>
      <c r="H83" s="159"/>
      <c r="I83" s="237"/>
      <c r="J83" s="291"/>
      <c r="K83" s="291"/>
      <c r="L83" s="159"/>
      <c r="M83" s="159"/>
    </row>
    <row r="84" spans="1:14" x14ac:dyDescent="0.2">
      <c r="A84" s="298" t="s">
        <v>13</v>
      </c>
      <c r="B84" s="230"/>
      <c r="C84" s="290"/>
      <c r="D84" s="159"/>
      <c r="E84" s="237"/>
      <c r="F84" s="282"/>
      <c r="G84" s="282"/>
      <c r="H84" s="159"/>
      <c r="I84" s="237"/>
      <c r="J84" s="291"/>
      <c r="K84" s="291"/>
      <c r="L84" s="159"/>
      <c r="M84" s="159"/>
    </row>
    <row r="85" spans="1:14" ht="15.75" x14ac:dyDescent="0.2">
      <c r="A85" s="298" t="s">
        <v>331</v>
      </c>
      <c r="B85" s="282"/>
      <c r="C85" s="282"/>
      <c r="D85" s="159"/>
      <c r="E85" s="237"/>
      <c r="F85" s="282"/>
      <c r="G85" s="282"/>
      <c r="H85" s="159"/>
      <c r="I85" s="237"/>
      <c r="J85" s="291"/>
      <c r="K85" s="291"/>
      <c r="L85" s="159"/>
      <c r="M85" s="159"/>
    </row>
    <row r="86" spans="1:14" x14ac:dyDescent="0.2">
      <c r="A86" s="298" t="s">
        <v>12</v>
      </c>
      <c r="B86" s="230"/>
      <c r="C86" s="290"/>
      <c r="D86" s="159"/>
      <c r="E86" s="237"/>
      <c r="F86" s="282"/>
      <c r="G86" s="282"/>
      <c r="H86" s="159"/>
      <c r="I86" s="237"/>
      <c r="J86" s="291"/>
      <c r="K86" s="291"/>
      <c r="L86" s="159"/>
      <c r="M86" s="159"/>
    </row>
    <row r="87" spans="1:14" s="3" customFormat="1" x14ac:dyDescent="0.2">
      <c r="A87" s="298" t="s">
        <v>13</v>
      </c>
      <c r="B87" s="230"/>
      <c r="C87" s="290"/>
      <c r="D87" s="159"/>
      <c r="E87" s="237"/>
      <c r="F87" s="282"/>
      <c r="G87" s="282"/>
      <c r="H87" s="159"/>
      <c r="I87" s="237"/>
      <c r="J87" s="291"/>
      <c r="K87" s="291"/>
      <c r="L87" s="159"/>
      <c r="M87" s="159"/>
      <c r="N87" s="142"/>
    </row>
    <row r="88" spans="1:14" s="3" customFormat="1" x14ac:dyDescent="0.2">
      <c r="A88" s="18" t="s">
        <v>33</v>
      </c>
      <c r="B88" s="229"/>
      <c r="C88" s="139"/>
      <c r="D88" s="159"/>
      <c r="E88" s="170"/>
      <c r="F88" s="229"/>
      <c r="G88" s="139"/>
      <c r="H88" s="159"/>
      <c r="I88" s="170"/>
      <c r="J88" s="288"/>
      <c r="K88" s="37"/>
      <c r="L88" s="256"/>
      <c r="M88" s="170"/>
      <c r="N88" s="142"/>
    </row>
    <row r="89" spans="1:14" ht="15.75" x14ac:dyDescent="0.2">
      <c r="A89" s="18" t="s">
        <v>332</v>
      </c>
      <c r="B89" s="229"/>
      <c r="C89" s="229"/>
      <c r="D89" s="159"/>
      <c r="E89" s="170"/>
      <c r="F89" s="229"/>
      <c r="G89" s="139"/>
      <c r="H89" s="159"/>
      <c r="I89" s="170"/>
      <c r="J89" s="288"/>
      <c r="K89" s="37"/>
      <c r="L89" s="256"/>
      <c r="M89" s="170"/>
    </row>
    <row r="90" spans="1:14" x14ac:dyDescent="0.2">
      <c r="A90" s="18" t="s">
        <v>9</v>
      </c>
      <c r="B90" s="229"/>
      <c r="C90" s="139"/>
      <c r="D90" s="159"/>
      <c r="E90" s="170"/>
      <c r="F90" s="229"/>
      <c r="G90" s="139"/>
      <c r="H90" s="159"/>
      <c r="I90" s="170"/>
      <c r="J90" s="288"/>
      <c r="K90" s="37"/>
      <c r="L90" s="256"/>
      <c r="M90" s="170"/>
    </row>
    <row r="91" spans="1:14" x14ac:dyDescent="0.2">
      <c r="A91" s="18" t="s">
        <v>10</v>
      </c>
      <c r="B91" s="293"/>
      <c r="C91" s="294"/>
      <c r="D91" s="159"/>
      <c r="E91" s="170"/>
      <c r="F91" s="293"/>
      <c r="G91" s="294"/>
      <c r="H91" s="159"/>
      <c r="I91" s="170"/>
      <c r="J91" s="288"/>
      <c r="K91" s="37"/>
      <c r="L91" s="256"/>
      <c r="M91" s="170"/>
    </row>
    <row r="92" spans="1:14" ht="15.75" x14ac:dyDescent="0.2">
      <c r="A92" s="298" t="s">
        <v>330</v>
      </c>
      <c r="B92" s="282"/>
      <c r="C92" s="282"/>
      <c r="D92" s="159"/>
      <c r="E92" s="237"/>
      <c r="F92" s="282"/>
      <c r="G92" s="282"/>
      <c r="H92" s="159"/>
      <c r="I92" s="237"/>
      <c r="J92" s="291"/>
      <c r="K92" s="291"/>
      <c r="L92" s="159"/>
      <c r="M92" s="159"/>
    </row>
    <row r="93" spans="1:14" x14ac:dyDescent="0.2">
      <c r="A93" s="298" t="s">
        <v>12</v>
      </c>
      <c r="B93" s="230"/>
      <c r="C93" s="290"/>
      <c r="D93" s="159"/>
      <c r="E93" s="237"/>
      <c r="F93" s="282"/>
      <c r="G93" s="282"/>
      <c r="H93" s="159"/>
      <c r="I93" s="237"/>
      <c r="J93" s="291"/>
      <c r="K93" s="291"/>
      <c r="L93" s="159"/>
      <c r="M93" s="159"/>
    </row>
    <row r="94" spans="1:14" x14ac:dyDescent="0.2">
      <c r="A94" s="298" t="s">
        <v>13</v>
      </c>
      <c r="B94" s="230"/>
      <c r="C94" s="290"/>
      <c r="D94" s="159"/>
      <c r="E94" s="237"/>
      <c r="F94" s="282"/>
      <c r="G94" s="282"/>
      <c r="H94" s="159"/>
      <c r="I94" s="237"/>
      <c r="J94" s="291"/>
      <c r="K94" s="291"/>
      <c r="L94" s="159"/>
      <c r="M94" s="159"/>
    </row>
    <row r="95" spans="1:14" ht="15.75" x14ac:dyDescent="0.2">
      <c r="A95" s="298" t="s">
        <v>331</v>
      </c>
      <c r="B95" s="282"/>
      <c r="C95" s="282"/>
      <c r="D95" s="159"/>
      <c r="E95" s="237"/>
      <c r="F95" s="282"/>
      <c r="G95" s="282"/>
      <c r="H95" s="159"/>
      <c r="I95" s="237"/>
      <c r="J95" s="291"/>
      <c r="K95" s="291"/>
      <c r="L95" s="159"/>
      <c r="M95" s="159"/>
    </row>
    <row r="96" spans="1:14" x14ac:dyDescent="0.2">
      <c r="A96" s="298" t="s">
        <v>12</v>
      </c>
      <c r="B96" s="230"/>
      <c r="C96" s="290"/>
      <c r="D96" s="159"/>
      <c r="E96" s="237"/>
      <c r="F96" s="282"/>
      <c r="G96" s="282"/>
      <c r="H96" s="159"/>
      <c r="I96" s="237"/>
      <c r="J96" s="291"/>
      <c r="K96" s="291"/>
      <c r="L96" s="159"/>
      <c r="M96" s="159"/>
    </row>
    <row r="97" spans="1:13" x14ac:dyDescent="0.2">
      <c r="A97" s="298" t="s">
        <v>13</v>
      </c>
      <c r="B97" s="230"/>
      <c r="C97" s="290"/>
      <c r="D97" s="159"/>
      <c r="E97" s="237"/>
      <c r="F97" s="282"/>
      <c r="G97" s="282"/>
      <c r="H97" s="159"/>
      <c r="I97" s="237"/>
      <c r="J97" s="291"/>
      <c r="K97" s="291"/>
      <c r="L97" s="159"/>
      <c r="M97" s="159"/>
    </row>
    <row r="98" spans="1:13" ht="15.75" x14ac:dyDescent="0.2">
      <c r="A98" s="18" t="s">
        <v>342</v>
      </c>
      <c r="B98" s="229"/>
      <c r="C98" s="139"/>
      <c r="D98" s="159"/>
      <c r="E98" s="170"/>
      <c r="F98" s="229"/>
      <c r="G98" s="139"/>
      <c r="H98" s="159"/>
      <c r="I98" s="170"/>
      <c r="J98" s="288"/>
      <c r="K98" s="37"/>
      <c r="L98" s="256"/>
      <c r="M98" s="170"/>
    </row>
    <row r="99" spans="1:13" ht="15.75" x14ac:dyDescent="0.2">
      <c r="A99" s="11" t="s">
        <v>29</v>
      </c>
      <c r="B99" s="310"/>
      <c r="C99" s="310"/>
      <c r="D99" s="159"/>
      <c r="E99" s="170"/>
      <c r="F99" s="310"/>
      <c r="G99" s="310"/>
      <c r="H99" s="159"/>
      <c r="I99" s="170"/>
      <c r="J99" s="311"/>
      <c r="K99" s="231"/>
      <c r="L99" s="256"/>
      <c r="M99" s="170"/>
    </row>
    <row r="100" spans="1:13" x14ac:dyDescent="0.2">
      <c r="A100" s="18" t="s">
        <v>9</v>
      </c>
      <c r="B100" s="229"/>
      <c r="C100" s="139"/>
      <c r="D100" s="159"/>
      <c r="E100" s="170"/>
      <c r="F100" s="229"/>
      <c r="G100" s="139"/>
      <c r="H100" s="159"/>
      <c r="I100" s="170"/>
      <c r="J100" s="288"/>
      <c r="K100" s="37"/>
      <c r="L100" s="256"/>
      <c r="M100" s="170"/>
    </row>
    <row r="101" spans="1:13" x14ac:dyDescent="0.2">
      <c r="A101" s="18" t="s">
        <v>10</v>
      </c>
      <c r="B101" s="229"/>
      <c r="C101" s="139"/>
      <c r="D101" s="159"/>
      <c r="E101" s="170"/>
      <c r="F101" s="293"/>
      <c r="G101" s="293"/>
      <c r="H101" s="159"/>
      <c r="I101" s="170"/>
      <c r="J101" s="288"/>
      <c r="K101" s="37"/>
      <c r="L101" s="256"/>
      <c r="M101" s="170"/>
    </row>
    <row r="102" spans="1:13" ht="15.75" x14ac:dyDescent="0.2">
      <c r="A102" s="298" t="s">
        <v>330</v>
      </c>
      <c r="B102" s="282"/>
      <c r="C102" s="282"/>
      <c r="D102" s="159"/>
      <c r="E102" s="237"/>
      <c r="F102" s="282"/>
      <c r="G102" s="282"/>
      <c r="H102" s="159"/>
      <c r="I102" s="237"/>
      <c r="J102" s="291"/>
      <c r="K102" s="291"/>
      <c r="L102" s="159"/>
      <c r="M102" s="159"/>
    </row>
    <row r="103" spans="1:13" x14ac:dyDescent="0.2">
      <c r="A103" s="298" t="s">
        <v>12</v>
      </c>
      <c r="B103" s="230"/>
      <c r="C103" s="290"/>
      <c r="D103" s="159"/>
      <c r="E103" s="237"/>
      <c r="F103" s="282"/>
      <c r="G103" s="282"/>
      <c r="H103" s="159"/>
      <c r="I103" s="237"/>
      <c r="J103" s="291"/>
      <c r="K103" s="291"/>
      <c r="L103" s="159"/>
      <c r="M103" s="159"/>
    </row>
    <row r="104" spans="1:13" x14ac:dyDescent="0.2">
      <c r="A104" s="298" t="s">
        <v>13</v>
      </c>
      <c r="B104" s="230"/>
      <c r="C104" s="290"/>
      <c r="D104" s="159"/>
      <c r="E104" s="237"/>
      <c r="F104" s="282"/>
      <c r="G104" s="282"/>
      <c r="H104" s="159"/>
      <c r="I104" s="237"/>
      <c r="J104" s="291"/>
      <c r="K104" s="291"/>
      <c r="L104" s="159"/>
      <c r="M104" s="159"/>
    </row>
    <row r="105" spans="1:13" ht="15.75" x14ac:dyDescent="0.2">
      <c r="A105" s="298" t="s">
        <v>331</v>
      </c>
      <c r="B105" s="282"/>
      <c r="C105" s="282"/>
      <c r="D105" s="159"/>
      <c r="E105" s="237"/>
      <c r="F105" s="282"/>
      <c r="G105" s="282"/>
      <c r="H105" s="159"/>
      <c r="I105" s="237"/>
      <c r="J105" s="291"/>
      <c r="K105" s="291"/>
      <c r="L105" s="159"/>
      <c r="M105" s="159"/>
    </row>
    <row r="106" spans="1:13" x14ac:dyDescent="0.2">
      <c r="A106" s="298" t="s">
        <v>12</v>
      </c>
      <c r="B106" s="230"/>
      <c r="C106" s="290"/>
      <c r="D106" s="159"/>
      <c r="E106" s="237"/>
      <c r="F106" s="282"/>
      <c r="G106" s="282"/>
      <c r="H106" s="159"/>
      <c r="I106" s="237"/>
      <c r="J106" s="291"/>
      <c r="K106" s="291"/>
      <c r="L106" s="159"/>
      <c r="M106" s="159"/>
    </row>
    <row r="107" spans="1:13" x14ac:dyDescent="0.2">
      <c r="A107" s="298" t="s">
        <v>13</v>
      </c>
      <c r="B107" s="230"/>
      <c r="C107" s="290"/>
      <c r="D107" s="159"/>
      <c r="E107" s="237"/>
      <c r="F107" s="282"/>
      <c r="G107" s="282"/>
      <c r="H107" s="159"/>
      <c r="I107" s="237"/>
      <c r="J107" s="291"/>
      <c r="K107" s="291"/>
      <c r="L107" s="159"/>
      <c r="M107" s="159"/>
    </row>
    <row r="108" spans="1:13" x14ac:dyDescent="0.2">
      <c r="A108" s="18" t="s">
        <v>33</v>
      </c>
      <c r="B108" s="229"/>
      <c r="C108" s="139"/>
      <c r="D108" s="159"/>
      <c r="E108" s="170"/>
      <c r="F108" s="229"/>
      <c r="G108" s="139"/>
      <c r="H108" s="159"/>
      <c r="I108" s="170"/>
      <c r="J108" s="288"/>
      <c r="K108" s="37"/>
      <c r="L108" s="256"/>
      <c r="M108" s="170"/>
    </row>
    <row r="109" spans="1:13" ht="15.75" x14ac:dyDescent="0.2">
      <c r="A109" s="18" t="s">
        <v>332</v>
      </c>
      <c r="B109" s="229"/>
      <c r="C109" s="139"/>
      <c r="D109" s="159"/>
      <c r="E109" s="170"/>
      <c r="F109" s="293"/>
      <c r="G109" s="293"/>
      <c r="H109" s="159"/>
      <c r="I109" s="170"/>
      <c r="J109" s="288"/>
      <c r="K109" s="37"/>
      <c r="L109" s="256"/>
      <c r="M109" s="170"/>
    </row>
    <row r="110" spans="1:13" x14ac:dyDescent="0.2">
      <c r="A110" s="18" t="s">
        <v>9</v>
      </c>
      <c r="B110" s="229"/>
      <c r="C110" s="139"/>
      <c r="D110" s="159"/>
      <c r="E110" s="170"/>
      <c r="F110" s="293"/>
      <c r="G110" s="294"/>
      <c r="H110" s="159"/>
      <c r="I110" s="170"/>
      <c r="J110" s="288"/>
      <c r="K110" s="37"/>
      <c r="L110" s="256"/>
      <c r="M110" s="170"/>
    </row>
    <row r="111" spans="1:13" x14ac:dyDescent="0.2">
      <c r="A111" s="18" t="s">
        <v>10</v>
      </c>
      <c r="B111" s="293"/>
      <c r="C111" s="294"/>
      <c r="D111" s="159"/>
      <c r="E111" s="170"/>
      <c r="F111" s="293"/>
      <c r="G111" s="294"/>
      <c r="H111" s="159"/>
      <c r="I111" s="170"/>
      <c r="J111" s="288"/>
      <c r="K111" s="37"/>
      <c r="L111" s="256"/>
      <c r="M111" s="170"/>
    </row>
    <row r="112" spans="1:13" ht="15.75" x14ac:dyDescent="0.2">
      <c r="A112" s="298" t="s">
        <v>330</v>
      </c>
      <c r="B112" s="282"/>
      <c r="C112" s="282"/>
      <c r="D112" s="159"/>
      <c r="E112" s="237"/>
      <c r="F112" s="282"/>
      <c r="G112" s="282"/>
      <c r="H112" s="159"/>
      <c r="I112" s="237"/>
      <c r="J112" s="291"/>
      <c r="K112" s="291"/>
      <c r="L112" s="159"/>
      <c r="M112" s="159"/>
    </row>
    <row r="113" spans="1:13" x14ac:dyDescent="0.2">
      <c r="A113" s="298" t="s">
        <v>12</v>
      </c>
      <c r="B113" s="230"/>
      <c r="C113" s="290"/>
      <c r="D113" s="159"/>
      <c r="E113" s="237"/>
      <c r="F113" s="282"/>
      <c r="G113" s="282"/>
      <c r="H113" s="159"/>
      <c r="I113" s="237"/>
      <c r="J113" s="291"/>
      <c r="K113" s="291"/>
      <c r="L113" s="159"/>
      <c r="M113" s="159"/>
    </row>
    <row r="114" spans="1:13" x14ac:dyDescent="0.2">
      <c r="A114" s="298" t="s">
        <v>13</v>
      </c>
      <c r="B114" s="230"/>
      <c r="C114" s="290"/>
      <c r="D114" s="159"/>
      <c r="E114" s="237"/>
      <c r="F114" s="282"/>
      <c r="G114" s="282"/>
      <c r="H114" s="159"/>
      <c r="I114" s="237"/>
      <c r="J114" s="291"/>
      <c r="K114" s="291"/>
      <c r="L114" s="159"/>
      <c r="M114" s="159"/>
    </row>
    <row r="115" spans="1:13" ht="15.75" x14ac:dyDescent="0.2">
      <c r="A115" s="298" t="s">
        <v>331</v>
      </c>
      <c r="B115" s="282"/>
      <c r="C115" s="282"/>
      <c r="D115" s="159"/>
      <c r="E115" s="237"/>
      <c r="F115" s="282"/>
      <c r="G115" s="282"/>
      <c r="H115" s="159"/>
      <c r="I115" s="237"/>
      <c r="J115" s="291"/>
      <c r="K115" s="291"/>
      <c r="L115" s="159"/>
      <c r="M115" s="159"/>
    </row>
    <row r="116" spans="1:13" x14ac:dyDescent="0.2">
      <c r="A116" s="298" t="s">
        <v>12</v>
      </c>
      <c r="B116" s="230"/>
      <c r="C116" s="290"/>
      <c r="D116" s="159"/>
      <c r="E116" s="237"/>
      <c r="F116" s="282"/>
      <c r="G116" s="282"/>
      <c r="H116" s="159"/>
      <c r="I116" s="237"/>
      <c r="J116" s="291"/>
      <c r="K116" s="291"/>
      <c r="L116" s="159"/>
      <c r="M116" s="159"/>
    </row>
    <row r="117" spans="1:13" x14ac:dyDescent="0.2">
      <c r="A117" s="298" t="s">
        <v>13</v>
      </c>
      <c r="B117" s="232"/>
      <c r="C117" s="297"/>
      <c r="D117" s="159"/>
      <c r="E117" s="237"/>
      <c r="F117" s="282"/>
      <c r="G117" s="282"/>
      <c r="H117" s="159"/>
      <c r="I117" s="237"/>
      <c r="J117" s="291"/>
      <c r="K117" s="291"/>
      <c r="L117" s="159"/>
      <c r="M117" s="159"/>
    </row>
    <row r="118" spans="1:13" ht="15.75" x14ac:dyDescent="0.2">
      <c r="A118" s="18" t="s">
        <v>342</v>
      </c>
      <c r="B118" s="229"/>
      <c r="C118" s="139"/>
      <c r="D118" s="159"/>
      <c r="E118" s="170"/>
      <c r="F118" s="229"/>
      <c r="G118" s="139"/>
      <c r="H118" s="159"/>
      <c r="I118" s="170"/>
      <c r="J118" s="288"/>
      <c r="K118" s="37"/>
      <c r="L118" s="256"/>
      <c r="M118" s="170"/>
    </row>
    <row r="119" spans="1:13" ht="15.75" x14ac:dyDescent="0.2">
      <c r="A119" s="11" t="s">
        <v>28</v>
      </c>
      <c r="B119" s="355"/>
      <c r="C119" s="355"/>
      <c r="D119" s="159"/>
      <c r="E119" s="170"/>
      <c r="F119" s="354"/>
      <c r="G119" s="354"/>
      <c r="H119" s="159"/>
      <c r="I119" s="170"/>
      <c r="J119" s="311"/>
      <c r="K119" s="231"/>
      <c r="L119" s="256"/>
      <c r="M119" s="170"/>
    </row>
    <row r="120" spans="1:13" x14ac:dyDescent="0.2">
      <c r="A120" s="18" t="s">
        <v>9</v>
      </c>
      <c r="B120" s="229"/>
      <c r="C120" s="139"/>
      <c r="D120" s="159"/>
      <c r="E120" s="170"/>
      <c r="F120" s="229"/>
      <c r="G120" s="139"/>
      <c r="H120" s="159"/>
      <c r="I120" s="170"/>
      <c r="J120" s="288"/>
      <c r="K120" s="37"/>
      <c r="L120" s="256"/>
      <c r="M120" s="170"/>
    </row>
    <row r="121" spans="1:13" x14ac:dyDescent="0.2">
      <c r="A121" s="18" t="s">
        <v>10</v>
      </c>
      <c r="B121" s="229"/>
      <c r="C121" s="139"/>
      <c r="D121" s="159"/>
      <c r="E121" s="170"/>
      <c r="F121" s="229"/>
      <c r="G121" s="139"/>
      <c r="H121" s="159"/>
      <c r="I121" s="170"/>
      <c r="J121" s="288"/>
      <c r="K121" s="37"/>
      <c r="L121" s="256"/>
      <c r="M121" s="170"/>
    </row>
    <row r="122" spans="1:13" ht="15.75" x14ac:dyDescent="0.2">
      <c r="A122" s="298" t="s">
        <v>330</v>
      </c>
      <c r="B122" s="282"/>
      <c r="C122" s="282"/>
      <c r="D122" s="159"/>
      <c r="E122" s="237"/>
      <c r="F122" s="282"/>
      <c r="G122" s="282"/>
      <c r="H122" s="159"/>
      <c r="I122" s="237"/>
      <c r="J122" s="291"/>
      <c r="K122" s="291"/>
      <c r="L122" s="159"/>
      <c r="M122" s="159"/>
    </row>
    <row r="123" spans="1:13" x14ac:dyDescent="0.2">
      <c r="A123" s="298" t="s">
        <v>12</v>
      </c>
      <c r="B123" s="230"/>
      <c r="C123" s="290"/>
      <c r="D123" s="159"/>
      <c r="E123" s="237"/>
      <c r="F123" s="282"/>
      <c r="G123" s="282"/>
      <c r="H123" s="159"/>
      <c r="I123" s="237"/>
      <c r="J123" s="291"/>
      <c r="K123" s="291"/>
      <c r="L123" s="159"/>
      <c r="M123" s="159"/>
    </row>
    <row r="124" spans="1:13" x14ac:dyDescent="0.2">
      <c r="A124" s="298" t="s">
        <v>13</v>
      </c>
      <c r="B124" s="230"/>
      <c r="C124" s="290"/>
      <c r="D124" s="159"/>
      <c r="E124" s="237"/>
      <c r="F124" s="282"/>
      <c r="G124" s="282"/>
      <c r="H124" s="159"/>
      <c r="I124" s="237"/>
      <c r="J124" s="291"/>
      <c r="K124" s="291"/>
      <c r="L124" s="159"/>
      <c r="M124" s="159"/>
    </row>
    <row r="125" spans="1:13" ht="15.75" x14ac:dyDescent="0.2">
      <c r="A125" s="298" t="s">
        <v>331</v>
      </c>
      <c r="B125" s="282"/>
      <c r="C125" s="282"/>
      <c r="D125" s="159"/>
      <c r="E125" s="237"/>
      <c r="F125" s="282"/>
      <c r="G125" s="282"/>
      <c r="H125" s="159"/>
      <c r="I125" s="237"/>
      <c r="J125" s="291"/>
      <c r="K125" s="291"/>
      <c r="L125" s="159"/>
      <c r="M125" s="159"/>
    </row>
    <row r="126" spans="1:13" x14ac:dyDescent="0.2">
      <c r="A126" s="298" t="s">
        <v>12</v>
      </c>
      <c r="B126" s="230"/>
      <c r="C126" s="290"/>
      <c r="D126" s="159"/>
      <c r="E126" s="237"/>
      <c r="F126" s="282"/>
      <c r="G126" s="282"/>
      <c r="H126" s="159"/>
      <c r="I126" s="237"/>
      <c r="J126" s="291"/>
      <c r="K126" s="291"/>
      <c r="L126" s="159"/>
      <c r="M126" s="159"/>
    </row>
    <row r="127" spans="1:13" x14ac:dyDescent="0.2">
      <c r="A127" s="298" t="s">
        <v>13</v>
      </c>
      <c r="B127" s="230"/>
      <c r="C127" s="290"/>
      <c r="D127" s="159"/>
      <c r="E127" s="237"/>
      <c r="F127" s="282"/>
      <c r="G127" s="282"/>
      <c r="H127" s="159"/>
      <c r="I127" s="237"/>
      <c r="J127" s="291"/>
      <c r="K127" s="291"/>
      <c r="L127" s="159"/>
      <c r="M127" s="159"/>
    </row>
    <row r="128" spans="1:13" x14ac:dyDescent="0.2">
      <c r="A128" s="18" t="s">
        <v>34</v>
      </c>
      <c r="B128" s="229"/>
      <c r="C128" s="139"/>
      <c r="D128" s="159"/>
      <c r="E128" s="170"/>
      <c r="F128" s="229"/>
      <c r="G128" s="139"/>
      <c r="H128" s="159"/>
      <c r="I128" s="170"/>
      <c r="J128" s="288"/>
      <c r="K128" s="37"/>
      <c r="L128" s="256"/>
      <c r="M128" s="170"/>
    </row>
    <row r="129" spans="1:13" ht="15.75" x14ac:dyDescent="0.2">
      <c r="A129" s="18" t="s">
        <v>332</v>
      </c>
      <c r="B129" s="229"/>
      <c r="C129" s="229"/>
      <c r="D129" s="159"/>
      <c r="E129" s="170"/>
      <c r="F129" s="293"/>
      <c r="G129" s="293"/>
      <c r="H129" s="159"/>
      <c r="I129" s="170"/>
      <c r="J129" s="288"/>
      <c r="K129" s="37"/>
      <c r="L129" s="256"/>
      <c r="M129" s="170"/>
    </row>
    <row r="130" spans="1:13" x14ac:dyDescent="0.2">
      <c r="A130" s="18" t="s">
        <v>9</v>
      </c>
      <c r="B130" s="293"/>
      <c r="C130" s="294"/>
      <c r="D130" s="159"/>
      <c r="E130" s="170"/>
      <c r="F130" s="229"/>
      <c r="G130" s="139"/>
      <c r="H130" s="159"/>
      <c r="I130" s="170"/>
      <c r="J130" s="288"/>
      <c r="K130" s="37"/>
      <c r="L130" s="256"/>
      <c r="M130" s="170"/>
    </row>
    <row r="131" spans="1:13" x14ac:dyDescent="0.2">
      <c r="A131" s="18" t="s">
        <v>10</v>
      </c>
      <c r="B131" s="293"/>
      <c r="C131" s="294"/>
      <c r="D131" s="159"/>
      <c r="E131" s="170"/>
      <c r="F131" s="229"/>
      <c r="G131" s="229"/>
      <c r="H131" s="159"/>
      <c r="I131" s="170"/>
      <c r="J131" s="288"/>
      <c r="K131" s="37"/>
      <c r="L131" s="256"/>
      <c r="M131" s="170"/>
    </row>
    <row r="132" spans="1:13" ht="15.75" x14ac:dyDescent="0.2">
      <c r="A132" s="298" t="s">
        <v>330</v>
      </c>
      <c r="B132" s="282"/>
      <c r="C132" s="282"/>
      <c r="D132" s="159"/>
      <c r="E132" s="237"/>
      <c r="F132" s="282"/>
      <c r="G132" s="282"/>
      <c r="H132" s="159"/>
      <c r="I132" s="237"/>
      <c r="J132" s="291"/>
      <c r="K132" s="291"/>
      <c r="L132" s="159"/>
      <c r="M132" s="159"/>
    </row>
    <row r="133" spans="1:13" x14ac:dyDescent="0.2">
      <c r="A133" s="298" t="s">
        <v>12</v>
      </c>
      <c r="B133" s="230"/>
      <c r="C133" s="290"/>
      <c r="D133" s="159"/>
      <c r="E133" s="237"/>
      <c r="F133" s="282"/>
      <c r="G133" s="282"/>
      <c r="H133" s="159"/>
      <c r="I133" s="237"/>
      <c r="J133" s="291"/>
      <c r="K133" s="291"/>
      <c r="L133" s="159"/>
      <c r="M133" s="159"/>
    </row>
    <row r="134" spans="1:13" x14ac:dyDescent="0.2">
      <c r="A134" s="298" t="s">
        <v>13</v>
      </c>
      <c r="B134" s="230"/>
      <c r="C134" s="290"/>
      <c r="D134" s="159"/>
      <c r="E134" s="237"/>
      <c r="F134" s="282"/>
      <c r="G134" s="282"/>
      <c r="H134" s="159"/>
      <c r="I134" s="237"/>
      <c r="J134" s="291"/>
      <c r="K134" s="291"/>
      <c r="L134" s="159"/>
      <c r="M134" s="159"/>
    </row>
    <row r="135" spans="1:13" ht="15.75" x14ac:dyDescent="0.2">
      <c r="A135" s="298" t="s">
        <v>331</v>
      </c>
      <c r="B135" s="282"/>
      <c r="C135" s="282"/>
      <c r="D135" s="159"/>
      <c r="E135" s="237"/>
      <c r="F135" s="282"/>
      <c r="G135" s="282"/>
      <c r="H135" s="159"/>
      <c r="I135" s="237"/>
      <c r="J135" s="291"/>
      <c r="K135" s="291"/>
      <c r="L135" s="159"/>
      <c r="M135" s="159"/>
    </row>
    <row r="136" spans="1:13" x14ac:dyDescent="0.2">
      <c r="A136" s="298" t="s">
        <v>12</v>
      </c>
      <c r="B136" s="230"/>
      <c r="C136" s="290"/>
      <c r="D136" s="159"/>
      <c r="E136" s="237"/>
      <c r="F136" s="282"/>
      <c r="G136" s="282"/>
      <c r="H136" s="159"/>
      <c r="I136" s="237"/>
      <c r="J136" s="291"/>
      <c r="K136" s="291"/>
      <c r="L136" s="159"/>
      <c r="M136" s="159"/>
    </row>
    <row r="137" spans="1:13" x14ac:dyDescent="0.2">
      <c r="A137" s="298" t="s">
        <v>13</v>
      </c>
      <c r="B137" s="230"/>
      <c r="C137" s="290"/>
      <c r="D137" s="159"/>
      <c r="E137" s="237"/>
      <c r="F137" s="282"/>
      <c r="G137" s="282"/>
      <c r="H137" s="159"/>
      <c r="I137" s="237"/>
      <c r="J137" s="291"/>
      <c r="K137" s="291"/>
      <c r="L137" s="159"/>
      <c r="M137" s="159"/>
    </row>
    <row r="138" spans="1:13" ht="15.75" x14ac:dyDescent="0.2">
      <c r="A138" s="18" t="s">
        <v>342</v>
      </c>
      <c r="B138" s="229"/>
      <c r="C138" s="139"/>
      <c r="D138" s="159"/>
      <c r="E138" s="170"/>
      <c r="F138" s="229"/>
      <c r="G138" s="139"/>
      <c r="H138" s="159"/>
      <c r="I138" s="170"/>
      <c r="J138" s="288"/>
      <c r="K138" s="37"/>
      <c r="L138" s="256"/>
      <c r="M138" s="170"/>
    </row>
    <row r="139" spans="1:13" ht="15.75" x14ac:dyDescent="0.2">
      <c r="A139" s="18" t="s">
        <v>343</v>
      </c>
      <c r="B139" s="229"/>
      <c r="C139" s="229"/>
      <c r="D139" s="159"/>
      <c r="E139" s="170"/>
      <c r="F139" s="229"/>
      <c r="G139" s="229"/>
      <c r="H139" s="159"/>
      <c r="I139" s="170"/>
      <c r="J139" s="288"/>
      <c r="K139" s="37"/>
      <c r="L139" s="256"/>
      <c r="M139" s="170"/>
    </row>
    <row r="140" spans="1:13" ht="15.75" x14ac:dyDescent="0.2">
      <c r="A140" s="18" t="s">
        <v>334</v>
      </c>
      <c r="B140" s="229"/>
      <c r="C140" s="229"/>
      <c r="D140" s="159"/>
      <c r="E140" s="170"/>
      <c r="F140" s="229"/>
      <c r="G140" s="229"/>
      <c r="H140" s="159"/>
      <c r="I140" s="170"/>
      <c r="J140" s="288"/>
      <c r="K140" s="37"/>
      <c r="L140" s="256"/>
      <c r="M140" s="170"/>
    </row>
    <row r="141" spans="1:13" ht="15.75" x14ac:dyDescent="0.2">
      <c r="A141" s="18" t="s">
        <v>335</v>
      </c>
      <c r="B141" s="229"/>
      <c r="C141" s="229"/>
      <c r="D141" s="159"/>
      <c r="E141" s="170"/>
      <c r="F141" s="229"/>
      <c r="G141" s="229"/>
      <c r="H141" s="159"/>
      <c r="I141" s="170"/>
      <c r="J141" s="288"/>
      <c r="K141" s="37"/>
      <c r="L141" s="256"/>
      <c r="M141" s="170"/>
    </row>
    <row r="142" spans="1:13" ht="15.75" x14ac:dyDescent="0.2">
      <c r="A142" s="11" t="s">
        <v>27</v>
      </c>
      <c r="B142" s="310"/>
      <c r="C142" s="152"/>
      <c r="D142" s="159"/>
      <c r="E142" s="170"/>
      <c r="F142" s="310"/>
      <c r="G142" s="152"/>
      <c r="H142" s="159"/>
      <c r="I142" s="170"/>
      <c r="J142" s="311"/>
      <c r="K142" s="231"/>
      <c r="L142" s="256"/>
      <c r="M142" s="170"/>
    </row>
    <row r="143" spans="1:13" x14ac:dyDescent="0.2">
      <c r="A143" s="18" t="s">
        <v>9</v>
      </c>
      <c r="B143" s="229"/>
      <c r="C143" s="139"/>
      <c r="D143" s="159"/>
      <c r="E143" s="170"/>
      <c r="F143" s="229"/>
      <c r="G143" s="139"/>
      <c r="H143" s="159"/>
      <c r="I143" s="170"/>
      <c r="J143" s="288"/>
      <c r="K143" s="37"/>
      <c r="L143" s="256"/>
      <c r="M143" s="170"/>
    </row>
    <row r="144" spans="1:13" x14ac:dyDescent="0.2">
      <c r="A144" s="18" t="s">
        <v>10</v>
      </c>
      <c r="B144" s="229"/>
      <c r="C144" s="139"/>
      <c r="D144" s="159"/>
      <c r="E144" s="170"/>
      <c r="F144" s="229"/>
      <c r="G144" s="139"/>
      <c r="H144" s="159"/>
      <c r="I144" s="170"/>
      <c r="J144" s="288"/>
      <c r="K144" s="37"/>
      <c r="L144" s="256"/>
      <c r="M144" s="170"/>
    </row>
    <row r="145" spans="1:14" x14ac:dyDescent="0.2">
      <c r="A145" s="18" t="s">
        <v>34</v>
      </c>
      <c r="B145" s="229"/>
      <c r="C145" s="139"/>
      <c r="D145" s="159"/>
      <c r="E145" s="170"/>
      <c r="F145" s="229"/>
      <c r="G145" s="139"/>
      <c r="H145" s="159"/>
      <c r="I145" s="170"/>
      <c r="J145" s="288"/>
      <c r="K145" s="37"/>
      <c r="L145" s="256"/>
      <c r="M145" s="170"/>
    </row>
    <row r="146" spans="1:14" x14ac:dyDescent="0.2">
      <c r="A146" s="298" t="s">
        <v>15</v>
      </c>
      <c r="B146" s="282"/>
      <c r="C146" s="282"/>
      <c r="D146" s="159"/>
      <c r="E146" s="237"/>
      <c r="F146" s="282"/>
      <c r="G146" s="282"/>
      <c r="H146" s="159"/>
      <c r="I146" s="237"/>
      <c r="J146" s="291"/>
      <c r="K146" s="291"/>
      <c r="L146" s="159"/>
      <c r="M146" s="159"/>
    </row>
    <row r="147" spans="1:14" ht="15.75" x14ac:dyDescent="0.2">
      <c r="A147" s="18" t="s">
        <v>344</v>
      </c>
      <c r="B147" s="229"/>
      <c r="C147" s="229"/>
      <c r="D147" s="159"/>
      <c r="E147" s="170"/>
      <c r="F147" s="229"/>
      <c r="G147" s="229"/>
      <c r="H147" s="159"/>
      <c r="I147" s="170"/>
      <c r="J147" s="288"/>
      <c r="K147" s="37"/>
      <c r="L147" s="256"/>
      <c r="M147" s="170"/>
    </row>
    <row r="148" spans="1:14" ht="15.75" x14ac:dyDescent="0.2">
      <c r="A148" s="18" t="s">
        <v>336</v>
      </c>
      <c r="B148" s="229"/>
      <c r="C148" s="229"/>
      <c r="D148" s="159"/>
      <c r="E148" s="170"/>
      <c r="F148" s="229"/>
      <c r="G148" s="229"/>
      <c r="H148" s="159"/>
      <c r="I148" s="170"/>
      <c r="J148" s="288"/>
      <c r="K148" s="37"/>
      <c r="L148" s="256"/>
      <c r="M148" s="170"/>
    </row>
    <row r="149" spans="1:14" ht="15.75" x14ac:dyDescent="0.2">
      <c r="A149" s="18" t="s">
        <v>335</v>
      </c>
      <c r="B149" s="229"/>
      <c r="C149" s="229"/>
      <c r="D149" s="159"/>
      <c r="E149" s="170"/>
      <c r="F149" s="229"/>
      <c r="G149" s="229"/>
      <c r="H149" s="159"/>
      <c r="I149" s="170"/>
      <c r="J149" s="288"/>
      <c r="K149" s="37"/>
      <c r="L149" s="256"/>
      <c r="M149" s="170"/>
    </row>
    <row r="150" spans="1:14" ht="15.75" x14ac:dyDescent="0.2">
      <c r="A150" s="11" t="s">
        <v>26</v>
      </c>
      <c r="B150" s="310"/>
      <c r="C150" s="152"/>
      <c r="D150" s="159"/>
      <c r="E150" s="170"/>
      <c r="F150" s="310"/>
      <c r="G150" s="152"/>
      <c r="H150" s="159"/>
      <c r="I150" s="170"/>
      <c r="J150" s="311"/>
      <c r="K150" s="231"/>
      <c r="L150" s="256"/>
      <c r="M150" s="170"/>
    </row>
    <row r="151" spans="1:14" x14ac:dyDescent="0.2">
      <c r="A151" s="18" t="s">
        <v>9</v>
      </c>
      <c r="B151" s="229"/>
      <c r="C151" s="139"/>
      <c r="D151" s="159"/>
      <c r="E151" s="170"/>
      <c r="F151" s="229"/>
      <c r="G151" s="139"/>
      <c r="H151" s="159"/>
      <c r="I151" s="170"/>
      <c r="J151" s="288"/>
      <c r="K151" s="37"/>
      <c r="L151" s="256"/>
      <c r="M151" s="170"/>
    </row>
    <row r="152" spans="1:14" x14ac:dyDescent="0.2">
      <c r="A152" s="18" t="s">
        <v>10</v>
      </c>
      <c r="B152" s="229"/>
      <c r="C152" s="139"/>
      <c r="D152" s="159"/>
      <c r="E152" s="170"/>
      <c r="F152" s="229"/>
      <c r="G152" s="139"/>
      <c r="H152" s="159"/>
      <c r="I152" s="170"/>
      <c r="J152" s="288"/>
      <c r="K152" s="37"/>
      <c r="L152" s="256"/>
      <c r="M152" s="170"/>
    </row>
    <row r="153" spans="1:14" x14ac:dyDescent="0.2">
      <c r="A153" s="18" t="s">
        <v>34</v>
      </c>
      <c r="B153" s="229"/>
      <c r="C153" s="139"/>
      <c r="D153" s="159"/>
      <c r="E153" s="170"/>
      <c r="F153" s="229"/>
      <c r="G153" s="139"/>
      <c r="H153" s="159"/>
      <c r="I153" s="170"/>
      <c r="J153" s="288"/>
      <c r="K153" s="37"/>
      <c r="L153" s="256"/>
      <c r="M153" s="170"/>
    </row>
    <row r="154" spans="1:14" x14ac:dyDescent="0.2">
      <c r="A154" s="298" t="s">
        <v>14</v>
      </c>
      <c r="B154" s="282"/>
      <c r="C154" s="282"/>
      <c r="D154" s="159"/>
      <c r="E154" s="237"/>
      <c r="F154" s="282"/>
      <c r="G154" s="282"/>
      <c r="H154" s="159"/>
      <c r="I154" s="237"/>
      <c r="J154" s="291"/>
      <c r="K154" s="291"/>
      <c r="L154" s="159"/>
      <c r="M154" s="159"/>
    </row>
    <row r="155" spans="1:14" ht="15.75" x14ac:dyDescent="0.2">
      <c r="A155" s="18" t="s">
        <v>333</v>
      </c>
      <c r="B155" s="229"/>
      <c r="C155" s="229"/>
      <c r="D155" s="159"/>
      <c r="E155" s="170"/>
      <c r="F155" s="229"/>
      <c r="G155" s="229"/>
      <c r="H155" s="159"/>
      <c r="I155" s="170"/>
      <c r="J155" s="288"/>
      <c r="K155" s="37"/>
      <c r="L155" s="256"/>
      <c r="M155" s="170"/>
    </row>
    <row r="156" spans="1:14" ht="15.75" x14ac:dyDescent="0.2">
      <c r="A156" s="18" t="s">
        <v>334</v>
      </c>
      <c r="B156" s="229"/>
      <c r="C156" s="229"/>
      <c r="D156" s="159"/>
      <c r="E156" s="170"/>
      <c r="F156" s="229"/>
      <c r="G156" s="229"/>
      <c r="H156" s="159"/>
      <c r="I156" s="170"/>
      <c r="J156" s="288"/>
      <c r="K156" s="37"/>
      <c r="L156" s="256"/>
      <c r="M156" s="170"/>
    </row>
    <row r="157" spans="1:14" ht="15.75" x14ac:dyDescent="0.2">
      <c r="A157" s="9" t="s">
        <v>335</v>
      </c>
      <c r="B157" s="38"/>
      <c r="C157" s="38"/>
      <c r="D157" s="160"/>
      <c r="E157" s="201"/>
      <c r="F157" s="38"/>
      <c r="G157" s="38"/>
      <c r="H157" s="160"/>
      <c r="I157" s="160"/>
      <c r="J157" s="289"/>
      <c r="K157" s="38"/>
      <c r="L157" s="257"/>
      <c r="M157" s="160"/>
    </row>
    <row r="158" spans="1:14" x14ac:dyDescent="0.2">
      <c r="A158" s="148"/>
      <c r="L158" s="20"/>
      <c r="M158" s="20"/>
      <c r="N158" s="20"/>
    </row>
    <row r="159" spans="1:14" x14ac:dyDescent="0.2">
      <c r="L159" s="20"/>
      <c r="M159" s="20"/>
      <c r="N159" s="20"/>
    </row>
    <row r="160" spans="1:14" ht="15.75" x14ac:dyDescent="0.25">
      <c r="A160" s="158" t="s">
        <v>35</v>
      </c>
    </row>
    <row r="161" spans="1:14" ht="15.75" x14ac:dyDescent="0.25">
      <c r="B161" s="832"/>
      <c r="C161" s="832"/>
      <c r="D161" s="832"/>
      <c r="E161" s="301"/>
      <c r="F161" s="832"/>
      <c r="G161" s="832"/>
      <c r="H161" s="832"/>
      <c r="I161" s="301"/>
      <c r="J161" s="832"/>
      <c r="K161" s="832"/>
      <c r="L161" s="832"/>
      <c r="M161" s="301"/>
    </row>
    <row r="162" spans="1:14" s="3" customFormat="1" x14ac:dyDescent="0.2">
      <c r="A162" s="138"/>
      <c r="B162" s="833" t="s">
        <v>0</v>
      </c>
      <c r="C162" s="834"/>
      <c r="D162" s="834"/>
      <c r="E162" s="303"/>
      <c r="F162" s="833" t="s">
        <v>1</v>
      </c>
      <c r="G162" s="834"/>
      <c r="H162" s="834"/>
      <c r="I162" s="306"/>
      <c r="J162" s="833" t="s">
        <v>2</v>
      </c>
      <c r="K162" s="834"/>
      <c r="L162" s="834"/>
      <c r="M162" s="306"/>
      <c r="N162" s="142"/>
    </row>
    <row r="163" spans="1:14" s="3" customFormat="1" x14ac:dyDescent="0.2">
      <c r="A163" s="134"/>
      <c r="B163" s="145" t="s">
        <v>400</v>
      </c>
      <c r="C163" s="145" t="s">
        <v>401</v>
      </c>
      <c r="D163" s="242" t="s">
        <v>3</v>
      </c>
      <c r="E163" s="307" t="s">
        <v>37</v>
      </c>
      <c r="F163" s="145" t="s">
        <v>400</v>
      </c>
      <c r="G163" s="145" t="s">
        <v>401</v>
      </c>
      <c r="H163" s="242" t="s">
        <v>3</v>
      </c>
      <c r="I163" s="307" t="s">
        <v>37</v>
      </c>
      <c r="J163" s="145" t="s">
        <v>400</v>
      </c>
      <c r="K163" s="145" t="s">
        <v>401</v>
      </c>
      <c r="L163" s="242" t="s">
        <v>3</v>
      </c>
      <c r="M163" s="155" t="s">
        <v>37</v>
      </c>
      <c r="N163" s="142"/>
    </row>
    <row r="164" spans="1:14" s="3" customFormat="1" x14ac:dyDescent="0.2">
      <c r="A164" s="403"/>
      <c r="B164" s="149"/>
      <c r="C164" s="149"/>
      <c r="D164" s="243" t="s">
        <v>4</v>
      </c>
      <c r="E164" s="149" t="s">
        <v>38</v>
      </c>
      <c r="F164" s="154"/>
      <c r="G164" s="154"/>
      <c r="H164" s="242" t="s">
        <v>4</v>
      </c>
      <c r="I164" s="149" t="s">
        <v>38</v>
      </c>
      <c r="J164" s="154"/>
      <c r="K164" s="154"/>
      <c r="L164" s="242" t="s">
        <v>4</v>
      </c>
      <c r="M164" s="149" t="s">
        <v>38</v>
      </c>
      <c r="N164" s="142"/>
    </row>
    <row r="165" spans="1:14" s="3" customFormat="1" ht="15.75" x14ac:dyDescent="0.2">
      <c r="A165" s="12" t="s">
        <v>337</v>
      </c>
      <c r="B165" s="231"/>
      <c r="C165" s="311"/>
      <c r="D165" s="251"/>
      <c r="E165" s="170"/>
      <c r="F165" s="318"/>
      <c r="G165" s="319"/>
      <c r="H165" s="252"/>
      <c r="I165" s="159"/>
      <c r="J165" s="320"/>
      <c r="K165" s="320"/>
      <c r="L165" s="255"/>
      <c r="M165" s="170"/>
      <c r="N165" s="142"/>
    </row>
    <row r="166" spans="1:14" s="3" customFormat="1" ht="15.75" x14ac:dyDescent="0.2">
      <c r="A166" s="11" t="s">
        <v>338</v>
      </c>
      <c r="B166" s="231"/>
      <c r="C166" s="311"/>
      <c r="D166" s="159"/>
      <c r="E166" s="170"/>
      <c r="F166" s="231"/>
      <c r="G166" s="311"/>
      <c r="H166" s="236"/>
      <c r="I166" s="159"/>
      <c r="J166" s="310"/>
      <c r="K166" s="310"/>
      <c r="L166" s="256"/>
      <c r="M166" s="170"/>
      <c r="N166" s="142"/>
    </row>
    <row r="167" spans="1:14" s="3" customFormat="1" ht="15.75" x14ac:dyDescent="0.2">
      <c r="A167" s="11" t="s">
        <v>339</v>
      </c>
      <c r="B167" s="231"/>
      <c r="C167" s="311"/>
      <c r="D167" s="159"/>
      <c r="E167" s="170"/>
      <c r="F167" s="231"/>
      <c r="G167" s="311"/>
      <c r="H167" s="236"/>
      <c r="I167" s="159"/>
      <c r="J167" s="310"/>
      <c r="K167" s="310"/>
      <c r="L167" s="256"/>
      <c r="M167" s="170"/>
      <c r="N167" s="142"/>
    </row>
    <row r="168" spans="1:14" s="3" customFormat="1" ht="15.75" x14ac:dyDescent="0.2">
      <c r="A168" s="11" t="s">
        <v>340</v>
      </c>
      <c r="B168" s="231"/>
      <c r="C168" s="311"/>
      <c r="D168" s="159"/>
      <c r="E168" s="170"/>
      <c r="F168" s="231"/>
      <c r="G168" s="311"/>
      <c r="H168" s="236"/>
      <c r="I168" s="159"/>
      <c r="J168" s="310"/>
      <c r="K168" s="310"/>
      <c r="L168" s="256"/>
      <c r="M168" s="170"/>
      <c r="N168" s="142"/>
    </row>
    <row r="169" spans="1:14" s="3" customFormat="1" ht="15.75" x14ac:dyDescent="0.2">
      <c r="A169" s="34" t="s">
        <v>341</v>
      </c>
      <c r="B169" s="277"/>
      <c r="C169" s="317"/>
      <c r="D169" s="160"/>
      <c r="E169" s="201"/>
      <c r="F169" s="277"/>
      <c r="G169" s="317"/>
      <c r="H169" s="239"/>
      <c r="I169" s="160"/>
      <c r="J169" s="316"/>
      <c r="K169" s="316"/>
      <c r="L169" s="257"/>
      <c r="M169" s="160"/>
      <c r="N169" s="142"/>
    </row>
    <row r="170" spans="1:14" s="3" customFormat="1" x14ac:dyDescent="0.2">
      <c r="A170" s="161"/>
      <c r="B170" s="27"/>
      <c r="C170" s="27"/>
      <c r="D170" s="152"/>
      <c r="E170" s="152"/>
      <c r="F170" s="27"/>
      <c r="G170" s="27"/>
      <c r="H170" s="152"/>
      <c r="I170" s="152"/>
      <c r="J170" s="27"/>
      <c r="K170" s="27"/>
      <c r="L170" s="152"/>
      <c r="M170" s="152"/>
      <c r="N170" s="142"/>
    </row>
    <row r="171" spans="1:14" x14ac:dyDescent="0.2">
      <c r="A171" s="161"/>
      <c r="B171" s="27"/>
      <c r="C171" s="27"/>
      <c r="D171" s="152"/>
      <c r="E171" s="152"/>
      <c r="F171" s="27"/>
      <c r="G171" s="27"/>
      <c r="H171" s="152"/>
      <c r="I171" s="152"/>
      <c r="J171" s="27"/>
      <c r="K171" s="27"/>
      <c r="L171" s="152"/>
      <c r="M171" s="152"/>
      <c r="N171" s="142"/>
    </row>
    <row r="172" spans="1:14" x14ac:dyDescent="0.2">
      <c r="A172" s="161"/>
      <c r="B172" s="27"/>
      <c r="C172" s="27"/>
      <c r="D172" s="152"/>
      <c r="E172" s="152"/>
      <c r="F172" s="27"/>
      <c r="G172" s="27"/>
      <c r="H172" s="152"/>
      <c r="I172" s="152"/>
      <c r="J172" s="27"/>
      <c r="K172" s="27"/>
      <c r="L172" s="152"/>
      <c r="M172" s="152"/>
      <c r="N172" s="142"/>
    </row>
    <row r="173" spans="1:14" x14ac:dyDescent="0.2">
      <c r="A173" s="140"/>
      <c r="B173" s="140"/>
      <c r="C173" s="140"/>
      <c r="D173" s="140"/>
      <c r="E173" s="140"/>
      <c r="F173" s="140"/>
      <c r="G173" s="140"/>
      <c r="H173" s="140"/>
      <c r="I173" s="140"/>
      <c r="J173" s="140"/>
      <c r="K173" s="140"/>
      <c r="L173" s="140"/>
      <c r="M173" s="140"/>
      <c r="N173" s="140"/>
    </row>
    <row r="174" spans="1:14" ht="15.75" x14ac:dyDescent="0.25">
      <c r="B174" s="136"/>
      <c r="C174" s="136"/>
      <c r="D174" s="136"/>
      <c r="E174" s="136"/>
      <c r="F174" s="136"/>
      <c r="G174" s="136"/>
      <c r="H174" s="136"/>
      <c r="I174" s="136"/>
      <c r="J174" s="136"/>
      <c r="K174" s="136"/>
      <c r="L174" s="136"/>
      <c r="M174" s="136"/>
      <c r="N174" s="136"/>
    </row>
    <row r="175" spans="1:14" ht="15.75" x14ac:dyDescent="0.25">
      <c r="B175" s="150"/>
      <c r="C175" s="150"/>
      <c r="D175" s="150"/>
      <c r="E175" s="150"/>
      <c r="F175" s="150"/>
      <c r="G175" s="150"/>
      <c r="H175" s="150"/>
      <c r="I175" s="150"/>
      <c r="J175" s="150"/>
      <c r="K175" s="150"/>
      <c r="L175" s="150"/>
      <c r="M175" s="150"/>
      <c r="N175" s="150"/>
    </row>
    <row r="176" spans="1:14" ht="15.75" x14ac:dyDescent="0.25">
      <c r="B176" s="150"/>
      <c r="C176" s="150"/>
      <c r="D176" s="150"/>
      <c r="E176" s="150"/>
      <c r="F176" s="150"/>
      <c r="G176" s="150"/>
      <c r="H176" s="150"/>
      <c r="I176" s="150"/>
      <c r="J176" s="150"/>
      <c r="K176" s="150"/>
      <c r="L176" s="150"/>
      <c r="M176" s="150"/>
      <c r="N176" s="150"/>
    </row>
  </sheetData>
  <mergeCells count="28">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22:D22"/>
    <mergeCell ref="F22:H22"/>
    <mergeCell ref="J22:L22"/>
    <mergeCell ref="D47:F47"/>
    <mergeCell ref="G47:I47"/>
    <mergeCell ref="J47:L47"/>
  </mergeCells>
  <conditionalFormatting sqref="B57:C59">
    <cfRule type="expression" dxfId="116" priority="117">
      <formula>kvartal &lt; 4</formula>
    </cfRule>
  </conditionalFormatting>
  <conditionalFormatting sqref="B63:C65">
    <cfRule type="expression" dxfId="115" priority="116">
      <formula>kvartal &lt; 4</formula>
    </cfRule>
  </conditionalFormatting>
  <conditionalFormatting sqref="B37">
    <cfRule type="expression" dxfId="114" priority="115">
      <formula>kvartal &lt; 4</formula>
    </cfRule>
  </conditionalFormatting>
  <conditionalFormatting sqref="B38">
    <cfRule type="expression" dxfId="113" priority="114">
      <formula>kvartal &lt; 4</formula>
    </cfRule>
  </conditionalFormatting>
  <conditionalFormatting sqref="B39">
    <cfRule type="expression" dxfId="112" priority="113">
      <formula>kvartal &lt; 4</formula>
    </cfRule>
  </conditionalFormatting>
  <conditionalFormatting sqref="A34">
    <cfRule type="expression" dxfId="111" priority="1">
      <formula>kvartal &lt; 4</formula>
    </cfRule>
  </conditionalFormatting>
  <conditionalFormatting sqref="C37">
    <cfRule type="expression" dxfId="110" priority="112">
      <formula>kvartal &lt; 4</formula>
    </cfRule>
  </conditionalFormatting>
  <conditionalFormatting sqref="C38">
    <cfRule type="expression" dxfId="109" priority="111">
      <formula>kvartal &lt; 4</formula>
    </cfRule>
  </conditionalFormatting>
  <conditionalFormatting sqref="C39">
    <cfRule type="expression" dxfId="108" priority="110">
      <formula>kvartal &lt; 4</formula>
    </cfRule>
  </conditionalFormatting>
  <conditionalFormatting sqref="B26:C28">
    <cfRule type="expression" dxfId="107" priority="109">
      <formula>kvartal &lt; 4</formula>
    </cfRule>
  </conditionalFormatting>
  <conditionalFormatting sqref="B32:C33">
    <cfRule type="expression" dxfId="106" priority="108">
      <formula>kvartal &lt; 4</formula>
    </cfRule>
  </conditionalFormatting>
  <conditionalFormatting sqref="B34">
    <cfRule type="expression" dxfId="105" priority="107">
      <formula>kvartal &lt; 4</formula>
    </cfRule>
  </conditionalFormatting>
  <conditionalFormatting sqref="C34">
    <cfRule type="expression" dxfId="104" priority="106">
      <formula>kvartal &lt; 4</formula>
    </cfRule>
  </conditionalFormatting>
  <conditionalFormatting sqref="F26:G28">
    <cfRule type="expression" dxfId="103" priority="105">
      <formula>kvartal &lt; 4</formula>
    </cfRule>
  </conditionalFormatting>
  <conditionalFormatting sqref="F32">
    <cfRule type="expression" dxfId="102" priority="104">
      <formula>kvartal &lt; 4</formula>
    </cfRule>
  </conditionalFormatting>
  <conditionalFormatting sqref="G32">
    <cfRule type="expression" dxfId="101" priority="103">
      <formula>kvartal &lt; 4</formula>
    </cfRule>
  </conditionalFormatting>
  <conditionalFormatting sqref="F33">
    <cfRule type="expression" dxfId="100" priority="102">
      <formula>kvartal &lt; 4</formula>
    </cfRule>
  </conditionalFormatting>
  <conditionalFormatting sqref="G33">
    <cfRule type="expression" dxfId="99" priority="101">
      <formula>kvartal &lt; 4</formula>
    </cfRule>
  </conditionalFormatting>
  <conditionalFormatting sqref="F34">
    <cfRule type="expression" dxfId="98" priority="100">
      <formula>kvartal &lt; 4</formula>
    </cfRule>
  </conditionalFormatting>
  <conditionalFormatting sqref="G34">
    <cfRule type="expression" dxfId="97" priority="99">
      <formula>kvartal &lt; 4</formula>
    </cfRule>
  </conditionalFormatting>
  <conditionalFormatting sqref="F37">
    <cfRule type="expression" dxfId="96" priority="98">
      <formula>kvartal &lt; 4</formula>
    </cfRule>
  </conditionalFormatting>
  <conditionalFormatting sqref="F38">
    <cfRule type="expression" dxfId="95" priority="97">
      <formula>kvartal &lt; 4</formula>
    </cfRule>
  </conditionalFormatting>
  <conditionalFormatting sqref="F39">
    <cfRule type="expression" dxfId="94" priority="96">
      <formula>kvartal &lt; 4</formula>
    </cfRule>
  </conditionalFormatting>
  <conditionalFormatting sqref="G37">
    <cfRule type="expression" dxfId="93" priority="95">
      <formula>kvartal &lt; 4</formula>
    </cfRule>
  </conditionalFormatting>
  <conditionalFormatting sqref="G38">
    <cfRule type="expression" dxfId="92" priority="94">
      <formula>kvartal &lt; 4</formula>
    </cfRule>
  </conditionalFormatting>
  <conditionalFormatting sqref="G39">
    <cfRule type="expression" dxfId="91" priority="93">
      <formula>kvartal &lt; 4</formula>
    </cfRule>
  </conditionalFormatting>
  <conditionalFormatting sqref="B29">
    <cfRule type="expression" dxfId="90" priority="92">
      <formula>kvartal &lt; 4</formula>
    </cfRule>
  </conditionalFormatting>
  <conditionalFormatting sqref="C29">
    <cfRule type="expression" dxfId="89" priority="91">
      <formula>kvartal &lt; 4</formula>
    </cfRule>
  </conditionalFormatting>
  <conditionalFormatting sqref="F29">
    <cfRule type="expression" dxfId="88" priority="90">
      <formula>kvartal &lt; 4</formula>
    </cfRule>
  </conditionalFormatting>
  <conditionalFormatting sqref="G29">
    <cfRule type="expression" dxfId="87" priority="89">
      <formula>kvartal &lt; 4</formula>
    </cfRule>
  </conditionalFormatting>
  <conditionalFormatting sqref="J26:K29">
    <cfRule type="expression" dxfId="86" priority="88">
      <formula>kvartal &lt; 4</formula>
    </cfRule>
  </conditionalFormatting>
  <conditionalFormatting sqref="J32:K34">
    <cfRule type="expression" dxfId="85" priority="87">
      <formula>kvartal &lt; 4</formula>
    </cfRule>
  </conditionalFormatting>
  <conditionalFormatting sqref="J37:K39">
    <cfRule type="expression" dxfId="84" priority="86">
      <formula>kvartal &lt; 4</formula>
    </cfRule>
  </conditionalFormatting>
  <conditionalFormatting sqref="B82">
    <cfRule type="expression" dxfId="83" priority="85">
      <formula>kvartal &lt; 4</formula>
    </cfRule>
  </conditionalFormatting>
  <conditionalFormatting sqref="C82">
    <cfRule type="expression" dxfId="82" priority="84">
      <formula>kvartal &lt; 4</formula>
    </cfRule>
  </conditionalFormatting>
  <conditionalFormatting sqref="B85">
    <cfRule type="expression" dxfId="81" priority="83">
      <formula>kvartal &lt; 4</formula>
    </cfRule>
  </conditionalFormatting>
  <conditionalFormatting sqref="C85">
    <cfRule type="expression" dxfId="80" priority="82">
      <formula>kvartal &lt; 4</formula>
    </cfRule>
  </conditionalFormatting>
  <conditionalFormatting sqref="B92">
    <cfRule type="expression" dxfId="79" priority="81">
      <formula>kvartal &lt; 4</formula>
    </cfRule>
  </conditionalFormatting>
  <conditionalFormatting sqref="C92">
    <cfRule type="expression" dxfId="78" priority="80">
      <formula>kvartal &lt; 4</formula>
    </cfRule>
  </conditionalFormatting>
  <conditionalFormatting sqref="B95">
    <cfRule type="expression" dxfId="77" priority="79">
      <formula>kvartal &lt; 4</formula>
    </cfRule>
  </conditionalFormatting>
  <conditionalFormatting sqref="C95">
    <cfRule type="expression" dxfId="76" priority="78">
      <formula>kvartal &lt; 4</formula>
    </cfRule>
  </conditionalFormatting>
  <conditionalFormatting sqref="B102">
    <cfRule type="expression" dxfId="75" priority="77">
      <formula>kvartal &lt; 4</formula>
    </cfRule>
  </conditionalFormatting>
  <conditionalFormatting sqref="C102">
    <cfRule type="expression" dxfId="74" priority="76">
      <formula>kvartal &lt; 4</formula>
    </cfRule>
  </conditionalFormatting>
  <conditionalFormatting sqref="B105">
    <cfRule type="expression" dxfId="73" priority="75">
      <formula>kvartal &lt; 4</formula>
    </cfRule>
  </conditionalFormatting>
  <conditionalFormatting sqref="C105">
    <cfRule type="expression" dxfId="72" priority="74">
      <formula>kvartal &lt; 4</formula>
    </cfRule>
  </conditionalFormatting>
  <conditionalFormatting sqref="B112">
    <cfRule type="expression" dxfId="71" priority="73">
      <formula>kvartal &lt; 4</formula>
    </cfRule>
  </conditionalFormatting>
  <conditionalFormatting sqref="C112">
    <cfRule type="expression" dxfId="70" priority="72">
      <formula>kvartal &lt; 4</formula>
    </cfRule>
  </conditionalFormatting>
  <conditionalFormatting sqref="B115">
    <cfRule type="expression" dxfId="69" priority="71">
      <formula>kvartal &lt; 4</formula>
    </cfRule>
  </conditionalFormatting>
  <conditionalFormatting sqref="C115">
    <cfRule type="expression" dxfId="68" priority="70">
      <formula>kvartal &lt; 4</formula>
    </cfRule>
  </conditionalFormatting>
  <conditionalFormatting sqref="B122">
    <cfRule type="expression" dxfId="67" priority="69">
      <formula>kvartal &lt; 4</formula>
    </cfRule>
  </conditionalFormatting>
  <conditionalFormatting sqref="C122">
    <cfRule type="expression" dxfId="66" priority="68">
      <formula>kvartal &lt; 4</formula>
    </cfRule>
  </conditionalFormatting>
  <conditionalFormatting sqref="B125">
    <cfRule type="expression" dxfId="65" priority="67">
      <formula>kvartal &lt; 4</formula>
    </cfRule>
  </conditionalFormatting>
  <conditionalFormatting sqref="C125">
    <cfRule type="expression" dxfId="64" priority="66">
      <formula>kvartal &lt; 4</formula>
    </cfRule>
  </conditionalFormatting>
  <conditionalFormatting sqref="B132">
    <cfRule type="expression" dxfId="63" priority="65">
      <formula>kvartal &lt; 4</formula>
    </cfRule>
  </conditionalFormatting>
  <conditionalFormatting sqref="C132">
    <cfRule type="expression" dxfId="62" priority="64">
      <formula>kvartal &lt; 4</formula>
    </cfRule>
  </conditionalFormatting>
  <conditionalFormatting sqref="B135">
    <cfRule type="expression" dxfId="61" priority="63">
      <formula>kvartal &lt; 4</formula>
    </cfRule>
  </conditionalFormatting>
  <conditionalFormatting sqref="C135">
    <cfRule type="expression" dxfId="60" priority="62">
      <formula>kvartal &lt; 4</formula>
    </cfRule>
  </conditionalFormatting>
  <conditionalFormatting sqref="B146">
    <cfRule type="expression" dxfId="59" priority="61">
      <formula>kvartal &lt; 4</formula>
    </cfRule>
  </conditionalFormatting>
  <conditionalFormatting sqref="C146">
    <cfRule type="expression" dxfId="58" priority="60">
      <formula>kvartal &lt; 4</formula>
    </cfRule>
  </conditionalFormatting>
  <conditionalFormatting sqref="B154">
    <cfRule type="expression" dxfId="57" priority="59">
      <formula>kvartal &lt; 4</formula>
    </cfRule>
  </conditionalFormatting>
  <conditionalFormatting sqref="C154">
    <cfRule type="expression" dxfId="56" priority="58">
      <formula>kvartal &lt; 4</formula>
    </cfRule>
  </conditionalFormatting>
  <conditionalFormatting sqref="F83">
    <cfRule type="expression" dxfId="55" priority="57">
      <formula>kvartal &lt; 4</formula>
    </cfRule>
  </conditionalFormatting>
  <conditionalFormatting sqref="G83">
    <cfRule type="expression" dxfId="54" priority="56">
      <formula>kvartal &lt; 4</formula>
    </cfRule>
  </conditionalFormatting>
  <conditionalFormatting sqref="F84:G84">
    <cfRule type="expression" dxfId="53" priority="55">
      <formula>kvartal &lt; 4</formula>
    </cfRule>
  </conditionalFormatting>
  <conditionalFormatting sqref="F86:G87">
    <cfRule type="expression" dxfId="52" priority="54">
      <formula>kvartal &lt; 4</formula>
    </cfRule>
  </conditionalFormatting>
  <conditionalFormatting sqref="F93:G94">
    <cfRule type="expression" dxfId="51" priority="53">
      <formula>kvartal &lt; 4</formula>
    </cfRule>
  </conditionalFormatting>
  <conditionalFormatting sqref="F96:G97">
    <cfRule type="expression" dxfId="50" priority="52">
      <formula>kvartal &lt; 4</formula>
    </cfRule>
  </conditionalFormatting>
  <conditionalFormatting sqref="F103:G104">
    <cfRule type="expression" dxfId="49" priority="51">
      <formula>kvartal &lt; 4</formula>
    </cfRule>
  </conditionalFormatting>
  <conditionalFormatting sqref="F106:G107">
    <cfRule type="expression" dxfId="48" priority="50">
      <formula>kvartal &lt; 4</formula>
    </cfRule>
  </conditionalFormatting>
  <conditionalFormatting sqref="F113:G114">
    <cfRule type="expression" dxfId="47" priority="49">
      <formula>kvartal &lt; 4</formula>
    </cfRule>
  </conditionalFormatting>
  <conditionalFormatting sqref="F116:G117">
    <cfRule type="expression" dxfId="46" priority="48">
      <formula>kvartal &lt; 4</formula>
    </cfRule>
  </conditionalFormatting>
  <conditionalFormatting sqref="F123:G124">
    <cfRule type="expression" dxfId="45" priority="47">
      <formula>kvartal &lt; 4</formula>
    </cfRule>
  </conditionalFormatting>
  <conditionalFormatting sqref="F126:G127">
    <cfRule type="expression" dxfId="44" priority="46">
      <formula>kvartal &lt; 4</formula>
    </cfRule>
  </conditionalFormatting>
  <conditionalFormatting sqref="F133:G134">
    <cfRule type="expression" dxfId="43" priority="45">
      <formula>kvartal &lt; 4</formula>
    </cfRule>
  </conditionalFormatting>
  <conditionalFormatting sqref="F136:G137">
    <cfRule type="expression" dxfId="42" priority="44">
      <formula>kvartal &lt; 4</formula>
    </cfRule>
  </conditionalFormatting>
  <conditionalFormatting sqref="F146">
    <cfRule type="expression" dxfId="41" priority="43">
      <formula>kvartal &lt; 4</formula>
    </cfRule>
  </conditionalFormatting>
  <conditionalFormatting sqref="G146">
    <cfRule type="expression" dxfId="40" priority="42">
      <formula>kvartal &lt; 4</formula>
    </cfRule>
  </conditionalFormatting>
  <conditionalFormatting sqref="F154:G154">
    <cfRule type="expression" dxfId="39" priority="41">
      <formula>kvartal &lt; 4</formula>
    </cfRule>
  </conditionalFormatting>
  <conditionalFormatting sqref="F82:G82">
    <cfRule type="expression" dxfId="38" priority="40">
      <formula>kvartal &lt; 4</formula>
    </cfRule>
  </conditionalFormatting>
  <conditionalFormatting sqref="F85:G85">
    <cfRule type="expression" dxfId="37" priority="39">
      <formula>kvartal &lt; 4</formula>
    </cfRule>
  </conditionalFormatting>
  <conditionalFormatting sqref="F92:G92">
    <cfRule type="expression" dxfId="36" priority="38">
      <formula>kvartal &lt; 4</formula>
    </cfRule>
  </conditionalFormatting>
  <conditionalFormatting sqref="F95:G95">
    <cfRule type="expression" dxfId="35" priority="37">
      <formula>kvartal &lt; 4</formula>
    </cfRule>
  </conditionalFormatting>
  <conditionalFormatting sqref="F102:G102">
    <cfRule type="expression" dxfId="34" priority="36">
      <formula>kvartal &lt; 4</formula>
    </cfRule>
  </conditionalFormatting>
  <conditionalFormatting sqref="F105:G105">
    <cfRule type="expression" dxfId="33" priority="35">
      <formula>kvartal &lt; 4</formula>
    </cfRule>
  </conditionalFormatting>
  <conditionalFormatting sqref="F112:G112">
    <cfRule type="expression" dxfId="32" priority="34">
      <formula>kvartal &lt; 4</formula>
    </cfRule>
  </conditionalFormatting>
  <conditionalFormatting sqref="F115">
    <cfRule type="expression" dxfId="31" priority="33">
      <formula>kvartal &lt; 4</formula>
    </cfRule>
  </conditionalFormatting>
  <conditionalFormatting sqref="G115">
    <cfRule type="expression" dxfId="30" priority="32">
      <formula>kvartal &lt; 4</formula>
    </cfRule>
  </conditionalFormatting>
  <conditionalFormatting sqref="F122:G122">
    <cfRule type="expression" dxfId="29" priority="31">
      <formula>kvartal &lt; 4</formula>
    </cfRule>
  </conditionalFormatting>
  <conditionalFormatting sqref="F125">
    <cfRule type="expression" dxfId="28" priority="30">
      <formula>kvartal &lt; 4</formula>
    </cfRule>
  </conditionalFormatting>
  <conditionalFormatting sqref="G125">
    <cfRule type="expression" dxfId="27" priority="29">
      <formula>kvartal &lt; 4</formula>
    </cfRule>
  </conditionalFormatting>
  <conditionalFormatting sqref="F132">
    <cfRule type="expression" dxfId="26" priority="28">
      <formula>kvartal &lt; 4</formula>
    </cfRule>
  </conditionalFormatting>
  <conditionalFormatting sqref="G132">
    <cfRule type="expression" dxfId="25" priority="27">
      <formula>kvartal &lt; 4</formula>
    </cfRule>
  </conditionalFormatting>
  <conditionalFormatting sqref="G135">
    <cfRule type="expression" dxfId="24" priority="26">
      <formula>kvartal &lt; 4</formula>
    </cfRule>
  </conditionalFormatting>
  <conditionalFormatting sqref="F135">
    <cfRule type="expression" dxfId="23" priority="25">
      <formula>kvartal &lt; 4</formula>
    </cfRule>
  </conditionalFormatting>
  <conditionalFormatting sqref="J82:K86">
    <cfRule type="expression" dxfId="22" priority="24">
      <formula>kvartal &lt; 4</formula>
    </cfRule>
  </conditionalFormatting>
  <conditionalFormatting sqref="J87:K87">
    <cfRule type="expression" dxfId="21" priority="23">
      <formula>kvartal &lt; 4</formula>
    </cfRule>
  </conditionalFormatting>
  <conditionalFormatting sqref="J92:K97">
    <cfRule type="expression" dxfId="20" priority="22">
      <formula>kvartal &lt; 4</formula>
    </cfRule>
  </conditionalFormatting>
  <conditionalFormatting sqref="J102:K107">
    <cfRule type="expression" dxfId="19" priority="21">
      <formula>kvartal &lt; 4</formula>
    </cfRule>
  </conditionalFormatting>
  <conditionalFormatting sqref="J112:K117">
    <cfRule type="expression" dxfId="18" priority="20">
      <formula>kvartal &lt; 4</formula>
    </cfRule>
  </conditionalFormatting>
  <conditionalFormatting sqref="J122:K127">
    <cfRule type="expression" dxfId="17" priority="19">
      <formula>kvartal &lt; 4</formula>
    </cfRule>
  </conditionalFormatting>
  <conditionalFormatting sqref="J132:K137">
    <cfRule type="expression" dxfId="16" priority="18">
      <formula>kvartal &lt; 4</formula>
    </cfRule>
  </conditionalFormatting>
  <conditionalFormatting sqref="J146:K146">
    <cfRule type="expression" dxfId="15" priority="17">
      <formula>kvartal &lt; 4</formula>
    </cfRule>
  </conditionalFormatting>
  <conditionalFormatting sqref="J154:K154">
    <cfRule type="expression" dxfId="14" priority="16">
      <formula>kvartal &lt; 4</formula>
    </cfRule>
  </conditionalFormatting>
  <conditionalFormatting sqref="A26:A28">
    <cfRule type="expression" dxfId="13" priority="15">
      <formula>kvartal &lt; 4</formula>
    </cfRule>
  </conditionalFormatting>
  <conditionalFormatting sqref="A32:A33">
    <cfRule type="expression" dxfId="12" priority="14">
      <formula>kvartal &lt; 4</formula>
    </cfRule>
  </conditionalFormatting>
  <conditionalFormatting sqref="A37:A39">
    <cfRule type="expression" dxfId="11" priority="13">
      <formula>kvartal &lt; 4</formula>
    </cfRule>
  </conditionalFormatting>
  <conditionalFormatting sqref="A57:A59">
    <cfRule type="expression" dxfId="10" priority="12">
      <formula>kvartal &lt; 4</formula>
    </cfRule>
  </conditionalFormatting>
  <conditionalFormatting sqref="A63:A65">
    <cfRule type="expression" dxfId="9" priority="11">
      <formula>kvartal &lt; 4</formula>
    </cfRule>
  </conditionalFormatting>
  <conditionalFormatting sqref="A82:A87">
    <cfRule type="expression" dxfId="8" priority="10">
      <formula>kvartal &lt; 4</formula>
    </cfRule>
  </conditionalFormatting>
  <conditionalFormatting sqref="A92:A97">
    <cfRule type="expression" dxfId="7" priority="9">
      <formula>kvartal &lt; 4</formula>
    </cfRule>
  </conditionalFormatting>
  <conditionalFormatting sqref="A102:A107">
    <cfRule type="expression" dxfId="6" priority="8">
      <formula>kvartal &lt; 4</formula>
    </cfRule>
  </conditionalFormatting>
  <conditionalFormatting sqref="A112:A117">
    <cfRule type="expression" dxfId="5" priority="7">
      <formula>kvartal &lt; 4</formula>
    </cfRule>
  </conditionalFormatting>
  <conditionalFormatting sqref="A122:A127">
    <cfRule type="expression" dxfId="4" priority="6">
      <formula>kvartal &lt; 4</formula>
    </cfRule>
  </conditionalFormatting>
  <conditionalFormatting sqref="A132:A137">
    <cfRule type="expression" dxfId="3" priority="5">
      <formula>kvartal &lt; 4</formula>
    </cfRule>
  </conditionalFormatting>
  <conditionalFormatting sqref="A146">
    <cfRule type="expression" dxfId="2" priority="4">
      <formula>kvartal &lt; 4</formula>
    </cfRule>
  </conditionalFormatting>
  <conditionalFormatting sqref="A154">
    <cfRule type="expression" dxfId="1" priority="3">
      <formula>kvartal &lt; 4</formula>
    </cfRule>
  </conditionalFormatting>
  <conditionalFormatting sqref="A29">
    <cfRule type="expression" dxfId="0" priority="2">
      <formula>kvartal &lt; 4</formula>
    </cfRule>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4"/>
  <sheetViews>
    <sheetView showGridLines="0" zoomScale="60" zoomScaleNormal="60" workbookViewId="0">
      <pane xSplit="1" ySplit="8" topLeftCell="B9" activePane="bottomRight" state="frozen"/>
      <selection activeCell="E34" sqref="E34"/>
      <selection pane="topRight" activeCell="E34" sqref="E34"/>
      <selection pane="bottomLeft" activeCell="E34" sqref="E34"/>
      <selection pane="bottomRight" activeCell="A4" sqref="A4"/>
    </sheetView>
  </sheetViews>
  <sheetFormatPr baseColWidth="10" defaultColWidth="11.42578125" defaultRowHeight="12.75" x14ac:dyDescent="0.2"/>
  <cols>
    <col min="1" max="1" width="90" style="408" customWidth="1"/>
    <col min="2" max="46" width="11.7109375" style="408" customWidth="1"/>
    <col min="47" max="16384" width="11.42578125" style="408"/>
  </cols>
  <sheetData>
    <row r="1" spans="1:46" ht="20.25" x14ac:dyDescent="0.3">
      <c r="A1" s="404" t="s">
        <v>345</v>
      </c>
      <c r="B1" s="405" t="s">
        <v>64</v>
      </c>
      <c r="C1" s="404"/>
      <c r="D1" s="404"/>
      <c r="E1" s="404"/>
      <c r="F1" s="404"/>
      <c r="G1" s="404"/>
      <c r="H1" s="404"/>
      <c r="I1" s="404"/>
      <c r="J1" s="404"/>
    </row>
    <row r="2" spans="1:46" ht="20.25" x14ac:dyDescent="0.3">
      <c r="A2" s="404" t="s">
        <v>290</v>
      </c>
    </row>
    <row r="3" spans="1:46" ht="18.75" x14ac:dyDescent="0.3">
      <c r="A3" s="409" t="s">
        <v>346</v>
      </c>
      <c r="B3" s="410"/>
      <c r="C3" s="410"/>
      <c r="D3" s="410"/>
      <c r="E3" s="410"/>
      <c r="F3" s="410"/>
      <c r="G3" s="410"/>
      <c r="H3" s="410"/>
      <c r="I3" s="410"/>
      <c r="J3" s="410"/>
      <c r="AR3" s="411"/>
    </row>
    <row r="4" spans="1:46" ht="18.75" customHeight="1" x14ac:dyDescent="0.25">
      <c r="A4" s="412" t="s">
        <v>403</v>
      </c>
      <c r="B4" s="413"/>
      <c r="C4" s="413"/>
      <c r="D4" s="414"/>
      <c r="E4" s="415"/>
      <c r="F4" s="413"/>
      <c r="G4" s="414"/>
      <c r="H4" s="415"/>
      <c r="I4" s="413"/>
      <c r="J4" s="414"/>
      <c r="K4" s="416"/>
      <c r="L4" s="416"/>
      <c r="M4" s="416"/>
      <c r="N4" s="417">
        <v>21</v>
      </c>
      <c r="O4" s="416"/>
      <c r="P4" s="418"/>
      <c r="Q4" s="417"/>
      <c r="R4" s="416"/>
      <c r="S4" s="418"/>
      <c r="T4" s="417"/>
      <c r="U4" s="416"/>
      <c r="V4" s="418"/>
      <c r="W4" s="417"/>
      <c r="X4" s="416"/>
      <c r="Y4" s="418"/>
      <c r="Z4" s="417"/>
      <c r="AA4" s="416"/>
      <c r="AB4" s="418"/>
      <c r="AC4" s="417"/>
      <c r="AD4" s="416"/>
      <c r="AE4" s="418"/>
      <c r="AF4" s="417"/>
      <c r="AG4" s="416"/>
      <c r="AH4" s="418"/>
      <c r="AI4" s="417"/>
      <c r="AJ4" s="416"/>
      <c r="AK4" s="418"/>
      <c r="AL4" s="417"/>
      <c r="AM4" s="416"/>
      <c r="AN4" s="418"/>
      <c r="AO4" s="419"/>
      <c r="AP4" s="420"/>
      <c r="AQ4" s="421"/>
      <c r="AR4" s="417"/>
      <c r="AS4" s="416"/>
      <c r="AT4" s="422"/>
    </row>
    <row r="5" spans="1:46" ht="18.75" customHeight="1" x14ac:dyDescent="0.3">
      <c r="A5" s="423" t="s">
        <v>125</v>
      </c>
      <c r="B5" s="845" t="s">
        <v>209</v>
      </c>
      <c r="C5" s="846"/>
      <c r="D5" s="847"/>
      <c r="E5" s="845" t="s">
        <v>210</v>
      </c>
      <c r="F5" s="846"/>
      <c r="G5" s="847"/>
      <c r="H5" s="851" t="s">
        <v>211</v>
      </c>
      <c r="I5" s="852"/>
      <c r="J5" s="853"/>
      <c r="K5" s="845" t="s">
        <v>212</v>
      </c>
      <c r="L5" s="846"/>
      <c r="M5" s="847"/>
      <c r="N5" s="851" t="s">
        <v>213</v>
      </c>
      <c r="O5" s="852"/>
      <c r="P5" s="853"/>
      <c r="Q5" s="845"/>
      <c r="R5" s="846"/>
      <c r="S5" s="847"/>
      <c r="T5" s="845" t="s">
        <v>76</v>
      </c>
      <c r="U5" s="846"/>
      <c r="V5" s="847"/>
      <c r="W5" s="424"/>
      <c r="X5" s="425"/>
      <c r="Y5" s="426"/>
      <c r="Z5" s="851" t="s">
        <v>214</v>
      </c>
      <c r="AA5" s="852"/>
      <c r="AB5" s="853"/>
      <c r="AC5" s="424"/>
      <c r="AD5" s="425"/>
      <c r="AE5" s="426"/>
      <c r="AF5" s="845" t="s">
        <v>88</v>
      </c>
      <c r="AG5" s="846"/>
      <c r="AH5" s="847"/>
      <c r="AI5" s="845"/>
      <c r="AJ5" s="846"/>
      <c r="AK5" s="847"/>
      <c r="AL5" s="845" t="s">
        <v>89</v>
      </c>
      <c r="AM5" s="846"/>
      <c r="AN5" s="847"/>
      <c r="AO5" s="854" t="s">
        <v>2</v>
      </c>
      <c r="AP5" s="855"/>
      <c r="AQ5" s="856"/>
      <c r="AR5" s="845" t="s">
        <v>347</v>
      </c>
      <c r="AS5" s="846"/>
      <c r="AT5" s="847"/>
    </row>
    <row r="6" spans="1:46" ht="21" customHeight="1" x14ac:dyDescent="0.3">
      <c r="A6" s="427"/>
      <c r="B6" s="839" t="s">
        <v>215</v>
      </c>
      <c r="C6" s="840"/>
      <c r="D6" s="841"/>
      <c r="E6" s="839" t="s">
        <v>216</v>
      </c>
      <c r="F6" s="840"/>
      <c r="G6" s="841"/>
      <c r="H6" s="848" t="s">
        <v>216</v>
      </c>
      <c r="I6" s="849"/>
      <c r="J6" s="850"/>
      <c r="K6" s="839" t="s">
        <v>217</v>
      </c>
      <c r="L6" s="840"/>
      <c r="M6" s="841"/>
      <c r="N6" s="848" t="s">
        <v>111</v>
      </c>
      <c r="O6" s="849"/>
      <c r="P6" s="850"/>
      <c r="Q6" s="839" t="s">
        <v>76</v>
      </c>
      <c r="R6" s="840"/>
      <c r="S6" s="841"/>
      <c r="T6" s="839" t="s">
        <v>218</v>
      </c>
      <c r="U6" s="840"/>
      <c r="V6" s="841"/>
      <c r="W6" s="839" t="s">
        <v>81</v>
      </c>
      <c r="X6" s="840"/>
      <c r="Y6" s="841"/>
      <c r="Z6" s="848" t="s">
        <v>215</v>
      </c>
      <c r="AA6" s="849"/>
      <c r="AB6" s="850"/>
      <c r="AC6" s="839" t="s">
        <v>87</v>
      </c>
      <c r="AD6" s="840"/>
      <c r="AE6" s="841"/>
      <c r="AF6" s="839" t="s">
        <v>219</v>
      </c>
      <c r="AG6" s="840"/>
      <c r="AH6" s="841"/>
      <c r="AI6" s="839" t="s">
        <v>83</v>
      </c>
      <c r="AJ6" s="840"/>
      <c r="AK6" s="841"/>
      <c r="AL6" s="839" t="s">
        <v>216</v>
      </c>
      <c r="AM6" s="840"/>
      <c r="AN6" s="841"/>
      <c r="AO6" s="842" t="s">
        <v>348</v>
      </c>
      <c r="AP6" s="843"/>
      <c r="AQ6" s="844"/>
      <c r="AR6" s="839" t="s">
        <v>349</v>
      </c>
      <c r="AS6" s="840"/>
      <c r="AT6" s="841"/>
    </row>
    <row r="7" spans="1:46" ht="18.75" customHeight="1" x14ac:dyDescent="0.3">
      <c r="A7" s="427"/>
      <c r="B7" s="427"/>
      <c r="C7" s="427"/>
      <c r="D7" s="428" t="s">
        <v>100</v>
      </c>
      <c r="E7" s="427"/>
      <c r="F7" s="427"/>
      <c r="G7" s="428" t="s">
        <v>100</v>
      </c>
      <c r="H7" s="427"/>
      <c r="I7" s="427"/>
      <c r="J7" s="428" t="s">
        <v>100</v>
      </c>
      <c r="K7" s="427"/>
      <c r="L7" s="427"/>
      <c r="M7" s="428" t="s">
        <v>100</v>
      </c>
      <c r="N7" s="427"/>
      <c r="O7" s="427"/>
      <c r="P7" s="428" t="s">
        <v>100</v>
      </c>
      <c r="Q7" s="427"/>
      <c r="R7" s="427"/>
      <c r="S7" s="428" t="s">
        <v>100</v>
      </c>
      <c r="T7" s="427"/>
      <c r="U7" s="427"/>
      <c r="V7" s="428" t="s">
        <v>100</v>
      </c>
      <c r="W7" s="427"/>
      <c r="X7" s="427"/>
      <c r="Y7" s="428" t="s">
        <v>100</v>
      </c>
      <c r="Z7" s="427"/>
      <c r="AA7" s="427"/>
      <c r="AB7" s="428" t="s">
        <v>100</v>
      </c>
      <c r="AC7" s="427"/>
      <c r="AD7" s="427"/>
      <c r="AE7" s="428" t="s">
        <v>100</v>
      </c>
      <c r="AF7" s="427"/>
      <c r="AG7" s="427"/>
      <c r="AH7" s="428" t="s">
        <v>100</v>
      </c>
      <c r="AI7" s="427"/>
      <c r="AJ7" s="427"/>
      <c r="AK7" s="428" t="s">
        <v>100</v>
      </c>
      <c r="AL7" s="427"/>
      <c r="AM7" s="427"/>
      <c r="AN7" s="428" t="s">
        <v>100</v>
      </c>
      <c r="AO7" s="427"/>
      <c r="AP7" s="427"/>
      <c r="AQ7" s="428" t="s">
        <v>100</v>
      </c>
      <c r="AR7" s="427"/>
      <c r="AS7" s="427"/>
      <c r="AT7" s="428" t="s">
        <v>100</v>
      </c>
    </row>
    <row r="8" spans="1:46" ht="18.75" customHeight="1" x14ac:dyDescent="0.25">
      <c r="A8" s="429" t="s">
        <v>350</v>
      </c>
      <c r="B8" s="430">
        <v>2015</v>
      </c>
      <c r="C8" s="430">
        <v>2016</v>
      </c>
      <c r="D8" s="431" t="s">
        <v>102</v>
      </c>
      <c r="E8" s="430">
        <v>2015</v>
      </c>
      <c r="F8" s="430">
        <v>2016</v>
      </c>
      <c r="G8" s="431" t="s">
        <v>102</v>
      </c>
      <c r="H8" s="430">
        <v>2015</v>
      </c>
      <c r="I8" s="430">
        <v>2016</v>
      </c>
      <c r="J8" s="431" t="s">
        <v>102</v>
      </c>
      <c r="K8" s="430">
        <v>2015</v>
      </c>
      <c r="L8" s="430">
        <v>2016</v>
      </c>
      <c r="M8" s="431" t="s">
        <v>102</v>
      </c>
      <c r="N8" s="430">
        <v>2015</v>
      </c>
      <c r="O8" s="430">
        <v>2016</v>
      </c>
      <c r="P8" s="431" t="s">
        <v>102</v>
      </c>
      <c r="Q8" s="430">
        <v>2015</v>
      </c>
      <c r="R8" s="430">
        <v>2016</v>
      </c>
      <c r="S8" s="431" t="s">
        <v>102</v>
      </c>
      <c r="T8" s="430">
        <v>2015</v>
      </c>
      <c r="U8" s="430">
        <v>2016</v>
      </c>
      <c r="V8" s="431" t="s">
        <v>102</v>
      </c>
      <c r="W8" s="430">
        <v>2015</v>
      </c>
      <c r="X8" s="430">
        <v>2016</v>
      </c>
      <c r="Y8" s="431" t="s">
        <v>102</v>
      </c>
      <c r="Z8" s="430">
        <v>2015</v>
      </c>
      <c r="AA8" s="430">
        <v>2016</v>
      </c>
      <c r="AB8" s="431" t="s">
        <v>102</v>
      </c>
      <c r="AC8" s="430">
        <v>2015</v>
      </c>
      <c r="AD8" s="430">
        <v>2016</v>
      </c>
      <c r="AE8" s="431" t="s">
        <v>102</v>
      </c>
      <c r="AF8" s="430">
        <v>2015</v>
      </c>
      <c r="AG8" s="430">
        <v>2016</v>
      </c>
      <c r="AH8" s="431" t="s">
        <v>102</v>
      </c>
      <c r="AI8" s="430">
        <v>2015</v>
      </c>
      <c r="AJ8" s="430">
        <v>2016</v>
      </c>
      <c r="AK8" s="431" t="s">
        <v>102</v>
      </c>
      <c r="AL8" s="430">
        <v>2015</v>
      </c>
      <c r="AM8" s="430">
        <v>2016</v>
      </c>
      <c r="AN8" s="431" t="s">
        <v>102</v>
      </c>
      <c r="AO8" s="430">
        <v>2015</v>
      </c>
      <c r="AP8" s="430">
        <v>2016</v>
      </c>
      <c r="AQ8" s="431" t="s">
        <v>102</v>
      </c>
      <c r="AR8" s="430">
        <v>2015</v>
      </c>
      <c r="AS8" s="430">
        <v>2016</v>
      </c>
      <c r="AT8" s="431" t="s">
        <v>102</v>
      </c>
    </row>
    <row r="9" spans="1:46" ht="18.75" customHeight="1" x14ac:dyDescent="0.3">
      <c r="A9" s="427" t="s">
        <v>351</v>
      </c>
      <c r="B9" s="432"/>
      <c r="C9" s="433"/>
      <c r="D9" s="434"/>
      <c r="E9" s="432"/>
      <c r="F9" s="435"/>
      <c r="G9" s="434"/>
      <c r="H9" s="432"/>
      <c r="I9" s="433"/>
      <c r="J9" s="434"/>
      <c r="K9" s="432"/>
      <c r="L9" s="433"/>
      <c r="M9" s="433"/>
      <c r="N9" s="436"/>
      <c r="O9" s="437"/>
      <c r="P9" s="434"/>
      <c r="Q9" s="438"/>
      <c r="R9" s="434"/>
      <c r="S9" s="434"/>
      <c r="T9" s="432"/>
      <c r="U9" s="433"/>
      <c r="V9" s="434"/>
      <c r="W9" s="432"/>
      <c r="X9" s="433"/>
      <c r="Y9" s="434"/>
      <c r="Z9" s="438"/>
      <c r="AA9" s="434"/>
      <c r="AB9" s="434"/>
      <c r="AC9" s="432"/>
      <c r="AD9" s="433"/>
      <c r="AE9" s="434"/>
      <c r="AF9" s="438"/>
      <c r="AG9" s="434"/>
      <c r="AH9" s="434"/>
      <c r="AI9" s="432"/>
      <c r="AJ9" s="433"/>
      <c r="AK9" s="434"/>
      <c r="AL9" s="432"/>
      <c r="AM9" s="433"/>
      <c r="AN9" s="434"/>
      <c r="AO9" s="434"/>
      <c r="AP9" s="434"/>
      <c r="AQ9" s="434"/>
      <c r="AR9" s="439"/>
      <c r="AS9" s="439"/>
      <c r="AT9" s="439"/>
    </row>
    <row r="10" spans="1:46" ht="18.75" customHeight="1" x14ac:dyDescent="0.3">
      <c r="A10" s="440" t="s">
        <v>404</v>
      </c>
      <c r="B10" s="441"/>
      <c r="C10" s="442"/>
      <c r="D10" s="443"/>
      <c r="E10" s="441"/>
      <c r="F10" s="444"/>
      <c r="G10" s="443"/>
      <c r="H10" s="441"/>
      <c r="I10" s="442"/>
      <c r="J10" s="443"/>
      <c r="K10" s="441"/>
      <c r="L10" s="442"/>
      <c r="M10" s="442"/>
      <c r="N10" s="445"/>
      <c r="O10" s="446"/>
      <c r="P10" s="443"/>
      <c r="Q10" s="447"/>
      <c r="R10" s="443"/>
      <c r="S10" s="443"/>
      <c r="T10" s="441"/>
      <c r="U10" s="442"/>
      <c r="V10" s="443"/>
      <c r="W10" s="441"/>
      <c r="X10" s="442"/>
      <c r="Y10" s="443"/>
      <c r="Z10" s="447"/>
      <c r="AA10" s="443"/>
      <c r="AB10" s="443"/>
      <c r="AC10" s="441"/>
      <c r="AD10" s="442"/>
      <c r="AE10" s="443"/>
      <c r="AF10" s="447"/>
      <c r="AG10" s="443"/>
      <c r="AH10" s="443"/>
      <c r="AI10" s="441"/>
      <c r="AJ10" s="442"/>
      <c r="AK10" s="443"/>
      <c r="AL10" s="441"/>
      <c r="AM10" s="442"/>
      <c r="AN10" s="443"/>
      <c r="AO10" s="443"/>
      <c r="AP10" s="443"/>
      <c r="AQ10" s="443"/>
      <c r="AR10" s="448"/>
      <c r="AS10" s="448"/>
      <c r="AT10" s="448"/>
    </row>
    <row r="11" spans="1:46" ht="18.75" customHeight="1" x14ac:dyDescent="0.3">
      <c r="A11" s="440" t="s">
        <v>352</v>
      </c>
      <c r="B11" s="447">
        <v>1699.2749999999999</v>
      </c>
      <c r="C11" s="443">
        <v>1996.7320000000002</v>
      </c>
      <c r="D11" s="443">
        <f t="shared" ref="D11:D16" si="0">IF(B11=0, "    ---- ", IF(ABS(ROUND(100/B11*C11-100,1))&lt;999,ROUND(100/B11*C11-100,1),IF(ROUND(100/B11*C11-100,1)&gt;999,999,-999)))</f>
        <v>17.5</v>
      </c>
      <c r="E11" s="449">
        <v>18715.069</v>
      </c>
      <c r="F11" s="450">
        <v>14980.591</v>
      </c>
      <c r="G11" s="443">
        <f t="shared" ref="G11:G17" si="1">IF(E11=0, "    ---- ", IF(ABS(ROUND(100/E11*F11-100,1))&lt;999,ROUND(100/E11*F11-100,1),IF(ROUND(100/E11*F11-100,1)&gt;999,999,-999)))</f>
        <v>-20</v>
      </c>
      <c r="H11" s="447">
        <v>726.077</v>
      </c>
      <c r="I11" s="443">
        <v>788.09900000000005</v>
      </c>
      <c r="J11" s="443">
        <f t="shared" ref="J11:J17" si="2">IF(H11=0, "    ---- ", IF(ABS(ROUND(100/H11*I11-100,1))&lt;999,ROUND(100/H11*I11-100,1),IF(ROUND(100/H11*I11-100,1)&gt;999,999,-999)))</f>
        <v>8.5</v>
      </c>
      <c r="K11" s="447">
        <v>2153.4499999999998</v>
      </c>
      <c r="L11" s="443">
        <v>2472.1</v>
      </c>
      <c r="M11" s="443">
        <f t="shared" ref="M11:M16" si="3">IF(K11=0, "    ---- ", IF(ABS(ROUND(100/K11*L11-100,1))&lt;999,ROUND(100/K11*L11-100,1),IF(ROUND(100/K11*L11-100,1)&gt;999,999,-999)))</f>
        <v>14.8</v>
      </c>
      <c r="N11" s="447">
        <v>40</v>
      </c>
      <c r="O11" s="443">
        <v>39</v>
      </c>
      <c r="P11" s="443">
        <f>IF(N11=0, "    ---- ", IF(ABS(ROUND(100/N11*O11-100,1))&lt;999,ROUND(100/N11*O11-100,1),IF(ROUND(100/N11*O11-100,1)&gt;999,999,-999)))</f>
        <v>-2.5</v>
      </c>
      <c r="Q11" s="447">
        <v>29543.065434159998</v>
      </c>
      <c r="R11" s="443">
        <v>33606.31170495</v>
      </c>
      <c r="S11" s="443">
        <f t="shared" ref="S11:S17" si="4">IF(Q11=0, "    ---- ", IF(ABS(ROUND(100/Q11*R11-100,1))&lt;999,ROUND(100/Q11*R11-100,1),IF(ROUND(100/Q11*R11-100,1)&gt;999,999,-999)))</f>
        <v>13.8</v>
      </c>
      <c r="T11" s="447">
        <v>336.2</v>
      </c>
      <c r="U11" s="443">
        <v>389.6</v>
      </c>
      <c r="V11" s="443">
        <f t="shared" ref="V11:V30" si="5">IF(T11=0, "    ---- ", IF(ABS(ROUND(100/T11*U11-100,1))&lt;999,ROUND(100/T11*U11-100,1),IF(ROUND(100/T11*U11-100,1)&gt;999,999,-999)))</f>
        <v>15.9</v>
      </c>
      <c r="W11" s="447">
        <v>11496</v>
      </c>
      <c r="X11" s="443">
        <v>10786</v>
      </c>
      <c r="Y11" s="443">
        <f t="shared" ref="Y11:Y17" si="6">IF(W11=0, "    ---- ", IF(ABS(ROUND(100/W11*X11-100,1))&lt;999,ROUND(100/W11*X11-100,1),IF(ROUND(100/W11*X11-100,1)&gt;999,999,-999)))</f>
        <v>-6.2</v>
      </c>
      <c r="Z11" s="447">
        <v>4084</v>
      </c>
      <c r="AA11" s="443">
        <v>4018</v>
      </c>
      <c r="AB11" s="443">
        <f t="shared" ref="AB11:AB17" si="7">IF(Z11=0, "    ---- ", IF(ABS(ROUND(100/Z11*AA11-100,1))&lt;999,ROUND(100/Z11*AA11-100,1),IF(ROUND(100/Z11*AA11-100,1)&gt;999,999,-999)))</f>
        <v>-1.6</v>
      </c>
      <c r="AC11" s="447">
        <v>155</v>
      </c>
      <c r="AD11" s="443">
        <v>173</v>
      </c>
      <c r="AE11" s="443">
        <f t="shared" ref="AE11:AE16" si="8">IF(AC11=0, "    ---- ", IF(ABS(ROUND(100/AC11*AD11-100,1))&lt;999,ROUND(100/AC11*AD11-100,1),IF(ROUND(100/AC11*AD11-100,1)&gt;999,999,-999)))</f>
        <v>11.6</v>
      </c>
      <c r="AF11" s="447"/>
      <c r="AG11" s="443"/>
      <c r="AH11" s="443"/>
      <c r="AI11" s="447">
        <v>4391.2929694599998</v>
      </c>
      <c r="AJ11" s="443">
        <v>4986.8166738999989</v>
      </c>
      <c r="AK11" s="443">
        <f t="shared" ref="AK11:AK17" si="9">IF(AI11=0, "    ---- ", IF(ABS(ROUND(100/AI11*AJ11-100,1))&lt;999,ROUND(100/AI11*AJ11-100,1),IF(ROUND(100/AI11*AJ11-100,1)&gt;999,999,-999)))</f>
        <v>13.6</v>
      </c>
      <c r="AL11" s="447">
        <v>16235</v>
      </c>
      <c r="AM11" s="443">
        <v>16588.599999999999</v>
      </c>
      <c r="AN11" s="443">
        <f t="shared" ref="AN11:AN17" si="10">IF(AL11=0, "    ---- ", IF(ABS(ROUND(100/AL11*AM11-100,1))&lt;999,ROUND(100/AL11*AM11-100,1),IF(ROUND(100/AL11*AM11-100,1)&gt;999,999,-999)))</f>
        <v>2.2000000000000002</v>
      </c>
      <c r="AO11" s="443">
        <f>B11+E11+H11+K11+Q11+T11+W11+Z11+AF11+AI11+AL11</f>
        <v>89379.429403620001</v>
      </c>
      <c r="AP11" s="443">
        <f>C11+F11+I11+L11+R11+U11+X11+AA11+AG11+AJ11+AM11</f>
        <v>90612.850378850009</v>
      </c>
      <c r="AQ11" s="443">
        <f t="shared" ref="AQ11:AQ45" si="11">IF(AO11=0, "    ---- ", IF(ABS(ROUND(100/AO11*AP11-100,1))&lt;999,ROUND(100/AO11*AP11-100,1),IF(ROUND(100/AO11*AP11-100,1)&gt;999,999,-999)))</f>
        <v>1.4</v>
      </c>
      <c r="AR11" s="451">
        <f>+B11+E11+H11+K11+N11+Q11+T11+W11+Z11+AC11+AF11+AI11+AL11</f>
        <v>89574.429403620001</v>
      </c>
      <c r="AS11" s="443">
        <f>+C11+F11+I11+L11+O11+R11+U11+X11+AA11+AD11+AG11+AJ11+AM11</f>
        <v>90824.850378850009</v>
      </c>
      <c r="AT11" s="443">
        <f t="shared" ref="AT11:AT17" si="12">IF(AR11=0, "    ---- ", IF(ABS(ROUND(100/AR11*AS11-100,1))&lt;999,ROUND(100/AR11*AS11-100,1),IF(ROUND(100/AR11*AS11-100,1)&gt;999,999,-999)))</f>
        <v>1.4</v>
      </c>
    </row>
    <row r="12" spans="1:46" ht="18.75" customHeight="1" x14ac:dyDescent="0.3">
      <c r="A12" s="440" t="s">
        <v>353</v>
      </c>
      <c r="B12" s="447">
        <v>-92.414000000000001</v>
      </c>
      <c r="C12" s="443">
        <v>-89.631</v>
      </c>
      <c r="D12" s="443">
        <f t="shared" si="0"/>
        <v>-3</v>
      </c>
      <c r="E12" s="449">
        <v>-617.58299999999997</v>
      </c>
      <c r="F12" s="450">
        <v>-507.649</v>
      </c>
      <c r="G12" s="443">
        <f t="shared" si="1"/>
        <v>-17.8</v>
      </c>
      <c r="H12" s="447">
        <v>-43.767000000000003</v>
      </c>
      <c r="I12" s="443">
        <v>-43.671999999999997</v>
      </c>
      <c r="J12" s="443">
        <f t="shared" si="2"/>
        <v>-0.2</v>
      </c>
      <c r="K12" s="447">
        <v>-3.96</v>
      </c>
      <c r="L12" s="443">
        <v>-5.4</v>
      </c>
      <c r="M12" s="443">
        <f t="shared" si="3"/>
        <v>36.4</v>
      </c>
      <c r="N12" s="447"/>
      <c r="O12" s="443"/>
      <c r="P12" s="443"/>
      <c r="Q12" s="447">
        <v>-1.9</v>
      </c>
      <c r="R12" s="443">
        <v>-1.454731</v>
      </c>
      <c r="S12" s="443">
        <f t="shared" si="4"/>
        <v>-23.4</v>
      </c>
      <c r="T12" s="447"/>
      <c r="U12" s="443"/>
      <c r="V12" s="443"/>
      <c r="W12" s="447">
        <v>-125</v>
      </c>
      <c r="X12" s="443">
        <v>-98</v>
      </c>
      <c r="Y12" s="443">
        <f t="shared" si="6"/>
        <v>-21.6</v>
      </c>
      <c r="Z12" s="447">
        <v>-2</v>
      </c>
      <c r="AA12" s="443">
        <v>-2</v>
      </c>
      <c r="AB12" s="443">
        <f t="shared" si="7"/>
        <v>0</v>
      </c>
      <c r="AC12" s="447"/>
      <c r="AD12" s="443"/>
      <c r="AE12" s="443"/>
      <c r="AF12" s="447"/>
      <c r="AG12" s="443"/>
      <c r="AH12" s="443"/>
      <c r="AI12" s="447">
        <v>-200.37299999999999</v>
      </c>
      <c r="AJ12" s="443">
        <v>-201.988</v>
      </c>
      <c r="AK12" s="443">
        <f t="shared" si="9"/>
        <v>0.8</v>
      </c>
      <c r="AL12" s="447">
        <v>-25.6</v>
      </c>
      <c r="AM12" s="443">
        <v>-29.7</v>
      </c>
      <c r="AN12" s="443">
        <f t="shared" si="10"/>
        <v>16</v>
      </c>
      <c r="AO12" s="443">
        <f t="shared" ref="AO12:AP45" si="13">B12+E12+H12+K12+Q12+T12+W12+Z12+AF12+AI12+AL12</f>
        <v>-1112.597</v>
      </c>
      <c r="AP12" s="443">
        <f t="shared" si="13"/>
        <v>-979.494731</v>
      </c>
      <c r="AQ12" s="443">
        <f t="shared" si="11"/>
        <v>-12</v>
      </c>
      <c r="AR12" s="451">
        <f t="shared" ref="AR12:AS17" si="14">+B12+E12+H12+K12+N12+Q12+T12+W12+Z12+AC12+AF12+AI12+AL12</f>
        <v>-1112.597</v>
      </c>
      <c r="AS12" s="443">
        <f t="shared" si="14"/>
        <v>-979.494731</v>
      </c>
      <c r="AT12" s="443">
        <f t="shared" si="12"/>
        <v>-12</v>
      </c>
    </row>
    <row r="13" spans="1:46" ht="18.75" customHeight="1" x14ac:dyDescent="0.3">
      <c r="A13" s="440" t="s">
        <v>405</v>
      </c>
      <c r="B13" s="447">
        <v>544.81399999999996</v>
      </c>
      <c r="C13" s="443">
        <v>727.923</v>
      </c>
      <c r="D13" s="443">
        <f t="shared" si="0"/>
        <v>33.6</v>
      </c>
      <c r="E13" s="449">
        <v>1641.422</v>
      </c>
      <c r="F13" s="450">
        <v>2406.9140000000002</v>
      </c>
      <c r="G13" s="443">
        <f t="shared" si="1"/>
        <v>46.6</v>
      </c>
      <c r="H13" s="447">
        <v>83.099000000000004</v>
      </c>
      <c r="I13" s="443">
        <v>64.495999999999995</v>
      </c>
      <c r="J13" s="443">
        <f t="shared" si="2"/>
        <v>-22.4</v>
      </c>
      <c r="K13" s="447">
        <v>924.577</v>
      </c>
      <c r="L13" s="443">
        <v>1132.0999999999999</v>
      </c>
      <c r="M13" s="443">
        <f t="shared" si="3"/>
        <v>22.4</v>
      </c>
      <c r="N13" s="447"/>
      <c r="O13" s="443"/>
      <c r="P13" s="443"/>
      <c r="Q13" s="447">
        <v>9247.3537578799987</v>
      </c>
      <c r="R13" s="443">
        <v>3249.50227</v>
      </c>
      <c r="S13" s="443">
        <f t="shared" si="4"/>
        <v>-64.900000000000006</v>
      </c>
      <c r="T13" s="447">
        <v>149.69999999999999</v>
      </c>
      <c r="U13" s="443">
        <v>185</v>
      </c>
      <c r="V13" s="443">
        <f t="shared" si="5"/>
        <v>23.6</v>
      </c>
      <c r="W13" s="447">
        <v>1090</v>
      </c>
      <c r="X13" s="443">
        <v>1151</v>
      </c>
      <c r="Y13" s="443">
        <f t="shared" si="6"/>
        <v>5.6</v>
      </c>
      <c r="Z13" s="447">
        <v>10</v>
      </c>
      <c r="AA13" s="443">
        <v>0</v>
      </c>
      <c r="AB13" s="443">
        <f t="shared" si="7"/>
        <v>-100</v>
      </c>
      <c r="AC13" s="447">
        <v>6</v>
      </c>
      <c r="AD13" s="443">
        <v>92</v>
      </c>
      <c r="AE13" s="443">
        <f t="shared" si="8"/>
        <v>999</v>
      </c>
      <c r="AF13" s="447">
        <v>37.352252499999999</v>
      </c>
      <c r="AG13" s="443"/>
      <c r="AH13" s="443">
        <f t="shared" ref="AH13:AH45" si="15">IF(AF13=0, "    ---- ", IF(ABS(ROUND(100/AF13*AG13-100,1))&lt;999,ROUND(100/AF13*AG13-100,1),IF(ROUND(100/AF13*AG13-100,1)&gt;999,999,-999)))</f>
        <v>-100</v>
      </c>
      <c r="AI13" s="447">
        <v>546.76100212999995</v>
      </c>
      <c r="AJ13" s="443">
        <v>1658.75788528</v>
      </c>
      <c r="AK13" s="443">
        <f t="shared" si="9"/>
        <v>203.4</v>
      </c>
      <c r="AL13" s="447">
        <v>1154.7</v>
      </c>
      <c r="AM13" s="443">
        <v>805.7</v>
      </c>
      <c r="AN13" s="443">
        <f t="shared" si="10"/>
        <v>-30.2</v>
      </c>
      <c r="AO13" s="443">
        <f t="shared" si="13"/>
        <v>15429.779012510002</v>
      </c>
      <c r="AP13" s="443">
        <f t="shared" si="13"/>
        <v>11381.393155280002</v>
      </c>
      <c r="AQ13" s="443">
        <f t="shared" si="11"/>
        <v>-26.2</v>
      </c>
      <c r="AR13" s="451">
        <f t="shared" si="14"/>
        <v>15435.779012510002</v>
      </c>
      <c r="AS13" s="443">
        <f t="shared" si="14"/>
        <v>11473.393155280002</v>
      </c>
      <c r="AT13" s="443">
        <f t="shared" si="12"/>
        <v>-25.7</v>
      </c>
    </row>
    <row r="14" spans="1:46" ht="18.75" customHeight="1" x14ac:dyDescent="0.3">
      <c r="A14" s="440" t="s">
        <v>354</v>
      </c>
      <c r="B14" s="441">
        <v>2151.6749999999997</v>
      </c>
      <c r="C14" s="442">
        <v>2635.0240000000003</v>
      </c>
      <c r="D14" s="443">
        <f t="shared" si="0"/>
        <v>22.5</v>
      </c>
      <c r="E14" s="452">
        <v>19738.907999999999</v>
      </c>
      <c r="F14" s="444">
        <f>SUM(F11:F13)</f>
        <v>16879.856</v>
      </c>
      <c r="G14" s="443">
        <f t="shared" si="1"/>
        <v>-14.5</v>
      </c>
      <c r="H14" s="441">
        <v>765.40899999999999</v>
      </c>
      <c r="I14" s="442">
        <f>SUM(I11:I13)</f>
        <v>808.923</v>
      </c>
      <c r="J14" s="443">
        <f t="shared" si="2"/>
        <v>5.7</v>
      </c>
      <c r="K14" s="441">
        <v>3074.067</v>
      </c>
      <c r="L14" s="442">
        <f>SUM(L11:L13)</f>
        <v>3598.7999999999997</v>
      </c>
      <c r="M14" s="443">
        <f t="shared" si="3"/>
        <v>17.100000000000001</v>
      </c>
      <c r="N14" s="441">
        <v>40</v>
      </c>
      <c r="O14" s="442">
        <f>SUM(O11:O13)</f>
        <v>39</v>
      </c>
      <c r="P14" s="443">
        <f>IF(N14=0, "    ---- ", IF(ABS(ROUND(100/N14*O14-100,1))&lt;999,ROUND(100/N14*O14-100,1),IF(ROUND(100/N14*O14-100,1)&gt;999,999,-999)))</f>
        <v>-2.5</v>
      </c>
      <c r="Q14" s="441">
        <v>38788.519192039996</v>
      </c>
      <c r="R14" s="442">
        <f>SUM(R11:R13)</f>
        <v>36854.359243949999</v>
      </c>
      <c r="S14" s="443">
        <f t="shared" si="4"/>
        <v>-5</v>
      </c>
      <c r="T14" s="441">
        <v>485.9</v>
      </c>
      <c r="U14" s="442">
        <f>SUM(U11:U13)</f>
        <v>574.6</v>
      </c>
      <c r="V14" s="443">
        <f t="shared" si="5"/>
        <v>18.3</v>
      </c>
      <c r="W14" s="441">
        <v>12461</v>
      </c>
      <c r="X14" s="442">
        <f>SUM(X11:X13)</f>
        <v>11839</v>
      </c>
      <c r="Y14" s="443">
        <f t="shared" si="6"/>
        <v>-5</v>
      </c>
      <c r="Z14" s="441">
        <v>4092</v>
      </c>
      <c r="AA14" s="442">
        <f>SUM(AA11:AA13)</f>
        <v>4016</v>
      </c>
      <c r="AB14" s="443">
        <f t="shared" si="7"/>
        <v>-1.9</v>
      </c>
      <c r="AC14" s="441">
        <v>161</v>
      </c>
      <c r="AD14" s="442">
        <f>SUM(AD11:AD13)</f>
        <v>265</v>
      </c>
      <c r="AE14" s="443">
        <f t="shared" si="8"/>
        <v>64.599999999999994</v>
      </c>
      <c r="AF14" s="441">
        <v>37.352252499999999</v>
      </c>
      <c r="AG14" s="442"/>
      <c r="AH14" s="443">
        <f t="shared" si="15"/>
        <v>-100</v>
      </c>
      <c r="AI14" s="441">
        <v>4737.6809715899999</v>
      </c>
      <c r="AJ14" s="442">
        <f>SUM(AJ11:AJ13)</f>
        <v>6443.5865591799984</v>
      </c>
      <c r="AK14" s="443">
        <f t="shared" si="9"/>
        <v>36</v>
      </c>
      <c r="AL14" s="441">
        <v>17364.099999999999</v>
      </c>
      <c r="AM14" s="442">
        <f>SUM(AM11:AM13)</f>
        <v>17364.599999999999</v>
      </c>
      <c r="AN14" s="443">
        <f t="shared" si="10"/>
        <v>0</v>
      </c>
      <c r="AO14" s="443">
        <f t="shared" si="13"/>
        <v>103696.61141613001</v>
      </c>
      <c r="AP14" s="443">
        <f t="shared" si="13"/>
        <v>101014.74880313</v>
      </c>
      <c r="AQ14" s="443">
        <f t="shared" si="11"/>
        <v>-2.6</v>
      </c>
      <c r="AR14" s="451">
        <f t="shared" si="14"/>
        <v>103897.61141613001</v>
      </c>
      <c r="AS14" s="443">
        <f t="shared" si="14"/>
        <v>101318.74880313</v>
      </c>
      <c r="AT14" s="443">
        <f t="shared" si="12"/>
        <v>-2.5</v>
      </c>
    </row>
    <row r="15" spans="1:46" ht="18.75" customHeight="1" x14ac:dyDescent="0.3">
      <c r="A15" s="440" t="s">
        <v>355</v>
      </c>
      <c r="B15" s="453">
        <v>7.2779999999999996</v>
      </c>
      <c r="C15" s="454">
        <v>31.852</v>
      </c>
      <c r="D15" s="443">
        <f t="shared" si="0"/>
        <v>337.6</v>
      </c>
      <c r="E15" s="455">
        <v>9618.33</v>
      </c>
      <c r="F15" s="456">
        <v>8811.1820000000007</v>
      </c>
      <c r="G15" s="443">
        <f t="shared" si="1"/>
        <v>-8.4</v>
      </c>
      <c r="H15" s="457">
        <v>10.292</v>
      </c>
      <c r="I15" s="458">
        <v>28.684999999999999</v>
      </c>
      <c r="J15" s="443">
        <f t="shared" si="2"/>
        <v>178.7</v>
      </c>
      <c r="K15" s="453">
        <v>206.386</v>
      </c>
      <c r="L15" s="454">
        <v>236.4</v>
      </c>
      <c r="M15" s="443">
        <f t="shared" si="3"/>
        <v>14.5</v>
      </c>
      <c r="N15" s="459"/>
      <c r="O15" s="460"/>
      <c r="P15" s="443"/>
      <c r="Q15" s="453">
        <v>15427.925152200001</v>
      </c>
      <c r="R15" s="454">
        <v>24588.344888290001</v>
      </c>
      <c r="S15" s="443">
        <f t="shared" si="4"/>
        <v>59.4</v>
      </c>
      <c r="T15" s="453">
        <v>63.6</v>
      </c>
      <c r="U15" s="454">
        <v>84.4</v>
      </c>
      <c r="V15" s="443">
        <f t="shared" si="5"/>
        <v>32.700000000000003</v>
      </c>
      <c r="W15" s="453">
        <v>1669</v>
      </c>
      <c r="X15" s="454">
        <v>2111</v>
      </c>
      <c r="Y15" s="443">
        <f t="shared" si="6"/>
        <v>26.5</v>
      </c>
      <c r="Z15" s="453">
        <v>3404</v>
      </c>
      <c r="AA15" s="454">
        <v>3685</v>
      </c>
      <c r="AB15" s="443">
        <f t="shared" si="7"/>
        <v>8.3000000000000007</v>
      </c>
      <c r="AC15" s="459"/>
      <c r="AD15" s="460"/>
      <c r="AE15" s="443"/>
      <c r="AF15" s="453">
        <v>292.87185452</v>
      </c>
      <c r="AG15" s="454"/>
      <c r="AH15" s="443">
        <f t="shared" si="15"/>
        <v>-100</v>
      </c>
      <c r="AI15" s="461">
        <v>691.75070768999967</v>
      </c>
      <c r="AJ15" s="462">
        <v>967.26892525999926</v>
      </c>
      <c r="AK15" s="443">
        <f t="shared" si="9"/>
        <v>39.799999999999997</v>
      </c>
      <c r="AL15" s="453">
        <v>7668.9</v>
      </c>
      <c r="AM15" s="454">
        <v>8502.2999999999993</v>
      </c>
      <c r="AN15" s="443">
        <f t="shared" si="10"/>
        <v>10.9</v>
      </c>
      <c r="AO15" s="443">
        <f t="shared" si="13"/>
        <v>39060.333714410001</v>
      </c>
      <c r="AP15" s="443">
        <f t="shared" si="13"/>
        <v>49046.432813549996</v>
      </c>
      <c r="AQ15" s="443">
        <f t="shared" si="11"/>
        <v>25.6</v>
      </c>
      <c r="AR15" s="451">
        <f t="shared" si="14"/>
        <v>39060.333714410001</v>
      </c>
      <c r="AS15" s="443">
        <f t="shared" si="14"/>
        <v>49046.432813549996</v>
      </c>
      <c r="AT15" s="443">
        <f t="shared" si="12"/>
        <v>25.6</v>
      </c>
    </row>
    <row r="16" spans="1:46" ht="18.75" customHeight="1" x14ac:dyDescent="0.3">
      <c r="A16" s="440" t="s">
        <v>356</v>
      </c>
      <c r="B16" s="453">
        <v>739.29700000000003</v>
      </c>
      <c r="C16" s="454">
        <v>506.91899999999998</v>
      </c>
      <c r="D16" s="443">
        <f t="shared" si="0"/>
        <v>-31.4</v>
      </c>
      <c r="E16" s="455">
        <v>1576.252</v>
      </c>
      <c r="F16" s="456">
        <v>4068.7370000000001</v>
      </c>
      <c r="G16" s="443">
        <f t="shared" si="1"/>
        <v>158.1</v>
      </c>
      <c r="H16" s="457">
        <v>16.681999999999999</v>
      </c>
      <c r="I16" s="458">
        <v>53.645000000000003</v>
      </c>
      <c r="J16" s="443">
        <f t="shared" si="2"/>
        <v>221.6</v>
      </c>
      <c r="K16" s="453">
        <v>824.73599999999999</v>
      </c>
      <c r="L16" s="454">
        <v>640.4</v>
      </c>
      <c r="M16" s="442">
        <f t="shared" si="3"/>
        <v>-22.4</v>
      </c>
      <c r="N16" s="459"/>
      <c r="O16" s="460"/>
      <c r="P16" s="463"/>
      <c r="Q16" s="453">
        <v>76.909018950000004</v>
      </c>
      <c r="R16" s="454">
        <v>127.03957245000001</v>
      </c>
      <c r="S16" s="463">
        <f t="shared" si="4"/>
        <v>65.2</v>
      </c>
      <c r="T16" s="453">
        <v>15.6</v>
      </c>
      <c r="U16" s="454">
        <v>100</v>
      </c>
      <c r="V16" s="463">
        <f t="shared" si="5"/>
        <v>541</v>
      </c>
      <c r="W16" s="453">
        <v>1436</v>
      </c>
      <c r="X16" s="454">
        <v>2558</v>
      </c>
      <c r="Y16" s="443">
        <f t="shared" si="6"/>
        <v>78.099999999999994</v>
      </c>
      <c r="Z16" s="453"/>
      <c r="AA16" s="454"/>
      <c r="AB16" s="443"/>
      <c r="AC16" s="459">
        <v>152</v>
      </c>
      <c r="AD16" s="460">
        <v>43</v>
      </c>
      <c r="AE16" s="443">
        <f t="shared" si="8"/>
        <v>-71.7</v>
      </c>
      <c r="AF16" s="453">
        <v>27.1159243</v>
      </c>
      <c r="AG16" s="454"/>
      <c r="AH16" s="443">
        <f t="shared" si="15"/>
        <v>-100</v>
      </c>
      <c r="AI16" s="461">
        <v>1394.7054573799999</v>
      </c>
      <c r="AJ16" s="462">
        <v>868.83227395000006</v>
      </c>
      <c r="AK16" s="443">
        <f t="shared" si="9"/>
        <v>-37.700000000000003</v>
      </c>
      <c r="AL16" s="453">
        <v>1666.3</v>
      </c>
      <c r="AM16" s="454">
        <v>3901.7</v>
      </c>
      <c r="AN16" s="443">
        <f t="shared" si="10"/>
        <v>134.19999999999999</v>
      </c>
      <c r="AO16" s="443">
        <f t="shared" si="13"/>
        <v>7773.5974006299994</v>
      </c>
      <c r="AP16" s="443">
        <f t="shared" si="13"/>
        <v>12825.272846399999</v>
      </c>
      <c r="AQ16" s="443">
        <f t="shared" si="11"/>
        <v>65</v>
      </c>
      <c r="AR16" s="451">
        <f t="shared" si="14"/>
        <v>7925.5974006299994</v>
      </c>
      <c r="AS16" s="443">
        <f t="shared" si="14"/>
        <v>12868.272846399999</v>
      </c>
      <c r="AT16" s="443">
        <f t="shared" si="12"/>
        <v>62.4</v>
      </c>
    </row>
    <row r="17" spans="1:46" ht="18.75" customHeight="1" x14ac:dyDescent="0.3">
      <c r="A17" s="440" t="s">
        <v>357</v>
      </c>
      <c r="B17" s="453"/>
      <c r="C17" s="454"/>
      <c r="D17" s="443"/>
      <c r="E17" s="455">
        <v>10.912000000000001</v>
      </c>
      <c r="F17" s="456">
        <v>9.0399999999999991</v>
      </c>
      <c r="G17" s="443">
        <f t="shared" si="1"/>
        <v>-17.2</v>
      </c>
      <c r="H17" s="457">
        <v>8.907</v>
      </c>
      <c r="I17" s="458">
        <v>10.01</v>
      </c>
      <c r="J17" s="443">
        <f t="shared" si="2"/>
        <v>12.4</v>
      </c>
      <c r="K17" s="453"/>
      <c r="L17" s="454"/>
      <c r="M17" s="443"/>
      <c r="N17" s="459"/>
      <c r="O17" s="460"/>
      <c r="P17" s="443"/>
      <c r="Q17" s="453">
        <v>888.13004062000005</v>
      </c>
      <c r="R17" s="454">
        <v>932.52154470000005</v>
      </c>
      <c r="S17" s="443">
        <f t="shared" si="4"/>
        <v>5</v>
      </c>
      <c r="T17" s="453">
        <v>2.2999999999999998</v>
      </c>
      <c r="U17" s="454">
        <v>3.3</v>
      </c>
      <c r="V17" s="443">
        <f t="shared" si="5"/>
        <v>43.5</v>
      </c>
      <c r="W17" s="453">
        <v>143</v>
      </c>
      <c r="X17" s="454">
        <v>138</v>
      </c>
      <c r="Y17" s="443">
        <f t="shared" si="6"/>
        <v>-3.5</v>
      </c>
      <c r="Z17" s="453">
        <v>188</v>
      </c>
      <c r="AA17" s="454">
        <v>178</v>
      </c>
      <c r="AB17" s="443">
        <f t="shared" si="7"/>
        <v>-5.3</v>
      </c>
      <c r="AC17" s="459"/>
      <c r="AD17" s="460"/>
      <c r="AE17" s="443"/>
      <c r="AF17" s="453">
        <v>1.6766099999999998E-3</v>
      </c>
      <c r="AG17" s="454"/>
      <c r="AH17" s="443">
        <f t="shared" si="15"/>
        <v>-100</v>
      </c>
      <c r="AI17" s="461">
        <v>82.520464329999967</v>
      </c>
      <c r="AJ17" s="462">
        <v>114.03957980999999</v>
      </c>
      <c r="AK17" s="443">
        <f t="shared" si="9"/>
        <v>38.200000000000003</v>
      </c>
      <c r="AL17" s="453">
        <v>387.8</v>
      </c>
      <c r="AM17" s="454">
        <v>453.8</v>
      </c>
      <c r="AN17" s="443">
        <f t="shared" si="10"/>
        <v>17</v>
      </c>
      <c r="AO17" s="443">
        <f t="shared" si="13"/>
        <v>1711.5711815599998</v>
      </c>
      <c r="AP17" s="443">
        <f t="shared" si="13"/>
        <v>1838.71112451</v>
      </c>
      <c r="AQ17" s="443">
        <f t="shared" si="11"/>
        <v>7.4</v>
      </c>
      <c r="AR17" s="451">
        <f t="shared" si="14"/>
        <v>1711.5711815599998</v>
      </c>
      <c r="AS17" s="443">
        <f t="shared" si="14"/>
        <v>1838.71112451</v>
      </c>
      <c r="AT17" s="443">
        <f t="shared" si="12"/>
        <v>7.4</v>
      </c>
    </row>
    <row r="18" spans="1:46" ht="18.75" customHeight="1" x14ac:dyDescent="0.3">
      <c r="A18" s="440" t="s">
        <v>358</v>
      </c>
      <c r="B18" s="453"/>
      <c r="C18" s="454"/>
      <c r="D18" s="443"/>
      <c r="E18" s="455"/>
      <c r="F18" s="456"/>
      <c r="G18" s="443"/>
      <c r="H18" s="457"/>
      <c r="I18" s="458"/>
      <c r="J18" s="443"/>
      <c r="K18" s="453"/>
      <c r="L18" s="454"/>
      <c r="M18" s="442"/>
      <c r="N18" s="459"/>
      <c r="O18" s="460"/>
      <c r="P18" s="443"/>
      <c r="Q18" s="453"/>
      <c r="R18" s="454"/>
      <c r="S18" s="443"/>
      <c r="T18" s="453"/>
      <c r="U18" s="454"/>
      <c r="V18" s="443"/>
      <c r="W18" s="464"/>
      <c r="X18" s="454"/>
      <c r="Y18" s="443"/>
      <c r="Z18" s="453"/>
      <c r="AA18" s="454"/>
      <c r="AB18" s="443"/>
      <c r="AC18" s="459"/>
      <c r="AD18" s="460"/>
      <c r="AE18" s="443"/>
      <c r="AF18" s="453"/>
      <c r="AG18" s="454"/>
      <c r="AH18" s="443"/>
      <c r="AI18" s="461"/>
      <c r="AJ18" s="462"/>
      <c r="AK18" s="443"/>
      <c r="AL18" s="453"/>
      <c r="AM18" s="454"/>
      <c r="AN18" s="443"/>
      <c r="AO18" s="443"/>
      <c r="AP18" s="443"/>
      <c r="AQ18" s="443"/>
      <c r="AR18" s="465"/>
      <c r="AS18" s="448"/>
      <c r="AT18" s="448"/>
    </row>
    <row r="19" spans="1:46" ht="18.75" customHeight="1" x14ac:dyDescent="0.3">
      <c r="A19" s="440" t="s">
        <v>359</v>
      </c>
      <c r="B19" s="441">
        <v>-424.30200000000002</v>
      </c>
      <c r="C19" s="442">
        <v>-452.851</v>
      </c>
      <c r="D19" s="443">
        <f>IF(B19=0, "    ---- ", IF(ABS(ROUND(100/B19*C19-100,1))&lt;999,ROUND(100/B19*C19-100,1),IF(ROUND(100/B19*C19-100,1)&gt;999,999,-999)))</f>
        <v>6.7</v>
      </c>
      <c r="E19" s="452">
        <v>-13758.299000000001</v>
      </c>
      <c r="F19" s="444">
        <v>-13482.784</v>
      </c>
      <c r="G19" s="443">
        <f>IF(E19=0, "    ---- ", IF(ABS(ROUND(100/E19*F19-100,1))&lt;999,ROUND(100/E19*F19-100,1),IF(ROUND(100/E19*F19-100,1)&gt;999,999,-999)))</f>
        <v>-2</v>
      </c>
      <c r="H19" s="441">
        <v>-50.795000000000002</v>
      </c>
      <c r="I19" s="442">
        <v>-106.544</v>
      </c>
      <c r="J19" s="443">
        <f>IF(H19=0, "    ---- ", IF(ABS(ROUND(100/H19*I19-100,1))&lt;999,ROUND(100/H19*I19-100,1),IF(ROUND(100/H19*I19-100,1)&gt;999,999,-999)))</f>
        <v>109.8</v>
      </c>
      <c r="K19" s="441">
        <v>-301.09899999999999</v>
      </c>
      <c r="L19" s="442">
        <f>-414.7+12.6</f>
        <v>-402.09999999999997</v>
      </c>
      <c r="M19" s="443">
        <f>IF(K19=0, "    ---- ", IF(ABS(ROUND(100/K19*L19-100,1))&lt;999,ROUND(100/K19*L19-100,1),IF(ROUND(100/K19*L19-100,1)&gt;999,999,-999)))</f>
        <v>33.5</v>
      </c>
      <c r="N19" s="441">
        <v>-37</v>
      </c>
      <c r="O19" s="442">
        <f>-30</f>
        <v>-30</v>
      </c>
      <c r="P19" s="443">
        <f>IF(N19=0, "    ---- ", IF(ABS(ROUND(100/N19*O19-100,1))&lt;999,ROUND(100/N19*O19-100,1),IF(ROUND(100/N19*O19-100,1)&gt;999,999,-999)))</f>
        <v>-18.899999999999999</v>
      </c>
      <c r="Q19" s="441">
        <v>-15139.324992420001</v>
      </c>
      <c r="R19" s="442">
        <v>-16263.421058</v>
      </c>
      <c r="S19" s="443">
        <f>IF(Q19=0, "    ---- ", IF(ABS(ROUND(100/Q19*R19-100,1))&lt;999,ROUND(100/Q19*R19-100,1),IF(ROUND(100/Q19*R19-100,1)&gt;999,999,-999)))</f>
        <v>7.4</v>
      </c>
      <c r="T19" s="441">
        <v>-58</v>
      </c>
      <c r="U19" s="442">
        <v>-63.9</v>
      </c>
      <c r="V19" s="443">
        <f t="shared" si="5"/>
        <v>10.199999999999999</v>
      </c>
      <c r="W19" s="441">
        <v>-4372</v>
      </c>
      <c r="X19" s="442">
        <v>-4349.5</v>
      </c>
      <c r="Y19" s="443">
        <f>IF(W19=0, "    ---- ", IF(ABS(ROUND(100/W19*X19-100,1))&lt;999,ROUND(100/W19*X19-100,1),IF(ROUND(100/W19*X19-100,1)&gt;999,999,-999)))</f>
        <v>-0.5</v>
      </c>
      <c r="Z19" s="441">
        <v>-2508</v>
      </c>
      <c r="AA19" s="442">
        <v>-2614</v>
      </c>
      <c r="AB19" s="443">
        <f>IF(Z19=0, "    ---- ", IF(ABS(ROUND(100/Z19*AA19-100,1))&lt;999,ROUND(100/Z19*AA19-100,1),IF(ROUND(100/Z19*AA19-100,1)&gt;999,999,-999)))</f>
        <v>4.2</v>
      </c>
      <c r="AC19" s="441">
        <v>-134</v>
      </c>
      <c r="AD19" s="442">
        <v>-140</v>
      </c>
      <c r="AE19" s="443">
        <f>IF(AC19=0, "    ---- ", IF(ABS(ROUND(100/AC19*AD19-100,1))&lt;999,ROUND(100/AC19*AD19-100,1),IF(ROUND(100/AC19*AD19-100,1)&gt;999,999,-999)))</f>
        <v>4.5</v>
      </c>
      <c r="AF19" s="441">
        <v>-173.99629031000001</v>
      </c>
      <c r="AG19" s="442"/>
      <c r="AH19" s="443">
        <f t="shared" si="15"/>
        <v>-100</v>
      </c>
      <c r="AI19" s="466">
        <v>-1964.5422099100003</v>
      </c>
      <c r="AJ19" s="467">
        <v>-1994.98463889</v>
      </c>
      <c r="AK19" s="443">
        <f>IF(AI19=0, "    ---- ", IF(ABS(ROUND(100/AI19*AJ19-100,1))&lt;999,ROUND(100/AI19*AJ19-100,1),IF(ROUND(100/AI19*AJ19-100,1)&gt;999,999,-999)))</f>
        <v>1.5</v>
      </c>
      <c r="AL19" s="441">
        <v>-9415.6999999999989</v>
      </c>
      <c r="AM19" s="442">
        <v>-9949.1</v>
      </c>
      <c r="AN19" s="443">
        <f>IF(AL19=0, "    ---- ", IF(ABS(ROUND(100/AL19*AM19-100,1))&lt;999,ROUND(100/AL19*AM19-100,1),IF(ROUND(100/AL19*AM19-100,1)&gt;999,999,-999)))</f>
        <v>5.7</v>
      </c>
      <c r="AO19" s="443">
        <f t="shared" si="13"/>
        <v>-48166.058492640004</v>
      </c>
      <c r="AP19" s="443">
        <f t="shared" si="13"/>
        <v>-49679.184696889999</v>
      </c>
      <c r="AQ19" s="443">
        <f t="shared" si="11"/>
        <v>3.1</v>
      </c>
      <c r="AR19" s="451">
        <f t="shared" ref="AR19:AS21" si="16">+B19+E19+H19+K19+N19+Q19+T19+W19+Z19+AC19+AF19+AI19+AL19</f>
        <v>-48337.058492640004</v>
      </c>
      <c r="AS19" s="443">
        <f t="shared" si="16"/>
        <v>-49849.184696889999</v>
      </c>
      <c r="AT19" s="443">
        <f>IF(AR19=0, "    ---- ", IF(ABS(ROUND(100/AR19*AS19-100,1))&lt;999,ROUND(100/AR19*AS19-100,1),IF(ROUND(100/AR19*AS19-100,1)&gt;999,999,-999)))</f>
        <v>3.1</v>
      </c>
    </row>
    <row r="20" spans="1:46" ht="18.75" customHeight="1" x14ac:dyDescent="0.3">
      <c r="A20" s="440" t="s">
        <v>406</v>
      </c>
      <c r="B20" s="447">
        <v>-488.97</v>
      </c>
      <c r="C20" s="443">
        <v>-638.32899999999995</v>
      </c>
      <c r="D20" s="443">
        <f>IF(B20=0, "    ---- ", IF(ABS(ROUND(100/B20*C20-100,1))&lt;999,ROUND(100/B20*C20-100,1),IF(ROUND(100/B20*C20-100,1)&gt;999,999,-999)))</f>
        <v>30.5</v>
      </c>
      <c r="E20" s="449">
        <v>-14788.973</v>
      </c>
      <c r="F20" s="450">
        <v>-3271.2849999999999</v>
      </c>
      <c r="G20" s="443">
        <f>IF(E20=0, "    ---- ", IF(ABS(ROUND(100/E20*F20-100,1))&lt;999,ROUND(100/E20*F20-100,1),IF(ROUND(100/E20*F20-100,1)&gt;999,999,-999)))</f>
        <v>-77.900000000000006</v>
      </c>
      <c r="H20" s="447">
        <v>-6.0869999999999997</v>
      </c>
      <c r="I20" s="443">
        <v>-100.145</v>
      </c>
      <c r="J20" s="443">
        <f>IF(H20=0, "    ---- ", IF(ABS(ROUND(100/H20*I20-100,1))&lt;999,ROUND(100/H20*I20-100,1),IF(ROUND(100/H20*I20-100,1)&gt;999,999,-999)))</f>
        <v>999</v>
      </c>
      <c r="K20" s="447">
        <v>-801.17700000000002</v>
      </c>
      <c r="L20" s="443">
        <v>-691.1</v>
      </c>
      <c r="M20" s="443">
        <f>IF(K20=0, "    ---- ", IF(ABS(ROUND(100/K20*L20-100,1))&lt;999,ROUND(100/K20*L20-100,1),IF(ROUND(100/K20*L20-100,1)&gt;999,999,-999)))</f>
        <v>-13.7</v>
      </c>
      <c r="N20" s="447"/>
      <c r="O20" s="443">
        <v>7</v>
      </c>
      <c r="P20" s="443"/>
      <c r="Q20" s="447">
        <v>-147.40484699999999</v>
      </c>
      <c r="R20" s="443">
        <v>-123.887451</v>
      </c>
      <c r="S20" s="443">
        <f>IF(Q20=0, "    ---- ", IF(ABS(ROUND(100/Q20*R20-100,1))&lt;999,ROUND(100/Q20*R20-100,1),IF(ROUND(100/Q20*R20-100,1)&gt;999,999,-999)))</f>
        <v>-16</v>
      </c>
      <c r="T20" s="447">
        <v>-20.9</v>
      </c>
      <c r="U20" s="443">
        <v>-48.2</v>
      </c>
      <c r="V20" s="443">
        <f t="shared" si="5"/>
        <v>130.6</v>
      </c>
      <c r="W20" s="468">
        <v>-1493</v>
      </c>
      <c r="X20" s="443">
        <f>-9-1667</f>
        <v>-1676</v>
      </c>
      <c r="Y20" s="443">
        <f>IF(W20=0, "    ---- ", IF(ABS(ROUND(100/W20*X20-100,1))&lt;999,ROUND(100/W20*X20-100,1),IF(ROUND(100/W20*X20-100,1)&gt;999,999,-999)))</f>
        <v>12.3</v>
      </c>
      <c r="Z20" s="468">
        <v>0</v>
      </c>
      <c r="AA20" s="469"/>
      <c r="AB20" s="443"/>
      <c r="AC20" s="447">
        <v>-12</v>
      </c>
      <c r="AD20" s="443">
        <v>-5</v>
      </c>
      <c r="AE20" s="443">
        <f>IF(AC20=0, "    ---- ", IF(ABS(ROUND(100/AC20*AD20-100,1))&lt;999,ROUND(100/AC20*AD20-100,1),IF(ROUND(100/AC20*AD20-100,1)&gt;999,999,-999)))</f>
        <v>-58.3</v>
      </c>
      <c r="AF20" s="447">
        <v>-40.125226959999999</v>
      </c>
      <c r="AG20" s="443"/>
      <c r="AH20" s="443">
        <f t="shared" si="15"/>
        <v>-100</v>
      </c>
      <c r="AI20" s="468">
        <v>-394.01586724999999</v>
      </c>
      <c r="AJ20" s="469">
        <v>-422.91217556999999</v>
      </c>
      <c r="AK20" s="443">
        <f>IF(AI20=0, "    ---- ", IF(ABS(ROUND(100/AI20*AJ20-100,1))&lt;999,ROUND(100/AI20*AJ20-100,1),IF(ROUND(100/AI20*AJ20-100,1)&gt;999,999,-999)))</f>
        <v>7.3</v>
      </c>
      <c r="AL20" s="447">
        <v>-4775.8</v>
      </c>
      <c r="AM20" s="443">
        <v>-4170.1000000000004</v>
      </c>
      <c r="AN20" s="443">
        <f>IF(AL20=0, "    ---- ", IF(ABS(ROUND(100/AL20*AM20-100,1))&lt;999,ROUND(100/AL20*AM20-100,1),IF(ROUND(100/AL20*AM20-100,1)&gt;999,999,-999)))</f>
        <v>-12.7</v>
      </c>
      <c r="AO20" s="443">
        <f t="shared" si="13"/>
        <v>-22956.452941209998</v>
      </c>
      <c r="AP20" s="443">
        <f t="shared" si="13"/>
        <v>-11141.958626569998</v>
      </c>
      <c r="AQ20" s="443">
        <f t="shared" si="11"/>
        <v>-51.5</v>
      </c>
      <c r="AR20" s="451">
        <f t="shared" si="16"/>
        <v>-22968.452941209998</v>
      </c>
      <c r="AS20" s="443">
        <f t="shared" si="16"/>
        <v>-11139.958626569998</v>
      </c>
      <c r="AT20" s="443">
        <f>IF(AR20=0, "    ---- ", IF(ABS(ROUND(100/AR20*AS20-100,1))&lt;999,ROUND(100/AR20*AS20-100,1),IF(ROUND(100/AR20*AS20-100,1)&gt;999,999,-999)))</f>
        <v>-51.5</v>
      </c>
    </row>
    <row r="21" spans="1:46" ht="18.75" customHeight="1" x14ac:dyDescent="0.3">
      <c r="A21" s="440" t="s">
        <v>407</v>
      </c>
      <c r="B21" s="441">
        <v>-967.56600000000003</v>
      </c>
      <c r="C21" s="442">
        <v>-1091.1799999999998</v>
      </c>
      <c r="D21" s="443">
        <f>IF(B21=0, "    ---- ", IF(ABS(ROUND(100/B21*C21-100,1))&lt;999,ROUND(100/B21*C21-100,1),IF(ROUND(100/B21*C21-100,1)&gt;999,999,-999)))</f>
        <v>12.8</v>
      </c>
      <c r="E21" s="452">
        <v>-28547.271999999997</v>
      </c>
      <c r="F21" s="444">
        <f>SUM(F19:F20)</f>
        <v>-16754.069</v>
      </c>
      <c r="G21" s="443">
        <f>IF(E21=0, "    ---- ", IF(ABS(ROUND(100/E21*F21-100,1))&lt;999,ROUND(100/E21*F21-100,1),IF(ROUND(100/E21*F21-100,1)&gt;999,999,-999)))</f>
        <v>-41.3</v>
      </c>
      <c r="H21" s="441">
        <v>-56.882000000000005</v>
      </c>
      <c r="I21" s="442">
        <f>SUM(I19:I20)</f>
        <v>-206.68899999999999</v>
      </c>
      <c r="J21" s="443">
        <f>IF(H21=0, "    ---- ", IF(ABS(ROUND(100/H21*I21-100,1))&lt;999,ROUND(100/H21*I21-100,1),IF(ROUND(100/H21*I21-100,1)&gt;999,999,-999)))</f>
        <v>263.39999999999998</v>
      </c>
      <c r="K21" s="441">
        <v>-1275.6849999999999</v>
      </c>
      <c r="L21" s="442">
        <f>SUM(L19:L20)</f>
        <v>-1093.2</v>
      </c>
      <c r="M21" s="443">
        <f>IF(K21=0, "    ---- ", IF(ABS(ROUND(100/K21*L21-100,1))&lt;999,ROUND(100/K21*L21-100,1),IF(ROUND(100/K21*L21-100,1)&gt;999,999,-999)))</f>
        <v>-14.3</v>
      </c>
      <c r="N21" s="441">
        <v>-37</v>
      </c>
      <c r="O21" s="442">
        <f>SUM(O19:O20)</f>
        <v>-23</v>
      </c>
      <c r="P21" s="443">
        <f>IF(N21=0, "    ---- ", IF(ABS(ROUND(100/N21*O21-100,1))&lt;999,ROUND(100/N21*O21-100,1),IF(ROUND(100/N21*O21-100,1)&gt;999,999,-999)))</f>
        <v>-37.799999999999997</v>
      </c>
      <c r="Q21" s="441">
        <v>-15286.729839419999</v>
      </c>
      <c r="R21" s="442">
        <f>SUM(R19:R20)</f>
        <v>-16387.308508999999</v>
      </c>
      <c r="S21" s="443">
        <f>IF(Q21=0, "    ---- ", IF(ABS(ROUND(100/Q21*R21-100,1))&lt;999,ROUND(100/Q21*R21-100,1),IF(ROUND(100/Q21*R21-100,1)&gt;999,999,-999)))</f>
        <v>7.2</v>
      </c>
      <c r="T21" s="441">
        <v>-78.900000000000006</v>
      </c>
      <c r="U21" s="442">
        <f>SUM(U19:U20)</f>
        <v>-112.1</v>
      </c>
      <c r="V21" s="443">
        <f t="shared" si="5"/>
        <v>42.1</v>
      </c>
      <c r="W21" s="441">
        <v>-5865</v>
      </c>
      <c r="X21" s="442">
        <f>SUM(X19:X20)</f>
        <v>-6025.5</v>
      </c>
      <c r="Y21" s="443">
        <f>IF(W21=0, "    ---- ", IF(ABS(ROUND(100/W21*X21-100,1))&lt;999,ROUND(100/W21*X21-100,1),IF(ROUND(100/W21*X21-100,1)&gt;999,999,-999)))</f>
        <v>2.7</v>
      </c>
      <c r="Z21" s="441">
        <v>-2508</v>
      </c>
      <c r="AA21" s="442">
        <f>SUM(AA19:AA20)</f>
        <v>-2614</v>
      </c>
      <c r="AB21" s="443">
        <f>IF(Z21=0, "    ---- ", IF(ABS(ROUND(100/Z21*AA21-100,1))&lt;999,ROUND(100/Z21*AA21-100,1),IF(ROUND(100/Z21*AA21-100,1)&gt;999,999,-999)))</f>
        <v>4.2</v>
      </c>
      <c r="AC21" s="441">
        <v>-146</v>
      </c>
      <c r="AD21" s="442">
        <f>SUM(AD19:AD20)</f>
        <v>-145</v>
      </c>
      <c r="AE21" s="443">
        <f>IF(AC21=0, "    ---- ", IF(ABS(ROUND(100/AC21*AD21-100,1))&lt;999,ROUND(100/AC21*AD21-100,1),IF(ROUND(100/AC21*AD21-100,1)&gt;999,999,-999)))</f>
        <v>-0.7</v>
      </c>
      <c r="AF21" s="441">
        <v>-161.86351074999999</v>
      </c>
      <c r="AG21" s="442"/>
      <c r="AH21" s="443">
        <f t="shared" si="15"/>
        <v>-100</v>
      </c>
      <c r="AI21" s="441">
        <v>-2358.5580771599998</v>
      </c>
      <c r="AJ21" s="442">
        <f>SUM(AJ19:AJ20)</f>
        <v>-2417.8968144599999</v>
      </c>
      <c r="AK21" s="443">
        <f>IF(AI21=0, "    ---- ", IF(ABS(ROUND(100/AI21*AJ21-100,1))&lt;999,ROUND(100/AI21*AJ21-100,1),IF(ROUND(100/AI21*AJ21-100,1)&gt;999,999,-999)))</f>
        <v>2.5</v>
      </c>
      <c r="AL21" s="441">
        <v>-14191.5</v>
      </c>
      <c r="AM21" s="442">
        <f>SUM(AM19:AM20)</f>
        <v>-14119.2</v>
      </c>
      <c r="AN21" s="443">
        <f>IF(AL21=0, "    ---- ", IF(ABS(ROUND(100/AL21*AM21-100,1))&lt;999,ROUND(100/AL21*AM21-100,1),IF(ROUND(100/AL21*AM21-100,1)&gt;999,999,-999)))</f>
        <v>-0.5</v>
      </c>
      <c r="AO21" s="443">
        <f t="shared" si="13"/>
        <v>-71297.956427330006</v>
      </c>
      <c r="AP21" s="443">
        <f t="shared" si="13"/>
        <v>-60821.143323459997</v>
      </c>
      <c r="AQ21" s="443">
        <f t="shared" si="11"/>
        <v>-14.7</v>
      </c>
      <c r="AR21" s="451">
        <f t="shared" si="16"/>
        <v>-71480.956427330006</v>
      </c>
      <c r="AS21" s="443">
        <f t="shared" si="16"/>
        <v>-60989.143323459997</v>
      </c>
      <c r="AT21" s="443">
        <f>IF(AR21=0, "    ---- ", IF(ABS(ROUND(100/AR21*AS21-100,1))&lt;999,ROUND(100/AR21*AS21-100,1),IF(ROUND(100/AR21*AS21-100,1)&gt;999,999,-999)))</f>
        <v>-14.7</v>
      </c>
    </row>
    <row r="22" spans="1:46" ht="18.75" customHeight="1" x14ac:dyDescent="0.3">
      <c r="A22" s="440" t="s">
        <v>360</v>
      </c>
      <c r="B22" s="453"/>
      <c r="C22" s="454"/>
      <c r="D22" s="443"/>
      <c r="E22" s="455"/>
      <c r="F22" s="456"/>
      <c r="G22" s="443"/>
      <c r="H22" s="459"/>
      <c r="I22" s="460"/>
      <c r="J22" s="443"/>
      <c r="K22" s="453"/>
      <c r="L22" s="454"/>
      <c r="M22" s="443"/>
      <c r="N22" s="459"/>
      <c r="O22" s="460"/>
      <c r="P22" s="443"/>
      <c r="Q22" s="453"/>
      <c r="R22" s="454"/>
      <c r="S22" s="443"/>
      <c r="T22" s="459"/>
      <c r="U22" s="460"/>
      <c r="V22" s="443"/>
      <c r="W22" s="459"/>
      <c r="X22" s="460"/>
      <c r="Y22" s="443"/>
      <c r="Z22" s="459"/>
      <c r="AA22" s="460"/>
      <c r="AB22" s="443"/>
      <c r="AC22" s="459"/>
      <c r="AD22" s="460"/>
      <c r="AE22" s="443"/>
      <c r="AF22" s="453"/>
      <c r="AG22" s="454"/>
      <c r="AH22" s="443"/>
      <c r="AI22" s="459"/>
      <c r="AJ22" s="460"/>
      <c r="AK22" s="443"/>
      <c r="AL22" s="453"/>
      <c r="AM22" s="454"/>
      <c r="AN22" s="443"/>
      <c r="AO22" s="443"/>
      <c r="AP22" s="443"/>
      <c r="AQ22" s="443"/>
      <c r="AR22" s="443"/>
      <c r="AS22" s="443"/>
      <c r="AT22" s="443"/>
    </row>
    <row r="23" spans="1:46" ht="18.75" customHeight="1" x14ac:dyDescent="0.3">
      <c r="A23" s="440" t="s">
        <v>408</v>
      </c>
      <c r="B23" s="447">
        <v>-14.815</v>
      </c>
      <c r="C23" s="443">
        <v>-44.548000000000002</v>
      </c>
      <c r="D23" s="443">
        <f t="shared" ref="D23:D29" si="17">IF(B23=0, "    ---- ", IF(ABS(ROUND(100/B23*C23-100,1))&lt;999,ROUND(100/B23*C23-100,1),IF(ROUND(100/B23*C23-100,1)&gt;999,999,-999)))</f>
        <v>200.7</v>
      </c>
      <c r="E23" s="449">
        <v>7257.2650000000003</v>
      </c>
      <c r="F23" s="450">
        <v>1286.5360000000001</v>
      </c>
      <c r="G23" s="443">
        <f t="shared" ref="G23:G29" si="18">IF(E23=0, "    ---- ", IF(ABS(ROUND(100/E23*F23-100,1))&lt;999,ROUND(100/E23*F23-100,1),IF(ROUND(100/E23*F23-100,1)&gt;999,999,-999)))</f>
        <v>-82.3</v>
      </c>
      <c r="H23" s="447">
        <v>-496.32900000000001</v>
      </c>
      <c r="I23" s="443">
        <v>-39.450000000000003</v>
      </c>
      <c r="J23" s="443">
        <f>IF(H23=0, "    ---- ", IF(ABS(ROUND(100/H23*I23-100,1))&lt;999,ROUND(100/H23*I23-100,1),IF(ROUND(100/H23*I23-100,1)&gt;999,999,-999)))</f>
        <v>-92.1</v>
      </c>
      <c r="K23" s="447">
        <v>-638</v>
      </c>
      <c r="L23" s="443">
        <f>-253.9-201.2+10.8</f>
        <v>-444.3</v>
      </c>
      <c r="M23" s="443">
        <f t="shared" ref="M23:M31" si="19">IF(K23=0, "    ---- ", IF(ABS(ROUND(100/K23*L23-100,1))&lt;999,ROUND(100/K23*L23-100,1),IF(ROUND(100/K23*L23-100,1)&gt;999,999,-999)))</f>
        <v>-30.4</v>
      </c>
      <c r="N23" s="447">
        <v>21</v>
      </c>
      <c r="O23" s="443"/>
      <c r="P23" s="443">
        <f>IF(N23=0, "    ---- ", IF(ABS(ROUND(100/N23*O23-100,1))&lt;999,ROUND(100/N23*O23-100,1),IF(ROUND(100/N23*O23-100,1)&gt;999,999,-999)))</f>
        <v>-100</v>
      </c>
      <c r="Q23" s="447">
        <v>-11286.027544</v>
      </c>
      <c r="R23" s="443">
        <v>-27291.15480167</v>
      </c>
      <c r="S23" s="443">
        <f t="shared" ref="S23:S30" si="20">IF(Q23=0, "    ---- ", IF(ABS(ROUND(100/Q23*R23-100,1))&lt;999,ROUND(100/Q23*R23-100,1),IF(ROUND(100/Q23*R23-100,1)&gt;999,999,-999)))</f>
        <v>141.80000000000001</v>
      </c>
      <c r="T23" s="447">
        <v>-114.1</v>
      </c>
      <c r="U23" s="443">
        <f>-103.7</f>
        <v>-103.7</v>
      </c>
      <c r="V23" s="443">
        <f t="shared" si="5"/>
        <v>-9.1</v>
      </c>
      <c r="W23" s="447">
        <v>-1144</v>
      </c>
      <c r="X23" s="443">
        <v>-913.8</v>
      </c>
      <c r="Y23" s="443">
        <f t="shared" ref="Y23:Y29" si="21">IF(W23=0, "    ---- ", IF(ABS(ROUND(100/W23*X23-100,1))&lt;999,ROUND(100/W23*X23-100,1),IF(ROUND(100/W23*X23-100,1)&gt;999,999,-999)))</f>
        <v>-20.100000000000001</v>
      </c>
      <c r="Z23" s="447">
        <v>-1542</v>
      </c>
      <c r="AA23" s="443">
        <v>-2344</v>
      </c>
      <c r="AB23" s="443">
        <f t="shared" ref="AB23:AB29" si="22">IF(Z23=0, "    ---- ", IF(ABS(ROUND(100/Z23*AA23-100,1))&lt;999,ROUND(100/Z23*AA23-100,1),IF(ROUND(100/Z23*AA23-100,1)&gt;999,999,-999)))</f>
        <v>52</v>
      </c>
      <c r="AC23" s="447"/>
      <c r="AD23" s="443"/>
      <c r="AE23" s="443"/>
      <c r="AF23" s="447">
        <v>-231.36860121000001</v>
      </c>
      <c r="AG23" s="443"/>
      <c r="AH23" s="443">
        <f t="shared" si="15"/>
        <v>-100</v>
      </c>
      <c r="AI23" s="447">
        <v>-582.68110466000007</v>
      </c>
      <c r="AJ23" s="443">
        <v>-797.12750142000004</v>
      </c>
      <c r="AK23" s="443">
        <f t="shared" ref="AK23:AK29" si="23">IF(AI23=0, "    ---- ", IF(ABS(ROUND(100/AI23*AJ23-100,1))&lt;999,ROUND(100/AI23*AJ23-100,1),IF(ROUND(100/AI23*AJ23-100,1)&gt;999,999,-999)))</f>
        <v>36.799999999999997</v>
      </c>
      <c r="AL23" s="447">
        <v>-168.1</v>
      </c>
      <c r="AM23" s="443">
        <v>-1510.1</v>
      </c>
      <c r="AN23" s="443">
        <f t="shared" ref="AN23:AN29" si="24">IF(AL23=0, "    ---- ", IF(ABS(ROUND(100/AL23*AM23-100,1))&lt;999,ROUND(100/AL23*AM23-100,1),IF(ROUND(100/AL23*AM23-100,1)&gt;999,999,-999)))</f>
        <v>798.3</v>
      </c>
      <c r="AO23" s="443">
        <f t="shared" si="13"/>
        <v>-8960.1562498700005</v>
      </c>
      <c r="AP23" s="443">
        <f t="shared" si="13"/>
        <v>-32201.644303089997</v>
      </c>
      <c r="AQ23" s="443">
        <f t="shared" si="11"/>
        <v>259.39999999999998</v>
      </c>
      <c r="AR23" s="443"/>
      <c r="AS23" s="443"/>
      <c r="AT23" s="443"/>
    </row>
    <row r="24" spans="1:46" ht="18.75" customHeight="1" x14ac:dyDescent="0.3">
      <c r="A24" s="440" t="s">
        <v>361</v>
      </c>
      <c r="B24" s="447">
        <v>0</v>
      </c>
      <c r="C24" s="443">
        <v>0</v>
      </c>
      <c r="D24" s="443"/>
      <c r="E24" s="449">
        <v>-795.51400000000001</v>
      </c>
      <c r="F24" s="450">
        <v>-907.56600000000003</v>
      </c>
      <c r="G24" s="443">
        <f t="shared" si="18"/>
        <v>14.1</v>
      </c>
      <c r="H24" s="447"/>
      <c r="I24" s="443">
        <v>-1.347</v>
      </c>
      <c r="J24" s="443" t="str">
        <f>IF(H24=0, "    ---- ", IF(ABS(ROUND(100/H24*I24-100,1))&lt;999,ROUND(100/H24*I24-100,1),IF(ROUND(100/H24*I24-100,1)&gt;999,999,-999)))</f>
        <v xml:space="preserve">    ---- </v>
      </c>
      <c r="K24" s="447">
        <v>-49.969000000000001</v>
      </c>
      <c r="L24" s="443">
        <v>-20.399999999999999</v>
      </c>
      <c r="M24" s="443">
        <f t="shared" si="19"/>
        <v>-59.2</v>
      </c>
      <c r="N24" s="447"/>
      <c r="O24" s="443"/>
      <c r="P24" s="443"/>
      <c r="Q24" s="447">
        <v>-3029.6661760000002</v>
      </c>
      <c r="R24" s="443">
        <v>-3987.1005799999998</v>
      </c>
      <c r="S24" s="443">
        <f t="shared" si="20"/>
        <v>31.6</v>
      </c>
      <c r="T24" s="447">
        <v>-7.9</v>
      </c>
      <c r="U24" s="443">
        <v>-13.5</v>
      </c>
      <c r="V24" s="443">
        <f t="shared" si="5"/>
        <v>70.900000000000006</v>
      </c>
      <c r="W24" s="447">
        <v>-95</v>
      </c>
      <c r="X24" s="443">
        <v>-187.9</v>
      </c>
      <c r="Y24" s="443">
        <f t="shared" si="21"/>
        <v>97.8</v>
      </c>
      <c r="Z24" s="447">
        <v>-86</v>
      </c>
      <c r="AA24" s="443">
        <v>-1975</v>
      </c>
      <c r="AB24" s="443">
        <f t="shared" si="22"/>
        <v>999</v>
      </c>
      <c r="AC24" s="447"/>
      <c r="AD24" s="443"/>
      <c r="AE24" s="443"/>
      <c r="AF24" s="447">
        <v>-1.0742619799999999</v>
      </c>
      <c r="AG24" s="443"/>
      <c r="AH24" s="443">
        <f t="shared" si="15"/>
        <v>-100</v>
      </c>
      <c r="AI24" s="447">
        <v>81.903327269999977</v>
      </c>
      <c r="AJ24" s="443">
        <v>-74.471464190000006</v>
      </c>
      <c r="AK24" s="443">
        <f t="shared" si="23"/>
        <v>-190.9</v>
      </c>
      <c r="AL24" s="447">
        <v>-358</v>
      </c>
      <c r="AM24" s="443">
        <v>-1489.9</v>
      </c>
      <c r="AN24" s="443">
        <f t="shared" si="24"/>
        <v>316.2</v>
      </c>
      <c r="AO24" s="443">
        <f t="shared" si="13"/>
        <v>-4341.2201107100009</v>
      </c>
      <c r="AP24" s="443">
        <f t="shared" si="13"/>
        <v>-8657.1850441899987</v>
      </c>
      <c r="AQ24" s="443">
        <f t="shared" si="11"/>
        <v>99.4</v>
      </c>
      <c r="AR24" s="443"/>
      <c r="AS24" s="443"/>
      <c r="AT24" s="443"/>
    </row>
    <row r="25" spans="1:46" ht="18.75" customHeight="1" x14ac:dyDescent="0.3">
      <c r="A25" s="440" t="s">
        <v>362</v>
      </c>
      <c r="B25" s="447">
        <v>9.56</v>
      </c>
      <c r="C25" s="443">
        <v>-14.522</v>
      </c>
      <c r="D25" s="443">
        <f t="shared" si="17"/>
        <v>-251.9</v>
      </c>
      <c r="E25" s="449">
        <v>636.07000000000005</v>
      </c>
      <c r="F25" s="450">
        <v>-130.654</v>
      </c>
      <c r="G25" s="443">
        <f t="shared" si="18"/>
        <v>-120.5</v>
      </c>
      <c r="H25" s="447"/>
      <c r="I25" s="443"/>
      <c r="J25" s="443"/>
      <c r="K25" s="447">
        <v>0.57199999999999995</v>
      </c>
      <c r="L25" s="443">
        <v>-26.9</v>
      </c>
      <c r="M25" s="443">
        <f t="shared" si="19"/>
        <v>-999</v>
      </c>
      <c r="N25" s="447"/>
      <c r="O25" s="443"/>
      <c r="P25" s="443"/>
      <c r="Q25" s="447">
        <v>-1949.9169010000001</v>
      </c>
      <c r="R25" s="443">
        <v>-6865.3799150000004</v>
      </c>
      <c r="S25" s="443">
        <f t="shared" si="20"/>
        <v>252.1</v>
      </c>
      <c r="T25" s="447">
        <v>-1.1000000000000001</v>
      </c>
      <c r="U25" s="443">
        <v>-10.199999999999999</v>
      </c>
      <c r="V25" s="443">
        <f t="shared" si="5"/>
        <v>827.3</v>
      </c>
      <c r="W25" s="447">
        <v>137</v>
      </c>
      <c r="X25" s="443">
        <v>-166.7</v>
      </c>
      <c r="Y25" s="443">
        <f t="shared" si="21"/>
        <v>-221.7</v>
      </c>
      <c r="Z25" s="447">
        <v>-1692</v>
      </c>
      <c r="AA25" s="443">
        <v>69</v>
      </c>
      <c r="AB25" s="443">
        <f t="shared" si="22"/>
        <v>-104.1</v>
      </c>
      <c r="AC25" s="447"/>
      <c r="AD25" s="443"/>
      <c r="AE25" s="443"/>
      <c r="AF25" s="447">
        <v>150.34200540000001</v>
      </c>
      <c r="AG25" s="443"/>
      <c r="AH25" s="443">
        <f t="shared" si="15"/>
        <v>-100</v>
      </c>
      <c r="AI25" s="447">
        <v>-200.28506242999995</v>
      </c>
      <c r="AJ25" s="443">
        <v>-175.33414149999999</v>
      </c>
      <c r="AK25" s="443">
        <f t="shared" si="23"/>
        <v>-12.5</v>
      </c>
      <c r="AL25" s="447">
        <v>1294.5</v>
      </c>
      <c r="AM25" s="443">
        <v>1836.4</v>
      </c>
      <c r="AN25" s="443">
        <f t="shared" si="24"/>
        <v>41.9</v>
      </c>
      <c r="AO25" s="443">
        <f t="shared" si="13"/>
        <v>-1615.2579580299998</v>
      </c>
      <c r="AP25" s="443">
        <f t="shared" si="13"/>
        <v>-5484.2900565</v>
      </c>
      <c r="AQ25" s="443">
        <f t="shared" si="11"/>
        <v>239.5</v>
      </c>
      <c r="AR25" s="443"/>
      <c r="AS25" s="443"/>
      <c r="AT25" s="443"/>
    </row>
    <row r="26" spans="1:46" ht="18.75" customHeight="1" x14ac:dyDescent="0.3">
      <c r="A26" s="440" t="s">
        <v>409</v>
      </c>
      <c r="B26" s="447"/>
      <c r="C26" s="443"/>
      <c r="D26" s="443"/>
      <c r="E26" s="449">
        <v>-41.002000000000002</v>
      </c>
      <c r="F26" s="450">
        <v>-28.262</v>
      </c>
      <c r="G26" s="443">
        <f t="shared" si="18"/>
        <v>-31.1</v>
      </c>
      <c r="H26" s="447"/>
      <c r="I26" s="443"/>
      <c r="J26" s="443"/>
      <c r="K26" s="447">
        <v>3.7160000000000002</v>
      </c>
      <c r="L26" s="443">
        <v>2.5</v>
      </c>
      <c r="M26" s="443"/>
      <c r="N26" s="447"/>
      <c r="O26" s="443"/>
      <c r="P26" s="443"/>
      <c r="Q26" s="447">
        <v>-243.01308499999999</v>
      </c>
      <c r="R26" s="443">
        <v>-287.34542599999997</v>
      </c>
      <c r="S26" s="443">
        <f t="shared" si="20"/>
        <v>18.2</v>
      </c>
      <c r="T26" s="447">
        <v>0.4</v>
      </c>
      <c r="U26" s="443">
        <v>0.2</v>
      </c>
      <c r="V26" s="443">
        <f t="shared" si="5"/>
        <v>-50</v>
      </c>
      <c r="W26" s="447">
        <v>-14</v>
      </c>
      <c r="X26" s="443">
        <v>-17</v>
      </c>
      <c r="Y26" s="443">
        <f t="shared" si="21"/>
        <v>21.4</v>
      </c>
      <c r="Z26" s="447">
        <v>-30</v>
      </c>
      <c r="AA26" s="443">
        <v>-43</v>
      </c>
      <c r="AB26" s="443">
        <f t="shared" si="22"/>
        <v>43.3</v>
      </c>
      <c r="AC26" s="447"/>
      <c r="AD26" s="443"/>
      <c r="AE26" s="443"/>
      <c r="AF26" s="447"/>
      <c r="AG26" s="443"/>
      <c r="AH26" s="443"/>
      <c r="AI26" s="447">
        <v>-4.6452384599999998</v>
      </c>
      <c r="AJ26" s="443">
        <v>-3.6874820000000001</v>
      </c>
      <c r="AK26" s="443">
        <f t="shared" si="23"/>
        <v>-20.6</v>
      </c>
      <c r="AL26" s="447">
        <v>-9.4</v>
      </c>
      <c r="AM26" s="443">
        <v>-11.3</v>
      </c>
      <c r="AN26" s="443">
        <f t="shared" si="24"/>
        <v>20.2</v>
      </c>
      <c r="AO26" s="443">
        <f t="shared" si="13"/>
        <v>-337.94432345999996</v>
      </c>
      <c r="AP26" s="443">
        <f t="shared" si="13"/>
        <v>-387.89490799999999</v>
      </c>
      <c r="AQ26" s="443">
        <f t="shared" si="11"/>
        <v>14.8</v>
      </c>
      <c r="AR26" s="443"/>
      <c r="AS26" s="443"/>
      <c r="AT26" s="443"/>
    </row>
    <row r="27" spans="1:46" ht="18.75" customHeight="1" x14ac:dyDescent="0.3">
      <c r="A27" s="440" t="s">
        <v>410</v>
      </c>
      <c r="B27" s="447">
        <v>0.29699999999999999</v>
      </c>
      <c r="C27" s="443">
        <v>9.0389999999999997</v>
      </c>
      <c r="D27" s="443">
        <f t="shared" si="17"/>
        <v>999</v>
      </c>
      <c r="E27" s="449">
        <v>-1.379</v>
      </c>
      <c r="F27" s="450">
        <v>32.073</v>
      </c>
      <c r="G27" s="443">
        <f t="shared" si="18"/>
        <v>-999</v>
      </c>
      <c r="H27" s="447">
        <v>-4.5179999999999998</v>
      </c>
      <c r="I27" s="443">
        <v>-2.17</v>
      </c>
      <c r="J27" s="443">
        <f>IF(H27=0, "    ---- ", IF(ABS(ROUND(100/H27*I27-100,1))&lt;999,ROUND(100/H27*I27-100,1),IF(ROUND(100/H27*I27-100,1)&gt;999,999,-999)))</f>
        <v>-52</v>
      </c>
      <c r="K27" s="447"/>
      <c r="L27" s="443"/>
      <c r="M27" s="443"/>
      <c r="N27" s="447"/>
      <c r="O27" s="443"/>
      <c r="P27" s="443"/>
      <c r="Q27" s="447"/>
      <c r="R27" s="443"/>
      <c r="S27" s="443"/>
      <c r="T27" s="447"/>
      <c r="U27" s="443"/>
      <c r="V27" s="443"/>
      <c r="W27" s="447">
        <v>-3</v>
      </c>
      <c r="X27" s="443">
        <v>0</v>
      </c>
      <c r="Y27" s="443">
        <f t="shared" si="21"/>
        <v>-100</v>
      </c>
      <c r="Z27" s="447"/>
      <c r="AA27" s="443"/>
      <c r="AB27" s="443"/>
      <c r="AC27" s="447"/>
      <c r="AD27" s="443"/>
      <c r="AE27" s="443"/>
      <c r="AF27" s="447"/>
      <c r="AG27" s="443"/>
      <c r="AH27" s="443"/>
      <c r="AI27" s="447">
        <v>7.9057389999999996</v>
      </c>
      <c r="AJ27" s="443">
        <v>0</v>
      </c>
      <c r="AK27" s="443">
        <f t="shared" si="23"/>
        <v>-100</v>
      </c>
      <c r="AL27" s="447">
        <v>-43.9</v>
      </c>
      <c r="AM27" s="443">
        <v>-34.4</v>
      </c>
      <c r="AN27" s="443">
        <f t="shared" si="24"/>
        <v>-21.6</v>
      </c>
      <c r="AO27" s="443">
        <f t="shared" si="13"/>
        <v>-44.594260999999996</v>
      </c>
      <c r="AP27" s="443">
        <f t="shared" si="13"/>
        <v>4.5420000000000016</v>
      </c>
      <c r="AQ27" s="443">
        <f t="shared" si="11"/>
        <v>-110.2</v>
      </c>
      <c r="AR27" s="443"/>
      <c r="AS27" s="443"/>
      <c r="AT27" s="443"/>
    </row>
    <row r="28" spans="1:46" ht="18.75" customHeight="1" x14ac:dyDescent="0.3">
      <c r="A28" s="440" t="s">
        <v>411</v>
      </c>
      <c r="B28" s="447"/>
      <c r="C28" s="443"/>
      <c r="D28" s="443"/>
      <c r="E28" s="449">
        <v>26.082000000000001</v>
      </c>
      <c r="F28" s="450">
        <v>18.308</v>
      </c>
      <c r="G28" s="443">
        <f t="shared" si="18"/>
        <v>-29.8</v>
      </c>
      <c r="H28" s="447"/>
      <c r="I28" s="443"/>
      <c r="J28" s="443"/>
      <c r="K28" s="447"/>
      <c r="L28" s="443"/>
      <c r="M28" s="443"/>
      <c r="N28" s="447"/>
      <c r="O28" s="443"/>
      <c r="P28" s="443"/>
      <c r="Q28" s="447">
        <v>-8.8654899999999994</v>
      </c>
      <c r="R28" s="443">
        <v>-2.6871149999999999</v>
      </c>
      <c r="S28" s="443">
        <f t="shared" si="20"/>
        <v>-69.7</v>
      </c>
      <c r="T28" s="447"/>
      <c r="U28" s="443">
        <v>0.2</v>
      </c>
      <c r="V28" s="443" t="str">
        <f t="shared" si="5"/>
        <v xml:space="preserve">    ---- </v>
      </c>
      <c r="W28" s="447">
        <v>1</v>
      </c>
      <c r="X28" s="443">
        <v>3</v>
      </c>
      <c r="Y28" s="443">
        <f t="shared" si="21"/>
        <v>200</v>
      </c>
      <c r="Z28" s="447">
        <v>-102</v>
      </c>
      <c r="AA28" s="443">
        <v>-31</v>
      </c>
      <c r="AB28" s="443">
        <f t="shared" ref="AB28" si="25">IF(Z28=0, "    ---- ", IF(ABS(ROUND(100/Z28*AA28-100,1))&lt;999,ROUND(100/Z28*AA28-100,1),IF(ROUND(100/Z28*AA28-100,1)&gt;999,999,-999)))</f>
        <v>-69.599999999999994</v>
      </c>
      <c r="AC28" s="447"/>
      <c r="AD28" s="443"/>
      <c r="AE28" s="443"/>
      <c r="AF28" s="447">
        <v>0.472304</v>
      </c>
      <c r="AG28" s="443"/>
      <c r="AH28" s="443">
        <f t="shared" si="15"/>
        <v>-100</v>
      </c>
      <c r="AI28" s="447">
        <v>0.88932374000000014</v>
      </c>
      <c r="AJ28" s="443">
        <v>0</v>
      </c>
      <c r="AK28" s="443">
        <f t="shared" si="23"/>
        <v>-100</v>
      </c>
      <c r="AL28" s="447">
        <v>-56.6</v>
      </c>
      <c r="AM28" s="443">
        <v>1.8</v>
      </c>
      <c r="AN28" s="443">
        <f t="shared" si="24"/>
        <v>-103.2</v>
      </c>
      <c r="AO28" s="443">
        <f t="shared" si="13"/>
        <v>-139.02186226000001</v>
      </c>
      <c r="AP28" s="443">
        <f t="shared" si="13"/>
        <v>-10.379115000000002</v>
      </c>
      <c r="AQ28" s="443">
        <f t="shared" si="11"/>
        <v>-92.5</v>
      </c>
      <c r="AR28" s="443"/>
      <c r="AS28" s="443"/>
      <c r="AT28" s="443"/>
    </row>
    <row r="29" spans="1:46" ht="18.75" customHeight="1" x14ac:dyDescent="0.3">
      <c r="A29" s="440" t="s">
        <v>363</v>
      </c>
      <c r="B29" s="447">
        <v>-4.9579999999999993</v>
      </c>
      <c r="C29" s="443">
        <v>-50.030999999999999</v>
      </c>
      <c r="D29" s="443">
        <f t="shared" si="17"/>
        <v>909.1</v>
      </c>
      <c r="E29" s="450">
        <v>7081.5219999999999</v>
      </c>
      <c r="F29" s="450">
        <f>SUM(F23:F28)</f>
        <v>270.43500000000006</v>
      </c>
      <c r="G29" s="443">
        <f t="shared" si="18"/>
        <v>-96.2</v>
      </c>
      <c r="H29" s="443">
        <v>-500.84699999999998</v>
      </c>
      <c r="I29" s="443">
        <f>SUM(I23:I28)</f>
        <v>-42.967000000000006</v>
      </c>
      <c r="J29" s="443">
        <f>IF(H29=0, "    ---- ", IF(ABS(ROUND(100/H29*I29-100,1))&lt;999,ROUND(100/H29*I29-100,1),IF(ROUND(100/H29*I29-100,1)&gt;999,999,-999)))</f>
        <v>-91.4</v>
      </c>
      <c r="K29" s="447">
        <v>-684</v>
      </c>
      <c r="L29" s="443">
        <f>SUM(L23:L28)</f>
        <v>-489.09999999999997</v>
      </c>
      <c r="M29" s="443">
        <f t="shared" si="19"/>
        <v>-28.5</v>
      </c>
      <c r="N29" s="443">
        <v>21</v>
      </c>
      <c r="O29" s="443">
        <f>SUM(O23:O28)</f>
        <v>0</v>
      </c>
      <c r="P29" s="443">
        <f>IF(N29=0, "    ---- ", IF(ABS(ROUND(100/N29*O29-100,1))&lt;999,ROUND(100/N29*O29-100,1),IF(ROUND(100/N29*O29-100,1)&gt;999,999,-999)))</f>
        <v>-100</v>
      </c>
      <c r="Q29" s="443">
        <v>-16517.489196000002</v>
      </c>
      <c r="R29" s="443">
        <f>SUM(R23:R28)</f>
        <v>-38433.66783767</v>
      </c>
      <c r="S29" s="443">
        <f t="shared" si="20"/>
        <v>132.69999999999999</v>
      </c>
      <c r="T29" s="443">
        <v>-122.69999999999999</v>
      </c>
      <c r="U29" s="443">
        <f>SUM(U23:U28)</f>
        <v>-127</v>
      </c>
      <c r="V29" s="443">
        <f t="shared" si="5"/>
        <v>3.5</v>
      </c>
      <c r="W29" s="443">
        <v>-1118</v>
      </c>
      <c r="X29" s="443">
        <f>SUM(X23:X28)</f>
        <v>-1282.4000000000001</v>
      </c>
      <c r="Y29" s="443">
        <f t="shared" si="21"/>
        <v>14.7</v>
      </c>
      <c r="Z29" s="443">
        <v>-3452</v>
      </c>
      <c r="AA29" s="443">
        <f>SUM(AA23:AA28)</f>
        <v>-4324</v>
      </c>
      <c r="AB29" s="443">
        <f t="shared" si="22"/>
        <v>25.3</v>
      </c>
      <c r="AC29" s="447"/>
      <c r="AD29" s="443"/>
      <c r="AE29" s="443"/>
      <c r="AF29" s="447">
        <v>-81.628553789999998</v>
      </c>
      <c r="AG29" s="443"/>
      <c r="AH29" s="443">
        <f t="shared" si="15"/>
        <v>-100</v>
      </c>
      <c r="AI29" s="443">
        <v>-696.91301553999995</v>
      </c>
      <c r="AJ29" s="443">
        <f>SUM(AJ23:AJ28)</f>
        <v>-1050.6205891100001</v>
      </c>
      <c r="AK29" s="443">
        <f t="shared" si="23"/>
        <v>50.8</v>
      </c>
      <c r="AL29" s="443">
        <v>658.5</v>
      </c>
      <c r="AM29" s="443">
        <f>SUM(AM23:AM28)</f>
        <v>-1207.5</v>
      </c>
      <c r="AN29" s="443">
        <f t="shared" si="24"/>
        <v>-283.39999999999998</v>
      </c>
      <c r="AO29" s="443">
        <f t="shared" si="13"/>
        <v>-15438.513765330003</v>
      </c>
      <c r="AP29" s="443">
        <f t="shared" si="13"/>
        <v>-46736.851426780006</v>
      </c>
      <c r="AQ29" s="443">
        <f t="shared" si="11"/>
        <v>202.7</v>
      </c>
      <c r="AR29" s="443"/>
      <c r="AS29" s="443"/>
      <c r="AT29" s="443"/>
    </row>
    <row r="30" spans="1:46" ht="18.75" customHeight="1" x14ac:dyDescent="0.3">
      <c r="A30" s="440" t="s">
        <v>364</v>
      </c>
      <c r="B30" s="447">
        <v>-1640.278</v>
      </c>
      <c r="C30" s="443">
        <v>-1714.3309999999999</v>
      </c>
      <c r="D30" s="443">
        <f>IF(B30=0, "    ---- ", IF(ABS(ROUND(100/B30*C30-100,1))&lt;999,ROUND(100/B30*C30-100,1),IF(ROUND(100/B30*C30-100,1)&gt;999,999,-999)))</f>
        <v>4.5</v>
      </c>
      <c r="E30" s="449">
        <v>-6787.38</v>
      </c>
      <c r="F30" s="450">
        <v>-10509.259</v>
      </c>
      <c r="G30" s="443">
        <f>IF(E30=0, "    ---- ", IF(ABS(ROUND(100/E30*F30-100,1))&lt;999,ROUND(100/E30*F30-100,1),IF(ROUND(100/E30*F30-100,1)&gt;999,999,-999)))</f>
        <v>54.8</v>
      </c>
      <c r="H30" s="447"/>
      <c r="I30" s="443">
        <v>-327.04700000000003</v>
      </c>
      <c r="J30" s="443" t="str">
        <f>IF(H30=0, "    ---- ", IF(ABS(ROUND(100/H30*I30-100,1))&lt;999,ROUND(100/H30*I30-100,1),IF(ROUND(100/H30*I30-100,1)&gt;999,999,-999)))</f>
        <v xml:space="preserve">    ---- </v>
      </c>
      <c r="K30" s="447">
        <v>-2145.933</v>
      </c>
      <c r="L30" s="443">
        <v>-2672.6</v>
      </c>
      <c r="M30" s="443">
        <f t="shared" si="19"/>
        <v>24.5</v>
      </c>
      <c r="N30" s="447"/>
      <c r="O30" s="443"/>
      <c r="P30" s="443"/>
      <c r="Q30" s="447">
        <v>-9</v>
      </c>
      <c r="R30" s="443">
        <v>-108.073449</v>
      </c>
      <c r="S30" s="443">
        <f t="shared" si="20"/>
        <v>999</v>
      </c>
      <c r="T30" s="447">
        <v>-343.2</v>
      </c>
      <c r="U30" s="443">
        <v>-495.3</v>
      </c>
      <c r="V30" s="443">
        <f t="shared" si="5"/>
        <v>44.3</v>
      </c>
      <c r="W30" s="447">
        <v>-7494</v>
      </c>
      <c r="X30" s="443">
        <v>-8141.5197209300004</v>
      </c>
      <c r="Y30" s="443">
        <f>IF(W30=0, "    ---- ", IF(ABS(ROUND(100/W30*X30-100,1))&lt;999,ROUND(100/W30*X30-100,1),IF(ROUND(100/W30*X30-100,1)&gt;999,999,-999)))</f>
        <v>8.6</v>
      </c>
      <c r="Z30" s="447"/>
      <c r="AA30" s="443"/>
      <c r="AB30" s="443"/>
      <c r="AC30" s="447">
        <v>-155</v>
      </c>
      <c r="AD30" s="443">
        <v>-153</v>
      </c>
      <c r="AE30" s="443">
        <f>IF(AC30=0, "    ---- ", IF(ABS(ROUND(100/AC30*AD30-100,1))&lt;999,ROUND(100/AC30*AD30-100,1),IF(ROUND(100/AC30*AD30-100,1)&gt;999,999,-999)))</f>
        <v>-1.3</v>
      </c>
      <c r="AF30" s="447">
        <v>4.5877753800000001</v>
      </c>
      <c r="AG30" s="443"/>
      <c r="AH30" s="443">
        <f t="shared" si="15"/>
        <v>-100</v>
      </c>
      <c r="AI30" s="447">
        <v>-2554.0363019000001</v>
      </c>
      <c r="AJ30" s="443">
        <v>-3543.5897965700001</v>
      </c>
      <c r="AK30" s="443">
        <f>IF(AI30=0, "    ---- ", IF(ABS(ROUND(100/AI30*AJ30-100,1))&lt;999,ROUND(100/AI30*AJ30-100,1),IF(ROUND(100/AI30*AJ30-100,1)&gt;999,999,-999)))</f>
        <v>38.700000000000003</v>
      </c>
      <c r="AL30" s="447">
        <v>-12056.5</v>
      </c>
      <c r="AM30" s="443">
        <v>-11255.8</v>
      </c>
      <c r="AN30" s="443">
        <f>IF(AL30=0, "    ---- ", IF(ABS(ROUND(100/AL30*AM30-100,1))&lt;999,ROUND(100/AL30*AM30-100,1),IF(ROUND(100/AL30*AM30-100,1)&gt;999,999,-999)))</f>
        <v>-6.6</v>
      </c>
      <c r="AO30" s="443">
        <f t="shared" si="13"/>
        <v>-33025.739526520003</v>
      </c>
      <c r="AP30" s="443">
        <f t="shared" si="13"/>
        <v>-38767.519966499996</v>
      </c>
      <c r="AQ30" s="443">
        <f t="shared" si="11"/>
        <v>17.399999999999999</v>
      </c>
      <c r="AR30" s="443"/>
      <c r="AS30" s="443"/>
      <c r="AT30" s="443"/>
    </row>
    <row r="31" spans="1:46" ht="18.75" customHeight="1" x14ac:dyDescent="0.3">
      <c r="A31" s="440" t="s">
        <v>412</v>
      </c>
      <c r="B31" s="447">
        <v>-0.21099999999999999</v>
      </c>
      <c r="C31" s="443">
        <v>0</v>
      </c>
      <c r="D31" s="443">
        <f>IF(B31=0, "    ---- ", IF(ABS(ROUND(100/B31*C31-100,1))&lt;999,ROUND(100/B31*C31-100,1),IF(ROUND(100/B31*C31-100,1)&gt;999,999,-999)))</f>
        <v>-100</v>
      </c>
      <c r="E31" s="449">
        <v>-1009.4109999999999</v>
      </c>
      <c r="F31" s="450">
        <v>-493.11700000000002</v>
      </c>
      <c r="G31" s="443">
        <f>IF(E31=0, "    ---- ", IF(ABS(ROUND(100/E31*F31-100,1))&lt;999,ROUND(100/E31*F31-100,1),IF(ROUND(100/E31*F31-100,1)&gt;999,999,-999)))</f>
        <v>-51.1</v>
      </c>
      <c r="H31" s="447"/>
      <c r="I31" s="443"/>
      <c r="J31" s="443"/>
      <c r="K31" s="447">
        <v>-6.3680000000000003</v>
      </c>
      <c r="L31" s="443">
        <v>-6.4</v>
      </c>
      <c r="M31" s="443">
        <f t="shared" si="19"/>
        <v>0.5</v>
      </c>
      <c r="N31" s="447"/>
      <c r="O31" s="443"/>
      <c r="P31" s="443"/>
      <c r="Q31" s="447">
        <v>-17507.538849999997</v>
      </c>
      <c r="R31" s="443">
        <v>-4319.3234069999999</v>
      </c>
      <c r="S31" s="443">
        <f>IF(Q31=0, "    ---- ", IF(ABS(ROUND(100/Q31*R31-100,1))&lt;999,ROUND(100/Q31*R31-100,1),IF(ROUND(100/Q31*R31-100,1)&gt;999,999,-999)))</f>
        <v>-75.3</v>
      </c>
      <c r="T31" s="447">
        <v>-1.7</v>
      </c>
      <c r="U31" s="443">
        <v>-9</v>
      </c>
      <c r="V31" s="443">
        <f>IF(T31=0, "    ---- ", IF(ABS(ROUND(100/T31*U31-100,1))&lt;999,ROUND(100/T31*U31-100,1),IF(ROUND(100/T31*U31-100,1)&gt;999,999,-999)))</f>
        <v>429.4</v>
      </c>
      <c r="W31" s="447">
        <v>-62.9</v>
      </c>
      <c r="X31" s="443">
        <v>-45.033991</v>
      </c>
      <c r="Y31" s="443">
        <f>IF(W31=0, "    ---- ", IF(ABS(ROUND(100/W31*X31-100,1))&lt;999,ROUND(100/W31*X31-100,1),IF(ROUND(100/W31*X31-100,1)&gt;999,999,-999)))</f>
        <v>-28.4</v>
      </c>
      <c r="Z31" s="447">
        <v>-619</v>
      </c>
      <c r="AA31" s="443">
        <v>-342</v>
      </c>
      <c r="AB31" s="443">
        <f>IF(Z31=0, "    ---- ", IF(ABS(ROUND(100/Z31*AA31-100,1))&lt;999,ROUND(100/Z31*AA31-100,1),IF(ROUND(100/Z31*AA31-100,1)&gt;999,999,-999)))</f>
        <v>-44.7</v>
      </c>
      <c r="AC31" s="447"/>
      <c r="AD31" s="443"/>
      <c r="AE31" s="443"/>
      <c r="AF31" s="447">
        <v>-79.39979305</v>
      </c>
      <c r="AG31" s="443"/>
      <c r="AH31" s="443">
        <f t="shared" si="15"/>
        <v>-100</v>
      </c>
      <c r="AI31" s="447">
        <v>-73.903299000000004</v>
      </c>
      <c r="AJ31" s="443">
        <v>-105.01435339</v>
      </c>
      <c r="AK31" s="443">
        <f>IF(AI31=0, "    ---- ", IF(ABS(ROUND(100/AI31*AJ31-100,1))&lt;999,ROUND(100/AI31*AJ31-100,1),IF(ROUND(100/AI31*AJ31-100,1)&gt;999,999,-999)))</f>
        <v>42.1</v>
      </c>
      <c r="AL31" s="447">
        <v>-382.2</v>
      </c>
      <c r="AM31" s="443">
        <v>-760.8</v>
      </c>
      <c r="AN31" s="443">
        <f>IF(AL31=0, "    ---- ", IF(ABS(ROUND(100/AL31*AM31-100,1))&lt;999,ROUND(100/AL31*AM31-100,1),IF(ROUND(100/AL31*AM31-100,1)&gt;999,999,-999)))</f>
        <v>99.1</v>
      </c>
      <c r="AO31" s="443">
        <f t="shared" si="13"/>
        <v>-19742.631942050004</v>
      </c>
      <c r="AP31" s="443">
        <f t="shared" si="13"/>
        <v>-6080.6887513900001</v>
      </c>
      <c r="AQ31" s="443">
        <f t="shared" si="11"/>
        <v>-69.2</v>
      </c>
      <c r="AR31" s="443"/>
      <c r="AS31" s="443"/>
      <c r="AT31" s="443"/>
    </row>
    <row r="32" spans="1:46" ht="18.75" customHeight="1" x14ac:dyDescent="0.3">
      <c r="A32" s="440" t="s">
        <v>365</v>
      </c>
      <c r="B32" s="447">
        <v>-175.30600000000001</v>
      </c>
      <c r="C32" s="443">
        <v>-197.80699999999999</v>
      </c>
      <c r="D32" s="443">
        <f>IF(B32=0, "    ---- ", IF(ABS(ROUND(100/B32*C32-100,1))&lt;999,ROUND(100/B32*C32-100,1),IF(ROUND(100/B32*C32-100,1)&gt;999,999,-999)))</f>
        <v>12.8</v>
      </c>
      <c r="E32" s="449">
        <v>-1368.114</v>
      </c>
      <c r="F32" s="450">
        <v>-1297.5160000000001</v>
      </c>
      <c r="G32" s="443">
        <f>IF(E32=0, "    ---- ", IF(ABS(ROUND(100/E32*F32-100,1))&lt;999,ROUND(100/E32*F32-100,1),IF(ROUND(100/E32*F32-100,1)&gt;999,999,-999)))</f>
        <v>-5.2</v>
      </c>
      <c r="H32" s="447">
        <v>-198.702</v>
      </c>
      <c r="I32" s="443">
        <v>-213.30600000000001</v>
      </c>
      <c r="J32" s="443">
        <f>IF(H32=0, "    ---- ", IF(ABS(ROUND(100/H32*I32-100,1))&lt;999,ROUND(100/H32*I32-100,1),IF(ROUND(100/H32*I32-100,1)&gt;999,999,-999)))</f>
        <v>7.3</v>
      </c>
      <c r="K32" s="447">
        <v>-185.23500000000001</v>
      </c>
      <c r="L32" s="443">
        <v>-191.1</v>
      </c>
      <c r="M32" s="443">
        <f>IF(K32=0, "    ---- ", IF(ABS(ROUND(100/K32*L32-100,1))&lt;999,ROUND(100/K32*L32-100,1),IF(ROUND(100/K32*L32-100,1)&gt;999,999,-999)))</f>
        <v>3.2</v>
      </c>
      <c r="N32" s="447">
        <v>-13</v>
      </c>
      <c r="O32" s="443">
        <v>-12</v>
      </c>
      <c r="P32" s="443">
        <f>IF(N32=0, "    ---- ", IF(ABS(ROUND(100/N32*O32-100,1))&lt;999,ROUND(100/N32*O32-100,1),IF(ROUND(100/N32*O32-100,1)&gt;999,999,-999)))</f>
        <v>-7.7</v>
      </c>
      <c r="Q32" s="447">
        <v>-922.25846679999995</v>
      </c>
      <c r="R32" s="443">
        <v>-1140.0509184</v>
      </c>
      <c r="S32" s="443">
        <f>IF(Q32=0, "    ---- ", IF(ABS(ROUND(100/Q32*R32-100,1))&lt;999,ROUND(100/Q32*R32-100,1),IF(ROUND(100/Q32*R32-100,1)&gt;999,999,-999)))</f>
        <v>23.6</v>
      </c>
      <c r="T32" s="447">
        <v>-44.8</v>
      </c>
      <c r="U32" s="443">
        <v>-52.8</v>
      </c>
      <c r="V32" s="443">
        <f>IF(T32=0, "    ---- ", IF(ABS(ROUND(100/T32*U32-100,1))&lt;999,ROUND(100/T32*U32-100,1),IF(ROUND(100/T32*U32-100,1)&gt;999,999,-999)))</f>
        <v>17.899999999999999</v>
      </c>
      <c r="W32" s="447">
        <v>-583</v>
      </c>
      <c r="X32" s="443">
        <v>-662.1</v>
      </c>
      <c r="Y32" s="443">
        <f>IF(W32=0, "    ---- ", IF(ABS(ROUND(100/W32*X32-100,1))&lt;999,ROUND(100/W32*X32-100,1),IF(ROUND(100/W32*X32-100,1)&gt;999,999,-999)))</f>
        <v>13.6</v>
      </c>
      <c r="Z32" s="447">
        <v>-155</v>
      </c>
      <c r="AA32" s="443">
        <v>-169</v>
      </c>
      <c r="AB32" s="443">
        <f>IF(Z32=0, "    ---- ", IF(ABS(ROUND(100/Z32*AA32-100,1))&lt;999,ROUND(100/Z32*AA32-100,1),IF(ROUND(100/Z32*AA32-100,1)&gt;999,999,-999)))</f>
        <v>9</v>
      </c>
      <c r="AC32" s="447">
        <v>-8</v>
      </c>
      <c r="AD32" s="443">
        <v>-1</v>
      </c>
      <c r="AE32" s="443">
        <f>IF(AC32=0, "    ---- ", IF(ABS(ROUND(100/AC32*AD32-100,1))&lt;999,ROUND(100/AC32*AD32-100,1),IF(ROUND(100/AC32*AD32-100,1)&gt;999,999,-999)))</f>
        <v>-87.5</v>
      </c>
      <c r="AF32" s="447">
        <v>-45.166969369999997</v>
      </c>
      <c r="AG32" s="443"/>
      <c r="AH32" s="443">
        <f t="shared" si="15"/>
        <v>-100</v>
      </c>
      <c r="AI32" s="447">
        <v>-883.46275402249989</v>
      </c>
      <c r="AJ32" s="443">
        <v>-960.803343842</v>
      </c>
      <c r="AK32" s="443">
        <f>IF(AI32=0, "    ---- ", IF(ABS(ROUND(100/AI32*AJ32-100,1))&lt;999,ROUND(100/AI32*AJ32-100,1),IF(ROUND(100/AI32*AJ32-100,1)&gt;999,999,-999)))</f>
        <v>8.8000000000000007</v>
      </c>
      <c r="AL32" s="447">
        <v>-1487.8</v>
      </c>
      <c r="AM32" s="443">
        <v>-1367.6</v>
      </c>
      <c r="AN32" s="443">
        <f>IF(AL32=0, "    ---- ", IF(ABS(ROUND(100/AL32*AM32-100,1))&lt;999,ROUND(100/AL32*AM32-100,1),IF(ROUND(100/AL32*AM32-100,1)&gt;999,999,-999)))</f>
        <v>-8.1</v>
      </c>
      <c r="AO32" s="443">
        <f t="shared" si="13"/>
        <v>-6048.8451901925</v>
      </c>
      <c r="AP32" s="443">
        <f t="shared" si="13"/>
        <v>-6252.0832622420003</v>
      </c>
      <c r="AQ32" s="443">
        <f t="shared" si="11"/>
        <v>3.4</v>
      </c>
      <c r="AR32" s="443"/>
      <c r="AS32" s="443"/>
      <c r="AT32" s="443"/>
    </row>
    <row r="33" spans="1:46" s="473" customFormat="1" ht="18.75" customHeight="1" x14ac:dyDescent="0.3">
      <c r="A33" s="440" t="s">
        <v>366</v>
      </c>
      <c r="B33" s="470"/>
      <c r="C33" s="451"/>
      <c r="D33" s="451"/>
      <c r="E33" s="471">
        <v>-45.79</v>
      </c>
      <c r="F33" s="472">
        <v>-56.356999999999999</v>
      </c>
      <c r="G33" s="451">
        <f>IF(E33=0, "    ---- ", IF(ABS(ROUND(100/E33*F33-100,1))&lt;999,ROUND(100/E33*F33-100,1),IF(ROUND(100/E33*F33-100,1)&gt;999,999,-999)))</f>
        <v>23.1</v>
      </c>
      <c r="H33" s="470"/>
      <c r="I33" s="451"/>
      <c r="J33" s="451"/>
      <c r="K33" s="470"/>
      <c r="L33" s="451"/>
      <c r="M33" s="451"/>
      <c r="N33" s="470"/>
      <c r="O33" s="451"/>
      <c r="P33" s="451"/>
      <c r="Q33" s="470">
        <v>-873.87278500000002</v>
      </c>
      <c r="R33" s="451">
        <v>-933.98501399999998</v>
      </c>
      <c r="S33" s="451">
        <f>IF(Q33=0, "    ---- ", IF(ABS(ROUND(100/Q33*R33-100,1))&lt;999,ROUND(100/Q33*R33-100,1),IF(ROUND(100/Q33*R33-100,1)&gt;999,999,-999)))</f>
        <v>6.9</v>
      </c>
      <c r="T33" s="470">
        <v>-0.8</v>
      </c>
      <c r="U33" s="451">
        <v>-0.6</v>
      </c>
      <c r="V33" s="451">
        <f>IF(T33=0, "    ---- ", IF(ABS(ROUND(100/T33*U33-100,1))&lt;999,ROUND(100/T33*U33-100,1),IF(ROUND(100/T33*U33-100,1)&gt;999,999,-999)))</f>
        <v>-25</v>
      </c>
      <c r="W33" s="470">
        <v>-7.59298641</v>
      </c>
      <c r="X33" s="451">
        <v>-8.8136600600005117</v>
      </c>
      <c r="Y33" s="451">
        <f>IF(W33=0, "    ---- ", IF(ABS(ROUND(100/W33*X33-100,1))&lt;999,ROUND(100/W33*X33-100,1),IF(ROUND(100/W33*X33-100,1)&gt;999,999,-999)))</f>
        <v>16.100000000000001</v>
      </c>
      <c r="Z33" s="470"/>
      <c r="AA33" s="451"/>
      <c r="AB33" s="451"/>
      <c r="AC33" s="470"/>
      <c r="AD33" s="451"/>
      <c r="AE33" s="451"/>
      <c r="AF33" s="470">
        <v>-1.9762465600000001</v>
      </c>
      <c r="AG33" s="451"/>
      <c r="AH33" s="451">
        <f t="shared" si="15"/>
        <v>-100</v>
      </c>
      <c r="AI33" s="470">
        <v>-24.938013480000006</v>
      </c>
      <c r="AJ33" s="451">
        <v>-10.987012409999998</v>
      </c>
      <c r="AK33" s="451">
        <f>IF(AI33=0, "    ---- ", IF(ABS(ROUND(100/AI33*AJ33-100,1))&lt;999,ROUND(100/AI33*AJ33-100,1),IF(ROUND(100/AI33*AJ33-100,1)&gt;999,999,-999)))</f>
        <v>-55.9</v>
      </c>
      <c r="AL33" s="470">
        <v>-354.5</v>
      </c>
      <c r="AM33" s="451">
        <v>-411.5</v>
      </c>
      <c r="AN33" s="451">
        <f>IF(AL33=0, "    ---- ", IF(ABS(ROUND(100/AL33*AM33-100,1))&lt;999,ROUND(100/AL33*AM33-100,1),IF(ROUND(100/AL33*AM33-100,1)&gt;999,999,-999)))</f>
        <v>16.100000000000001</v>
      </c>
      <c r="AO33" s="451">
        <f t="shared" si="13"/>
        <v>-1309.4700314500001</v>
      </c>
      <c r="AP33" s="451">
        <f t="shared" si="13"/>
        <v>-1422.2426864700005</v>
      </c>
      <c r="AQ33" s="451">
        <f t="shared" si="11"/>
        <v>8.6</v>
      </c>
      <c r="AR33" s="451"/>
      <c r="AS33" s="451"/>
      <c r="AT33" s="451"/>
    </row>
    <row r="34" spans="1:46" s="479" customFormat="1" ht="18.75" customHeight="1" x14ac:dyDescent="0.3">
      <c r="A34" s="474" t="s">
        <v>367</v>
      </c>
      <c r="B34" s="475">
        <v>109.93099999999939</v>
      </c>
      <c r="C34" s="476">
        <v>120.4460000000004</v>
      </c>
      <c r="D34" s="477">
        <f>IF(B34=0, "    ---- ", IF(ABS(ROUND(100/B34*C34-100,1))&lt;999,ROUND(100/B34*C34-100,1),IF(ROUND(100/B34*C34-100,1)&gt;999,999,-999)))</f>
        <v>9.6</v>
      </c>
      <c r="E34" s="478">
        <v>267.95700000000164</v>
      </c>
      <c r="F34" s="478">
        <f>SUM(F14+F15+F16+F17+F21+F29+F30+F31+F32+F33)</f>
        <v>928.93200000000206</v>
      </c>
      <c r="G34" s="477">
        <f>IF(E34=0, "    ---- ", IF(ABS(ROUND(100/E34*F34-100,1))&lt;999,ROUND(100/E34*F34-100,1),IF(ROUND(100/E34*F34-100,1)&gt;999,999,-999)))</f>
        <v>246.7</v>
      </c>
      <c r="H34" s="476">
        <v>44.859000000000151</v>
      </c>
      <c r="I34" s="476">
        <f>SUM(I14+I15+I16+I17+I21+I29+I30+I31+I32+I33)</f>
        <v>111.25399999999993</v>
      </c>
      <c r="J34" s="477">
        <f>IF(H34=0, "    ---- ", IF(ABS(ROUND(100/H34*I34-100,1))&lt;999,ROUND(100/H34*I34-100,1),IF(ROUND(100/H34*I34-100,1)&gt;999,999,-999)))</f>
        <v>148</v>
      </c>
      <c r="K34" s="476">
        <v>-192.03199999999964</v>
      </c>
      <c r="L34" s="476">
        <f>SUM(L14+L15+L16+L17+L21+L29+L30+L31+L32+L33)</f>
        <v>23.199999999999818</v>
      </c>
      <c r="M34" s="477">
        <f>IF(K34=0, "    ---- ", IF(ABS(ROUND(100/K34*L34-100,1))&lt;999,ROUND(100/K34*L34-100,1),IF(ROUND(100/K34*L34-100,1)&gt;999,999,-999)))</f>
        <v>-112.1</v>
      </c>
      <c r="N34" s="476">
        <v>11</v>
      </c>
      <c r="O34" s="476">
        <f>SUM(O14+O15+O16+O17+O21+O29+O30+O31+O32+O33)</f>
        <v>4</v>
      </c>
      <c r="P34" s="477">
        <f>IF(N34=0, "    ---- ", IF(ABS(ROUND(100/N34*O34-100,1))&lt;999,ROUND(100/N34*O34-100,1),IF(ROUND(100/N34*O34-100,1)&gt;999,999,-999)))</f>
        <v>-63.6</v>
      </c>
      <c r="Q34" s="476">
        <v>4064.5942665899979</v>
      </c>
      <c r="R34" s="476">
        <f>SUM(R14+R15+R16+R17+R21+R29+R30+R31+R32+R33)</f>
        <v>1179.8561143199995</v>
      </c>
      <c r="S34" s="477">
        <f>IF(Q34=0, "    ---- ", IF(ABS(ROUND(100/Q34*R34-100,1))&lt;999,ROUND(100/Q34*R34-100,1),IF(ROUND(100/Q34*R34-100,1)&gt;999,999,-999)))</f>
        <v>-71</v>
      </c>
      <c r="T34" s="476">
        <v>-24.699999999999974</v>
      </c>
      <c r="U34" s="476">
        <f>SUM(U14+U15+U16+U17+U21+U29+U30+U31+U32+U33)</f>
        <v>-34.500000000000078</v>
      </c>
      <c r="V34" s="477">
        <f>IF(T34=0, "    ---- ", IF(ABS(ROUND(100/T34*U34-100,1))&lt;999,ROUND(100/T34*U34-100,1),IF(ROUND(100/T34*U34-100,1)&gt;999,999,-999)))</f>
        <v>39.700000000000003</v>
      </c>
      <c r="W34" s="476">
        <v>578.50701358999993</v>
      </c>
      <c r="X34" s="476">
        <f>SUM(X14+X15+X16+X17+X21+X29+X30+X31+X32+X33)</f>
        <v>480.63262800999939</v>
      </c>
      <c r="Y34" s="477">
        <f>IF(W34=0, "    ---- ", IF(ABS(ROUND(100/W34*X34-100,1))&lt;999,ROUND(100/W34*X34-100,1),IF(ROUND(100/W34*X34-100,1)&gt;999,999,-999)))</f>
        <v>-16.899999999999999</v>
      </c>
      <c r="Z34" s="476">
        <v>950</v>
      </c>
      <c r="AA34" s="476">
        <f>SUM(AA14+AA15+AA16+AA17+AA21+AA29+AA30+AA31+AA32+AA33)</f>
        <v>430</v>
      </c>
      <c r="AB34" s="477">
        <f>IF(Z34=0, "    ---- ", IF(ABS(ROUND(100/Z34*AA34-100,1))&lt;999,ROUND(100/Z34*AA34-100,1),IF(ROUND(100/Z34*AA34-100,1)&gt;999,999,-999)))</f>
        <v>-54.7</v>
      </c>
      <c r="AC34" s="475">
        <v>4</v>
      </c>
      <c r="AD34" s="476">
        <f>SUM(AD14+AD15+AD16+AD17+AD21+AD29+AD30+AD31+AD32+AD33)</f>
        <v>9</v>
      </c>
      <c r="AE34" s="477">
        <f>IF(AC34=0, "    ---- ", IF(ABS(ROUND(100/AC34*AD34-100,1))&lt;999,ROUND(100/AC34*AD34-100,1),IF(ROUND(100/AC34*AD34-100,1)&gt;999,999,-999)))</f>
        <v>125</v>
      </c>
      <c r="AF34" s="475">
        <v>-8.1055902099999457</v>
      </c>
      <c r="AG34" s="476"/>
      <c r="AH34" s="477">
        <f t="shared" si="15"/>
        <v>-100</v>
      </c>
      <c r="AI34" s="475">
        <v>314.84613988749936</v>
      </c>
      <c r="AJ34" s="476">
        <f>SUM(AJ14+AJ15+AJ16+AJ17+AJ21+AJ29+AJ30+AJ31+AJ32+AJ33)</f>
        <v>304.81542841799825</v>
      </c>
      <c r="AK34" s="477">
        <f>IF(AI34=0, "    ---- ", IF(ABS(ROUND(100/AI34*AJ34-100,1))&lt;999,ROUND(100/AI34*AJ34-100,1),IF(ROUND(100/AI34*AJ34-100,1)&gt;999,999,-999)))</f>
        <v>-3.2</v>
      </c>
      <c r="AL34" s="475">
        <v>-726.90000000000146</v>
      </c>
      <c r="AM34" s="476">
        <f>SUM(AM14+AM15+AM16+AM17+AM21+AM29+AM30+AM31+AM32+AM33)</f>
        <v>1099.9999999999977</v>
      </c>
      <c r="AN34" s="477">
        <f>IF(AL34=0, "    ---- ", IF(ABS(ROUND(100/AL34*AM34-100,1))&lt;999,ROUND(100/AL34*AM34-100,1),IF(ROUND(100/AL34*AM34-100,1)&gt;999,999,-999)))</f>
        <v>-251.3</v>
      </c>
      <c r="AO34" s="477">
        <f>B34+E34+H34+K34+Q34+T34+W34+Z34+AF34+AI34+AL34</f>
        <v>5378.9568298574977</v>
      </c>
      <c r="AP34" s="477">
        <f t="shared" si="13"/>
        <v>4644.6361707479973</v>
      </c>
      <c r="AQ34" s="477">
        <f t="shared" si="11"/>
        <v>-13.7</v>
      </c>
      <c r="AR34" s="477"/>
      <c r="AS34" s="477"/>
      <c r="AT34" s="477"/>
    </row>
    <row r="35" spans="1:46" s="479" customFormat="1" ht="18.75" customHeight="1" x14ac:dyDescent="0.3">
      <c r="A35" s="480"/>
      <c r="B35" s="481"/>
      <c r="C35" s="482"/>
      <c r="D35" s="483"/>
      <c r="E35" s="481"/>
      <c r="F35" s="482"/>
      <c r="G35" s="483"/>
      <c r="H35" s="481"/>
      <c r="I35" s="482"/>
      <c r="J35" s="483"/>
      <c r="K35" s="481"/>
      <c r="L35" s="482"/>
      <c r="M35" s="483"/>
      <c r="N35" s="481"/>
      <c r="O35" s="482"/>
      <c r="P35" s="483"/>
      <c r="Q35" s="481"/>
      <c r="R35" s="482"/>
      <c r="S35" s="483"/>
      <c r="T35" s="481"/>
      <c r="U35" s="482"/>
      <c r="V35" s="483"/>
      <c r="W35" s="481"/>
      <c r="X35" s="482"/>
      <c r="Y35" s="483"/>
      <c r="Z35" s="481"/>
      <c r="AA35" s="482"/>
      <c r="AB35" s="483"/>
      <c r="AC35" s="481"/>
      <c r="AD35" s="482"/>
      <c r="AE35" s="483"/>
      <c r="AF35" s="481"/>
      <c r="AG35" s="482"/>
      <c r="AH35" s="483"/>
      <c r="AI35" s="481"/>
      <c r="AJ35" s="482"/>
      <c r="AK35" s="484"/>
      <c r="AL35" s="481"/>
      <c r="AM35" s="482"/>
      <c r="AN35" s="484"/>
      <c r="AO35" s="484"/>
      <c r="AP35" s="484"/>
      <c r="AQ35" s="484"/>
      <c r="AR35" s="485"/>
      <c r="AS35" s="486"/>
      <c r="AT35" s="487"/>
    </row>
    <row r="36" spans="1:46" s="479" customFormat="1" ht="18.75" customHeight="1" x14ac:dyDescent="0.3">
      <c r="A36" s="427" t="s">
        <v>368</v>
      </c>
      <c r="B36" s="481"/>
      <c r="C36" s="482"/>
      <c r="D36" s="483"/>
      <c r="E36" s="481"/>
      <c r="F36" s="482"/>
      <c r="G36" s="483"/>
      <c r="H36" s="481"/>
      <c r="I36" s="482"/>
      <c r="J36" s="483"/>
      <c r="K36" s="481"/>
      <c r="L36" s="482"/>
      <c r="M36" s="483"/>
      <c r="N36" s="481"/>
      <c r="O36" s="482"/>
      <c r="P36" s="483"/>
      <c r="Q36" s="481"/>
      <c r="R36" s="482"/>
      <c r="S36" s="483"/>
      <c r="T36" s="481"/>
      <c r="U36" s="482"/>
      <c r="V36" s="483"/>
      <c r="W36" s="481"/>
      <c r="X36" s="482"/>
      <c r="Y36" s="483"/>
      <c r="Z36" s="481"/>
      <c r="AA36" s="482"/>
      <c r="AB36" s="483"/>
      <c r="AC36" s="481"/>
      <c r="AD36" s="482"/>
      <c r="AE36" s="483"/>
      <c r="AF36" s="481"/>
      <c r="AG36" s="482"/>
      <c r="AH36" s="483"/>
      <c r="AI36" s="481"/>
      <c r="AJ36" s="482"/>
      <c r="AK36" s="483"/>
      <c r="AL36" s="481"/>
      <c r="AM36" s="482"/>
      <c r="AN36" s="483"/>
      <c r="AO36" s="483"/>
      <c r="AP36" s="483"/>
      <c r="AQ36" s="483"/>
      <c r="AR36" s="488"/>
      <c r="AS36" s="489"/>
      <c r="AT36" s="490"/>
    </row>
    <row r="37" spans="1:46" s="492" customFormat="1" ht="18.75" customHeight="1" x14ac:dyDescent="0.3">
      <c r="A37" s="440" t="s">
        <v>369</v>
      </c>
      <c r="B37" s="445">
        <v>-3.59</v>
      </c>
      <c r="C37" s="446">
        <v>-1.355</v>
      </c>
      <c r="D37" s="443">
        <f t="shared" ref="D37:D43" si="26">IF(B37=0, "    ---- ", IF(ABS(ROUND(100/B37*C37-100,1))&lt;999,ROUND(100/B37*C37-100,1),IF(ROUND(100/B37*C37-100,1)&gt;999,999,-999)))</f>
        <v>-62.3</v>
      </c>
      <c r="E37" s="445">
        <v>663.80799999999999</v>
      </c>
      <c r="F37" s="446">
        <v>720.59699999999998</v>
      </c>
      <c r="G37" s="443">
        <f t="shared" ref="G37:G44" si="27">IF(E37=0, "    ---- ", IF(ABS(ROUND(100/E37*F37-100,1))&lt;999,ROUND(100/E37*F37-100,1),IF(ROUND(100/E37*F37-100,1)&gt;999,999,-999)))</f>
        <v>8.6</v>
      </c>
      <c r="H37" s="445">
        <v>2.2530000000000001</v>
      </c>
      <c r="I37" s="446">
        <v>8.6750000000000007</v>
      </c>
      <c r="J37" s="443">
        <f t="shared" ref="J37:J43" si="28">IF(H37=0, "    ---- ", IF(ABS(ROUND(100/H37*I37-100,1))&lt;999,ROUND(100/H37*I37-100,1),IF(ROUND(100/H37*I37-100,1)&gt;999,999,-999)))</f>
        <v>285</v>
      </c>
      <c r="K37" s="445">
        <v>8.7330000000000005</v>
      </c>
      <c r="L37" s="446">
        <v>7.8</v>
      </c>
      <c r="M37" s="443">
        <f t="shared" ref="M37:M44" si="29">IF(K37=0, "    ---- ", IF(ABS(ROUND(100/K37*L37-100,1))&lt;999,ROUND(100/K37*L37-100,1),IF(ROUND(100/K37*L37-100,1)&gt;999,999,-999)))</f>
        <v>-10.7</v>
      </c>
      <c r="N37" s="445">
        <v>2</v>
      </c>
      <c r="O37" s="446">
        <v>2</v>
      </c>
      <c r="P37" s="443">
        <f t="shared" ref="P37:P43" si="30">IF(N37=0, "    ---- ", IF(ABS(ROUND(100/N37*O37-100,1))&lt;999,ROUND(100/N37*O37-100,1),IF(ROUND(100/N37*O37-100,1)&gt;999,999,-999)))</f>
        <v>0</v>
      </c>
      <c r="Q37" s="445">
        <v>1232</v>
      </c>
      <c r="R37" s="446">
        <v>1353.5172428699998</v>
      </c>
      <c r="S37" s="443">
        <f t="shared" ref="S37:S44" si="31">IF(Q37=0, "    ---- ", IF(ABS(ROUND(100/Q37*R37-100,1))&lt;999,ROUND(100/Q37*R37-100,1),IF(ROUND(100/Q37*R37-100,1)&gt;999,999,-999)))</f>
        <v>9.9</v>
      </c>
      <c r="T37" s="445">
        <v>0.7</v>
      </c>
      <c r="U37" s="446">
        <v>7.5</v>
      </c>
      <c r="V37" s="443">
        <f t="shared" ref="V37:V44" si="32">IF(T37=0, "    ---- ", IF(ABS(ROUND(100/T37*U37-100,1))&lt;999,ROUND(100/T37*U37-100,1),IF(ROUND(100/T37*U37-100,1)&gt;999,999,-999)))</f>
        <v>971.4</v>
      </c>
      <c r="W37" s="445">
        <v>77.400000000000006</v>
      </c>
      <c r="X37" s="446">
        <v>89</v>
      </c>
      <c r="Y37" s="443">
        <f t="shared" ref="Y37:Y44" si="33">IF(W37=0, "    ---- ", IF(ABS(ROUND(100/W37*X37-100,1))&lt;999,ROUND(100/W37*X37-100,1),IF(ROUND(100/W37*X37-100,1)&gt;999,999,-999)))</f>
        <v>15</v>
      </c>
      <c r="Z37" s="445">
        <v>231</v>
      </c>
      <c r="AA37" s="446">
        <v>385</v>
      </c>
      <c r="AB37" s="443">
        <f t="shared" ref="AB37:AB43" si="34">IF(Z37=0, "    ---- ", IF(ABS(ROUND(100/Z37*AA37-100,1))&lt;999,ROUND(100/Z37*AA37-100,1),IF(ROUND(100/Z37*AA37-100,1)&gt;999,999,-999)))</f>
        <v>66.7</v>
      </c>
      <c r="AC37" s="445">
        <v>-1</v>
      </c>
      <c r="AD37" s="446"/>
      <c r="AE37" s="443"/>
      <c r="AF37" s="445">
        <v>13.72788693</v>
      </c>
      <c r="AG37" s="446"/>
      <c r="AH37" s="443">
        <f t="shared" si="15"/>
        <v>-100</v>
      </c>
      <c r="AI37" s="445">
        <v>87.398676010000031</v>
      </c>
      <c r="AJ37" s="446">
        <v>190.83687760999996</v>
      </c>
      <c r="AK37" s="443">
        <f t="shared" ref="AK37:AK44" si="35">IF(AI37=0, "    ---- ", IF(ABS(ROUND(100/AI37*AJ37-100,1))&lt;999,ROUND(100/AI37*AJ37-100,1),IF(ROUND(100/AI37*AJ37-100,1)&gt;999,999,-999)))</f>
        <v>118.4</v>
      </c>
      <c r="AL37" s="445">
        <v>1414.9</v>
      </c>
      <c r="AM37" s="446">
        <v>722.2</v>
      </c>
      <c r="AN37" s="443">
        <f t="shared" ref="AN37:AN44" si="36">IF(AL37=0, "    ---- ", IF(ABS(ROUND(100/AL37*AM37-100,1))&lt;999,ROUND(100/AL37*AM37-100,1),IF(ROUND(100/AL37*AM37-100,1)&gt;999,999,-999)))</f>
        <v>-49</v>
      </c>
      <c r="AO37" s="443">
        <f t="shared" si="13"/>
        <v>3728.3305629400002</v>
      </c>
      <c r="AP37" s="443">
        <f t="shared" si="13"/>
        <v>3483.7711204799998</v>
      </c>
      <c r="AQ37" s="443">
        <f t="shared" si="11"/>
        <v>-6.6</v>
      </c>
      <c r="AR37" s="448"/>
      <c r="AS37" s="491"/>
      <c r="AT37" s="460"/>
    </row>
    <row r="38" spans="1:46" s="492" customFormat="1" ht="18.75" customHeight="1" x14ac:dyDescent="0.3">
      <c r="A38" s="440" t="s">
        <v>370</v>
      </c>
      <c r="B38" s="445"/>
      <c r="C38" s="446"/>
      <c r="D38" s="443"/>
      <c r="E38" s="445">
        <v>23.52</v>
      </c>
      <c r="F38" s="446">
        <v>26.529</v>
      </c>
      <c r="G38" s="443">
        <f t="shared" si="27"/>
        <v>12.8</v>
      </c>
      <c r="H38" s="445">
        <v>4.2000000000000003E-2</v>
      </c>
      <c r="I38" s="446">
        <v>4.2000000000000003E-2</v>
      </c>
      <c r="J38" s="443">
        <f t="shared" si="28"/>
        <v>0</v>
      </c>
      <c r="K38" s="445">
        <v>80.06</v>
      </c>
      <c r="L38" s="446">
        <v>83.6</v>
      </c>
      <c r="M38" s="443">
        <f t="shared" si="29"/>
        <v>4.4000000000000004</v>
      </c>
      <c r="N38" s="445"/>
      <c r="O38" s="446"/>
      <c r="P38" s="443"/>
      <c r="Q38" s="445">
        <v>12.50497667</v>
      </c>
      <c r="R38" s="446">
        <v>7.4860897</v>
      </c>
      <c r="S38" s="443">
        <f t="shared" si="31"/>
        <v>-40.1</v>
      </c>
      <c r="T38" s="445">
        <v>0.3</v>
      </c>
      <c r="U38" s="446">
        <v>0.4</v>
      </c>
      <c r="V38" s="443">
        <f t="shared" si="32"/>
        <v>33.299999999999997</v>
      </c>
      <c r="W38" s="445">
        <v>0.1</v>
      </c>
      <c r="X38" s="446">
        <v>1</v>
      </c>
      <c r="Y38" s="443">
        <f t="shared" si="33"/>
        <v>900</v>
      </c>
      <c r="Z38" s="445">
        <v>7</v>
      </c>
      <c r="AA38" s="446">
        <v>7</v>
      </c>
      <c r="AB38" s="443">
        <f t="shared" si="34"/>
        <v>0</v>
      </c>
      <c r="AC38" s="445"/>
      <c r="AD38" s="446"/>
      <c r="AE38" s="443"/>
      <c r="AF38" s="445">
        <v>2.4076848700000002</v>
      </c>
      <c r="AG38" s="446"/>
      <c r="AH38" s="443">
        <f t="shared" si="15"/>
        <v>-100</v>
      </c>
      <c r="AI38" s="445">
        <v>3.0056021199999998</v>
      </c>
      <c r="AJ38" s="446">
        <v>33.50093789000001</v>
      </c>
      <c r="AK38" s="443">
        <f t="shared" si="35"/>
        <v>999</v>
      </c>
      <c r="AL38" s="445">
        <v>32.4</v>
      </c>
      <c r="AM38" s="446">
        <v>24.3</v>
      </c>
      <c r="AN38" s="443">
        <f t="shared" si="36"/>
        <v>-25</v>
      </c>
      <c r="AO38" s="443">
        <f t="shared" si="13"/>
        <v>161.34026366000001</v>
      </c>
      <c r="AP38" s="443">
        <f t="shared" si="13"/>
        <v>183.85802759000001</v>
      </c>
      <c r="AQ38" s="443">
        <f t="shared" si="11"/>
        <v>14</v>
      </c>
      <c r="AR38" s="443"/>
      <c r="AS38" s="493"/>
      <c r="AT38" s="443"/>
    </row>
    <row r="39" spans="1:46" s="492" customFormat="1" ht="18.75" customHeight="1" x14ac:dyDescent="0.3">
      <c r="A39" s="440" t="s">
        <v>371</v>
      </c>
      <c r="B39" s="445"/>
      <c r="C39" s="446"/>
      <c r="D39" s="443"/>
      <c r="E39" s="445">
        <v>-132.29</v>
      </c>
      <c r="F39" s="446">
        <v>-224.363</v>
      </c>
      <c r="G39" s="443">
        <f t="shared" si="27"/>
        <v>69.599999999999994</v>
      </c>
      <c r="H39" s="445">
        <v>-0.60599999999999998</v>
      </c>
      <c r="I39" s="446"/>
      <c r="J39" s="443">
        <f t="shared" si="28"/>
        <v>-100</v>
      </c>
      <c r="K39" s="445">
        <v>-5.5739999999999998</v>
      </c>
      <c r="L39" s="446">
        <v>-1.3</v>
      </c>
      <c r="M39" s="443">
        <f t="shared" si="29"/>
        <v>-76.7</v>
      </c>
      <c r="N39" s="445"/>
      <c r="O39" s="446"/>
      <c r="P39" s="443"/>
      <c r="Q39" s="445">
        <v>-421.70164295000001</v>
      </c>
      <c r="R39" s="446">
        <v>-416.03894000999998</v>
      </c>
      <c r="S39" s="443">
        <f t="shared" si="31"/>
        <v>-1.3</v>
      </c>
      <c r="T39" s="445">
        <v>-0.3</v>
      </c>
      <c r="U39" s="446">
        <v>-0.3</v>
      </c>
      <c r="V39" s="443">
        <f t="shared" si="32"/>
        <v>0</v>
      </c>
      <c r="W39" s="445">
        <v>-46.5</v>
      </c>
      <c r="X39" s="446">
        <v>-90</v>
      </c>
      <c r="Y39" s="443">
        <f t="shared" si="33"/>
        <v>93.5</v>
      </c>
      <c r="Z39" s="445">
        <v>-100</v>
      </c>
      <c r="AA39" s="446">
        <v>-90</v>
      </c>
      <c r="AB39" s="443">
        <f t="shared" si="34"/>
        <v>-10</v>
      </c>
      <c r="AC39" s="445"/>
      <c r="AD39" s="446"/>
      <c r="AE39" s="443"/>
      <c r="AF39" s="445"/>
      <c r="AG39" s="446"/>
      <c r="AH39" s="443" t="str">
        <f t="shared" si="15"/>
        <v xml:space="preserve">    ---- </v>
      </c>
      <c r="AI39" s="445">
        <v>-96.605971897500012</v>
      </c>
      <c r="AJ39" s="446">
        <v>-7.7036793080000008</v>
      </c>
      <c r="AK39" s="443">
        <f t="shared" si="35"/>
        <v>-92</v>
      </c>
      <c r="AL39" s="445">
        <v>-349.8</v>
      </c>
      <c r="AM39" s="446">
        <v>-387.9</v>
      </c>
      <c r="AN39" s="443">
        <f t="shared" si="36"/>
        <v>10.9</v>
      </c>
      <c r="AO39" s="443">
        <f t="shared" si="13"/>
        <v>-1153.3776148474999</v>
      </c>
      <c r="AP39" s="443">
        <f t="shared" si="13"/>
        <v>-1217.605619318</v>
      </c>
      <c r="AQ39" s="443">
        <f t="shared" si="11"/>
        <v>5.6</v>
      </c>
      <c r="AR39" s="443"/>
      <c r="AS39" s="493"/>
      <c r="AT39" s="443"/>
    </row>
    <row r="40" spans="1:46" s="495" customFormat="1" ht="18.75" customHeight="1" x14ac:dyDescent="0.3">
      <c r="A40" s="480" t="s">
        <v>372</v>
      </c>
      <c r="B40" s="481">
        <v>-3.59</v>
      </c>
      <c r="C40" s="482">
        <v>-1.355</v>
      </c>
      <c r="D40" s="483">
        <f t="shared" si="26"/>
        <v>-62.3</v>
      </c>
      <c r="E40" s="481">
        <v>555.03800000000001</v>
      </c>
      <c r="F40" s="482">
        <f>SUM(F37:F39)</f>
        <v>522.76299999999992</v>
      </c>
      <c r="G40" s="483">
        <f t="shared" si="27"/>
        <v>-5.8</v>
      </c>
      <c r="H40" s="482">
        <v>1.6890000000000001</v>
      </c>
      <c r="I40" s="482">
        <f>SUM(I37:I39)</f>
        <v>8.7170000000000005</v>
      </c>
      <c r="J40" s="483">
        <f t="shared" si="28"/>
        <v>416.1</v>
      </c>
      <c r="K40" s="481">
        <v>83.219000000000008</v>
      </c>
      <c r="L40" s="482">
        <f>SUM(L37:L39)</f>
        <v>90.1</v>
      </c>
      <c r="M40" s="483">
        <f t="shared" si="29"/>
        <v>8.3000000000000007</v>
      </c>
      <c r="N40" s="481">
        <v>2</v>
      </c>
      <c r="O40" s="482">
        <f>SUM(O37:O39)</f>
        <v>2</v>
      </c>
      <c r="P40" s="483">
        <f t="shared" si="30"/>
        <v>0</v>
      </c>
      <c r="Q40" s="482">
        <v>822.80333371999996</v>
      </c>
      <c r="R40" s="482">
        <f>SUM(R37:R39)</f>
        <v>944.96439255999985</v>
      </c>
      <c r="S40" s="483">
        <f t="shared" si="31"/>
        <v>14.8</v>
      </c>
      <c r="T40" s="481">
        <v>0.7</v>
      </c>
      <c r="U40" s="482">
        <f>SUM(U37:U39)</f>
        <v>7.6000000000000005</v>
      </c>
      <c r="V40" s="483">
        <f t="shared" si="32"/>
        <v>985.7</v>
      </c>
      <c r="W40" s="481">
        <v>31</v>
      </c>
      <c r="X40" s="482">
        <f>SUM(X37:X39)</f>
        <v>0</v>
      </c>
      <c r="Y40" s="483">
        <f t="shared" si="33"/>
        <v>-100</v>
      </c>
      <c r="Z40" s="481">
        <v>138</v>
      </c>
      <c r="AA40" s="482">
        <f>SUM(AA37:AA39)</f>
        <v>302</v>
      </c>
      <c r="AB40" s="483">
        <f t="shared" si="34"/>
        <v>118.8</v>
      </c>
      <c r="AC40" s="481">
        <v>-1</v>
      </c>
      <c r="AD40" s="482">
        <f>SUM(AD37:AD39)</f>
        <v>0</v>
      </c>
      <c r="AE40" s="443">
        <f t="shared" ref="AE40" si="37">IF(AC40=0, "    ---- ", IF(ABS(ROUND(100/AC40*AD40-100,1))&lt;999,ROUND(100/AC40*AD40-100,1),IF(ROUND(100/AC40*AD40-100,1)&gt;999,999,-999)))</f>
        <v>-100</v>
      </c>
      <c r="AF40" s="481">
        <v>16.135571800000001</v>
      </c>
      <c r="AG40" s="482"/>
      <c r="AH40" s="483">
        <f t="shared" si="15"/>
        <v>-100</v>
      </c>
      <c r="AI40" s="481">
        <v>-6.2016937674999753</v>
      </c>
      <c r="AJ40" s="482">
        <f>SUM(AJ37:AJ39)</f>
        <v>216.63413619199997</v>
      </c>
      <c r="AK40" s="483">
        <f t="shared" si="35"/>
        <v>-999</v>
      </c>
      <c r="AL40" s="481">
        <v>1097.5000000000002</v>
      </c>
      <c r="AM40" s="482">
        <f>SUM(AM37:AM39)</f>
        <v>358.6</v>
      </c>
      <c r="AN40" s="483">
        <f t="shared" si="36"/>
        <v>-67.3</v>
      </c>
      <c r="AO40" s="483">
        <f t="shared" si="13"/>
        <v>2736.2932117525002</v>
      </c>
      <c r="AP40" s="483">
        <f t="shared" si="13"/>
        <v>2450.0235287519995</v>
      </c>
      <c r="AQ40" s="483">
        <f t="shared" si="11"/>
        <v>-10.5</v>
      </c>
      <c r="AR40" s="483"/>
      <c r="AS40" s="494"/>
      <c r="AT40" s="483"/>
    </row>
    <row r="41" spans="1:46" s="495" customFormat="1" ht="18.75" customHeight="1" x14ac:dyDescent="0.3">
      <c r="A41" s="480" t="s">
        <v>373</v>
      </c>
      <c r="B41" s="481">
        <v>106.34099999999938</v>
      </c>
      <c r="C41" s="482">
        <v>119.09100000000039</v>
      </c>
      <c r="D41" s="483">
        <f t="shared" si="26"/>
        <v>12</v>
      </c>
      <c r="E41" s="481">
        <v>822.99499999999807</v>
      </c>
      <c r="F41" s="482">
        <f>F34+F40</f>
        <v>1451.695000000002</v>
      </c>
      <c r="G41" s="483">
        <f t="shared" si="27"/>
        <v>76.400000000000006</v>
      </c>
      <c r="H41" s="482">
        <v>46.548000000000151</v>
      </c>
      <c r="I41" s="482">
        <f>I34+I40</f>
        <v>119.97099999999993</v>
      </c>
      <c r="J41" s="483">
        <f t="shared" si="28"/>
        <v>157.69999999999999</v>
      </c>
      <c r="K41" s="482">
        <v>-108.81299999999963</v>
      </c>
      <c r="L41" s="482">
        <f>L34+L40</f>
        <v>113.29999999999981</v>
      </c>
      <c r="M41" s="483">
        <f t="shared" si="29"/>
        <v>-204.1</v>
      </c>
      <c r="N41" s="481">
        <v>13</v>
      </c>
      <c r="O41" s="482">
        <f>O34+O40</f>
        <v>6</v>
      </c>
      <c r="P41" s="483">
        <f t="shared" si="30"/>
        <v>-53.8</v>
      </c>
      <c r="Q41" s="482">
        <v>4887.3976003099979</v>
      </c>
      <c r="R41" s="482">
        <f>R34+R40</f>
        <v>2124.8205068799994</v>
      </c>
      <c r="S41" s="483">
        <f t="shared" si="31"/>
        <v>-56.5</v>
      </c>
      <c r="T41" s="481">
        <v>-23.999999999999975</v>
      </c>
      <c r="U41" s="482">
        <f>U34+U40</f>
        <v>-26.900000000000077</v>
      </c>
      <c r="V41" s="483">
        <f t="shared" si="32"/>
        <v>12.1</v>
      </c>
      <c r="W41" s="481">
        <v>609.5070135900005</v>
      </c>
      <c r="X41" s="482">
        <f>X34+X40</f>
        <v>480.63262800999939</v>
      </c>
      <c r="Y41" s="483">
        <f t="shared" si="33"/>
        <v>-21.1</v>
      </c>
      <c r="Z41" s="482">
        <v>1088</v>
      </c>
      <c r="AA41" s="482">
        <f>AA34+AA40</f>
        <v>732</v>
      </c>
      <c r="AB41" s="483">
        <f t="shared" si="34"/>
        <v>-32.700000000000003</v>
      </c>
      <c r="AC41" s="481">
        <v>3</v>
      </c>
      <c r="AD41" s="482">
        <f>AD34+AD40</f>
        <v>9</v>
      </c>
      <c r="AE41" s="483">
        <f>IF(AC41=0, "    ---- ", IF(ABS(ROUND(100/AC41*AD41-100,1))&lt;999,ROUND(100/AC41*AD41-100,1),IF(ROUND(100/AC41*AD41-100,1)&gt;999,999,-999)))</f>
        <v>200</v>
      </c>
      <c r="AF41" s="481">
        <v>8.0299815900000553</v>
      </c>
      <c r="AG41" s="482"/>
      <c r="AH41" s="483">
        <f t="shared" si="15"/>
        <v>-100</v>
      </c>
      <c r="AI41" s="481">
        <v>308.64444611999937</v>
      </c>
      <c r="AJ41" s="482">
        <f>AJ34+AJ40</f>
        <v>521.44956460999822</v>
      </c>
      <c r="AK41" s="483">
        <f t="shared" si="35"/>
        <v>68.900000000000006</v>
      </c>
      <c r="AL41" s="481">
        <v>370.59999999999877</v>
      </c>
      <c r="AM41" s="482">
        <f>AM34+AM40</f>
        <v>1458.5999999999976</v>
      </c>
      <c r="AN41" s="483">
        <f t="shared" si="36"/>
        <v>293.60000000000002</v>
      </c>
      <c r="AO41" s="483">
        <f t="shared" si="13"/>
        <v>8115.2500416099938</v>
      </c>
      <c r="AP41" s="483">
        <f t="shared" si="13"/>
        <v>7094.6596994999973</v>
      </c>
      <c r="AQ41" s="483">
        <f t="shared" si="11"/>
        <v>-12.6</v>
      </c>
      <c r="AR41" s="483"/>
      <c r="AS41" s="494"/>
      <c r="AT41" s="483"/>
    </row>
    <row r="42" spans="1:46" s="492" customFormat="1" ht="18.75" customHeight="1" x14ac:dyDescent="0.3">
      <c r="A42" s="440" t="s">
        <v>374</v>
      </c>
      <c r="B42" s="445">
        <v>-29.02</v>
      </c>
      <c r="C42" s="446">
        <v>-30.023</v>
      </c>
      <c r="D42" s="443">
        <f t="shared" si="26"/>
        <v>3.5</v>
      </c>
      <c r="E42" s="445">
        <v>622.36099999999999</v>
      </c>
      <c r="F42" s="446">
        <v>-127.139</v>
      </c>
      <c r="G42" s="443">
        <f t="shared" si="27"/>
        <v>-120.4</v>
      </c>
      <c r="H42" s="445">
        <v>-9.7780000000000005</v>
      </c>
      <c r="I42" s="446">
        <v>-25.314</v>
      </c>
      <c r="J42" s="443">
        <f t="shared" si="28"/>
        <v>158.9</v>
      </c>
      <c r="K42" s="445">
        <v>-21.593</v>
      </c>
      <c r="L42" s="446">
        <v>-28.7</v>
      </c>
      <c r="M42" s="443">
        <f t="shared" si="29"/>
        <v>32.9</v>
      </c>
      <c r="N42" s="445">
        <v>-4</v>
      </c>
      <c r="O42" s="446">
        <v>-1</v>
      </c>
      <c r="P42" s="443">
        <f t="shared" si="30"/>
        <v>-75</v>
      </c>
      <c r="Q42" s="445">
        <v>-489</v>
      </c>
      <c r="R42" s="446">
        <v>773.2647620875</v>
      </c>
      <c r="S42" s="443"/>
      <c r="T42" s="445"/>
      <c r="U42" s="446"/>
      <c r="V42" s="443"/>
      <c r="W42" s="445">
        <v>-54</v>
      </c>
      <c r="X42" s="446">
        <v>571.50641150000001</v>
      </c>
      <c r="Y42" s="443">
        <f t="shared" si="33"/>
        <v>-999</v>
      </c>
      <c r="Z42" s="445">
        <v>-233</v>
      </c>
      <c r="AA42" s="446">
        <v>-197</v>
      </c>
      <c r="AB42" s="443">
        <f t="shared" si="34"/>
        <v>-15.5</v>
      </c>
      <c r="AC42" s="445"/>
      <c r="AD42" s="446"/>
      <c r="AE42" s="443"/>
      <c r="AF42" s="445"/>
      <c r="AG42" s="446"/>
      <c r="AH42" s="443"/>
      <c r="AI42" s="445">
        <v>6.8595442899999917</v>
      </c>
      <c r="AJ42" s="446">
        <v>-114.090024</v>
      </c>
      <c r="AK42" s="443">
        <f t="shared" si="35"/>
        <v>-999</v>
      </c>
      <c r="AL42" s="445">
        <v>1815.3</v>
      </c>
      <c r="AM42" s="446">
        <v>-204.9</v>
      </c>
      <c r="AN42" s="443">
        <f t="shared" si="36"/>
        <v>-111.3</v>
      </c>
      <c r="AO42" s="443">
        <f t="shared" si="13"/>
        <v>1608.12954429</v>
      </c>
      <c r="AP42" s="443">
        <f t="shared" si="13"/>
        <v>617.60514958750014</v>
      </c>
      <c r="AQ42" s="443">
        <f t="shared" si="11"/>
        <v>-61.6</v>
      </c>
      <c r="AR42" s="443"/>
      <c r="AS42" s="493"/>
      <c r="AT42" s="443"/>
    </row>
    <row r="43" spans="1:46" s="495" customFormat="1" ht="18.75" customHeight="1" x14ac:dyDescent="0.3">
      <c r="A43" s="480" t="s">
        <v>375</v>
      </c>
      <c r="B43" s="481">
        <v>77.320999999999387</v>
      </c>
      <c r="C43" s="482">
        <v>89.068000000000396</v>
      </c>
      <c r="D43" s="483">
        <f t="shared" si="26"/>
        <v>15.2</v>
      </c>
      <c r="E43" s="481">
        <v>1445.3559999999979</v>
      </c>
      <c r="F43" s="482">
        <f>F41+F42</f>
        <v>1324.5560000000021</v>
      </c>
      <c r="G43" s="483">
        <f t="shared" si="27"/>
        <v>-8.4</v>
      </c>
      <c r="H43" s="482">
        <v>36.770000000000152</v>
      </c>
      <c r="I43" s="482">
        <f>I41+I42</f>
        <v>94.656999999999925</v>
      </c>
      <c r="J43" s="483">
        <f t="shared" si="28"/>
        <v>157.4</v>
      </c>
      <c r="K43" s="482">
        <v>-130.40599999999964</v>
      </c>
      <c r="L43" s="482">
        <f>L41+L42</f>
        <v>84.59999999999981</v>
      </c>
      <c r="M43" s="483">
        <f t="shared" si="29"/>
        <v>-164.9</v>
      </c>
      <c r="N43" s="481">
        <v>9</v>
      </c>
      <c r="O43" s="482">
        <f>O41+O42</f>
        <v>5</v>
      </c>
      <c r="P43" s="483">
        <f t="shared" si="30"/>
        <v>-44.4</v>
      </c>
      <c r="Q43" s="482">
        <v>4398.3976003099979</v>
      </c>
      <c r="R43" s="482">
        <f>R41+R42</f>
        <v>2898.0852689674994</v>
      </c>
      <c r="S43" s="483">
        <f t="shared" si="31"/>
        <v>-34.1</v>
      </c>
      <c r="T43" s="481">
        <v>-23.999999999999975</v>
      </c>
      <c r="U43" s="482">
        <f>U41+U42</f>
        <v>-26.900000000000077</v>
      </c>
      <c r="V43" s="483">
        <f t="shared" si="32"/>
        <v>12.1</v>
      </c>
      <c r="W43" s="481">
        <v>555.5070135900005</v>
      </c>
      <c r="X43" s="482">
        <f>X41+X42</f>
        <v>1052.1390395099993</v>
      </c>
      <c r="Y43" s="483">
        <f t="shared" si="33"/>
        <v>89.4</v>
      </c>
      <c r="Z43" s="482">
        <v>855</v>
      </c>
      <c r="AA43" s="482">
        <f>AA41+AA42</f>
        <v>535</v>
      </c>
      <c r="AB43" s="483">
        <f t="shared" si="34"/>
        <v>-37.4</v>
      </c>
      <c r="AC43" s="481">
        <v>3</v>
      </c>
      <c r="AD43" s="482">
        <f>AD41+AD42</f>
        <v>9</v>
      </c>
      <c r="AE43" s="483">
        <f>IF(AC43=0, "    ---- ", IF(ABS(ROUND(100/AC43*AD43-100,1))&lt;999,ROUND(100/AC43*AD43-100,1),IF(ROUND(100/AC43*AD43-100,1)&gt;999,999,-999)))</f>
        <v>200</v>
      </c>
      <c r="AF43" s="481">
        <v>8.0299815900000553</v>
      </c>
      <c r="AG43" s="482"/>
      <c r="AH43" s="483">
        <f t="shared" si="15"/>
        <v>-100</v>
      </c>
      <c r="AI43" s="481">
        <v>315.50399040999935</v>
      </c>
      <c r="AJ43" s="482">
        <f>AJ41+AJ42</f>
        <v>407.35954060999825</v>
      </c>
      <c r="AK43" s="483">
        <f t="shared" si="35"/>
        <v>29.1</v>
      </c>
      <c r="AL43" s="481">
        <v>2185.8999999999987</v>
      </c>
      <c r="AM43" s="482">
        <f>AM41+AM42</f>
        <v>1253.6999999999975</v>
      </c>
      <c r="AN43" s="483">
        <f t="shared" si="36"/>
        <v>-42.6</v>
      </c>
      <c r="AO43" s="483">
        <f t="shared" si="13"/>
        <v>9723.3795858999947</v>
      </c>
      <c r="AP43" s="483">
        <f t="shared" si="13"/>
        <v>7712.2648490874981</v>
      </c>
      <c r="AQ43" s="483">
        <f t="shared" si="11"/>
        <v>-20.7</v>
      </c>
      <c r="AR43" s="483"/>
      <c r="AS43" s="494"/>
      <c r="AT43" s="483"/>
    </row>
    <row r="44" spans="1:46" s="492" customFormat="1" ht="18.75" customHeight="1" x14ac:dyDescent="0.3">
      <c r="A44" s="440" t="s">
        <v>376</v>
      </c>
      <c r="B44" s="445"/>
      <c r="C44" s="446"/>
      <c r="D44" s="443"/>
      <c r="E44" s="445">
        <v>52.500999999999998</v>
      </c>
      <c r="F44" s="446">
        <v>-2.1349999999999998</v>
      </c>
      <c r="G44" s="443">
        <f t="shared" si="27"/>
        <v>-104.1</v>
      </c>
      <c r="H44" s="445">
        <v>5.5E-2</v>
      </c>
      <c r="I44" s="446">
        <v>-0.187</v>
      </c>
      <c r="J44" s="443"/>
      <c r="K44" s="445">
        <v>-0.11399999999999999</v>
      </c>
      <c r="L44" s="446">
        <f>0.7-0.2</f>
        <v>0.49999999999999994</v>
      </c>
      <c r="M44" s="443">
        <f t="shared" si="29"/>
        <v>-538.6</v>
      </c>
      <c r="N44" s="445"/>
      <c r="O44" s="446"/>
      <c r="P44" s="443"/>
      <c r="Q44" s="445">
        <v>131.55496499999998</v>
      </c>
      <c r="R44" s="446">
        <v>-24.474359737500002</v>
      </c>
      <c r="S44" s="443">
        <f t="shared" si="31"/>
        <v>-118.6</v>
      </c>
      <c r="T44" s="445">
        <v>0.4</v>
      </c>
      <c r="U44" s="446">
        <v>-0.3</v>
      </c>
      <c r="V44" s="443">
        <f t="shared" si="32"/>
        <v>-175</v>
      </c>
      <c r="W44" s="445">
        <v>27</v>
      </c>
      <c r="X44" s="446">
        <v>-24</v>
      </c>
      <c r="Y44" s="443">
        <f t="shared" si="33"/>
        <v>-188.9</v>
      </c>
      <c r="Z44" s="445">
        <v>33</v>
      </c>
      <c r="AA44" s="446"/>
      <c r="AB44" s="443"/>
      <c r="AC44" s="445"/>
      <c r="AD44" s="446"/>
      <c r="AE44" s="443"/>
      <c r="AF44" s="445"/>
      <c r="AG44" s="446"/>
      <c r="AH44" s="443"/>
      <c r="AI44" s="445">
        <v>102.90737572</v>
      </c>
      <c r="AJ44" s="446">
        <v>-3.5478787699999956</v>
      </c>
      <c r="AK44" s="443">
        <f t="shared" si="35"/>
        <v>-103.4</v>
      </c>
      <c r="AL44" s="445">
        <v>-90.699999999999989</v>
      </c>
      <c r="AM44" s="446">
        <v>-58.3</v>
      </c>
      <c r="AN44" s="443">
        <f t="shared" si="36"/>
        <v>-35.700000000000003</v>
      </c>
      <c r="AO44" s="443">
        <f t="shared" si="13"/>
        <v>256.60434072000004</v>
      </c>
      <c r="AP44" s="443">
        <f t="shared" si="13"/>
        <v>-112.44423850749999</v>
      </c>
      <c r="AQ44" s="443">
        <f t="shared" si="11"/>
        <v>-143.80000000000001</v>
      </c>
      <c r="AR44" s="443"/>
      <c r="AS44" s="493"/>
      <c r="AT44" s="443"/>
    </row>
    <row r="45" spans="1:46" s="495" customFormat="1" ht="18.75" customHeight="1" x14ac:dyDescent="0.3">
      <c r="A45" s="474" t="s">
        <v>377</v>
      </c>
      <c r="B45" s="496">
        <v>77.320999999999387</v>
      </c>
      <c r="C45" s="497">
        <v>89.068000000000396</v>
      </c>
      <c r="D45" s="477">
        <f>IF(B45=0, "    ---- ", IF(ABS(ROUND(100/B45*C45-100,1))&lt;999,ROUND(100/B45*C45-100,1),IF(ROUND(100/B45*C45-100,1)&gt;999,999,-999)))</f>
        <v>15.2</v>
      </c>
      <c r="E45" s="496">
        <v>1497.8569999999979</v>
      </c>
      <c r="F45" s="497">
        <f>F43+F44</f>
        <v>1322.4210000000021</v>
      </c>
      <c r="G45" s="477">
        <f>IF(E45=0, "    ---- ", IF(ABS(ROUND(100/E45*F45-100,1))&lt;999,ROUND(100/E45*F45-100,1),IF(ROUND(100/E45*F45-100,1)&gt;999,999,-999)))</f>
        <v>-11.7</v>
      </c>
      <c r="H45" s="497">
        <v>36.825000000000152</v>
      </c>
      <c r="I45" s="497">
        <f>I43+I44</f>
        <v>94.469999999999928</v>
      </c>
      <c r="J45" s="477">
        <f>IF(H45=0, "    ---- ", IF(ABS(ROUND(100/H45*I45-100,1))&lt;999,ROUND(100/H45*I45-100,1),IF(ROUND(100/H45*I45-100,1)&gt;999,999,-999)))</f>
        <v>156.5</v>
      </c>
      <c r="K45" s="497">
        <v>-130.51999999999964</v>
      </c>
      <c r="L45" s="497">
        <f>L43+L44</f>
        <v>85.09999999999981</v>
      </c>
      <c r="M45" s="477">
        <f>IF(K45=0, "    ---- ", IF(ABS(ROUND(100/K45*L45-100,1))&lt;999,ROUND(100/K45*L45-100,1),IF(ROUND(100/K45*L45-100,1)&gt;999,999,-999)))</f>
        <v>-165.2</v>
      </c>
      <c r="N45" s="496">
        <v>9</v>
      </c>
      <c r="O45" s="497">
        <f>O43+O44</f>
        <v>5</v>
      </c>
      <c r="P45" s="477">
        <f>IF(N45=0, "    ---- ", IF(ABS(ROUND(100/N45*O45-100,1))&lt;999,ROUND(100/N45*O45-100,1),IF(ROUND(100/N45*O45-100,1)&gt;999,999,-999)))</f>
        <v>-44.4</v>
      </c>
      <c r="Q45" s="497">
        <v>4529.9525653099981</v>
      </c>
      <c r="R45" s="497">
        <f>R43+R44</f>
        <v>2873.6109092299994</v>
      </c>
      <c r="S45" s="477">
        <f>IF(Q45=0, "    ---- ", IF(ABS(ROUND(100/Q45*R45-100,1))&lt;999,ROUND(100/Q45*R45-100,1),IF(ROUND(100/Q45*R45-100,1)&gt;999,999,-999)))</f>
        <v>-36.6</v>
      </c>
      <c r="T45" s="496">
        <v>-23.599999999999977</v>
      </c>
      <c r="U45" s="497">
        <f>U43+U44</f>
        <v>-27.200000000000077</v>
      </c>
      <c r="V45" s="477">
        <f>IF(T45=0, "    ---- ", IF(ABS(ROUND(100/T45*U45-100,1))&lt;999,ROUND(100/T45*U45-100,1),IF(ROUND(100/T45*U45-100,1)&gt;999,999,-999)))</f>
        <v>15.3</v>
      </c>
      <c r="W45" s="496">
        <v>582.5070135900005</v>
      </c>
      <c r="X45" s="497">
        <f>X43+X44</f>
        <v>1028.1390395099993</v>
      </c>
      <c r="Y45" s="477">
        <f>IF(W45=0, "    ---- ", IF(ABS(ROUND(100/W45*X45-100,1))&lt;999,ROUND(100/W45*X45-100,1),IF(ROUND(100/W45*X45-100,1)&gt;999,999,-999)))</f>
        <v>76.5</v>
      </c>
      <c r="Z45" s="497">
        <v>888</v>
      </c>
      <c r="AA45" s="497">
        <f>AA43+AA44</f>
        <v>535</v>
      </c>
      <c r="AB45" s="477">
        <f>IF(Z45=0, "    ---- ", IF(ABS(ROUND(100/Z45*AA45-100,1))&lt;999,ROUND(100/Z45*AA45-100,1),IF(ROUND(100/Z45*AA45-100,1)&gt;999,999,-999)))</f>
        <v>-39.799999999999997</v>
      </c>
      <c r="AC45" s="496">
        <v>3</v>
      </c>
      <c r="AD45" s="497">
        <f>AD43+AD44</f>
        <v>9</v>
      </c>
      <c r="AE45" s="477">
        <f>IF(AC45=0, "    ---- ", IF(ABS(ROUND(100/AC45*AD45-100,1))&lt;999,ROUND(100/AC45*AD45-100,1),IF(ROUND(100/AC45*AD45-100,1)&gt;999,999,-999)))</f>
        <v>200</v>
      </c>
      <c r="AF45" s="496">
        <v>8.0299815900000553</v>
      </c>
      <c r="AG45" s="497"/>
      <c r="AH45" s="477">
        <f t="shared" si="15"/>
        <v>-100</v>
      </c>
      <c r="AI45" s="496">
        <v>418.41136612999935</v>
      </c>
      <c r="AJ45" s="497">
        <f>AJ43+AJ44</f>
        <v>403.81166183999824</v>
      </c>
      <c r="AK45" s="477">
        <f>IF(AI45=0, "    ---- ", IF(ABS(ROUND(100/AI45*AJ45-100,1))&lt;999,ROUND(100/AI45*AJ45-100,1),IF(ROUND(100/AI45*AJ45-100,1)&gt;999,999,-999)))</f>
        <v>-3.5</v>
      </c>
      <c r="AL45" s="496">
        <v>2095.1999999999989</v>
      </c>
      <c r="AM45" s="497">
        <f>AM43+AM44</f>
        <v>1195.3999999999976</v>
      </c>
      <c r="AN45" s="477">
        <f>IF(AL45=0, "    ---- ", IF(ABS(ROUND(100/AL45*AM45-100,1))&lt;999,ROUND(100/AL45*AM45-100,1),IF(ROUND(100/AL45*AM45-100,1)&gt;999,999,-999)))</f>
        <v>-42.9</v>
      </c>
      <c r="AO45" s="477">
        <f t="shared" si="13"/>
        <v>9979.9839266199942</v>
      </c>
      <c r="AP45" s="477">
        <f t="shared" si="13"/>
        <v>7599.8206105799982</v>
      </c>
      <c r="AQ45" s="477">
        <f t="shared" si="11"/>
        <v>-23.8</v>
      </c>
      <c r="AR45" s="498"/>
      <c r="AS45" s="499"/>
      <c r="AT45" s="500"/>
    </row>
    <row r="46" spans="1:46" s="495" customFormat="1" ht="18.75" customHeight="1" x14ac:dyDescent="0.3">
      <c r="A46" s="501"/>
      <c r="B46" s="502"/>
      <c r="C46" s="503"/>
      <c r="D46" s="504"/>
      <c r="E46" s="502"/>
      <c r="F46" s="503"/>
      <c r="G46" s="484"/>
      <c r="H46" s="502"/>
      <c r="I46" s="503"/>
      <c r="J46" s="484"/>
      <c r="K46" s="502"/>
      <c r="L46" s="503"/>
      <c r="M46" s="504"/>
      <c r="N46" s="502"/>
      <c r="O46" s="503"/>
      <c r="P46" s="484"/>
      <c r="Q46" s="502"/>
      <c r="R46" s="503"/>
      <c r="S46" s="484"/>
      <c r="T46" s="502"/>
      <c r="U46" s="503"/>
      <c r="V46" s="484"/>
      <c r="W46" s="502"/>
      <c r="X46" s="503"/>
      <c r="Y46" s="484"/>
      <c r="Z46" s="502"/>
      <c r="AA46" s="503"/>
      <c r="AB46" s="484"/>
      <c r="AC46" s="502"/>
      <c r="AD46" s="503"/>
      <c r="AE46" s="484"/>
      <c r="AF46" s="502"/>
      <c r="AG46" s="503"/>
      <c r="AH46" s="484"/>
      <c r="AI46" s="502"/>
      <c r="AJ46" s="503"/>
      <c r="AK46" s="484"/>
      <c r="AL46" s="502"/>
      <c r="AM46" s="503"/>
      <c r="AN46" s="484"/>
      <c r="AO46" s="504"/>
      <c r="AP46" s="504"/>
      <c r="AQ46" s="484"/>
      <c r="AR46" s="505"/>
      <c r="AS46" s="505"/>
      <c r="AT46" s="506"/>
    </row>
    <row r="47" spans="1:46" s="513" customFormat="1" ht="18.75" customHeight="1" x14ac:dyDescent="0.3">
      <c r="A47" s="507" t="s">
        <v>378</v>
      </c>
      <c r="B47" s="508"/>
      <c r="C47" s="509"/>
      <c r="D47" s="509"/>
      <c r="E47" s="510"/>
      <c r="F47" s="511"/>
      <c r="G47" s="509"/>
      <c r="H47" s="510"/>
      <c r="I47" s="509"/>
      <c r="J47" s="509"/>
      <c r="K47" s="510"/>
      <c r="L47" s="509"/>
      <c r="M47" s="509"/>
      <c r="N47" s="510"/>
      <c r="O47" s="509"/>
      <c r="P47" s="509"/>
      <c r="Q47" s="510"/>
      <c r="R47" s="509"/>
      <c r="S47" s="509"/>
      <c r="T47" s="510"/>
      <c r="U47" s="509"/>
      <c r="V47" s="509"/>
      <c r="W47" s="510"/>
      <c r="X47" s="509"/>
      <c r="Y47" s="509"/>
      <c r="Z47" s="510"/>
      <c r="AA47" s="509"/>
      <c r="AB47" s="509"/>
      <c r="AC47" s="510"/>
      <c r="AD47" s="509"/>
      <c r="AE47" s="509"/>
      <c r="AF47" s="510"/>
      <c r="AG47" s="509"/>
      <c r="AH47" s="509"/>
      <c r="AI47" s="510"/>
      <c r="AJ47" s="509"/>
      <c r="AK47" s="509"/>
      <c r="AL47" s="510"/>
      <c r="AM47" s="509"/>
      <c r="AN47" s="509"/>
      <c r="AO47" s="512"/>
      <c r="AP47" s="512"/>
      <c r="AQ47" s="509"/>
      <c r="AR47" s="509"/>
      <c r="AS47" s="509"/>
      <c r="AT47" s="509"/>
    </row>
    <row r="48" spans="1:46" s="515" customFormat="1" ht="18.75" customHeight="1" x14ac:dyDescent="0.3">
      <c r="A48" s="509" t="s">
        <v>379</v>
      </c>
      <c r="B48" s="508"/>
      <c r="C48" s="509"/>
      <c r="D48" s="509"/>
      <c r="E48" s="514"/>
      <c r="F48" s="511"/>
      <c r="G48" s="509"/>
      <c r="H48" s="514"/>
      <c r="I48" s="509"/>
      <c r="J48" s="509"/>
      <c r="K48" s="514"/>
      <c r="L48" s="509"/>
      <c r="M48" s="509"/>
      <c r="N48" s="514"/>
      <c r="O48" s="509"/>
      <c r="P48" s="509"/>
      <c r="Q48" s="514"/>
      <c r="R48" s="509"/>
      <c r="S48" s="509"/>
      <c r="T48" s="514"/>
      <c r="U48" s="509"/>
      <c r="V48" s="509"/>
      <c r="W48" s="514"/>
      <c r="X48" s="509"/>
      <c r="Y48" s="509"/>
      <c r="Z48" s="514"/>
      <c r="AA48" s="509"/>
      <c r="AB48" s="509"/>
      <c r="AC48" s="514"/>
      <c r="AD48" s="509"/>
      <c r="AE48" s="509"/>
      <c r="AF48" s="514"/>
      <c r="AG48" s="509"/>
      <c r="AH48" s="509"/>
      <c r="AI48" s="514"/>
      <c r="AJ48" s="509"/>
      <c r="AK48" s="509"/>
      <c r="AL48" s="514"/>
      <c r="AM48" s="509"/>
      <c r="AN48" s="509"/>
      <c r="AO48" s="512">
        <f t="shared" ref="AO48:AP57" si="38">B48+E48+H48+K48+Q48+T48+W48+Z48+AF48+AI48+AL48</f>
        <v>0</v>
      </c>
      <c r="AP48" s="512">
        <f t="shared" si="38"/>
        <v>0</v>
      </c>
      <c r="AQ48" s="509"/>
      <c r="AR48" s="509"/>
      <c r="AS48" s="509"/>
      <c r="AT48" s="509"/>
    </row>
    <row r="49" spans="1:46" s="515" customFormat="1" ht="18.75" customHeight="1" x14ac:dyDescent="0.3">
      <c r="A49" s="509" t="s">
        <v>380</v>
      </c>
      <c r="B49" s="508"/>
      <c r="C49" s="509"/>
      <c r="D49" s="509"/>
      <c r="E49" s="514"/>
      <c r="F49" s="511"/>
      <c r="G49" s="509"/>
      <c r="H49" s="514"/>
      <c r="I49" s="509"/>
      <c r="J49" s="509"/>
      <c r="K49" s="514"/>
      <c r="L49" s="509"/>
      <c r="M49" s="509"/>
      <c r="N49" s="514"/>
      <c r="O49" s="509"/>
      <c r="P49" s="509"/>
      <c r="Q49" s="514"/>
      <c r="R49" s="509"/>
      <c r="S49" s="509"/>
      <c r="T49" s="514"/>
      <c r="U49" s="509"/>
      <c r="V49" s="509"/>
      <c r="W49" s="514"/>
      <c r="X49" s="509"/>
      <c r="Y49" s="509"/>
      <c r="Z49" s="514"/>
      <c r="AA49" s="509"/>
      <c r="AB49" s="509"/>
      <c r="AC49" s="514"/>
      <c r="AD49" s="509"/>
      <c r="AE49" s="509"/>
      <c r="AF49" s="514"/>
      <c r="AG49" s="509"/>
      <c r="AH49" s="509"/>
      <c r="AI49" s="514"/>
      <c r="AJ49" s="509"/>
      <c r="AK49" s="509"/>
      <c r="AL49" s="514"/>
      <c r="AM49" s="509"/>
      <c r="AN49" s="509"/>
      <c r="AO49" s="512">
        <f t="shared" si="38"/>
        <v>0</v>
      </c>
      <c r="AP49" s="512">
        <f t="shared" si="38"/>
        <v>0</v>
      </c>
      <c r="AQ49" s="509"/>
      <c r="AR49" s="509"/>
      <c r="AS49" s="509"/>
      <c r="AT49" s="509"/>
    </row>
    <row r="50" spans="1:46" s="515" customFormat="1" ht="18.75" customHeight="1" x14ac:dyDescent="0.3">
      <c r="A50" s="509" t="s">
        <v>381</v>
      </c>
      <c r="B50" s="508"/>
      <c r="C50" s="509"/>
      <c r="D50" s="509"/>
      <c r="E50" s="514"/>
      <c r="F50" s="511"/>
      <c r="G50" s="509"/>
      <c r="H50" s="514"/>
      <c r="I50" s="509"/>
      <c r="J50" s="509"/>
      <c r="K50" s="514"/>
      <c r="L50" s="509"/>
      <c r="M50" s="509"/>
      <c r="N50" s="514"/>
      <c r="O50" s="509"/>
      <c r="P50" s="509"/>
      <c r="Q50" s="514"/>
      <c r="R50" s="509"/>
      <c r="S50" s="509"/>
      <c r="T50" s="514">
        <v>24</v>
      </c>
      <c r="U50" s="509">
        <v>27</v>
      </c>
      <c r="V50" s="509"/>
      <c r="W50" s="514"/>
      <c r="X50" s="509"/>
      <c r="Y50" s="509"/>
      <c r="Z50" s="514"/>
      <c r="AA50" s="509"/>
      <c r="AB50" s="509"/>
      <c r="AC50" s="514"/>
      <c r="AD50" s="509"/>
      <c r="AE50" s="509"/>
      <c r="AF50" s="514"/>
      <c r="AG50" s="509"/>
      <c r="AH50" s="509"/>
      <c r="AI50" s="514"/>
      <c r="AJ50" s="509"/>
      <c r="AK50" s="509"/>
      <c r="AL50" s="514"/>
      <c r="AM50" s="509"/>
      <c r="AN50" s="509"/>
      <c r="AO50" s="512">
        <f t="shared" si="38"/>
        <v>24</v>
      </c>
      <c r="AP50" s="512">
        <f t="shared" si="38"/>
        <v>27</v>
      </c>
      <c r="AQ50" s="509"/>
      <c r="AR50" s="509"/>
      <c r="AS50" s="509"/>
      <c r="AT50" s="509"/>
    </row>
    <row r="51" spans="1:46" s="515" customFormat="1" ht="18.75" customHeight="1" x14ac:dyDescent="0.3">
      <c r="A51" s="509" t="s">
        <v>382</v>
      </c>
      <c r="B51" s="508"/>
      <c r="C51" s="509"/>
      <c r="D51" s="509"/>
      <c r="E51" s="514"/>
      <c r="F51" s="511"/>
      <c r="G51" s="509"/>
      <c r="H51" s="514"/>
      <c r="I51" s="509"/>
      <c r="J51" s="509"/>
      <c r="K51" s="514"/>
      <c r="L51" s="509"/>
      <c r="M51" s="509"/>
      <c r="N51" s="514"/>
      <c r="O51" s="509"/>
      <c r="P51" s="509"/>
      <c r="Q51" s="514"/>
      <c r="R51" s="509"/>
      <c r="S51" s="509"/>
      <c r="T51" s="514">
        <v>24</v>
      </c>
      <c r="U51" s="509">
        <v>27</v>
      </c>
      <c r="V51" s="509"/>
      <c r="W51" s="514"/>
      <c r="X51" s="509"/>
      <c r="Y51" s="509"/>
      <c r="Z51" s="514"/>
      <c r="AA51" s="509"/>
      <c r="AB51" s="509"/>
      <c r="AC51" s="514"/>
      <c r="AD51" s="509"/>
      <c r="AE51" s="509"/>
      <c r="AF51" s="514"/>
      <c r="AG51" s="509"/>
      <c r="AH51" s="509"/>
      <c r="AI51" s="514"/>
      <c r="AJ51" s="509"/>
      <c r="AK51" s="509"/>
      <c r="AL51" s="514"/>
      <c r="AM51" s="509"/>
      <c r="AN51" s="509"/>
      <c r="AO51" s="512">
        <f t="shared" si="38"/>
        <v>24</v>
      </c>
      <c r="AP51" s="512">
        <f t="shared" si="38"/>
        <v>27</v>
      </c>
      <c r="AQ51" s="509"/>
      <c r="AR51" s="509"/>
      <c r="AS51" s="509"/>
      <c r="AT51" s="509"/>
    </row>
    <row r="52" spans="1:46" s="515" customFormat="1" ht="18.75" customHeight="1" x14ac:dyDescent="0.3">
      <c r="A52" s="509" t="s">
        <v>383</v>
      </c>
      <c r="B52" s="508"/>
      <c r="C52" s="509"/>
      <c r="D52" s="509"/>
      <c r="E52" s="514"/>
      <c r="F52" s="511"/>
      <c r="G52" s="509"/>
      <c r="H52" s="514"/>
      <c r="I52" s="509"/>
      <c r="J52" s="509"/>
      <c r="K52" s="514"/>
      <c r="L52" s="509"/>
      <c r="M52" s="509"/>
      <c r="N52" s="514"/>
      <c r="O52" s="509"/>
      <c r="P52" s="509"/>
      <c r="Q52" s="514"/>
      <c r="R52" s="509"/>
      <c r="S52" s="509"/>
      <c r="T52" s="514"/>
      <c r="U52" s="509"/>
      <c r="V52" s="509"/>
      <c r="W52" s="514"/>
      <c r="X52" s="509"/>
      <c r="Y52" s="509"/>
      <c r="Z52" s="514"/>
      <c r="AA52" s="509"/>
      <c r="AB52" s="509"/>
      <c r="AC52" s="514"/>
      <c r="AD52" s="509"/>
      <c r="AE52" s="509"/>
      <c r="AF52" s="514"/>
      <c r="AG52" s="509"/>
      <c r="AH52" s="509"/>
      <c r="AI52" s="514"/>
      <c r="AJ52" s="509"/>
      <c r="AK52" s="509"/>
      <c r="AL52" s="514"/>
      <c r="AM52" s="509"/>
      <c r="AN52" s="509"/>
      <c r="AO52" s="512">
        <f t="shared" si="38"/>
        <v>0</v>
      </c>
      <c r="AP52" s="512">
        <f t="shared" si="38"/>
        <v>0</v>
      </c>
      <c r="AQ52" s="509"/>
      <c r="AR52" s="509"/>
      <c r="AS52" s="509"/>
      <c r="AT52" s="509"/>
    </row>
    <row r="53" spans="1:46" s="515" customFormat="1" ht="18.75" customHeight="1" x14ac:dyDescent="0.3">
      <c r="A53" s="509" t="s">
        <v>384</v>
      </c>
      <c r="B53" s="508"/>
      <c r="C53" s="509"/>
      <c r="D53" s="509"/>
      <c r="E53" s="514"/>
      <c r="F53" s="511"/>
      <c r="G53" s="509"/>
      <c r="H53" s="514"/>
      <c r="I53" s="509">
        <v>61</v>
      </c>
      <c r="J53" s="509"/>
      <c r="K53" s="514"/>
      <c r="L53" s="509"/>
      <c r="M53" s="509"/>
      <c r="N53" s="514"/>
      <c r="O53" s="509"/>
      <c r="P53" s="509"/>
      <c r="Q53" s="514"/>
      <c r="R53" s="509"/>
      <c r="S53" s="509"/>
      <c r="T53" s="514"/>
      <c r="U53" s="509"/>
      <c r="V53" s="509"/>
      <c r="W53" s="514"/>
      <c r="X53" s="509"/>
      <c r="Y53" s="509"/>
      <c r="Z53" s="514"/>
      <c r="AA53" s="509"/>
      <c r="AB53" s="509"/>
      <c r="AC53" s="514"/>
      <c r="AD53" s="509"/>
      <c r="AE53" s="509"/>
      <c r="AF53" s="514"/>
      <c r="AG53" s="509"/>
      <c r="AH53" s="509"/>
      <c r="AI53" s="514"/>
      <c r="AJ53" s="509"/>
      <c r="AK53" s="509"/>
      <c r="AL53" s="514"/>
      <c r="AM53" s="509"/>
      <c r="AN53" s="509"/>
      <c r="AO53" s="512">
        <f t="shared" si="38"/>
        <v>0</v>
      </c>
      <c r="AP53" s="512">
        <f t="shared" si="38"/>
        <v>61</v>
      </c>
      <c r="AQ53" s="509"/>
      <c r="AR53" s="509"/>
      <c r="AS53" s="509"/>
      <c r="AT53" s="509"/>
    </row>
    <row r="54" spans="1:46" s="515" customFormat="1" ht="18.75" customHeight="1" x14ac:dyDescent="0.3">
      <c r="A54" s="509" t="s">
        <v>385</v>
      </c>
      <c r="B54" s="508"/>
      <c r="C54" s="509"/>
      <c r="D54" s="509"/>
      <c r="E54" s="514"/>
      <c r="F54" s="511"/>
      <c r="G54" s="509"/>
      <c r="H54" s="514"/>
      <c r="I54" s="509"/>
      <c r="J54" s="509"/>
      <c r="K54" s="514"/>
      <c r="L54" s="509"/>
      <c r="M54" s="509"/>
      <c r="N54" s="514"/>
      <c r="O54" s="509"/>
      <c r="P54" s="509"/>
      <c r="Q54" s="514"/>
      <c r="R54" s="509"/>
      <c r="S54" s="509"/>
      <c r="T54" s="514"/>
      <c r="U54" s="509"/>
      <c r="V54" s="509"/>
      <c r="W54" s="514"/>
      <c r="X54" s="509"/>
      <c r="Y54" s="509"/>
      <c r="Z54" s="514"/>
      <c r="AA54" s="509"/>
      <c r="AB54" s="509"/>
      <c r="AC54" s="514"/>
      <c r="AD54" s="509"/>
      <c r="AE54" s="509"/>
      <c r="AF54" s="514"/>
      <c r="AG54" s="509"/>
      <c r="AH54" s="509"/>
      <c r="AI54" s="514"/>
      <c r="AJ54" s="516">
        <v>-403.81957399999999</v>
      </c>
      <c r="AK54" s="509"/>
      <c r="AL54" s="514"/>
      <c r="AM54" s="509"/>
      <c r="AN54" s="509"/>
      <c r="AO54" s="512">
        <f t="shared" si="38"/>
        <v>0</v>
      </c>
      <c r="AP54" s="512">
        <f t="shared" si="38"/>
        <v>-403.81957399999999</v>
      </c>
      <c r="AQ54" s="509"/>
      <c r="AR54" s="509"/>
      <c r="AS54" s="509"/>
      <c r="AT54" s="509"/>
    </row>
    <row r="55" spans="1:46" s="515" customFormat="1" ht="18.75" customHeight="1" x14ac:dyDescent="0.3">
      <c r="A55" s="509" t="s">
        <v>386</v>
      </c>
      <c r="B55" s="517">
        <v>77.320999999999387</v>
      </c>
      <c r="C55" s="509"/>
      <c r="D55" s="509"/>
      <c r="E55" s="514">
        <v>1498</v>
      </c>
      <c r="F55" s="511">
        <v>1322</v>
      </c>
      <c r="G55" s="509"/>
      <c r="H55" s="514">
        <v>37</v>
      </c>
      <c r="I55" s="509">
        <v>33.468000000000004</v>
      </c>
      <c r="J55" s="509"/>
      <c r="K55" s="514">
        <v>53</v>
      </c>
      <c r="L55" s="509">
        <v>85</v>
      </c>
      <c r="M55" s="509"/>
      <c r="N55" s="514"/>
      <c r="O55" s="509"/>
      <c r="P55" s="509"/>
      <c r="Q55" s="514">
        <v>-5047.1838109999899</v>
      </c>
      <c r="R55" s="509"/>
      <c r="S55" s="509"/>
      <c r="T55" s="514"/>
      <c r="U55" s="509"/>
      <c r="V55" s="509"/>
      <c r="W55" s="514">
        <v>582.5070135900005</v>
      </c>
      <c r="X55" s="509"/>
      <c r="Y55" s="509"/>
      <c r="Z55" s="514"/>
      <c r="AA55" s="509"/>
      <c r="AB55" s="509"/>
      <c r="AC55" s="514"/>
      <c r="AD55" s="509"/>
      <c r="AE55" s="509"/>
      <c r="AF55" s="514">
        <v>8.0299815900000553</v>
      </c>
      <c r="AG55" s="509"/>
      <c r="AH55" s="509"/>
      <c r="AI55" s="514">
        <v>-418.41131899999999</v>
      </c>
      <c r="AJ55" s="516"/>
      <c r="AK55" s="509"/>
      <c r="AL55" s="514">
        <v>2095.4</v>
      </c>
      <c r="AM55" s="509">
        <v>1195</v>
      </c>
      <c r="AN55" s="509"/>
      <c r="AO55" s="512">
        <f t="shared" si="38"/>
        <v>-1114.3371348199894</v>
      </c>
      <c r="AP55" s="512">
        <f t="shared" si="38"/>
        <v>2635.4679999999998</v>
      </c>
      <c r="AQ55" s="509"/>
      <c r="AR55" s="509"/>
      <c r="AS55" s="509"/>
      <c r="AT55" s="509"/>
    </row>
    <row r="56" spans="1:46" s="515" customFormat="1" ht="18.75" customHeight="1" x14ac:dyDescent="0.3">
      <c r="A56" s="509" t="s">
        <v>387</v>
      </c>
      <c r="B56" s="517">
        <v>77.320999999999387</v>
      </c>
      <c r="C56" s="509"/>
      <c r="D56" s="509"/>
      <c r="E56" s="514">
        <v>1498</v>
      </c>
      <c r="F56" s="511">
        <v>1322</v>
      </c>
      <c r="G56" s="509"/>
      <c r="H56" s="514">
        <v>37</v>
      </c>
      <c r="I56" s="509">
        <v>94.468000000000004</v>
      </c>
      <c r="J56" s="509"/>
      <c r="K56" s="514">
        <v>53</v>
      </c>
      <c r="L56" s="509">
        <v>85</v>
      </c>
      <c r="M56" s="509"/>
      <c r="N56" s="514"/>
      <c r="O56" s="509"/>
      <c r="P56" s="509"/>
      <c r="Q56" s="514">
        <v>-5047.1838109999899</v>
      </c>
      <c r="R56" s="509"/>
      <c r="S56" s="509"/>
      <c r="T56" s="514"/>
      <c r="U56" s="509"/>
      <c r="V56" s="509"/>
      <c r="W56" s="514">
        <v>582.5070135900005</v>
      </c>
      <c r="X56" s="509"/>
      <c r="Y56" s="509"/>
      <c r="Z56" s="514"/>
      <c r="AA56" s="509"/>
      <c r="AB56" s="509"/>
      <c r="AC56" s="514"/>
      <c r="AD56" s="509"/>
      <c r="AE56" s="509"/>
      <c r="AF56" s="514">
        <v>8.0299815900000553</v>
      </c>
      <c r="AG56" s="509"/>
      <c r="AH56" s="509"/>
      <c r="AI56" s="514">
        <v>-418</v>
      </c>
      <c r="AJ56" s="516">
        <v>-403.81957399999999</v>
      </c>
      <c r="AK56" s="509"/>
      <c r="AL56" s="514">
        <v>2095.4</v>
      </c>
      <c r="AM56" s="509">
        <v>1195</v>
      </c>
      <c r="AN56" s="509"/>
      <c r="AO56" s="512">
        <f t="shared" si="38"/>
        <v>-1113.9258158199896</v>
      </c>
      <c r="AP56" s="512">
        <f t="shared" si="38"/>
        <v>2292.6484260000002</v>
      </c>
      <c r="AQ56" s="509"/>
      <c r="AR56" s="509"/>
      <c r="AS56" s="509"/>
      <c r="AT56" s="509"/>
    </row>
    <row r="57" spans="1:46" s="513" customFormat="1" ht="18.75" customHeight="1" x14ac:dyDescent="0.3">
      <c r="A57" s="518" t="s">
        <v>388</v>
      </c>
      <c r="B57" s="519">
        <v>77.320999999999387</v>
      </c>
      <c r="C57" s="520"/>
      <c r="D57" s="520"/>
      <c r="E57" s="521">
        <v>1498</v>
      </c>
      <c r="F57" s="522">
        <v>1322</v>
      </c>
      <c r="G57" s="520"/>
      <c r="H57" s="521">
        <v>37</v>
      </c>
      <c r="I57" s="520">
        <v>94.468000000000004</v>
      </c>
      <c r="J57" s="520"/>
      <c r="K57" s="521">
        <v>53</v>
      </c>
      <c r="L57" s="520">
        <v>85</v>
      </c>
      <c r="M57" s="520"/>
      <c r="N57" s="521"/>
      <c r="O57" s="520"/>
      <c r="P57" s="520"/>
      <c r="Q57" s="521">
        <v>-5047.1838109999899</v>
      </c>
      <c r="R57" s="520"/>
      <c r="S57" s="520"/>
      <c r="T57" s="521"/>
      <c r="U57" s="520"/>
      <c r="V57" s="520"/>
      <c r="W57" s="521">
        <v>582.5070135900005</v>
      </c>
      <c r="X57" s="520"/>
      <c r="Y57" s="520"/>
      <c r="Z57" s="521"/>
      <c r="AA57" s="520"/>
      <c r="AB57" s="520"/>
      <c r="AC57" s="521"/>
      <c r="AD57" s="520"/>
      <c r="AE57" s="520"/>
      <c r="AF57" s="521">
        <v>8.0299815900000553</v>
      </c>
      <c r="AG57" s="520"/>
      <c r="AH57" s="520"/>
      <c r="AI57" s="521">
        <v>-418.41131899999999</v>
      </c>
      <c r="AJ57" s="523">
        <v>-403.81957399999999</v>
      </c>
      <c r="AK57" s="520"/>
      <c r="AL57" s="521">
        <v>2095.4</v>
      </c>
      <c r="AM57" s="520">
        <v>1195</v>
      </c>
      <c r="AN57" s="520"/>
      <c r="AO57" s="524">
        <f t="shared" si="38"/>
        <v>-1114.3371348199894</v>
      </c>
      <c r="AP57" s="524">
        <f t="shared" si="38"/>
        <v>2292.6484260000002</v>
      </c>
      <c r="AQ57" s="520"/>
      <c r="AR57" s="520"/>
      <c r="AS57" s="520"/>
      <c r="AT57" s="520"/>
    </row>
    <row r="58" spans="1:46" s="492" customFormat="1" ht="18.75" customHeight="1" x14ac:dyDescent="0.3">
      <c r="A58" s="492" t="s">
        <v>286</v>
      </c>
      <c r="C58" s="794"/>
      <c r="D58" s="794"/>
      <c r="E58" s="794"/>
      <c r="F58" s="794"/>
      <c r="G58" s="794"/>
      <c r="H58" s="794"/>
      <c r="I58" s="794"/>
      <c r="J58" s="794"/>
      <c r="K58" s="794"/>
      <c r="L58" s="794"/>
      <c r="M58" s="794"/>
      <c r="N58" s="794"/>
      <c r="O58" s="794"/>
      <c r="P58" s="794"/>
      <c r="Q58" s="794"/>
      <c r="R58" s="794"/>
      <c r="S58" s="794"/>
      <c r="T58" s="794"/>
      <c r="U58" s="794"/>
      <c r="V58" s="794"/>
      <c r="W58" s="794"/>
      <c r="X58" s="794"/>
      <c r="Y58" s="794"/>
      <c r="Z58" s="794"/>
      <c r="AA58" s="794"/>
      <c r="AB58" s="794"/>
      <c r="AC58" s="794"/>
      <c r="AD58" s="794"/>
      <c r="AE58" s="794"/>
      <c r="AF58" s="794"/>
      <c r="AG58" s="794"/>
      <c r="AH58" s="794"/>
      <c r="AI58" s="794"/>
      <c r="AJ58" s="794"/>
      <c r="AK58" s="794"/>
      <c r="AL58" s="794"/>
      <c r="AM58" s="794"/>
      <c r="AN58" s="794"/>
      <c r="AO58" s="794"/>
      <c r="AP58" s="794"/>
      <c r="AQ58" s="794"/>
      <c r="AR58" s="794"/>
      <c r="AS58" s="794"/>
    </row>
    <row r="59" spans="1:46" s="492" customFormat="1" ht="18.75" customHeight="1" x14ac:dyDescent="0.3">
      <c r="A59" s="492" t="s">
        <v>287</v>
      </c>
    </row>
    <row r="60" spans="1:46" s="492" customFormat="1" ht="18.75" customHeight="1" x14ac:dyDescent="0.3">
      <c r="A60" s="492" t="s">
        <v>288</v>
      </c>
    </row>
    <row r="61" spans="1:46" s="492" customFormat="1" ht="18.75" x14ac:dyDescent="0.3"/>
    <row r="62" spans="1:46" s="492" customFormat="1" ht="18.75" x14ac:dyDescent="0.3"/>
    <row r="63" spans="1:46" x14ac:dyDescent="0.2">
      <c r="K63" s="568"/>
    </row>
    <row r="64" spans="1:46" x14ac:dyDescent="0.2">
      <c r="K64" s="568"/>
    </row>
  </sheetData>
  <mergeCells count="28">
    <mergeCell ref="AO5:AQ5"/>
    <mergeCell ref="B5:D5"/>
    <mergeCell ref="E5:G5"/>
    <mergeCell ref="H5:J5"/>
    <mergeCell ref="K5:M5"/>
    <mergeCell ref="N5:P5"/>
    <mergeCell ref="Q5:S5"/>
    <mergeCell ref="AR6:AT6"/>
    <mergeCell ref="AR5:AT5"/>
    <mergeCell ref="B6:D6"/>
    <mergeCell ref="E6:G6"/>
    <mergeCell ref="H6:J6"/>
    <mergeCell ref="K6:M6"/>
    <mergeCell ref="N6:P6"/>
    <mergeCell ref="Q6:S6"/>
    <mergeCell ref="T6:V6"/>
    <mergeCell ref="W6:Y6"/>
    <mergeCell ref="Z6:AB6"/>
    <mergeCell ref="T5:V5"/>
    <mergeCell ref="Z5:AB5"/>
    <mergeCell ref="AF5:AH5"/>
    <mergeCell ref="AI5:AK5"/>
    <mergeCell ref="AL5:AN5"/>
    <mergeCell ref="AC6:AE6"/>
    <mergeCell ref="AF6:AH6"/>
    <mergeCell ref="AI6:AK6"/>
    <mergeCell ref="AL6:AN6"/>
    <mergeCell ref="AO6:AQ6"/>
  </mergeCells>
  <hyperlinks>
    <hyperlink ref="B1" location="Innhold!A1" display="Tilbake"/>
  </hyperlinks>
  <pageMargins left="0.78740157480314965" right="0.78740157480314965" top="1.5748031496062993" bottom="0.98425196850393704" header="0.51181102362204722" footer="0.51181102362204722"/>
  <pageSetup paperSize="9" scale="40" fitToWidth="6" orientation="portrait" r:id="rId1"/>
  <headerFooter alignWithMargins="0"/>
  <colBreaks count="5" manualBreakCount="5">
    <brk id="7" min="1" max="60" man="1"/>
    <brk id="16" min="1" max="60" man="1"/>
    <brk id="25" min="1" max="60" man="1"/>
    <brk id="34" min="1" max="60" man="1"/>
    <brk id="43" min="1" max="60"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23"/>
  <sheetViews>
    <sheetView showGridLines="0" zoomScale="60" zoomScaleNormal="60" workbookViewId="0">
      <pane xSplit="1" ySplit="9" topLeftCell="B10" activePane="bottomRight" state="frozen"/>
      <selection activeCell="AJ43" sqref="AJ43"/>
      <selection pane="topRight" activeCell="AJ43" sqref="AJ43"/>
      <selection pane="bottomLeft" activeCell="AJ43" sqref="AJ43"/>
      <selection pane="bottomRight" activeCell="A5" sqref="A5"/>
    </sheetView>
  </sheetViews>
  <sheetFormatPr baseColWidth="10" defaultColWidth="11.42578125" defaultRowHeight="12.75" x14ac:dyDescent="0.2"/>
  <cols>
    <col min="1" max="1" width="59.42578125" style="473" customWidth="1"/>
    <col min="2" max="46" width="11.7109375" style="473" customWidth="1"/>
    <col min="47" max="16384" width="11.42578125" style="473"/>
  </cols>
  <sheetData>
    <row r="1" spans="1:47" ht="20.25" customHeight="1" x14ac:dyDescent="0.3">
      <c r="A1" s="588" t="s">
        <v>206</v>
      </c>
      <c r="B1" s="405" t="s">
        <v>64</v>
      </c>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515"/>
      <c r="AL1" s="515"/>
      <c r="AM1" s="515"/>
      <c r="AN1" s="515"/>
      <c r="AO1" s="515"/>
      <c r="AP1" s="515"/>
      <c r="AQ1" s="515"/>
      <c r="AR1" s="515"/>
      <c r="AS1" s="515"/>
      <c r="AT1" s="515"/>
      <c r="AU1" s="515"/>
    </row>
    <row r="2" spans="1:47" ht="20.100000000000001" customHeight="1" x14ac:dyDescent="0.3">
      <c r="A2" s="589" t="s">
        <v>292</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row>
    <row r="3" spans="1:47" ht="20.100000000000001" customHeight="1" x14ac:dyDescent="0.3">
      <c r="A3" s="590" t="s">
        <v>429</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row>
    <row r="4" spans="1:47" ht="20.100000000000001" customHeight="1" x14ac:dyDescent="0.3">
      <c r="A4" s="591" t="s">
        <v>430</v>
      </c>
      <c r="B4" s="515"/>
      <c r="C4" s="515"/>
      <c r="D4" s="515"/>
      <c r="E4" s="515"/>
      <c r="F4" s="515"/>
      <c r="G4" s="515"/>
      <c r="H4" s="515"/>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515"/>
      <c r="AJ4" s="515"/>
      <c r="AK4" s="515"/>
      <c r="AL4" s="515"/>
      <c r="AM4" s="515"/>
      <c r="AN4" s="515"/>
      <c r="AO4" s="515"/>
      <c r="AP4" s="515"/>
      <c r="AQ4" s="515"/>
      <c r="AR4" s="515"/>
      <c r="AS4" s="515"/>
      <c r="AT4" s="515"/>
      <c r="AU4" s="515"/>
    </row>
    <row r="5" spans="1:47" ht="18.75" customHeight="1" x14ac:dyDescent="0.3">
      <c r="A5" s="592" t="s">
        <v>403</v>
      </c>
      <c r="B5" s="593"/>
      <c r="C5" s="593"/>
      <c r="D5" s="594"/>
      <c r="E5" s="595"/>
      <c r="F5" s="593"/>
      <c r="G5" s="594"/>
      <c r="H5" s="595"/>
      <c r="I5" s="593"/>
      <c r="J5" s="594"/>
      <c r="K5" s="593"/>
      <c r="L5" s="593"/>
      <c r="M5" s="593"/>
      <c r="N5" s="595"/>
      <c r="O5" s="593"/>
      <c r="P5" s="594"/>
      <c r="Q5" s="595"/>
      <c r="R5" s="593"/>
      <c r="S5" s="594"/>
      <c r="T5" s="595"/>
      <c r="U5" s="593"/>
      <c r="V5" s="594"/>
      <c r="W5" s="595"/>
      <c r="X5" s="593"/>
      <c r="Y5" s="594"/>
      <c r="Z5" s="595"/>
      <c r="AA5" s="593"/>
      <c r="AB5" s="594"/>
      <c r="AC5" s="595"/>
      <c r="AD5" s="593"/>
      <c r="AE5" s="594"/>
      <c r="AF5" s="595"/>
      <c r="AG5" s="593"/>
      <c r="AH5" s="594"/>
      <c r="AI5" s="595"/>
      <c r="AJ5" s="593"/>
      <c r="AK5" s="594"/>
      <c r="AL5" s="595"/>
      <c r="AM5" s="593"/>
      <c r="AN5" s="594"/>
      <c r="AO5" s="595"/>
      <c r="AP5" s="593"/>
      <c r="AQ5" s="594"/>
      <c r="AR5" s="595"/>
      <c r="AS5" s="593"/>
      <c r="AT5" s="594"/>
      <c r="AU5" s="515"/>
    </row>
    <row r="6" spans="1:47" ht="18.75" customHeight="1" x14ac:dyDescent="0.3">
      <c r="A6" s="423" t="s">
        <v>125</v>
      </c>
      <c r="B6" s="845" t="s">
        <v>209</v>
      </c>
      <c r="C6" s="846"/>
      <c r="D6" s="847"/>
      <c r="E6" s="845" t="s">
        <v>210</v>
      </c>
      <c r="F6" s="846"/>
      <c r="G6" s="847"/>
      <c r="H6" s="845" t="s">
        <v>211</v>
      </c>
      <c r="I6" s="846"/>
      <c r="J6" s="847"/>
      <c r="K6" s="845" t="s">
        <v>212</v>
      </c>
      <c r="L6" s="846"/>
      <c r="M6" s="847"/>
      <c r="N6" s="845" t="s">
        <v>213</v>
      </c>
      <c r="O6" s="846"/>
      <c r="P6" s="847"/>
      <c r="Q6" s="424" t="s">
        <v>213</v>
      </c>
      <c r="R6" s="425"/>
      <c r="S6" s="426"/>
      <c r="T6" s="845" t="s">
        <v>76</v>
      </c>
      <c r="U6" s="846"/>
      <c r="V6" s="847"/>
      <c r="W6" s="424"/>
      <c r="X6" s="425"/>
      <c r="Y6" s="426"/>
      <c r="Z6" s="845" t="s">
        <v>214</v>
      </c>
      <c r="AA6" s="846"/>
      <c r="AB6" s="847"/>
      <c r="AC6" s="424"/>
      <c r="AD6" s="425"/>
      <c r="AE6" s="426"/>
      <c r="AF6" s="845" t="s">
        <v>88</v>
      </c>
      <c r="AG6" s="846"/>
      <c r="AH6" s="847"/>
      <c r="AI6" s="845"/>
      <c r="AJ6" s="846"/>
      <c r="AK6" s="847"/>
      <c r="AL6" s="845" t="s">
        <v>89</v>
      </c>
      <c r="AM6" s="846"/>
      <c r="AN6" s="847"/>
      <c r="AO6" s="854" t="s">
        <v>2</v>
      </c>
      <c r="AP6" s="855"/>
      <c r="AQ6" s="856"/>
      <c r="AR6" s="845" t="s">
        <v>2</v>
      </c>
      <c r="AS6" s="846"/>
      <c r="AT6" s="847"/>
      <c r="AU6" s="515"/>
    </row>
    <row r="7" spans="1:47" ht="21" customHeight="1" x14ac:dyDescent="0.3">
      <c r="A7" s="427"/>
      <c r="B7" s="839" t="s">
        <v>215</v>
      </c>
      <c r="C7" s="840"/>
      <c r="D7" s="841"/>
      <c r="E7" s="839" t="s">
        <v>216</v>
      </c>
      <c r="F7" s="840"/>
      <c r="G7" s="841"/>
      <c r="H7" s="839" t="s">
        <v>216</v>
      </c>
      <c r="I7" s="840"/>
      <c r="J7" s="841"/>
      <c r="K7" s="839" t="s">
        <v>217</v>
      </c>
      <c r="L7" s="840"/>
      <c r="M7" s="841"/>
      <c r="N7" s="839" t="s">
        <v>111</v>
      </c>
      <c r="O7" s="840"/>
      <c r="P7" s="841"/>
      <c r="Q7" s="839" t="s">
        <v>76</v>
      </c>
      <c r="R7" s="840"/>
      <c r="S7" s="841"/>
      <c r="T7" s="839" t="s">
        <v>218</v>
      </c>
      <c r="U7" s="840"/>
      <c r="V7" s="841"/>
      <c r="W7" s="839" t="s">
        <v>81</v>
      </c>
      <c r="X7" s="840"/>
      <c r="Y7" s="841"/>
      <c r="Z7" s="839" t="s">
        <v>215</v>
      </c>
      <c r="AA7" s="840"/>
      <c r="AB7" s="841"/>
      <c r="AC7" s="839" t="s">
        <v>87</v>
      </c>
      <c r="AD7" s="840"/>
      <c r="AE7" s="841"/>
      <c r="AF7" s="839" t="s">
        <v>219</v>
      </c>
      <c r="AG7" s="840"/>
      <c r="AH7" s="841"/>
      <c r="AI7" s="839" t="s">
        <v>83</v>
      </c>
      <c r="AJ7" s="840"/>
      <c r="AK7" s="841"/>
      <c r="AL7" s="839" t="s">
        <v>216</v>
      </c>
      <c r="AM7" s="840"/>
      <c r="AN7" s="841"/>
      <c r="AO7" s="842" t="s">
        <v>348</v>
      </c>
      <c r="AP7" s="843"/>
      <c r="AQ7" s="844"/>
      <c r="AR7" s="857" t="s">
        <v>349</v>
      </c>
      <c r="AS7" s="858"/>
      <c r="AT7" s="859"/>
      <c r="AU7" s="515"/>
    </row>
    <row r="8" spans="1:47" ht="18.75" customHeight="1" x14ac:dyDescent="0.3">
      <c r="A8" s="427"/>
      <c r="B8" s="541"/>
      <c r="C8" s="541"/>
      <c r="D8" s="428" t="s">
        <v>100</v>
      </c>
      <c r="E8" s="541"/>
      <c r="F8" s="541"/>
      <c r="G8" s="428" t="s">
        <v>100</v>
      </c>
      <c r="H8" s="541"/>
      <c r="I8" s="541"/>
      <c r="J8" s="428" t="s">
        <v>100</v>
      </c>
      <c r="K8" s="541"/>
      <c r="L8" s="541"/>
      <c r="M8" s="428" t="s">
        <v>100</v>
      </c>
      <c r="N8" s="541"/>
      <c r="O8" s="541"/>
      <c r="P8" s="428" t="s">
        <v>100</v>
      </c>
      <c r="Q8" s="541"/>
      <c r="R8" s="541"/>
      <c r="S8" s="428" t="s">
        <v>100</v>
      </c>
      <c r="T8" s="541"/>
      <c r="U8" s="541"/>
      <c r="V8" s="428" t="s">
        <v>100</v>
      </c>
      <c r="W8" s="541"/>
      <c r="X8" s="541"/>
      <c r="Y8" s="428" t="s">
        <v>100</v>
      </c>
      <c r="Z8" s="541"/>
      <c r="AA8" s="541"/>
      <c r="AB8" s="428" t="s">
        <v>100</v>
      </c>
      <c r="AC8" s="541"/>
      <c r="AD8" s="541"/>
      <c r="AE8" s="428" t="s">
        <v>100</v>
      </c>
      <c r="AF8" s="541"/>
      <c r="AG8" s="541"/>
      <c r="AH8" s="428" t="s">
        <v>100</v>
      </c>
      <c r="AI8" s="541"/>
      <c r="AJ8" s="541"/>
      <c r="AK8" s="428" t="s">
        <v>100</v>
      </c>
      <c r="AL8" s="541"/>
      <c r="AM8" s="541"/>
      <c r="AN8" s="428" t="s">
        <v>100</v>
      </c>
      <c r="AO8" s="541"/>
      <c r="AP8" s="541"/>
      <c r="AQ8" s="428" t="s">
        <v>100</v>
      </c>
      <c r="AR8" s="541"/>
      <c r="AS8" s="541"/>
      <c r="AT8" s="428" t="s">
        <v>100</v>
      </c>
      <c r="AU8" s="515"/>
    </row>
    <row r="9" spans="1:47" ht="18.75" customHeight="1" x14ac:dyDescent="0.3">
      <c r="A9" s="596" t="s">
        <v>350</v>
      </c>
      <c r="B9" s="543">
        <v>2015</v>
      </c>
      <c r="C9" s="543">
        <v>2016</v>
      </c>
      <c r="D9" s="431" t="s">
        <v>102</v>
      </c>
      <c r="E9" s="543">
        <v>2015</v>
      </c>
      <c r="F9" s="543">
        <v>2016</v>
      </c>
      <c r="G9" s="431" t="s">
        <v>102</v>
      </c>
      <c r="H9" s="543">
        <v>2015</v>
      </c>
      <c r="I9" s="543">
        <v>2016</v>
      </c>
      <c r="J9" s="431" t="s">
        <v>102</v>
      </c>
      <c r="K9" s="543">
        <v>2015</v>
      </c>
      <c r="L9" s="543">
        <v>2016</v>
      </c>
      <c r="M9" s="431" t="s">
        <v>102</v>
      </c>
      <c r="N9" s="543">
        <v>2015</v>
      </c>
      <c r="O9" s="543">
        <v>2016</v>
      </c>
      <c r="P9" s="431" t="s">
        <v>102</v>
      </c>
      <c r="Q9" s="543">
        <v>2015</v>
      </c>
      <c r="R9" s="543">
        <v>2016</v>
      </c>
      <c r="S9" s="431" t="s">
        <v>102</v>
      </c>
      <c r="T9" s="543">
        <v>2015</v>
      </c>
      <c r="U9" s="543">
        <v>2016</v>
      </c>
      <c r="V9" s="431" t="s">
        <v>102</v>
      </c>
      <c r="W9" s="543">
        <v>2015</v>
      </c>
      <c r="X9" s="543">
        <v>2016</v>
      </c>
      <c r="Y9" s="431" t="s">
        <v>102</v>
      </c>
      <c r="Z9" s="543">
        <v>2015</v>
      </c>
      <c r="AA9" s="543">
        <v>2016</v>
      </c>
      <c r="AB9" s="431" t="s">
        <v>102</v>
      </c>
      <c r="AC9" s="543">
        <v>2015</v>
      </c>
      <c r="AD9" s="543">
        <v>2016</v>
      </c>
      <c r="AE9" s="431" t="s">
        <v>102</v>
      </c>
      <c r="AF9" s="543">
        <v>2015</v>
      </c>
      <c r="AG9" s="543">
        <v>2016</v>
      </c>
      <c r="AH9" s="431" t="s">
        <v>102</v>
      </c>
      <c r="AI9" s="543">
        <v>2015</v>
      </c>
      <c r="AJ9" s="543">
        <v>2016</v>
      </c>
      <c r="AK9" s="431" t="s">
        <v>102</v>
      </c>
      <c r="AL9" s="543">
        <v>2015</v>
      </c>
      <c r="AM9" s="543">
        <v>2016</v>
      </c>
      <c r="AN9" s="431" t="s">
        <v>102</v>
      </c>
      <c r="AO9" s="543">
        <v>2015</v>
      </c>
      <c r="AP9" s="543">
        <v>2016</v>
      </c>
      <c r="AQ9" s="431" t="s">
        <v>102</v>
      </c>
      <c r="AR9" s="543">
        <v>2015</v>
      </c>
      <c r="AS9" s="543">
        <v>2016</v>
      </c>
      <c r="AT9" s="431" t="s">
        <v>102</v>
      </c>
      <c r="AU9" s="515"/>
    </row>
    <row r="10" spans="1:47" ht="18.75" customHeight="1" x14ac:dyDescent="0.3">
      <c r="A10" s="597"/>
      <c r="B10" s="598"/>
      <c r="C10" s="599"/>
      <c r="D10" s="600"/>
      <c r="E10" s="601"/>
      <c r="F10" s="600"/>
      <c r="G10" s="602"/>
      <c r="H10" s="598"/>
      <c r="I10" s="599"/>
      <c r="J10" s="602"/>
      <c r="K10" s="598"/>
      <c r="L10" s="599"/>
      <c r="M10" s="600"/>
      <c r="N10" s="598"/>
      <c r="O10" s="599"/>
      <c r="P10" s="602"/>
      <c r="Q10" s="598"/>
      <c r="R10" s="599"/>
      <c r="S10" s="602"/>
      <c r="T10" s="598"/>
      <c r="U10" s="598"/>
      <c r="V10" s="602"/>
      <c r="W10" s="598"/>
      <c r="X10" s="599"/>
      <c r="Y10" s="602"/>
      <c r="Z10" s="601"/>
      <c r="AA10" s="600"/>
      <c r="AB10" s="602"/>
      <c r="AC10" s="598"/>
      <c r="AD10" s="599"/>
      <c r="AE10" s="602"/>
      <c r="AF10" s="601"/>
      <c r="AG10" s="600"/>
      <c r="AH10" s="602"/>
      <c r="AI10" s="598"/>
      <c r="AJ10" s="599"/>
      <c r="AK10" s="602"/>
      <c r="AL10" s="598"/>
      <c r="AM10" s="599"/>
      <c r="AN10" s="602"/>
      <c r="AO10" s="600"/>
      <c r="AP10" s="600"/>
      <c r="AQ10" s="602"/>
      <c r="AR10" s="599"/>
      <c r="AS10" s="599"/>
      <c r="AT10" s="602"/>
      <c r="AU10" s="515"/>
    </row>
    <row r="11" spans="1:47" s="515" customFormat="1" ht="18.75" customHeight="1" x14ac:dyDescent="0.3">
      <c r="A11" s="507" t="s">
        <v>431</v>
      </c>
      <c r="B11" s="603"/>
      <c r="C11" s="574"/>
      <c r="D11" s="604"/>
      <c r="E11" s="605"/>
      <c r="F11" s="606"/>
      <c r="G11" s="607"/>
      <c r="H11" s="605"/>
      <c r="I11" s="606"/>
      <c r="J11" s="607"/>
      <c r="K11" s="605"/>
      <c r="L11" s="606"/>
      <c r="M11" s="604"/>
      <c r="N11" s="605"/>
      <c r="O11" s="606"/>
      <c r="P11" s="607"/>
      <c r="Q11" s="605"/>
      <c r="R11" s="606"/>
      <c r="S11" s="607"/>
      <c r="T11" s="605"/>
      <c r="U11" s="606"/>
      <c r="V11" s="607"/>
      <c r="W11" s="605"/>
      <c r="X11" s="606"/>
      <c r="Y11" s="608"/>
      <c r="Z11" s="605"/>
      <c r="AA11" s="606"/>
      <c r="AB11" s="607"/>
      <c r="AC11" s="605"/>
      <c r="AD11" s="606"/>
      <c r="AE11" s="607"/>
      <c r="AF11" s="605"/>
      <c r="AG11" s="606"/>
      <c r="AH11" s="607"/>
      <c r="AI11" s="605"/>
      <c r="AJ11" s="606"/>
      <c r="AK11" s="607"/>
      <c r="AL11" s="605"/>
      <c r="AM11" s="606"/>
      <c r="AN11" s="607"/>
      <c r="AO11" s="604"/>
      <c r="AP11" s="604"/>
      <c r="AQ11" s="607"/>
      <c r="AR11" s="606"/>
      <c r="AS11" s="606"/>
      <c r="AT11" s="607"/>
    </row>
    <row r="12" spans="1:47" s="515" customFormat="1" ht="18.75" customHeight="1" x14ac:dyDescent="0.3">
      <c r="A12" s="509" t="s">
        <v>432</v>
      </c>
      <c r="B12" s="560"/>
      <c r="C12" s="561"/>
      <c r="D12" s="609"/>
      <c r="E12" s="560">
        <v>104</v>
      </c>
      <c r="F12" s="561">
        <v>76.864999999999995</v>
      </c>
      <c r="G12" s="610">
        <f t="shared" ref="G12:G58" si="0">IF(E12=0, "    ---- ", IF(ABS(ROUND(100/E12*F12-100,1))&lt;999,ROUND(100/E12*F12-100,1),IF(ROUND(100/E12*F12-100,1)&gt;999,999,-999)))</f>
        <v>-26.1</v>
      </c>
      <c r="H12" s="611"/>
      <c r="I12" s="612"/>
      <c r="J12" s="613"/>
      <c r="K12" s="611"/>
      <c r="L12" s="612"/>
      <c r="M12" s="609"/>
      <c r="N12" s="611"/>
      <c r="O12" s="612"/>
      <c r="P12" s="613"/>
      <c r="Q12" s="611"/>
      <c r="R12" s="612"/>
      <c r="S12" s="613"/>
      <c r="T12" s="611"/>
      <c r="U12" s="612"/>
      <c r="V12" s="613"/>
      <c r="W12" s="611">
        <v>2</v>
      </c>
      <c r="X12" s="615">
        <v>3.7589054220000002</v>
      </c>
      <c r="Y12" s="610">
        <f t="shared" ref="Y12:Y58" si="1">IF(W12=0, "    ---- ", IF(ABS(ROUND(100/W12*X12-100,1))&lt;999,ROUND(100/W12*X12-100,1),IF(ROUND(100/W12*X12-100,1)&gt;999,999,-999)))</f>
        <v>87.9</v>
      </c>
      <c r="Z12" s="611"/>
      <c r="AA12" s="612"/>
      <c r="AB12" s="613"/>
      <c r="AC12" s="611"/>
      <c r="AD12" s="612"/>
      <c r="AE12" s="613"/>
      <c r="AF12" s="611"/>
      <c r="AG12" s="612"/>
      <c r="AH12" s="613"/>
      <c r="AI12" s="560">
        <v>10.234999999999999</v>
      </c>
      <c r="AJ12" s="561">
        <v>13.007</v>
      </c>
      <c r="AK12" s="610">
        <f>IF(AI12=0, "    ---- ", IF(ABS(ROUND(100/AI12*AJ12-100,1))&lt;999,ROUND(100/AI12*AJ12-100,1),IF(ROUND(100/AI12*AJ12-100,1)&gt;999,999,-999)))</f>
        <v>27.1</v>
      </c>
      <c r="AL12" s="614">
        <v>31.4</v>
      </c>
      <c r="AM12" s="615">
        <v>64.3</v>
      </c>
      <c r="AN12" s="610">
        <f>IF(AL12=0, "    ---- ", IF(ABS(ROUND(100/AL12*AM12-100,1))&lt;999,ROUND(100/AL12*AM12-100,1),IF(ROUND(100/AL12*AM12-100,1)&gt;999,999,-999)))</f>
        <v>104.8</v>
      </c>
      <c r="AO12" s="615">
        <f>B12+E12+H12+K12+Q12+T12+W12+Z12+AF12+AI12+AL12</f>
        <v>147.63499999999999</v>
      </c>
      <c r="AP12" s="615">
        <f>C12+F12+I12+L12+R12+U12+X12+AA12+AG12+AJ12+AM12</f>
        <v>157.930905422</v>
      </c>
      <c r="AQ12" s="610">
        <f t="shared" ref="AQ12:AQ22" si="2">IF(AO12=0, "    ---- ", IF(ABS(ROUND(100/AO12*AP12-100,1))&lt;999,ROUND(100/AO12*AP12-100,1),IF(ROUND(100/AO12*AP12-100,1)&gt;999,999,-999)))</f>
        <v>7</v>
      </c>
      <c r="AR12" s="615">
        <f>+B12+E12+H12+K12+N12+Q12+T12+W12+Z12+AC12+AF12+AI12+AL12</f>
        <v>147.63499999999999</v>
      </c>
      <c r="AS12" s="615">
        <f>+C12+F12+I12+L12+O12+R12+U12+X12+AA12+AD12+AG12+AJ12+AM12</f>
        <v>157.930905422</v>
      </c>
      <c r="AT12" s="610">
        <f t="shared" ref="AT12:AT22" si="3">IF(AR12=0, "    ---- ", IF(ABS(ROUND(100/AR12*AS12-100,1))&lt;999,ROUND(100/AR12*AS12-100,1),IF(ROUND(100/AR12*AS12-100,1)&gt;999,999,-999)))</f>
        <v>7</v>
      </c>
    </row>
    <row r="13" spans="1:47" s="515" customFormat="1" ht="18.75" customHeight="1" x14ac:dyDescent="0.3">
      <c r="A13" s="509" t="s">
        <v>433</v>
      </c>
      <c r="B13" s="560"/>
      <c r="C13" s="561"/>
      <c r="D13" s="609"/>
      <c r="E13" s="560">
        <v>-4</v>
      </c>
      <c r="F13" s="561">
        <v>0</v>
      </c>
      <c r="G13" s="610">
        <f t="shared" si="0"/>
        <v>-100</v>
      </c>
      <c r="H13" s="611"/>
      <c r="I13" s="612"/>
      <c r="J13" s="613"/>
      <c r="K13" s="611"/>
      <c r="L13" s="612"/>
      <c r="M13" s="609"/>
      <c r="N13" s="611"/>
      <c r="O13" s="612"/>
      <c r="P13" s="613"/>
      <c r="Q13" s="611"/>
      <c r="R13" s="612"/>
      <c r="S13" s="613"/>
      <c r="T13" s="611"/>
      <c r="U13" s="612"/>
      <c r="V13" s="613"/>
      <c r="W13" s="611">
        <v>-2</v>
      </c>
      <c r="X13" s="615">
        <v>-3.7589054220000002</v>
      </c>
      <c r="Y13" s="610">
        <f t="shared" si="1"/>
        <v>87.9</v>
      </c>
      <c r="Z13" s="611"/>
      <c r="AA13" s="612"/>
      <c r="AB13" s="613"/>
      <c r="AC13" s="611"/>
      <c r="AD13" s="612"/>
      <c r="AE13" s="613"/>
      <c r="AF13" s="611"/>
      <c r="AG13" s="612"/>
      <c r="AH13" s="613"/>
      <c r="AI13" s="560"/>
      <c r="AJ13" s="561"/>
      <c r="AK13" s="610"/>
      <c r="AL13" s="614">
        <v>-7.39</v>
      </c>
      <c r="AM13" s="615"/>
      <c r="AN13" s="610">
        <f>IF(AL13=0, "    ---- ", IF(ABS(ROUND(100/AL13*AM13-100,1))&lt;999,ROUND(100/AL13*AM13-100,1),IF(ROUND(100/AL13*AM13-100,1)&gt;999,999,-999)))</f>
        <v>-100</v>
      </c>
      <c r="AO13" s="615">
        <f t="shared" ref="AO13:AP76" si="4">B13+E13+H13+K13+Q13+T13+W13+Z13+AF13+AI13+AL13</f>
        <v>-13.39</v>
      </c>
      <c r="AP13" s="615">
        <f t="shared" si="4"/>
        <v>-3.7589054220000002</v>
      </c>
      <c r="AQ13" s="610">
        <f t="shared" si="2"/>
        <v>-71.900000000000006</v>
      </c>
      <c r="AR13" s="615">
        <f t="shared" ref="AR13:AS76" si="5">+B13+E13+H13+K13+N13+Q13+T13+W13+Z13+AC13+AF13+AI13+AL13</f>
        <v>-13.39</v>
      </c>
      <c r="AS13" s="615">
        <f t="shared" si="5"/>
        <v>-3.7589054220000002</v>
      </c>
      <c r="AT13" s="610">
        <f t="shared" si="3"/>
        <v>-71.900000000000006</v>
      </c>
    </row>
    <row r="14" spans="1:47" s="515" customFormat="1" ht="18.75" customHeight="1" x14ac:dyDescent="0.3">
      <c r="A14" s="509" t="s">
        <v>434</v>
      </c>
      <c r="B14" s="560"/>
      <c r="C14" s="561"/>
      <c r="D14" s="609"/>
      <c r="E14" s="560">
        <v>31</v>
      </c>
      <c r="F14" s="561">
        <v>21.186</v>
      </c>
      <c r="G14" s="610">
        <f t="shared" si="0"/>
        <v>-31.7</v>
      </c>
      <c r="H14" s="611"/>
      <c r="I14" s="612"/>
      <c r="J14" s="613"/>
      <c r="K14" s="611"/>
      <c r="L14" s="612"/>
      <c r="M14" s="609"/>
      <c r="N14" s="611"/>
      <c r="O14" s="612"/>
      <c r="P14" s="613"/>
      <c r="Q14" s="611"/>
      <c r="R14" s="612"/>
      <c r="S14" s="613"/>
      <c r="T14" s="611"/>
      <c r="U14" s="612"/>
      <c r="V14" s="613"/>
      <c r="W14" s="611">
        <v>8</v>
      </c>
      <c r="X14" s="615">
        <v>6.357586886</v>
      </c>
      <c r="Y14" s="610">
        <f t="shared" si="1"/>
        <v>-20.5</v>
      </c>
      <c r="Z14" s="611"/>
      <c r="AA14" s="612"/>
      <c r="AB14" s="613"/>
      <c r="AC14" s="611"/>
      <c r="AD14" s="612"/>
      <c r="AE14" s="613"/>
      <c r="AF14" s="611"/>
      <c r="AG14" s="612"/>
      <c r="AH14" s="613"/>
      <c r="AI14" s="560">
        <v>-5.1449999999999996</v>
      </c>
      <c r="AJ14" s="561">
        <v>-3.673</v>
      </c>
      <c r="AK14" s="610">
        <f>IF(AI14=0, "    ---- ", IF(ABS(ROUND(100/AI14*AJ14-100,1))&lt;999,ROUND(100/AI14*AJ14-100,1),IF(ROUND(100/AI14*AJ14-100,1)&gt;999,999,-999)))</f>
        <v>-28.6</v>
      </c>
      <c r="AL14" s="614">
        <v>-20.45</v>
      </c>
      <c r="AM14" s="615">
        <v>1</v>
      </c>
      <c r="AN14" s="610">
        <f>IF(AL14=0, "    ---- ", IF(ABS(ROUND(100/AL14*AM14-100,1))&lt;999,ROUND(100/AL14*AM14-100,1),IF(ROUND(100/AL14*AM14-100,1)&gt;999,999,-999)))</f>
        <v>-104.9</v>
      </c>
      <c r="AO14" s="615">
        <f t="shared" si="4"/>
        <v>13.405000000000005</v>
      </c>
      <c r="AP14" s="615">
        <f t="shared" si="4"/>
        <v>24.870586885999998</v>
      </c>
      <c r="AQ14" s="610">
        <f t="shared" si="2"/>
        <v>85.5</v>
      </c>
      <c r="AR14" s="615">
        <f t="shared" si="5"/>
        <v>13.405000000000005</v>
      </c>
      <c r="AS14" s="615">
        <f t="shared" si="5"/>
        <v>24.870586885999998</v>
      </c>
      <c r="AT14" s="610">
        <f t="shared" si="3"/>
        <v>85.5</v>
      </c>
    </row>
    <row r="15" spans="1:47" s="515" customFormat="1" ht="18.75" customHeight="1" x14ac:dyDescent="0.3">
      <c r="A15" s="509" t="s">
        <v>435</v>
      </c>
      <c r="B15" s="560"/>
      <c r="C15" s="561"/>
      <c r="D15" s="609"/>
      <c r="E15" s="560"/>
      <c r="F15" s="561"/>
      <c r="G15" s="610"/>
      <c r="H15" s="611"/>
      <c r="I15" s="612"/>
      <c r="J15" s="613"/>
      <c r="K15" s="611"/>
      <c r="L15" s="612"/>
      <c r="M15" s="609"/>
      <c r="N15" s="611"/>
      <c r="O15" s="612"/>
      <c r="P15" s="613"/>
      <c r="Q15" s="611"/>
      <c r="R15" s="612"/>
      <c r="S15" s="613"/>
      <c r="T15" s="611"/>
      <c r="U15" s="612"/>
      <c r="V15" s="613"/>
      <c r="W15" s="611"/>
      <c r="X15" s="615"/>
      <c r="Y15" s="610"/>
      <c r="Z15" s="611"/>
      <c r="AA15" s="612"/>
      <c r="AB15" s="613"/>
      <c r="AC15" s="611"/>
      <c r="AD15" s="612"/>
      <c r="AE15" s="613"/>
      <c r="AF15" s="611"/>
      <c r="AG15" s="612"/>
      <c r="AH15" s="613"/>
      <c r="AI15" s="560"/>
      <c r="AJ15" s="561"/>
      <c r="AK15" s="610"/>
      <c r="AL15" s="614"/>
      <c r="AM15" s="615"/>
      <c r="AN15" s="610"/>
      <c r="AO15" s="615">
        <f t="shared" si="4"/>
        <v>0</v>
      </c>
      <c r="AP15" s="615">
        <f t="shared" si="4"/>
        <v>0</v>
      </c>
      <c r="AQ15" s="610" t="str">
        <f t="shared" si="2"/>
        <v xml:space="preserve">    ---- </v>
      </c>
      <c r="AR15" s="615">
        <f t="shared" si="5"/>
        <v>0</v>
      </c>
      <c r="AS15" s="615">
        <f t="shared" si="5"/>
        <v>0</v>
      </c>
      <c r="AT15" s="610" t="str">
        <f t="shared" si="3"/>
        <v xml:space="preserve">    ---- </v>
      </c>
    </row>
    <row r="16" spans="1:47" s="515" customFormat="1" ht="18.75" customHeight="1" x14ac:dyDescent="0.3">
      <c r="A16" s="509" t="s">
        <v>436</v>
      </c>
      <c r="B16" s="560"/>
      <c r="C16" s="561"/>
      <c r="D16" s="609"/>
      <c r="E16" s="560"/>
      <c r="F16" s="561"/>
      <c r="G16" s="610"/>
      <c r="H16" s="611"/>
      <c r="I16" s="612"/>
      <c r="J16" s="613"/>
      <c r="K16" s="611"/>
      <c r="L16" s="612"/>
      <c r="M16" s="609"/>
      <c r="N16" s="611"/>
      <c r="O16" s="612"/>
      <c r="P16" s="613"/>
      <c r="Q16" s="611"/>
      <c r="R16" s="612"/>
      <c r="S16" s="613"/>
      <c r="T16" s="611"/>
      <c r="U16" s="612"/>
      <c r="V16" s="613"/>
      <c r="W16" s="611"/>
      <c r="X16" s="615"/>
      <c r="Y16" s="610"/>
      <c r="Z16" s="611"/>
      <c r="AA16" s="612"/>
      <c r="AB16" s="613"/>
      <c r="AC16" s="611"/>
      <c r="AD16" s="612"/>
      <c r="AE16" s="613"/>
      <c r="AF16" s="611"/>
      <c r="AG16" s="612"/>
      <c r="AH16" s="613"/>
      <c r="AI16" s="560"/>
      <c r="AJ16" s="561"/>
      <c r="AK16" s="610"/>
      <c r="AL16" s="614"/>
      <c r="AM16" s="615"/>
      <c r="AN16" s="610"/>
      <c r="AO16" s="615">
        <f t="shared" si="4"/>
        <v>0</v>
      </c>
      <c r="AP16" s="615">
        <f t="shared" si="4"/>
        <v>0</v>
      </c>
      <c r="AQ16" s="610" t="str">
        <f t="shared" si="2"/>
        <v xml:space="preserve">    ---- </v>
      </c>
      <c r="AR16" s="615">
        <f t="shared" si="5"/>
        <v>0</v>
      </c>
      <c r="AS16" s="615">
        <f t="shared" si="5"/>
        <v>0</v>
      </c>
      <c r="AT16" s="610" t="str">
        <f t="shared" si="3"/>
        <v xml:space="preserve">    ---- </v>
      </c>
    </row>
    <row r="17" spans="1:46" s="515" customFormat="1" ht="18.75" customHeight="1" x14ac:dyDescent="0.3">
      <c r="A17" s="509" t="s">
        <v>437</v>
      </c>
      <c r="B17" s="560"/>
      <c r="C17" s="561"/>
      <c r="D17" s="609"/>
      <c r="E17" s="560">
        <v>51</v>
      </c>
      <c r="F17" s="561">
        <v>29.443000000000001</v>
      </c>
      <c r="G17" s="610">
        <f t="shared" si="0"/>
        <v>-42.3</v>
      </c>
      <c r="H17" s="611"/>
      <c r="I17" s="612"/>
      <c r="J17" s="613"/>
      <c r="K17" s="611"/>
      <c r="L17" s="612"/>
      <c r="M17" s="609"/>
      <c r="N17" s="611"/>
      <c r="O17" s="612"/>
      <c r="P17" s="613"/>
      <c r="Q17" s="611"/>
      <c r="R17" s="612"/>
      <c r="S17" s="613"/>
      <c r="T17" s="611"/>
      <c r="U17" s="612"/>
      <c r="V17" s="613"/>
      <c r="W17" s="611">
        <v>17</v>
      </c>
      <c r="X17" s="615">
        <v>10.810188610999999</v>
      </c>
      <c r="Y17" s="610">
        <f t="shared" si="1"/>
        <v>-36.4</v>
      </c>
      <c r="Z17" s="611"/>
      <c r="AA17" s="612"/>
      <c r="AB17" s="613"/>
      <c r="AC17" s="611"/>
      <c r="AD17" s="612"/>
      <c r="AE17" s="613"/>
      <c r="AF17" s="611"/>
      <c r="AG17" s="612"/>
      <c r="AH17" s="613"/>
      <c r="AI17" s="560">
        <v>-5.1040000000000001</v>
      </c>
      <c r="AJ17" s="561">
        <v>-6.8090000000000002</v>
      </c>
      <c r="AK17" s="610">
        <f>IF(AI17=0, "    ---- ", IF(ABS(ROUND(100/AI17*AJ17-100,1))&lt;999,ROUND(100/AI17*AJ17-100,1),IF(ROUND(100/AI17*AJ17-100,1)&gt;999,999,-999)))</f>
        <v>33.4</v>
      </c>
      <c r="AL17" s="614">
        <v>53.27</v>
      </c>
      <c r="AM17" s="615">
        <v>171.8</v>
      </c>
      <c r="AN17" s="610">
        <f>IF(AL17=0, "    ---- ", IF(ABS(ROUND(100/AL17*AM17-100,1))&lt;999,ROUND(100/AL17*AM17-100,1),IF(ROUND(100/AL17*AM17-100,1)&gt;999,999,-999)))</f>
        <v>222.5</v>
      </c>
      <c r="AO17" s="615">
        <f t="shared" si="4"/>
        <v>116.166</v>
      </c>
      <c r="AP17" s="615">
        <f t="shared" si="4"/>
        <v>205.24418861100003</v>
      </c>
      <c r="AQ17" s="610">
        <f t="shared" si="2"/>
        <v>76.7</v>
      </c>
      <c r="AR17" s="615">
        <f t="shared" si="5"/>
        <v>116.166</v>
      </c>
      <c r="AS17" s="615">
        <f t="shared" si="5"/>
        <v>205.24418861100003</v>
      </c>
      <c r="AT17" s="610">
        <f t="shared" si="3"/>
        <v>76.7</v>
      </c>
    </row>
    <row r="18" spans="1:46" s="515" customFormat="1" ht="18.75" customHeight="1" x14ac:dyDescent="0.3">
      <c r="A18" s="509" t="s">
        <v>438</v>
      </c>
      <c r="B18" s="560"/>
      <c r="C18" s="561"/>
      <c r="D18" s="609"/>
      <c r="E18" s="560"/>
      <c r="F18" s="561"/>
      <c r="G18" s="610"/>
      <c r="H18" s="611"/>
      <c r="I18" s="612"/>
      <c r="J18" s="613"/>
      <c r="K18" s="611"/>
      <c r="L18" s="612"/>
      <c r="M18" s="609"/>
      <c r="N18" s="611"/>
      <c r="O18" s="612"/>
      <c r="P18" s="613"/>
      <c r="Q18" s="611"/>
      <c r="R18" s="612"/>
      <c r="S18" s="613"/>
      <c r="T18" s="611"/>
      <c r="U18" s="612"/>
      <c r="V18" s="613"/>
      <c r="W18" s="611"/>
      <c r="X18" s="615"/>
      <c r="Y18" s="610"/>
      <c r="Z18" s="611"/>
      <c r="AA18" s="612"/>
      <c r="AB18" s="613"/>
      <c r="AC18" s="611"/>
      <c r="AD18" s="612"/>
      <c r="AE18" s="613"/>
      <c r="AF18" s="611"/>
      <c r="AG18" s="612"/>
      <c r="AH18" s="613"/>
      <c r="AI18" s="560"/>
      <c r="AJ18" s="561"/>
      <c r="AK18" s="610"/>
      <c r="AL18" s="614"/>
      <c r="AM18" s="615"/>
      <c r="AN18" s="610"/>
      <c r="AO18" s="615">
        <f t="shared" si="4"/>
        <v>0</v>
      </c>
      <c r="AP18" s="615">
        <f t="shared" si="4"/>
        <v>0</v>
      </c>
      <c r="AQ18" s="610" t="str">
        <f t="shared" si="2"/>
        <v xml:space="preserve">    ---- </v>
      </c>
      <c r="AR18" s="615">
        <f t="shared" si="5"/>
        <v>0</v>
      </c>
      <c r="AS18" s="615">
        <f t="shared" si="5"/>
        <v>0</v>
      </c>
      <c r="AT18" s="610" t="str">
        <f t="shared" si="3"/>
        <v xml:space="preserve">    ---- </v>
      </c>
    </row>
    <row r="19" spans="1:46" s="515" customFormat="1" ht="18.75" customHeight="1" x14ac:dyDescent="0.3">
      <c r="A19" s="509" t="s">
        <v>439</v>
      </c>
      <c r="B19" s="560"/>
      <c r="C19" s="561"/>
      <c r="D19" s="609"/>
      <c r="E19" s="560"/>
      <c r="F19" s="561"/>
      <c r="G19" s="610"/>
      <c r="H19" s="611"/>
      <c r="I19" s="612"/>
      <c r="J19" s="613"/>
      <c r="K19" s="611"/>
      <c r="L19" s="612"/>
      <c r="M19" s="609"/>
      <c r="N19" s="611"/>
      <c r="O19" s="612"/>
      <c r="P19" s="613"/>
      <c r="Q19" s="611"/>
      <c r="R19" s="612"/>
      <c r="S19" s="613"/>
      <c r="T19" s="611"/>
      <c r="U19" s="612"/>
      <c r="V19" s="613"/>
      <c r="W19" s="611"/>
      <c r="X19" s="615"/>
      <c r="Y19" s="610"/>
      <c r="Z19" s="611"/>
      <c r="AA19" s="612"/>
      <c r="AB19" s="613"/>
      <c r="AC19" s="611"/>
      <c r="AD19" s="612"/>
      <c r="AE19" s="613"/>
      <c r="AF19" s="611"/>
      <c r="AG19" s="612"/>
      <c r="AH19" s="613"/>
      <c r="AI19" s="560"/>
      <c r="AJ19" s="561"/>
      <c r="AK19" s="610"/>
      <c r="AL19" s="614">
        <v>7.78</v>
      </c>
      <c r="AM19" s="615">
        <v>-4.7</v>
      </c>
      <c r="AN19" s="610">
        <f>IF(AL19=0, "    ---- ", IF(ABS(ROUND(100/AL19*AM19-100,1))&lt;999,ROUND(100/AL19*AM19-100,1),IF(ROUND(100/AL19*AM19-100,1)&gt;999,999,-999)))</f>
        <v>-160.4</v>
      </c>
      <c r="AO19" s="615">
        <f t="shared" si="4"/>
        <v>7.78</v>
      </c>
      <c r="AP19" s="615">
        <f t="shared" si="4"/>
        <v>-4.7</v>
      </c>
      <c r="AQ19" s="610">
        <f t="shared" si="2"/>
        <v>-160.4</v>
      </c>
      <c r="AR19" s="615">
        <f t="shared" si="5"/>
        <v>7.78</v>
      </c>
      <c r="AS19" s="615">
        <f t="shared" si="5"/>
        <v>-4.7</v>
      </c>
      <c r="AT19" s="610">
        <f t="shared" si="3"/>
        <v>-160.4</v>
      </c>
    </row>
    <row r="20" spans="1:46" s="513" customFormat="1" ht="18.75" customHeight="1" x14ac:dyDescent="0.3">
      <c r="A20" s="507" t="s">
        <v>440</v>
      </c>
      <c r="B20" s="603"/>
      <c r="C20" s="574"/>
      <c r="D20" s="604"/>
      <c r="E20" s="603">
        <v>182</v>
      </c>
      <c r="F20" s="574">
        <f>SUM(F12:F17)+F19</f>
        <v>127.49399999999999</v>
      </c>
      <c r="G20" s="608">
        <f t="shared" si="0"/>
        <v>-29.9</v>
      </c>
      <c r="H20" s="605"/>
      <c r="I20" s="606"/>
      <c r="J20" s="607"/>
      <c r="K20" s="605"/>
      <c r="L20" s="606"/>
      <c r="M20" s="604"/>
      <c r="N20" s="605"/>
      <c r="O20" s="606"/>
      <c r="P20" s="607"/>
      <c r="Q20" s="605"/>
      <c r="R20" s="606"/>
      <c r="S20" s="607"/>
      <c r="T20" s="605"/>
      <c r="U20" s="606"/>
      <c r="V20" s="607"/>
      <c r="W20" s="605">
        <v>25</v>
      </c>
      <c r="X20" s="617">
        <f>SUM(X12:X17)+X19</f>
        <v>17.167775497000001</v>
      </c>
      <c r="Y20" s="608">
        <f t="shared" si="1"/>
        <v>-31.3</v>
      </c>
      <c r="Z20" s="605"/>
      <c r="AA20" s="606"/>
      <c r="AB20" s="607"/>
      <c r="AC20" s="605"/>
      <c r="AD20" s="606"/>
      <c r="AE20" s="607"/>
      <c r="AF20" s="605"/>
      <c r="AG20" s="606"/>
      <c r="AH20" s="607"/>
      <c r="AI20" s="603">
        <v>-1.4000000000000234E-2</v>
      </c>
      <c r="AJ20" s="574">
        <v>2.5249999999999995</v>
      </c>
      <c r="AK20" s="608">
        <f>IF(AI20=0, "    ---- ", IF(ABS(ROUND(100/AI20*AJ20-100,1))&lt;999,ROUND(100/AI20*AJ20-100,1),IF(ROUND(100/AI20*AJ20-100,1)&gt;999,999,-999)))</f>
        <v>-999</v>
      </c>
      <c r="AL20" s="616">
        <v>64.61</v>
      </c>
      <c r="AM20" s="617">
        <f>SUM(AM12:AM17)+AM19</f>
        <v>232.40000000000003</v>
      </c>
      <c r="AN20" s="608">
        <f>IF(AL20=0, "    ---- ", IF(ABS(ROUND(100/AL20*AM20-100,1))&lt;999,ROUND(100/AL20*AM20-100,1),IF(ROUND(100/AL20*AM20-100,1)&gt;999,999,-999)))</f>
        <v>259.7</v>
      </c>
      <c r="AO20" s="617">
        <f t="shared" si="4"/>
        <v>271.596</v>
      </c>
      <c r="AP20" s="617">
        <f t="shared" si="4"/>
        <v>379.58677549700002</v>
      </c>
      <c r="AQ20" s="608">
        <f t="shared" si="2"/>
        <v>39.799999999999997</v>
      </c>
      <c r="AR20" s="617">
        <f t="shared" si="5"/>
        <v>271.596</v>
      </c>
      <c r="AS20" s="617">
        <f t="shared" si="5"/>
        <v>379.58677549700002</v>
      </c>
      <c r="AT20" s="608">
        <f t="shared" si="3"/>
        <v>39.799999999999997</v>
      </c>
    </row>
    <row r="21" spans="1:46" s="515" customFormat="1" ht="18.75" customHeight="1" x14ac:dyDescent="0.3">
      <c r="A21" s="509" t="s">
        <v>441</v>
      </c>
      <c r="B21" s="560"/>
      <c r="C21" s="561"/>
      <c r="D21" s="609"/>
      <c r="E21" s="560">
        <v>118</v>
      </c>
      <c r="F21" s="561">
        <v>82.870999999999995</v>
      </c>
      <c r="G21" s="610">
        <f t="shared" si="0"/>
        <v>-29.8</v>
      </c>
      <c r="H21" s="611"/>
      <c r="I21" s="612"/>
      <c r="J21" s="613"/>
      <c r="K21" s="611"/>
      <c r="L21" s="612"/>
      <c r="M21" s="609"/>
      <c r="N21" s="611"/>
      <c r="O21" s="612"/>
      <c r="P21" s="613"/>
      <c r="Q21" s="611"/>
      <c r="R21" s="612"/>
      <c r="S21" s="613"/>
      <c r="T21" s="611"/>
      <c r="U21" s="612"/>
      <c r="V21" s="613"/>
      <c r="W21" s="611">
        <v>16</v>
      </c>
      <c r="X21" s="615">
        <v>10.882518601999999</v>
      </c>
      <c r="Y21" s="610">
        <f t="shared" si="1"/>
        <v>-32</v>
      </c>
      <c r="Z21" s="611"/>
      <c r="AA21" s="612"/>
      <c r="AB21" s="613"/>
      <c r="AC21" s="611"/>
      <c r="AD21" s="612"/>
      <c r="AE21" s="613"/>
      <c r="AF21" s="611"/>
      <c r="AG21" s="612"/>
      <c r="AH21" s="613"/>
      <c r="AI21" s="560"/>
      <c r="AJ21" s="561">
        <v>1.641</v>
      </c>
      <c r="AK21" s="610" t="str">
        <f>IF(AI21=0, "    ---- ", IF(ABS(ROUND(100/AI21*AJ21-100,1))&lt;999,ROUND(100/AI21*AJ21-100,1),IF(ROUND(100/AI21*AJ21-100,1)&gt;999,999,-999)))</f>
        <v xml:space="preserve">    ---- </v>
      </c>
      <c r="AL21" s="614">
        <v>57.54</v>
      </c>
      <c r="AM21" s="615">
        <v>156.30000000000001</v>
      </c>
      <c r="AN21" s="610">
        <f>IF(AL21=0, "    ---- ", IF(ABS(ROUND(100/AL21*AM21-100,1))&lt;999,ROUND(100/AL21*AM21-100,1),IF(ROUND(100/AL21*AM21-100,1)&gt;999,999,-999)))</f>
        <v>171.6</v>
      </c>
      <c r="AO21" s="615">
        <f t="shared" si="4"/>
        <v>191.54</v>
      </c>
      <c r="AP21" s="615">
        <f t="shared" si="4"/>
        <v>251.69451860200002</v>
      </c>
      <c r="AQ21" s="610">
        <f t="shared" si="2"/>
        <v>31.4</v>
      </c>
      <c r="AR21" s="615">
        <f t="shared" si="5"/>
        <v>191.54</v>
      </c>
      <c r="AS21" s="615">
        <f t="shared" si="5"/>
        <v>251.69451860200002</v>
      </c>
      <c r="AT21" s="610">
        <f t="shared" si="3"/>
        <v>31.4</v>
      </c>
    </row>
    <row r="22" spans="1:46" s="515" customFormat="1" ht="18.75" customHeight="1" x14ac:dyDescent="0.3">
      <c r="A22" s="509" t="s">
        <v>442</v>
      </c>
      <c r="B22" s="560"/>
      <c r="C22" s="561"/>
      <c r="D22" s="609"/>
      <c r="E22" s="560">
        <v>64</v>
      </c>
      <c r="F22" s="561">
        <v>44.622999999999998</v>
      </c>
      <c r="G22" s="610">
        <f t="shared" si="0"/>
        <v>-30.3</v>
      </c>
      <c r="H22" s="611"/>
      <c r="I22" s="612"/>
      <c r="J22" s="613"/>
      <c r="K22" s="611"/>
      <c r="L22" s="612"/>
      <c r="M22" s="609"/>
      <c r="N22" s="611"/>
      <c r="O22" s="612"/>
      <c r="P22" s="613"/>
      <c r="Q22" s="611"/>
      <c r="R22" s="612"/>
      <c r="S22" s="613"/>
      <c r="T22" s="611"/>
      <c r="U22" s="612"/>
      <c r="V22" s="613"/>
      <c r="W22" s="611">
        <v>9</v>
      </c>
      <c r="X22" s="615">
        <v>6.2852568950000016</v>
      </c>
      <c r="Y22" s="610">
        <f t="shared" si="1"/>
        <v>-30.2</v>
      </c>
      <c r="Z22" s="611"/>
      <c r="AA22" s="612"/>
      <c r="AB22" s="613"/>
      <c r="AC22" s="611"/>
      <c r="AD22" s="612"/>
      <c r="AE22" s="613"/>
      <c r="AF22" s="611"/>
      <c r="AG22" s="612"/>
      <c r="AH22" s="613"/>
      <c r="AI22" s="560">
        <v>-1.4000000000000234E-2</v>
      </c>
      <c r="AJ22" s="561">
        <v>0.88400000000000001</v>
      </c>
      <c r="AK22" s="610">
        <f>IF(AI22=0, "    ---- ", IF(ABS(ROUND(100/AI22*AJ22-100,1))&lt;999,ROUND(100/AI22*AJ22-100,1),IF(ROUND(100/AI22*AJ22-100,1)&gt;999,999,-999)))</f>
        <v>-999</v>
      </c>
      <c r="AL22" s="614">
        <v>7.07</v>
      </c>
      <c r="AM22" s="615">
        <v>76.099999999999994</v>
      </c>
      <c r="AN22" s="610">
        <f>IF(AL22=0, "    ---- ", IF(ABS(ROUND(100/AL22*AM22-100,1))&lt;999,ROUND(100/AL22*AM22-100,1),IF(ROUND(100/AL22*AM22-100,1)&gt;999,999,-999)))</f>
        <v>976.4</v>
      </c>
      <c r="AO22" s="615">
        <f t="shared" si="4"/>
        <v>80.056000000000012</v>
      </c>
      <c r="AP22" s="615">
        <f t="shared" si="4"/>
        <v>127.892256895</v>
      </c>
      <c r="AQ22" s="610">
        <f t="shared" si="2"/>
        <v>59.8</v>
      </c>
      <c r="AR22" s="615">
        <f t="shared" si="5"/>
        <v>80.056000000000012</v>
      </c>
      <c r="AS22" s="615">
        <f t="shared" si="5"/>
        <v>127.892256895</v>
      </c>
      <c r="AT22" s="610">
        <f t="shared" si="3"/>
        <v>59.8</v>
      </c>
    </row>
    <row r="23" spans="1:46" s="515" customFormat="1" ht="18.75" customHeight="1" x14ac:dyDescent="0.3">
      <c r="A23" s="507" t="s">
        <v>443</v>
      </c>
      <c r="B23" s="603"/>
      <c r="C23" s="574"/>
      <c r="D23" s="604"/>
      <c r="E23" s="603"/>
      <c r="F23" s="574"/>
      <c r="G23" s="608"/>
      <c r="H23" s="605"/>
      <c r="I23" s="606"/>
      <c r="J23" s="607"/>
      <c r="K23" s="605"/>
      <c r="L23" s="606"/>
      <c r="M23" s="604"/>
      <c r="N23" s="605"/>
      <c r="O23" s="606"/>
      <c r="P23" s="607"/>
      <c r="Q23" s="605"/>
      <c r="R23" s="606"/>
      <c r="S23" s="607"/>
      <c r="T23" s="605"/>
      <c r="U23" s="606"/>
      <c r="V23" s="607"/>
      <c r="W23" s="605"/>
      <c r="X23" s="617"/>
      <c r="Y23" s="608"/>
      <c r="Z23" s="605"/>
      <c r="AA23" s="606"/>
      <c r="AB23" s="607"/>
      <c r="AC23" s="605"/>
      <c r="AD23" s="606"/>
      <c r="AE23" s="607"/>
      <c r="AF23" s="605"/>
      <c r="AG23" s="606"/>
      <c r="AH23" s="607"/>
      <c r="AI23" s="603"/>
      <c r="AJ23" s="574"/>
      <c r="AK23" s="608"/>
      <c r="AL23" s="616"/>
      <c r="AM23" s="617"/>
      <c r="AN23" s="608"/>
      <c r="AO23" s="617"/>
      <c r="AP23" s="617"/>
      <c r="AQ23" s="608"/>
      <c r="AR23" s="617"/>
      <c r="AS23" s="617"/>
      <c r="AT23" s="608"/>
    </row>
    <row r="24" spans="1:46" s="515" customFormat="1" ht="18.75" customHeight="1" x14ac:dyDescent="0.3">
      <c r="A24" s="509" t="s">
        <v>432</v>
      </c>
      <c r="B24" s="560"/>
      <c r="C24" s="561"/>
      <c r="D24" s="609"/>
      <c r="E24" s="560">
        <v>365</v>
      </c>
      <c r="F24" s="561">
        <v>206.04400000000001</v>
      </c>
      <c r="G24" s="610">
        <f t="shared" si="0"/>
        <v>-43.5</v>
      </c>
      <c r="H24" s="611"/>
      <c r="I24" s="612"/>
      <c r="J24" s="613"/>
      <c r="K24" s="611"/>
      <c r="L24" s="612"/>
      <c r="M24" s="609"/>
      <c r="N24" s="611"/>
      <c r="O24" s="612"/>
      <c r="P24" s="613"/>
      <c r="Q24" s="611"/>
      <c r="R24" s="612"/>
      <c r="S24" s="613"/>
      <c r="T24" s="611"/>
      <c r="U24" s="612"/>
      <c r="V24" s="613"/>
      <c r="W24" s="611">
        <v>2</v>
      </c>
      <c r="X24" s="615">
        <v>2.1913185450000001</v>
      </c>
      <c r="Y24" s="610">
        <f t="shared" si="1"/>
        <v>9.6</v>
      </c>
      <c r="Z24" s="611"/>
      <c r="AA24" s="612"/>
      <c r="AB24" s="613"/>
      <c r="AC24" s="611"/>
      <c r="AD24" s="612"/>
      <c r="AE24" s="613"/>
      <c r="AF24" s="611"/>
      <c r="AG24" s="612"/>
      <c r="AH24" s="613"/>
      <c r="AI24" s="560">
        <v>-2.9350000000000001</v>
      </c>
      <c r="AJ24" s="561">
        <v>-1.6419999999999999</v>
      </c>
      <c r="AK24" s="610">
        <f>IF(AI24=0, "    ---- ", IF(ABS(ROUND(100/AI24*AJ24-100,1))&lt;999,ROUND(100/AI24*AJ24-100,1),IF(ROUND(100/AI24*AJ24-100,1)&gt;999,999,-999)))</f>
        <v>-44.1</v>
      </c>
      <c r="AL24" s="614"/>
      <c r="AM24" s="615"/>
      <c r="AN24" s="613"/>
      <c r="AO24" s="561">
        <f t="shared" si="4"/>
        <v>364.065</v>
      </c>
      <c r="AP24" s="561">
        <f t="shared" si="4"/>
        <v>206.59331854500002</v>
      </c>
      <c r="AQ24" s="610">
        <f t="shared" ref="AQ24:AQ87" si="6">IF(AO24=0, "    ---- ", IF(ABS(ROUND(100/AO24*AP24-100,1))&lt;999,ROUND(100/AO24*AP24-100,1),IF(ROUND(100/AO24*AP24-100,1)&gt;999,999,-999)))</f>
        <v>-43.3</v>
      </c>
      <c r="AR24" s="615">
        <f t="shared" si="5"/>
        <v>364.065</v>
      </c>
      <c r="AS24" s="615">
        <f t="shared" si="5"/>
        <v>206.59331854500002</v>
      </c>
      <c r="AT24" s="610">
        <f t="shared" ref="AT24:AT87" si="7">IF(AR24=0, "    ---- ", IF(ABS(ROUND(100/AR24*AS24-100,1))&lt;999,ROUND(100/AR24*AS24-100,1),IF(ROUND(100/AR24*AS24-100,1)&gt;999,999,-999)))</f>
        <v>-43.3</v>
      </c>
    </row>
    <row r="25" spans="1:46" s="515" customFormat="1" ht="18.75" customHeight="1" x14ac:dyDescent="0.3">
      <c r="A25" s="509" t="s">
        <v>433</v>
      </c>
      <c r="B25" s="560"/>
      <c r="C25" s="561"/>
      <c r="D25" s="609"/>
      <c r="E25" s="560">
        <v>-250</v>
      </c>
      <c r="F25" s="561">
        <v>-205.53100000000001</v>
      </c>
      <c r="G25" s="610">
        <f t="shared" si="0"/>
        <v>-17.8</v>
      </c>
      <c r="H25" s="611"/>
      <c r="I25" s="612"/>
      <c r="J25" s="613"/>
      <c r="K25" s="611"/>
      <c r="L25" s="612"/>
      <c r="M25" s="609"/>
      <c r="N25" s="611"/>
      <c r="O25" s="612"/>
      <c r="P25" s="613"/>
      <c r="Q25" s="611"/>
      <c r="R25" s="612"/>
      <c r="S25" s="613"/>
      <c r="T25" s="611"/>
      <c r="U25" s="612"/>
      <c r="V25" s="613"/>
      <c r="W25" s="611">
        <v>-2</v>
      </c>
      <c r="X25" s="615">
        <v>-2.1881405639999998</v>
      </c>
      <c r="Y25" s="610">
        <f t="shared" si="1"/>
        <v>9.4</v>
      </c>
      <c r="Z25" s="611"/>
      <c r="AA25" s="612"/>
      <c r="AB25" s="613"/>
      <c r="AC25" s="611"/>
      <c r="AD25" s="612"/>
      <c r="AE25" s="613"/>
      <c r="AF25" s="611"/>
      <c r="AG25" s="612"/>
      <c r="AH25" s="613"/>
      <c r="AI25" s="560"/>
      <c r="AJ25" s="561"/>
      <c r="AK25" s="610"/>
      <c r="AL25" s="614"/>
      <c r="AM25" s="615"/>
      <c r="AN25" s="613"/>
      <c r="AO25" s="561">
        <f t="shared" si="4"/>
        <v>-252</v>
      </c>
      <c r="AP25" s="561">
        <f t="shared" si="4"/>
        <v>-207.71914056400001</v>
      </c>
      <c r="AQ25" s="610">
        <f t="shared" si="6"/>
        <v>-17.600000000000001</v>
      </c>
      <c r="AR25" s="615">
        <f t="shared" si="5"/>
        <v>-252</v>
      </c>
      <c r="AS25" s="615">
        <f t="shared" si="5"/>
        <v>-207.71914056400001</v>
      </c>
      <c r="AT25" s="610">
        <f t="shared" si="7"/>
        <v>-17.600000000000001</v>
      </c>
    </row>
    <row r="26" spans="1:46" s="515" customFormat="1" ht="18.75" customHeight="1" x14ac:dyDescent="0.3">
      <c r="A26" s="509" t="s">
        <v>434</v>
      </c>
      <c r="B26" s="560"/>
      <c r="C26" s="561"/>
      <c r="D26" s="609"/>
      <c r="E26" s="560">
        <v>8</v>
      </c>
      <c r="F26" s="561">
        <v>11.106999999999999</v>
      </c>
      <c r="G26" s="610">
        <f t="shared" si="0"/>
        <v>38.799999999999997</v>
      </c>
      <c r="H26" s="611"/>
      <c r="I26" s="612"/>
      <c r="J26" s="613"/>
      <c r="K26" s="611"/>
      <c r="L26" s="612"/>
      <c r="M26" s="609"/>
      <c r="N26" s="611"/>
      <c r="O26" s="612"/>
      <c r="P26" s="613"/>
      <c r="Q26" s="611"/>
      <c r="R26" s="612"/>
      <c r="S26" s="613"/>
      <c r="T26" s="611"/>
      <c r="U26" s="612"/>
      <c r="V26" s="613"/>
      <c r="W26" s="611">
        <v>1</v>
      </c>
      <c r="X26" s="615">
        <v>0.42950501400000002</v>
      </c>
      <c r="Y26" s="610">
        <f t="shared" si="1"/>
        <v>-57</v>
      </c>
      <c r="Z26" s="611"/>
      <c r="AA26" s="612"/>
      <c r="AB26" s="613"/>
      <c r="AC26" s="611"/>
      <c r="AD26" s="612"/>
      <c r="AE26" s="613"/>
      <c r="AF26" s="611"/>
      <c r="AG26" s="612"/>
      <c r="AH26" s="613"/>
      <c r="AI26" s="560">
        <v>-1.05</v>
      </c>
      <c r="AJ26" s="561">
        <v>-0.71</v>
      </c>
      <c r="AK26" s="610">
        <f>IF(AI26=0, "    ---- ", IF(ABS(ROUND(100/AI26*AJ26-100,1))&lt;999,ROUND(100/AI26*AJ26-100,1),IF(ROUND(100/AI26*AJ26-100,1)&gt;999,999,-999)))</f>
        <v>-32.4</v>
      </c>
      <c r="AL26" s="614"/>
      <c r="AM26" s="615"/>
      <c r="AN26" s="613"/>
      <c r="AO26" s="561">
        <f t="shared" si="4"/>
        <v>7.95</v>
      </c>
      <c r="AP26" s="561">
        <f t="shared" si="4"/>
        <v>10.826505013999999</v>
      </c>
      <c r="AQ26" s="610">
        <f t="shared" si="6"/>
        <v>36.200000000000003</v>
      </c>
      <c r="AR26" s="615">
        <f t="shared" si="5"/>
        <v>7.95</v>
      </c>
      <c r="AS26" s="615">
        <f t="shared" si="5"/>
        <v>10.826505013999999</v>
      </c>
      <c r="AT26" s="610">
        <f t="shared" si="7"/>
        <v>36.200000000000003</v>
      </c>
    </row>
    <row r="27" spans="1:46" s="515" customFormat="1" ht="18.75" customHeight="1" x14ac:dyDescent="0.3">
      <c r="A27" s="509" t="s">
        <v>435</v>
      </c>
      <c r="B27" s="560"/>
      <c r="C27" s="561"/>
      <c r="D27" s="609"/>
      <c r="E27" s="560">
        <v>1</v>
      </c>
      <c r="F27" s="561">
        <v>0.55300000000000005</v>
      </c>
      <c r="G27" s="610">
        <f t="shared" si="0"/>
        <v>-44.7</v>
      </c>
      <c r="H27" s="611"/>
      <c r="I27" s="612"/>
      <c r="J27" s="613"/>
      <c r="K27" s="611"/>
      <c r="L27" s="612"/>
      <c r="M27" s="609"/>
      <c r="N27" s="611"/>
      <c r="O27" s="612"/>
      <c r="P27" s="613"/>
      <c r="Q27" s="611"/>
      <c r="R27" s="612"/>
      <c r="S27" s="613"/>
      <c r="T27" s="611"/>
      <c r="U27" s="612"/>
      <c r="V27" s="613"/>
      <c r="W27" s="611"/>
      <c r="X27" s="615"/>
      <c r="Y27" s="610"/>
      <c r="Z27" s="611"/>
      <c r="AA27" s="612"/>
      <c r="AB27" s="613"/>
      <c r="AC27" s="611"/>
      <c r="AD27" s="612"/>
      <c r="AE27" s="613"/>
      <c r="AF27" s="611"/>
      <c r="AG27" s="612"/>
      <c r="AH27" s="613"/>
      <c r="AI27" s="560"/>
      <c r="AJ27" s="561"/>
      <c r="AK27" s="610"/>
      <c r="AL27" s="614"/>
      <c r="AM27" s="615"/>
      <c r="AN27" s="613"/>
      <c r="AO27" s="561">
        <f t="shared" si="4"/>
        <v>1</v>
      </c>
      <c r="AP27" s="561">
        <f t="shared" si="4"/>
        <v>0.55300000000000005</v>
      </c>
      <c r="AQ27" s="610">
        <f t="shared" si="6"/>
        <v>-44.7</v>
      </c>
      <c r="AR27" s="615">
        <f t="shared" si="5"/>
        <v>1</v>
      </c>
      <c r="AS27" s="615">
        <f t="shared" si="5"/>
        <v>0.55300000000000005</v>
      </c>
      <c r="AT27" s="610">
        <f t="shared" si="7"/>
        <v>-44.7</v>
      </c>
    </row>
    <row r="28" spans="1:46" s="515" customFormat="1" ht="18.75" customHeight="1" x14ac:dyDescent="0.3">
      <c r="A28" s="509" t="s">
        <v>436</v>
      </c>
      <c r="B28" s="560"/>
      <c r="C28" s="561"/>
      <c r="D28" s="609"/>
      <c r="E28" s="560">
        <v>87</v>
      </c>
      <c r="F28" s="561">
        <v>86.539000000000001</v>
      </c>
      <c r="G28" s="610">
        <f t="shared" si="0"/>
        <v>-0.5</v>
      </c>
      <c r="H28" s="611"/>
      <c r="I28" s="612"/>
      <c r="J28" s="613"/>
      <c r="K28" s="611"/>
      <c r="L28" s="612"/>
      <c r="M28" s="609"/>
      <c r="N28" s="611"/>
      <c r="O28" s="612"/>
      <c r="P28" s="613"/>
      <c r="Q28" s="611"/>
      <c r="R28" s="612"/>
      <c r="S28" s="613"/>
      <c r="T28" s="611"/>
      <c r="U28" s="612"/>
      <c r="V28" s="613"/>
      <c r="W28" s="611"/>
      <c r="X28" s="615">
        <v>0.39910099999999998</v>
      </c>
      <c r="Y28" s="610" t="str">
        <f t="shared" si="1"/>
        <v xml:space="preserve">    ---- </v>
      </c>
      <c r="Z28" s="611"/>
      <c r="AA28" s="612"/>
      <c r="AB28" s="613"/>
      <c r="AC28" s="611"/>
      <c r="AD28" s="612"/>
      <c r="AE28" s="613"/>
      <c r="AF28" s="611"/>
      <c r="AG28" s="612"/>
      <c r="AH28" s="613"/>
      <c r="AI28" s="560"/>
      <c r="AJ28" s="561"/>
      <c r="AK28" s="610"/>
      <c r="AL28" s="614"/>
      <c r="AM28" s="615"/>
      <c r="AN28" s="613"/>
      <c r="AO28" s="561">
        <f t="shared" si="4"/>
        <v>87</v>
      </c>
      <c r="AP28" s="561">
        <f t="shared" si="4"/>
        <v>86.938101000000003</v>
      </c>
      <c r="AQ28" s="610">
        <f t="shared" si="6"/>
        <v>-0.1</v>
      </c>
      <c r="AR28" s="615">
        <f t="shared" si="5"/>
        <v>87</v>
      </c>
      <c r="AS28" s="615">
        <f t="shared" si="5"/>
        <v>86.938101000000003</v>
      </c>
      <c r="AT28" s="610">
        <f t="shared" si="7"/>
        <v>-0.1</v>
      </c>
    </row>
    <row r="29" spans="1:46" s="515" customFormat="1" ht="18.75" customHeight="1" x14ac:dyDescent="0.3">
      <c r="A29" s="509" t="s">
        <v>437</v>
      </c>
      <c r="B29" s="560"/>
      <c r="C29" s="561"/>
      <c r="D29" s="609"/>
      <c r="E29" s="560">
        <v>97</v>
      </c>
      <c r="F29" s="561">
        <v>100.113</v>
      </c>
      <c r="G29" s="610">
        <f t="shared" si="0"/>
        <v>3.2</v>
      </c>
      <c r="H29" s="611"/>
      <c r="I29" s="612"/>
      <c r="J29" s="613"/>
      <c r="K29" s="611"/>
      <c r="L29" s="612"/>
      <c r="M29" s="609"/>
      <c r="N29" s="611"/>
      <c r="O29" s="612"/>
      <c r="P29" s="613"/>
      <c r="Q29" s="611"/>
      <c r="R29" s="612"/>
      <c r="S29" s="613"/>
      <c r="T29" s="611"/>
      <c r="U29" s="612"/>
      <c r="V29" s="613"/>
      <c r="W29" s="611"/>
      <c r="X29" s="615">
        <v>7.0858660000000004E-2</v>
      </c>
      <c r="Y29" s="610" t="str">
        <f t="shared" si="1"/>
        <v xml:space="preserve">    ---- </v>
      </c>
      <c r="Z29" s="611"/>
      <c r="AA29" s="612"/>
      <c r="AB29" s="613"/>
      <c r="AC29" s="611"/>
      <c r="AD29" s="612"/>
      <c r="AE29" s="613"/>
      <c r="AF29" s="611"/>
      <c r="AG29" s="612"/>
      <c r="AH29" s="613"/>
      <c r="AI29" s="560">
        <v>-9.6000000000000002E-2</v>
      </c>
      <c r="AJ29" s="561">
        <v>-1E-3</v>
      </c>
      <c r="AK29" s="610">
        <f>IF(AI29=0, "    ---- ", IF(ABS(ROUND(100/AI29*AJ29-100,1))&lt;999,ROUND(100/AI29*AJ29-100,1),IF(ROUND(100/AI29*AJ29-100,1)&gt;999,999,-999)))</f>
        <v>-99</v>
      </c>
      <c r="AL29" s="614"/>
      <c r="AM29" s="615"/>
      <c r="AN29" s="613"/>
      <c r="AO29" s="561">
        <f t="shared" si="4"/>
        <v>96.903999999999996</v>
      </c>
      <c r="AP29" s="561">
        <f t="shared" si="4"/>
        <v>100.18285865999999</v>
      </c>
      <c r="AQ29" s="610">
        <f t="shared" si="6"/>
        <v>3.4</v>
      </c>
      <c r="AR29" s="615">
        <f t="shared" si="5"/>
        <v>96.903999999999996</v>
      </c>
      <c r="AS29" s="615">
        <f t="shared" si="5"/>
        <v>100.18285865999999</v>
      </c>
      <c r="AT29" s="610">
        <f t="shared" si="7"/>
        <v>3.4</v>
      </c>
    </row>
    <row r="30" spans="1:46" s="515" customFormat="1" ht="18.75" customHeight="1" x14ac:dyDescent="0.3">
      <c r="A30" s="509" t="s">
        <v>438</v>
      </c>
      <c r="B30" s="560"/>
      <c r="C30" s="561"/>
      <c r="D30" s="609"/>
      <c r="E30" s="560"/>
      <c r="F30" s="561"/>
      <c r="G30" s="610"/>
      <c r="H30" s="611"/>
      <c r="I30" s="612"/>
      <c r="J30" s="613"/>
      <c r="K30" s="611"/>
      <c r="L30" s="612"/>
      <c r="M30" s="609"/>
      <c r="N30" s="611"/>
      <c r="O30" s="612"/>
      <c r="P30" s="613"/>
      <c r="Q30" s="611"/>
      <c r="R30" s="612"/>
      <c r="S30" s="613"/>
      <c r="T30" s="611"/>
      <c r="U30" s="612"/>
      <c r="V30" s="613"/>
      <c r="W30" s="611"/>
      <c r="X30" s="615"/>
      <c r="Y30" s="610"/>
      <c r="Z30" s="611"/>
      <c r="AA30" s="612"/>
      <c r="AB30" s="613"/>
      <c r="AC30" s="611"/>
      <c r="AD30" s="612"/>
      <c r="AE30" s="613"/>
      <c r="AF30" s="611"/>
      <c r="AG30" s="612"/>
      <c r="AH30" s="613"/>
      <c r="AI30" s="560"/>
      <c r="AJ30" s="561"/>
      <c r="AK30" s="610"/>
      <c r="AL30" s="614"/>
      <c r="AM30" s="615"/>
      <c r="AN30" s="613"/>
      <c r="AO30" s="561">
        <f t="shared" si="4"/>
        <v>0</v>
      </c>
      <c r="AP30" s="561">
        <f t="shared" si="4"/>
        <v>0</v>
      </c>
      <c r="AQ30" s="610" t="str">
        <f t="shared" si="6"/>
        <v xml:space="preserve">    ---- </v>
      </c>
      <c r="AR30" s="615">
        <f t="shared" si="5"/>
        <v>0</v>
      </c>
      <c r="AS30" s="615">
        <f t="shared" si="5"/>
        <v>0</v>
      </c>
      <c r="AT30" s="610" t="str">
        <f t="shared" si="7"/>
        <v xml:space="preserve">    ---- </v>
      </c>
    </row>
    <row r="31" spans="1:46" s="515" customFormat="1" ht="18.75" customHeight="1" x14ac:dyDescent="0.3">
      <c r="A31" s="509" t="s">
        <v>439</v>
      </c>
      <c r="B31" s="560"/>
      <c r="C31" s="561"/>
      <c r="D31" s="561"/>
      <c r="E31" s="560"/>
      <c r="F31" s="561"/>
      <c r="G31" s="610"/>
      <c r="H31" s="560"/>
      <c r="I31" s="561"/>
      <c r="J31" s="451"/>
      <c r="K31" s="560"/>
      <c r="L31" s="561"/>
      <c r="M31" s="561"/>
      <c r="N31" s="560"/>
      <c r="O31" s="561"/>
      <c r="P31" s="451"/>
      <c r="Q31" s="560"/>
      <c r="R31" s="561"/>
      <c r="S31" s="451"/>
      <c r="T31" s="560"/>
      <c r="U31" s="561"/>
      <c r="V31" s="451"/>
      <c r="W31" s="560"/>
      <c r="X31" s="615"/>
      <c r="Y31" s="610"/>
      <c r="Z31" s="560"/>
      <c r="AA31" s="561"/>
      <c r="AB31" s="451"/>
      <c r="AC31" s="560"/>
      <c r="AD31" s="561"/>
      <c r="AE31" s="451"/>
      <c r="AF31" s="560"/>
      <c r="AG31" s="561"/>
      <c r="AH31" s="451"/>
      <c r="AI31" s="560"/>
      <c r="AJ31" s="561"/>
      <c r="AK31" s="610"/>
      <c r="AL31" s="614"/>
      <c r="AM31" s="615"/>
      <c r="AN31" s="451"/>
      <c r="AO31" s="561">
        <f t="shared" si="4"/>
        <v>0</v>
      </c>
      <c r="AP31" s="561">
        <f t="shared" si="4"/>
        <v>0</v>
      </c>
      <c r="AQ31" s="451" t="str">
        <f t="shared" si="6"/>
        <v xml:space="preserve">    ---- </v>
      </c>
      <c r="AR31" s="615">
        <f t="shared" si="5"/>
        <v>0</v>
      </c>
      <c r="AS31" s="561">
        <f t="shared" si="5"/>
        <v>0</v>
      </c>
      <c r="AT31" s="610" t="str">
        <f t="shared" si="7"/>
        <v xml:space="preserve">    ---- </v>
      </c>
    </row>
    <row r="32" spans="1:46" s="513" customFormat="1" ht="18.75" customHeight="1" x14ac:dyDescent="0.3">
      <c r="A32" s="507" t="s">
        <v>440</v>
      </c>
      <c r="B32" s="603"/>
      <c r="C32" s="574"/>
      <c r="D32" s="574"/>
      <c r="E32" s="603">
        <v>308</v>
      </c>
      <c r="F32" s="574">
        <f>SUM(F24:F29)+F31</f>
        <v>198.82499999999999</v>
      </c>
      <c r="G32" s="608">
        <f t="shared" si="0"/>
        <v>-35.4</v>
      </c>
      <c r="H32" s="603"/>
      <c r="I32" s="574"/>
      <c r="J32" s="558"/>
      <c r="K32" s="603"/>
      <c r="L32" s="574"/>
      <c r="M32" s="574"/>
      <c r="N32" s="603"/>
      <c r="O32" s="574"/>
      <c r="P32" s="558"/>
      <c r="Q32" s="603"/>
      <c r="R32" s="574"/>
      <c r="S32" s="558"/>
      <c r="T32" s="603"/>
      <c r="U32" s="574"/>
      <c r="V32" s="558"/>
      <c r="W32" s="603">
        <v>1</v>
      </c>
      <c r="X32" s="617">
        <f>SUM(X24:X29)+X31</f>
        <v>0.90264265500000029</v>
      </c>
      <c r="Y32" s="608">
        <f t="shared" si="1"/>
        <v>-9.6999999999999993</v>
      </c>
      <c r="Z32" s="603"/>
      <c r="AA32" s="574"/>
      <c r="AB32" s="558"/>
      <c r="AC32" s="603"/>
      <c r="AD32" s="574"/>
      <c r="AE32" s="558"/>
      <c r="AF32" s="603"/>
      <c r="AG32" s="574"/>
      <c r="AH32" s="558"/>
      <c r="AI32" s="603">
        <v>-4.0810000000000004</v>
      </c>
      <c r="AJ32" s="574">
        <f>SUM(AJ24:AJ29)+AJ31</f>
        <v>-2.3529999999999998</v>
      </c>
      <c r="AK32" s="608">
        <f>IF(AI32=0, "    ---- ", IF(ABS(ROUND(100/AI32*AJ32-100,1))&lt;999,ROUND(100/AI32*AJ32-100,1),IF(ROUND(100/AI32*AJ32-100,1)&gt;999,999,-999)))</f>
        <v>-42.3</v>
      </c>
      <c r="AL32" s="616"/>
      <c r="AM32" s="617"/>
      <c r="AN32" s="558"/>
      <c r="AO32" s="574">
        <f t="shared" si="4"/>
        <v>304.91899999999998</v>
      </c>
      <c r="AP32" s="574">
        <f t="shared" si="4"/>
        <v>197.37464265499997</v>
      </c>
      <c r="AQ32" s="558">
        <f t="shared" si="6"/>
        <v>-35.299999999999997</v>
      </c>
      <c r="AR32" s="574">
        <f t="shared" si="5"/>
        <v>304.91899999999998</v>
      </c>
      <c r="AS32" s="574">
        <f t="shared" si="5"/>
        <v>197.37464265499997</v>
      </c>
      <c r="AT32" s="558">
        <f t="shared" si="7"/>
        <v>-35.299999999999997</v>
      </c>
    </row>
    <row r="33" spans="1:46" s="515" customFormat="1" ht="18.75" customHeight="1" x14ac:dyDescent="0.3">
      <c r="A33" s="509" t="s">
        <v>441</v>
      </c>
      <c r="B33" s="560"/>
      <c r="C33" s="561"/>
      <c r="D33" s="561"/>
      <c r="E33" s="560">
        <v>113</v>
      </c>
      <c r="F33" s="561">
        <v>1.3443000000000001</v>
      </c>
      <c r="G33" s="610">
        <f t="shared" si="0"/>
        <v>-98.8</v>
      </c>
      <c r="H33" s="560"/>
      <c r="I33" s="561"/>
      <c r="J33" s="451"/>
      <c r="K33" s="560"/>
      <c r="L33" s="561"/>
      <c r="M33" s="561"/>
      <c r="N33" s="560"/>
      <c r="O33" s="561"/>
      <c r="P33" s="451"/>
      <c r="Q33" s="560"/>
      <c r="R33" s="561"/>
      <c r="S33" s="451"/>
      <c r="T33" s="560"/>
      <c r="U33" s="561"/>
      <c r="V33" s="451"/>
      <c r="W33" s="560"/>
      <c r="X33" s="615">
        <v>3.5429330000000002E-2</v>
      </c>
      <c r="Y33" s="610" t="str">
        <f t="shared" si="1"/>
        <v xml:space="preserve">    ---- </v>
      </c>
      <c r="Z33" s="560"/>
      <c r="AA33" s="561"/>
      <c r="AB33" s="451"/>
      <c r="AC33" s="560"/>
      <c r="AD33" s="561"/>
      <c r="AE33" s="451"/>
      <c r="AF33" s="560"/>
      <c r="AG33" s="561"/>
      <c r="AH33" s="451"/>
      <c r="AI33" s="560"/>
      <c r="AJ33" s="561"/>
      <c r="AK33" s="610"/>
      <c r="AL33" s="614"/>
      <c r="AM33" s="615"/>
      <c r="AN33" s="451"/>
      <c r="AO33" s="561">
        <f t="shared" si="4"/>
        <v>113</v>
      </c>
      <c r="AP33" s="561">
        <f t="shared" si="4"/>
        <v>1.37972933</v>
      </c>
      <c r="AQ33" s="451">
        <f t="shared" si="6"/>
        <v>-98.8</v>
      </c>
      <c r="AR33" s="561">
        <f t="shared" si="5"/>
        <v>113</v>
      </c>
      <c r="AS33" s="561">
        <f t="shared" si="5"/>
        <v>1.37972933</v>
      </c>
      <c r="AT33" s="451">
        <f t="shared" si="7"/>
        <v>-98.8</v>
      </c>
    </row>
    <row r="34" spans="1:46" s="515" customFormat="1" ht="18.75" customHeight="1" x14ac:dyDescent="0.3">
      <c r="A34" s="509" t="s">
        <v>442</v>
      </c>
      <c r="B34" s="560"/>
      <c r="C34" s="561"/>
      <c r="D34" s="561"/>
      <c r="E34" s="560">
        <v>195</v>
      </c>
      <c r="F34" s="561">
        <v>197.48099999999999</v>
      </c>
      <c r="G34" s="610">
        <f t="shared" si="0"/>
        <v>1.3</v>
      </c>
      <c r="H34" s="560"/>
      <c r="I34" s="561"/>
      <c r="J34" s="451"/>
      <c r="K34" s="560"/>
      <c r="L34" s="561"/>
      <c r="M34" s="561"/>
      <c r="N34" s="560"/>
      <c r="O34" s="561"/>
      <c r="P34" s="451"/>
      <c r="Q34" s="560"/>
      <c r="R34" s="561"/>
      <c r="S34" s="451"/>
      <c r="T34" s="560"/>
      <c r="U34" s="561"/>
      <c r="V34" s="451"/>
      <c r="W34" s="560">
        <v>1</v>
      </c>
      <c r="X34" s="615">
        <v>0.86721332500000037</v>
      </c>
      <c r="Y34" s="610">
        <f t="shared" si="1"/>
        <v>-13.3</v>
      </c>
      <c r="Z34" s="560"/>
      <c r="AA34" s="561"/>
      <c r="AB34" s="451"/>
      <c r="AC34" s="560"/>
      <c r="AD34" s="561"/>
      <c r="AE34" s="451"/>
      <c r="AF34" s="560"/>
      <c r="AG34" s="561"/>
      <c r="AH34" s="451"/>
      <c r="AI34" s="560">
        <v>-4.0810000000000004</v>
      </c>
      <c r="AJ34" s="561">
        <v>-2.3530000000000002</v>
      </c>
      <c r="AK34" s="610">
        <f>IF(AI34=0, "    ---- ", IF(ABS(ROUND(100/AI34*AJ34-100,1))&lt;999,ROUND(100/AI34*AJ34-100,1),IF(ROUND(100/AI34*AJ34-100,1)&gt;999,999,-999)))</f>
        <v>-42.3</v>
      </c>
      <c r="AL34" s="614"/>
      <c r="AM34" s="615"/>
      <c r="AN34" s="451"/>
      <c r="AO34" s="561">
        <f t="shared" si="4"/>
        <v>191.91900000000001</v>
      </c>
      <c r="AP34" s="561">
        <f t="shared" si="4"/>
        <v>195.99521332499998</v>
      </c>
      <c r="AQ34" s="451">
        <f t="shared" si="6"/>
        <v>2.1</v>
      </c>
      <c r="AR34" s="561">
        <f t="shared" si="5"/>
        <v>191.91900000000001</v>
      </c>
      <c r="AS34" s="561">
        <f t="shared" si="5"/>
        <v>195.99521332499998</v>
      </c>
      <c r="AT34" s="451">
        <f t="shared" si="7"/>
        <v>2.1</v>
      </c>
    </row>
    <row r="35" spans="1:46" s="515" customFormat="1" ht="18.75" customHeight="1" x14ac:dyDescent="0.3">
      <c r="A35" s="507" t="s">
        <v>444</v>
      </c>
      <c r="B35" s="560"/>
      <c r="C35" s="561"/>
      <c r="D35" s="561"/>
      <c r="E35" s="560"/>
      <c r="F35" s="561"/>
      <c r="G35" s="610"/>
      <c r="H35" s="560"/>
      <c r="I35" s="561"/>
      <c r="J35" s="451"/>
      <c r="K35" s="560"/>
      <c r="L35" s="561"/>
      <c r="M35" s="561"/>
      <c r="N35" s="560"/>
      <c r="O35" s="561"/>
      <c r="P35" s="451"/>
      <c r="Q35" s="560"/>
      <c r="R35" s="561"/>
      <c r="S35" s="451"/>
      <c r="T35" s="560"/>
      <c r="U35" s="561"/>
      <c r="V35" s="451"/>
      <c r="W35" s="560"/>
      <c r="X35" s="615"/>
      <c r="Y35" s="610"/>
      <c r="Z35" s="560"/>
      <c r="AA35" s="561"/>
      <c r="AB35" s="451"/>
      <c r="AC35" s="560"/>
      <c r="AD35" s="561"/>
      <c r="AE35" s="451"/>
      <c r="AF35" s="560"/>
      <c r="AG35" s="561"/>
      <c r="AH35" s="451"/>
      <c r="AI35" s="560"/>
      <c r="AJ35" s="561"/>
      <c r="AK35" s="610"/>
      <c r="AL35" s="614"/>
      <c r="AM35" s="615"/>
      <c r="AN35" s="451"/>
      <c r="AO35" s="561"/>
      <c r="AP35" s="561"/>
      <c r="AQ35" s="451"/>
      <c r="AR35" s="561"/>
      <c r="AS35" s="561"/>
      <c r="AT35" s="451"/>
    </row>
    <row r="36" spans="1:46" s="515" customFormat="1" ht="18.75" customHeight="1" x14ac:dyDescent="0.3">
      <c r="A36" s="509" t="s">
        <v>432</v>
      </c>
      <c r="B36" s="560"/>
      <c r="C36" s="561"/>
      <c r="D36" s="561"/>
      <c r="E36" s="560"/>
      <c r="F36" s="561"/>
      <c r="G36" s="610"/>
      <c r="H36" s="560">
        <v>6.665</v>
      </c>
      <c r="I36" s="561">
        <v>11.858000000000001</v>
      </c>
      <c r="J36" s="451">
        <f>IF(H36=0, "    ---- ", IF(ABS(ROUND(100/H36*I36-100,1))&lt;999,ROUND(100/H36*I36-100,1),IF(ROUND(100/H36*I36-100,1)&gt;999,999,-999)))</f>
        <v>77.900000000000006</v>
      </c>
      <c r="K36" s="560"/>
      <c r="L36" s="561"/>
      <c r="M36" s="561"/>
      <c r="N36" s="560"/>
      <c r="O36" s="561"/>
      <c r="P36" s="451"/>
      <c r="Q36" s="560"/>
      <c r="R36" s="561"/>
      <c r="S36" s="451"/>
      <c r="T36" s="560"/>
      <c r="U36" s="561"/>
      <c r="V36" s="451"/>
      <c r="W36" s="560">
        <v>3</v>
      </c>
      <c r="X36" s="615">
        <v>3.4024026439999999</v>
      </c>
      <c r="Y36" s="610">
        <f t="shared" si="1"/>
        <v>13.4</v>
      </c>
      <c r="Z36" s="560"/>
      <c r="AA36" s="561"/>
      <c r="AB36" s="451"/>
      <c r="AC36" s="560"/>
      <c r="AD36" s="561"/>
      <c r="AE36" s="451"/>
      <c r="AF36" s="560"/>
      <c r="AG36" s="561"/>
      <c r="AH36" s="451"/>
      <c r="AI36" s="560">
        <v>4.8029999999999999</v>
      </c>
      <c r="AJ36" s="561">
        <v>10.323</v>
      </c>
      <c r="AK36" s="610">
        <f>IF(AI36=0, "    ---- ", IF(ABS(ROUND(100/AI36*AJ36-100,1))&lt;999,ROUND(100/AI36*AJ36-100,1),IF(ROUND(100/AI36*AJ36-100,1)&gt;999,999,-999)))</f>
        <v>114.9</v>
      </c>
      <c r="AL36" s="614">
        <v>7.39</v>
      </c>
      <c r="AM36" s="615">
        <v>29.6</v>
      </c>
      <c r="AN36" s="451">
        <f>IF(AL36=0, "    ---- ", IF(ABS(ROUND(100/AL36*AM36-100,1))&lt;999,ROUND(100/AL36*AM36-100,1),IF(ROUND(100/AL36*AM36-100,1)&gt;999,999,-999)))</f>
        <v>300.5</v>
      </c>
      <c r="AO36" s="561">
        <f t="shared" si="4"/>
        <v>21.858000000000001</v>
      </c>
      <c r="AP36" s="561">
        <f t="shared" si="4"/>
        <v>55.183402644000004</v>
      </c>
      <c r="AQ36" s="451">
        <f t="shared" si="6"/>
        <v>152.5</v>
      </c>
      <c r="AR36" s="561">
        <f t="shared" si="5"/>
        <v>21.858000000000001</v>
      </c>
      <c r="AS36" s="561">
        <f t="shared" si="5"/>
        <v>55.183402644000004</v>
      </c>
      <c r="AT36" s="451">
        <f t="shared" si="7"/>
        <v>152.5</v>
      </c>
    </row>
    <row r="37" spans="1:46" s="515" customFormat="1" ht="18.75" customHeight="1" x14ac:dyDescent="0.3">
      <c r="A37" s="509" t="s">
        <v>433</v>
      </c>
      <c r="B37" s="560"/>
      <c r="C37" s="561"/>
      <c r="D37" s="561"/>
      <c r="E37" s="560"/>
      <c r="F37" s="561"/>
      <c r="G37" s="610"/>
      <c r="H37" s="560"/>
      <c r="I37" s="561"/>
      <c r="J37" s="451"/>
      <c r="K37" s="560"/>
      <c r="L37" s="561"/>
      <c r="M37" s="561"/>
      <c r="N37" s="560"/>
      <c r="O37" s="561"/>
      <c r="P37" s="451"/>
      <c r="Q37" s="560"/>
      <c r="R37" s="561"/>
      <c r="S37" s="451"/>
      <c r="T37" s="560"/>
      <c r="U37" s="561"/>
      <c r="V37" s="451"/>
      <c r="W37" s="560"/>
      <c r="X37" s="615"/>
      <c r="Y37" s="610"/>
      <c r="Z37" s="560"/>
      <c r="AA37" s="561"/>
      <c r="AB37" s="451"/>
      <c r="AC37" s="560"/>
      <c r="AD37" s="561"/>
      <c r="AE37" s="451"/>
      <c r="AF37" s="560"/>
      <c r="AG37" s="561"/>
      <c r="AH37" s="451"/>
      <c r="AI37" s="560"/>
      <c r="AJ37" s="561"/>
      <c r="AK37" s="610"/>
      <c r="AL37" s="614"/>
      <c r="AM37" s="615"/>
      <c r="AN37" s="451"/>
      <c r="AO37" s="561">
        <f t="shared" si="4"/>
        <v>0</v>
      </c>
      <c r="AP37" s="561">
        <f t="shared" si="4"/>
        <v>0</v>
      </c>
      <c r="AQ37" s="451" t="str">
        <f t="shared" si="6"/>
        <v xml:space="preserve">    ---- </v>
      </c>
      <c r="AR37" s="561">
        <f t="shared" si="5"/>
        <v>0</v>
      </c>
      <c r="AS37" s="561">
        <f t="shared" si="5"/>
        <v>0</v>
      </c>
      <c r="AT37" s="451" t="str">
        <f t="shared" si="7"/>
        <v xml:space="preserve">    ---- </v>
      </c>
    </row>
    <row r="38" spans="1:46" s="515" customFormat="1" ht="18.75" customHeight="1" x14ac:dyDescent="0.3">
      <c r="A38" s="509" t="s">
        <v>434</v>
      </c>
      <c r="B38" s="560">
        <v>-3.7869999999999999</v>
      </c>
      <c r="C38" s="561">
        <v>-15.276</v>
      </c>
      <c r="D38" s="561">
        <f>IF(B38=0, "    ---- ", IF(ABS(ROUND(100/B38*C38-100,1))&lt;999,ROUND(100/B38*C38-100,1),IF(ROUND(100/B38*C38-100,1)&gt;999,999,-999)))</f>
        <v>303.39999999999998</v>
      </c>
      <c r="E38" s="560"/>
      <c r="F38" s="561"/>
      <c r="G38" s="610"/>
      <c r="H38" s="560">
        <v>-22.776</v>
      </c>
      <c r="I38" s="561">
        <v>-6.4909999999999997</v>
      </c>
      <c r="J38" s="451">
        <f>IF(H38=0, "    ---- ", IF(ABS(ROUND(100/H38*I38-100,1))&lt;999,ROUND(100/H38*I38-100,1),IF(ROUND(100/H38*I38-100,1)&gt;999,999,-999)))</f>
        <v>-71.5</v>
      </c>
      <c r="K38" s="560"/>
      <c r="L38" s="561"/>
      <c r="M38" s="561"/>
      <c r="N38" s="560">
        <v>9</v>
      </c>
      <c r="O38" s="561">
        <v>9</v>
      </c>
      <c r="P38" s="451">
        <f>IF(N38=0, "    ---- ", IF(ABS(ROUND(100/N38*O38-100,1))&lt;999,ROUND(100/N38*O38-100,1),IF(ROUND(100/N38*O38-100,1)&gt;999,999,-999)))</f>
        <v>0</v>
      </c>
      <c r="Q38" s="560"/>
      <c r="R38" s="561"/>
      <c r="S38" s="451"/>
      <c r="T38" s="560"/>
      <c r="U38" s="561"/>
      <c r="V38" s="451"/>
      <c r="W38" s="560">
        <v>23</v>
      </c>
      <c r="X38" s="615">
        <v>24.440067805999998</v>
      </c>
      <c r="Y38" s="610">
        <f t="shared" si="1"/>
        <v>6.3</v>
      </c>
      <c r="Z38" s="560"/>
      <c r="AA38" s="561"/>
      <c r="AB38" s="451"/>
      <c r="AC38" s="560"/>
      <c r="AD38" s="561"/>
      <c r="AE38" s="451"/>
      <c r="AF38" s="560"/>
      <c r="AG38" s="561"/>
      <c r="AH38" s="451"/>
      <c r="AI38" s="560">
        <v>61.387</v>
      </c>
      <c r="AJ38" s="561">
        <v>43.402999999999999</v>
      </c>
      <c r="AK38" s="610">
        <f>IF(AI38=0, "    ---- ", IF(ABS(ROUND(100/AI38*AJ38-100,1))&lt;999,ROUND(100/AI38*AJ38-100,1),IF(ROUND(100/AI38*AJ38-100,1)&gt;999,999,-999)))</f>
        <v>-29.3</v>
      </c>
      <c r="AL38" s="614">
        <v>-11.4</v>
      </c>
      <c r="AM38" s="615">
        <v>-31.3</v>
      </c>
      <c r="AN38" s="451">
        <f>IF(AL38=0, "    ---- ", IF(ABS(ROUND(100/AL38*AM38-100,1))&lt;999,ROUND(100/AL38*AM38-100,1),IF(ROUND(100/AL38*AM38-100,1)&gt;999,999,-999)))</f>
        <v>174.6</v>
      </c>
      <c r="AO38" s="561">
        <f t="shared" si="4"/>
        <v>46.423999999999999</v>
      </c>
      <c r="AP38" s="561">
        <f t="shared" si="4"/>
        <v>14.776067805999997</v>
      </c>
      <c r="AQ38" s="451">
        <f t="shared" si="6"/>
        <v>-68.2</v>
      </c>
      <c r="AR38" s="561">
        <f t="shared" si="5"/>
        <v>55.423999999999999</v>
      </c>
      <c r="AS38" s="561">
        <f t="shared" si="5"/>
        <v>23.776067805999997</v>
      </c>
      <c r="AT38" s="451">
        <f t="shared" si="7"/>
        <v>-57.1</v>
      </c>
    </row>
    <row r="39" spans="1:46" s="515" customFormat="1" ht="18.75" customHeight="1" x14ac:dyDescent="0.3">
      <c r="A39" s="509" t="s">
        <v>435</v>
      </c>
      <c r="B39" s="560"/>
      <c r="C39" s="561"/>
      <c r="D39" s="561"/>
      <c r="E39" s="560"/>
      <c r="F39" s="561"/>
      <c r="G39" s="610"/>
      <c r="H39" s="560"/>
      <c r="I39" s="561"/>
      <c r="J39" s="451"/>
      <c r="K39" s="560"/>
      <c r="L39" s="561"/>
      <c r="M39" s="561"/>
      <c r="N39" s="560"/>
      <c r="O39" s="561"/>
      <c r="P39" s="451"/>
      <c r="Q39" s="560"/>
      <c r="R39" s="561"/>
      <c r="S39" s="451"/>
      <c r="T39" s="560"/>
      <c r="U39" s="561"/>
      <c r="V39" s="451"/>
      <c r="W39" s="560"/>
      <c r="X39" s="615"/>
      <c r="Y39" s="610"/>
      <c r="Z39" s="560"/>
      <c r="AA39" s="561"/>
      <c r="AB39" s="451"/>
      <c r="AC39" s="560"/>
      <c r="AD39" s="561"/>
      <c r="AE39" s="451"/>
      <c r="AF39" s="560"/>
      <c r="AG39" s="561"/>
      <c r="AH39" s="451"/>
      <c r="AI39" s="560"/>
      <c r="AJ39" s="561"/>
      <c r="AK39" s="610"/>
      <c r="AL39" s="614"/>
      <c r="AM39" s="615"/>
      <c r="AN39" s="451"/>
      <c r="AO39" s="561">
        <f t="shared" si="4"/>
        <v>0</v>
      </c>
      <c r="AP39" s="561">
        <f t="shared" si="4"/>
        <v>0</v>
      </c>
      <c r="AQ39" s="451" t="str">
        <f t="shared" si="6"/>
        <v xml:space="preserve">    ---- </v>
      </c>
      <c r="AR39" s="561">
        <f t="shared" si="5"/>
        <v>0</v>
      </c>
      <c r="AS39" s="561">
        <f t="shared" si="5"/>
        <v>0</v>
      </c>
      <c r="AT39" s="451" t="str">
        <f t="shared" si="7"/>
        <v xml:space="preserve">    ---- </v>
      </c>
    </row>
    <row r="40" spans="1:46" s="515" customFormat="1" ht="18.75" customHeight="1" x14ac:dyDescent="0.3">
      <c r="A40" s="509" t="s">
        <v>436</v>
      </c>
      <c r="B40" s="560"/>
      <c r="C40" s="561"/>
      <c r="D40" s="561"/>
      <c r="E40" s="560"/>
      <c r="F40" s="561"/>
      <c r="G40" s="610"/>
      <c r="H40" s="560"/>
      <c r="I40" s="561"/>
      <c r="J40" s="451"/>
      <c r="K40" s="560"/>
      <c r="L40" s="561"/>
      <c r="M40" s="561"/>
      <c r="N40" s="560"/>
      <c r="O40" s="561"/>
      <c r="P40" s="451"/>
      <c r="Q40" s="560"/>
      <c r="R40" s="561"/>
      <c r="S40" s="451"/>
      <c r="T40" s="560"/>
      <c r="U40" s="561"/>
      <c r="V40" s="451"/>
      <c r="W40" s="560"/>
      <c r="X40" s="615"/>
      <c r="Y40" s="610"/>
      <c r="Z40" s="560"/>
      <c r="AA40" s="561"/>
      <c r="AB40" s="451"/>
      <c r="AC40" s="560"/>
      <c r="AD40" s="561"/>
      <c r="AE40" s="451"/>
      <c r="AF40" s="560"/>
      <c r="AG40" s="561"/>
      <c r="AH40" s="451"/>
      <c r="AI40" s="560"/>
      <c r="AJ40" s="561"/>
      <c r="AK40" s="610"/>
      <c r="AL40" s="614"/>
      <c r="AM40" s="615"/>
      <c r="AN40" s="451"/>
      <c r="AO40" s="561">
        <f t="shared" si="4"/>
        <v>0</v>
      </c>
      <c r="AP40" s="561">
        <f t="shared" si="4"/>
        <v>0</v>
      </c>
      <c r="AQ40" s="451" t="str">
        <f t="shared" si="6"/>
        <v xml:space="preserve">    ---- </v>
      </c>
      <c r="AR40" s="561">
        <f t="shared" si="5"/>
        <v>0</v>
      </c>
      <c r="AS40" s="561">
        <f t="shared" si="5"/>
        <v>0</v>
      </c>
      <c r="AT40" s="451" t="str">
        <f t="shared" si="7"/>
        <v xml:space="preserve">    ---- </v>
      </c>
    </row>
    <row r="41" spans="1:46" s="515" customFormat="1" ht="18.75" customHeight="1" x14ac:dyDescent="0.3">
      <c r="A41" s="509" t="s">
        <v>437</v>
      </c>
      <c r="B41" s="560">
        <v>84.509</v>
      </c>
      <c r="C41" s="561">
        <f>116.044-6.549</f>
        <v>109.49499999999999</v>
      </c>
      <c r="D41" s="561">
        <f>IF(B41=0, "    ---- ", IF(ABS(ROUND(100/B41*C41-100,1))&lt;999,ROUND(100/B41*C41-100,1),IF(ROUND(100/B41*C41-100,1)&gt;999,999,-999)))</f>
        <v>29.6</v>
      </c>
      <c r="E41" s="560"/>
      <c r="F41" s="561"/>
      <c r="G41" s="610"/>
      <c r="H41" s="560">
        <v>82.29</v>
      </c>
      <c r="I41" s="561">
        <v>67.34</v>
      </c>
      <c r="J41" s="451">
        <f>IF(H41=0, "    ---- ", IF(ABS(ROUND(100/H41*I41-100,1))&lt;999,ROUND(100/H41*I41-100,1),IF(ROUND(100/H41*I41-100,1)&gt;999,999,-999)))</f>
        <v>-18.2</v>
      </c>
      <c r="K41" s="560"/>
      <c r="L41" s="561"/>
      <c r="M41" s="561"/>
      <c r="N41" s="560">
        <v>11</v>
      </c>
      <c r="O41" s="561">
        <v>10</v>
      </c>
      <c r="P41" s="451">
        <f>IF(N41=0, "    ---- ", IF(ABS(ROUND(100/N41*O41-100,1))&lt;999,ROUND(100/N41*O41-100,1),IF(ROUND(100/N41*O41-100,1)&gt;999,999,-999)))</f>
        <v>-9.1</v>
      </c>
      <c r="Q41" s="560"/>
      <c r="R41" s="561"/>
      <c r="S41" s="451"/>
      <c r="T41" s="560"/>
      <c r="U41" s="561"/>
      <c r="V41" s="451"/>
      <c r="W41" s="560">
        <v>146</v>
      </c>
      <c r="X41" s="615">
        <v>147.53396096899999</v>
      </c>
      <c r="Y41" s="610">
        <f t="shared" si="1"/>
        <v>1.1000000000000001</v>
      </c>
      <c r="Z41" s="560"/>
      <c r="AA41" s="561"/>
      <c r="AB41" s="451"/>
      <c r="AC41" s="560"/>
      <c r="AD41" s="561"/>
      <c r="AE41" s="451"/>
      <c r="AF41" s="560"/>
      <c r="AG41" s="561"/>
      <c r="AH41" s="451"/>
      <c r="AI41" s="560">
        <v>236.631</v>
      </c>
      <c r="AJ41" s="561">
        <v>255.22800000000001</v>
      </c>
      <c r="AK41" s="610">
        <f>IF(AI41=0, "    ---- ", IF(ABS(ROUND(100/AI41*AJ41-100,1))&lt;999,ROUND(100/AI41*AJ41-100,1),IF(ROUND(100/AI41*AJ41-100,1)&gt;999,999,-999)))</f>
        <v>7.9</v>
      </c>
      <c r="AL41" s="614">
        <v>184.23</v>
      </c>
      <c r="AM41" s="615">
        <v>152.1</v>
      </c>
      <c r="AN41" s="451">
        <f>IF(AL41=0, "    ---- ", IF(ABS(ROUND(100/AL41*AM41-100,1))&lt;999,ROUND(100/AL41*AM41-100,1),IF(ROUND(100/AL41*AM41-100,1)&gt;999,999,-999)))</f>
        <v>-17.399999999999999</v>
      </c>
      <c r="AO41" s="561">
        <f t="shared" si="4"/>
        <v>733.66</v>
      </c>
      <c r="AP41" s="561">
        <f t="shared" si="4"/>
        <v>731.69696096900009</v>
      </c>
      <c r="AQ41" s="451">
        <f t="shared" si="6"/>
        <v>-0.3</v>
      </c>
      <c r="AR41" s="561">
        <f t="shared" si="5"/>
        <v>744.66</v>
      </c>
      <c r="AS41" s="561">
        <f t="shared" si="5"/>
        <v>741.69696096900009</v>
      </c>
      <c r="AT41" s="451">
        <f t="shared" si="7"/>
        <v>-0.4</v>
      </c>
    </row>
    <row r="42" spans="1:46" s="515" customFormat="1" ht="18.75" customHeight="1" x14ac:dyDescent="0.3">
      <c r="A42" s="509" t="s">
        <v>438</v>
      </c>
      <c r="B42" s="560"/>
      <c r="C42" s="561"/>
      <c r="D42" s="561"/>
      <c r="E42" s="560"/>
      <c r="F42" s="561"/>
      <c r="G42" s="610"/>
      <c r="H42" s="560"/>
      <c r="I42" s="561"/>
      <c r="J42" s="451"/>
      <c r="K42" s="560"/>
      <c r="L42" s="561"/>
      <c r="M42" s="561"/>
      <c r="N42" s="560"/>
      <c r="O42" s="561"/>
      <c r="P42" s="451"/>
      <c r="Q42" s="560"/>
      <c r="R42" s="561"/>
      <c r="S42" s="451"/>
      <c r="T42" s="560"/>
      <c r="U42" s="561"/>
      <c r="V42" s="451"/>
      <c r="W42" s="560"/>
      <c r="X42" s="615"/>
      <c r="Y42" s="610"/>
      <c r="Z42" s="560"/>
      <c r="AA42" s="561"/>
      <c r="AB42" s="451"/>
      <c r="AC42" s="560"/>
      <c r="AD42" s="561"/>
      <c r="AE42" s="451"/>
      <c r="AF42" s="560"/>
      <c r="AG42" s="561"/>
      <c r="AH42" s="451"/>
      <c r="AI42" s="560"/>
      <c r="AJ42" s="561"/>
      <c r="AK42" s="610"/>
      <c r="AL42" s="614"/>
      <c r="AM42" s="615"/>
      <c r="AN42" s="451"/>
      <c r="AO42" s="561">
        <f t="shared" si="4"/>
        <v>0</v>
      </c>
      <c r="AP42" s="561">
        <f t="shared" si="4"/>
        <v>0</v>
      </c>
      <c r="AQ42" s="451" t="str">
        <f t="shared" si="6"/>
        <v xml:space="preserve">    ---- </v>
      </c>
      <c r="AR42" s="561">
        <f t="shared" si="5"/>
        <v>0</v>
      </c>
      <c r="AS42" s="561">
        <f t="shared" si="5"/>
        <v>0</v>
      </c>
      <c r="AT42" s="451" t="str">
        <f t="shared" si="7"/>
        <v xml:space="preserve">    ---- </v>
      </c>
    </row>
    <row r="43" spans="1:46" s="515" customFormat="1" ht="18.75" customHeight="1" x14ac:dyDescent="0.3">
      <c r="A43" s="509" t="s">
        <v>439</v>
      </c>
      <c r="B43" s="560"/>
      <c r="C43" s="561"/>
      <c r="D43" s="561"/>
      <c r="E43" s="560"/>
      <c r="F43" s="561"/>
      <c r="G43" s="610"/>
      <c r="H43" s="560">
        <v>-0.192</v>
      </c>
      <c r="I43" s="561">
        <v>-7.9000000000000001E-2</v>
      </c>
      <c r="J43" s="451">
        <f>IF(H43=0, "    ---- ", IF(ABS(ROUND(100/H43*I43-100,1))&lt;999,ROUND(100/H43*I43-100,1),IF(ROUND(100/H43*I43-100,1)&gt;999,999,-999)))</f>
        <v>-58.9</v>
      </c>
      <c r="K43" s="560"/>
      <c r="L43" s="561"/>
      <c r="M43" s="561"/>
      <c r="N43" s="560"/>
      <c r="O43" s="561"/>
      <c r="P43" s="451"/>
      <c r="Q43" s="560"/>
      <c r="R43" s="561"/>
      <c r="S43" s="451"/>
      <c r="T43" s="560"/>
      <c r="U43" s="561"/>
      <c r="V43" s="451"/>
      <c r="W43" s="560"/>
      <c r="X43" s="615"/>
      <c r="Y43" s="610"/>
      <c r="Z43" s="560"/>
      <c r="AA43" s="561"/>
      <c r="AB43" s="451"/>
      <c r="AC43" s="560"/>
      <c r="AD43" s="561"/>
      <c r="AE43" s="451"/>
      <c r="AF43" s="560"/>
      <c r="AG43" s="561"/>
      <c r="AH43" s="451"/>
      <c r="AI43" s="560"/>
      <c r="AJ43" s="561"/>
      <c r="AK43" s="610"/>
      <c r="AL43" s="614"/>
      <c r="AM43" s="615"/>
      <c r="AN43" s="451"/>
      <c r="AO43" s="561">
        <f t="shared" si="4"/>
        <v>-0.192</v>
      </c>
      <c r="AP43" s="561">
        <f t="shared" si="4"/>
        <v>-7.9000000000000001E-2</v>
      </c>
      <c r="AQ43" s="451">
        <f t="shared" si="6"/>
        <v>-58.9</v>
      </c>
      <c r="AR43" s="561">
        <f t="shared" si="5"/>
        <v>-0.192</v>
      </c>
      <c r="AS43" s="561">
        <f t="shared" si="5"/>
        <v>-7.9000000000000001E-2</v>
      </c>
      <c r="AT43" s="451">
        <f t="shared" si="7"/>
        <v>-58.9</v>
      </c>
    </row>
    <row r="44" spans="1:46" s="513" customFormat="1" ht="18.75" customHeight="1" x14ac:dyDescent="0.3">
      <c r="A44" s="507" t="s">
        <v>440</v>
      </c>
      <c r="B44" s="603">
        <v>80.721999999999994</v>
      </c>
      <c r="C44" s="574">
        <f>SUM(C36:C41)+C43</f>
        <v>94.218999999999994</v>
      </c>
      <c r="D44" s="574">
        <f>IF(B44=0, "    ---- ", IF(ABS(ROUND(100/B44*C44-100,1))&lt;999,ROUND(100/B44*C44-100,1),IF(ROUND(100/B44*C44-100,1)&gt;999,999,-999)))</f>
        <v>16.7</v>
      </c>
      <c r="E44" s="603"/>
      <c r="F44" s="574"/>
      <c r="G44" s="608"/>
      <c r="H44" s="603">
        <v>65.987000000000009</v>
      </c>
      <c r="I44" s="574">
        <f>SUM(I36:I41)+I43</f>
        <v>72.628000000000014</v>
      </c>
      <c r="J44" s="558">
        <f>IF(H44=0, "    ---- ", IF(ABS(ROUND(100/H44*I44-100,1))&lt;999,ROUND(100/H44*I44-100,1),IF(ROUND(100/H44*I44-100,1)&gt;999,999,-999)))</f>
        <v>10.1</v>
      </c>
      <c r="K44" s="603"/>
      <c r="L44" s="574"/>
      <c r="M44" s="574"/>
      <c r="N44" s="603">
        <v>20</v>
      </c>
      <c r="O44" s="574">
        <f>SUM(O36:O41)+O43</f>
        <v>19</v>
      </c>
      <c r="P44" s="558">
        <f>IF(N44=0, "    ---- ", IF(ABS(ROUND(100/N44*O44-100,1))&lt;999,ROUND(100/N44*O44-100,1),IF(ROUND(100/N44*O44-100,1)&gt;999,999,-999)))</f>
        <v>-5</v>
      </c>
      <c r="Q44" s="603"/>
      <c r="R44" s="574"/>
      <c r="S44" s="558"/>
      <c r="T44" s="603"/>
      <c r="U44" s="574"/>
      <c r="V44" s="558"/>
      <c r="W44" s="603">
        <v>172</v>
      </c>
      <c r="X44" s="617">
        <f>SUM(X36:X41)+X43</f>
        <v>175.376431419</v>
      </c>
      <c r="Y44" s="608">
        <f t="shared" si="1"/>
        <v>2</v>
      </c>
      <c r="Z44" s="603"/>
      <c r="AA44" s="574"/>
      <c r="AB44" s="558"/>
      <c r="AC44" s="603"/>
      <c r="AD44" s="574"/>
      <c r="AE44" s="558"/>
      <c r="AF44" s="603"/>
      <c r="AG44" s="574"/>
      <c r="AH44" s="558"/>
      <c r="AI44" s="603">
        <v>302.82100000000003</v>
      </c>
      <c r="AJ44" s="574">
        <f>SUM(AJ36:AJ41)+AJ43</f>
        <v>308.95400000000001</v>
      </c>
      <c r="AK44" s="608">
        <f>IF(AI44=0, "    ---- ", IF(ABS(ROUND(100/AI44*AJ44-100,1))&lt;999,ROUND(100/AI44*AJ44-100,1),IF(ROUND(100/AI44*AJ44-100,1)&gt;999,999,-999)))</f>
        <v>2</v>
      </c>
      <c r="AL44" s="616">
        <v>180.22</v>
      </c>
      <c r="AM44" s="617">
        <f>SUM(AM36:AM41)+AM43</f>
        <v>150.4</v>
      </c>
      <c r="AN44" s="558">
        <f>IF(AL44=0, "    ---- ", IF(ABS(ROUND(100/AL44*AM44-100,1))&lt;999,ROUND(100/AL44*AM44-100,1),IF(ROUND(100/AL44*AM44-100,1)&gt;999,999,-999)))</f>
        <v>-16.5</v>
      </c>
      <c r="AO44" s="574">
        <f t="shared" si="4"/>
        <v>801.75</v>
      </c>
      <c r="AP44" s="574">
        <f t="shared" si="4"/>
        <v>801.57743141899994</v>
      </c>
      <c r="AQ44" s="558">
        <f t="shared" si="6"/>
        <v>0</v>
      </c>
      <c r="AR44" s="574">
        <f t="shared" si="5"/>
        <v>821.75</v>
      </c>
      <c r="AS44" s="574">
        <f t="shared" si="5"/>
        <v>820.57743141899994</v>
      </c>
      <c r="AT44" s="558">
        <f t="shared" si="7"/>
        <v>-0.1</v>
      </c>
    </row>
    <row r="45" spans="1:46" s="515" customFormat="1" ht="18.75" customHeight="1" x14ac:dyDescent="0.3">
      <c r="A45" s="509" t="s">
        <v>441</v>
      </c>
      <c r="B45" s="560"/>
      <c r="C45" s="561"/>
      <c r="D45" s="561"/>
      <c r="E45" s="560"/>
      <c r="F45" s="561"/>
      <c r="G45" s="610"/>
      <c r="H45" s="560"/>
      <c r="I45" s="561"/>
      <c r="J45" s="451"/>
      <c r="K45" s="560"/>
      <c r="L45" s="561"/>
      <c r="M45" s="561"/>
      <c r="N45" s="560"/>
      <c r="O45" s="561"/>
      <c r="P45" s="451"/>
      <c r="Q45" s="560"/>
      <c r="R45" s="561"/>
      <c r="S45" s="451"/>
      <c r="T45" s="560"/>
      <c r="U45" s="561"/>
      <c r="V45" s="451"/>
      <c r="W45" s="560"/>
      <c r="X45" s="615"/>
      <c r="Y45" s="610"/>
      <c r="Z45" s="560"/>
      <c r="AA45" s="561"/>
      <c r="AB45" s="451"/>
      <c r="AC45" s="560"/>
      <c r="AD45" s="561"/>
      <c r="AE45" s="451"/>
      <c r="AF45" s="560"/>
      <c r="AG45" s="561"/>
      <c r="AH45" s="451"/>
      <c r="AI45" s="560"/>
      <c r="AJ45" s="561"/>
      <c r="AK45" s="610"/>
      <c r="AL45" s="614"/>
      <c r="AM45" s="615"/>
      <c r="AN45" s="451"/>
      <c r="AO45" s="561">
        <f t="shared" si="4"/>
        <v>0</v>
      </c>
      <c r="AP45" s="561">
        <f t="shared" si="4"/>
        <v>0</v>
      </c>
      <c r="AQ45" s="451" t="str">
        <f t="shared" si="6"/>
        <v xml:space="preserve">    ---- </v>
      </c>
      <c r="AR45" s="561">
        <f t="shared" si="5"/>
        <v>0</v>
      </c>
      <c r="AS45" s="561">
        <f t="shared" si="5"/>
        <v>0</v>
      </c>
      <c r="AT45" s="451" t="str">
        <f t="shared" si="7"/>
        <v xml:space="preserve">    ---- </v>
      </c>
    </row>
    <row r="46" spans="1:46" s="515" customFormat="1" ht="18.75" customHeight="1" x14ac:dyDescent="0.3">
      <c r="A46" s="509" t="s">
        <v>442</v>
      </c>
      <c r="B46" s="560">
        <v>80.721999999999994</v>
      </c>
      <c r="C46" s="561">
        <v>94.218999999999994</v>
      </c>
      <c r="D46" s="561">
        <f>IF(B46=0, "    ---- ", IF(ABS(ROUND(100/B46*C46-100,1))&lt;999,ROUND(100/B46*C46-100,1),IF(ROUND(100/B46*C46-100,1)&gt;999,999,-999)))</f>
        <v>16.7</v>
      </c>
      <c r="E46" s="560"/>
      <c r="F46" s="561"/>
      <c r="G46" s="610"/>
      <c r="H46" s="560">
        <v>65.986999999999995</v>
      </c>
      <c r="I46" s="561">
        <v>72.628</v>
      </c>
      <c r="J46" s="451">
        <f>IF(H46=0, "    ---- ", IF(ABS(ROUND(100/H46*I46-100,1))&lt;999,ROUND(100/H46*I46-100,1),IF(ROUND(100/H46*I46-100,1)&gt;999,999,-999)))</f>
        <v>10.1</v>
      </c>
      <c r="K46" s="560"/>
      <c r="L46" s="561"/>
      <c r="M46" s="561"/>
      <c r="N46" s="560">
        <v>20</v>
      </c>
      <c r="O46" s="561">
        <v>19</v>
      </c>
      <c r="P46" s="451">
        <f>IF(N46=0, "    ---- ", IF(ABS(ROUND(100/N46*O46-100,1))&lt;999,ROUND(100/N46*O46-100,1),IF(ROUND(100/N46*O46-100,1)&gt;999,999,-999)))</f>
        <v>-5</v>
      </c>
      <c r="Q46" s="560"/>
      <c r="R46" s="561"/>
      <c r="S46" s="451"/>
      <c r="T46" s="560"/>
      <c r="U46" s="561"/>
      <c r="V46" s="451"/>
      <c r="W46" s="560">
        <v>172</v>
      </c>
      <c r="X46" s="615">
        <v>175.376431419</v>
      </c>
      <c r="Y46" s="610">
        <f t="shared" si="1"/>
        <v>2</v>
      </c>
      <c r="Z46" s="560"/>
      <c r="AA46" s="561"/>
      <c r="AB46" s="451"/>
      <c r="AC46" s="560"/>
      <c r="AD46" s="561"/>
      <c r="AE46" s="451"/>
      <c r="AF46" s="560"/>
      <c r="AG46" s="561"/>
      <c r="AH46" s="451"/>
      <c r="AI46" s="560">
        <v>302.82100000000003</v>
      </c>
      <c r="AJ46" s="561">
        <v>308.95400000000001</v>
      </c>
      <c r="AK46" s="610">
        <f>IF(AI46=0, "    ---- ", IF(ABS(ROUND(100/AI46*AJ46-100,1))&lt;999,ROUND(100/AI46*AJ46-100,1),IF(ROUND(100/AI46*AJ46-100,1)&gt;999,999,-999)))</f>
        <v>2</v>
      </c>
      <c r="AL46" s="614">
        <v>180.22</v>
      </c>
      <c r="AM46" s="615">
        <v>150.4</v>
      </c>
      <c r="AN46" s="451">
        <f>IF(AL46=0, "    ---- ", IF(ABS(ROUND(100/AL46*AM46-100,1))&lt;999,ROUND(100/AL46*AM46-100,1),IF(ROUND(100/AL46*AM46-100,1)&gt;999,999,-999)))</f>
        <v>-16.5</v>
      </c>
      <c r="AO46" s="561">
        <f t="shared" si="4"/>
        <v>801.75</v>
      </c>
      <c r="AP46" s="561">
        <f t="shared" si="4"/>
        <v>801.57743141899994</v>
      </c>
      <c r="AQ46" s="451">
        <f t="shared" si="6"/>
        <v>0</v>
      </c>
      <c r="AR46" s="561">
        <f t="shared" si="5"/>
        <v>821.75</v>
      </c>
      <c r="AS46" s="561">
        <f t="shared" si="5"/>
        <v>820.57743141899994</v>
      </c>
      <c r="AT46" s="451">
        <f t="shared" si="7"/>
        <v>-0.1</v>
      </c>
    </row>
    <row r="47" spans="1:46" s="513" customFormat="1" ht="18.75" customHeight="1" x14ac:dyDescent="0.3">
      <c r="A47" s="507" t="s">
        <v>445</v>
      </c>
      <c r="B47" s="603"/>
      <c r="C47" s="574"/>
      <c r="D47" s="574"/>
      <c r="E47" s="603"/>
      <c r="F47" s="574"/>
      <c r="G47" s="608"/>
      <c r="H47" s="603"/>
      <c r="I47" s="574"/>
      <c r="J47" s="558"/>
      <c r="K47" s="603"/>
      <c r="L47" s="574"/>
      <c r="M47" s="574"/>
      <c r="N47" s="603"/>
      <c r="O47" s="574"/>
      <c r="P47" s="558"/>
      <c r="Q47" s="603"/>
      <c r="R47" s="574"/>
      <c r="S47" s="558"/>
      <c r="T47" s="603"/>
      <c r="U47" s="574"/>
      <c r="V47" s="558"/>
      <c r="W47" s="603"/>
      <c r="X47" s="617"/>
      <c r="Y47" s="608"/>
      <c r="Z47" s="603"/>
      <c r="AA47" s="574"/>
      <c r="AB47" s="558"/>
      <c r="AC47" s="603"/>
      <c r="AD47" s="574"/>
      <c r="AE47" s="558"/>
      <c r="AF47" s="603"/>
      <c r="AG47" s="574"/>
      <c r="AH47" s="558"/>
      <c r="AI47" s="603"/>
      <c r="AJ47" s="574"/>
      <c r="AK47" s="608"/>
      <c r="AL47" s="616"/>
      <c r="AM47" s="617"/>
      <c r="AN47" s="558"/>
      <c r="AO47" s="574"/>
      <c r="AP47" s="574"/>
      <c r="AQ47" s="558"/>
      <c r="AR47" s="574"/>
      <c r="AS47" s="574"/>
      <c r="AT47" s="558"/>
    </row>
    <row r="48" spans="1:46" s="515" customFormat="1" ht="18.75" customHeight="1" x14ac:dyDescent="0.3">
      <c r="A48" s="509" t="s">
        <v>432</v>
      </c>
      <c r="B48" s="560"/>
      <c r="C48" s="561"/>
      <c r="D48" s="561"/>
      <c r="E48" s="560">
        <v>0</v>
      </c>
      <c r="F48" s="561">
        <v>276.32900000000001</v>
      </c>
      <c r="G48" s="610" t="str">
        <f t="shared" si="0"/>
        <v xml:space="preserve">    ---- </v>
      </c>
      <c r="H48" s="560"/>
      <c r="I48" s="561"/>
      <c r="J48" s="451"/>
      <c r="K48" s="560"/>
      <c r="L48" s="561"/>
      <c r="M48" s="561"/>
      <c r="N48" s="560"/>
      <c r="O48" s="561"/>
      <c r="P48" s="451"/>
      <c r="Q48" s="560"/>
      <c r="R48" s="561"/>
      <c r="S48" s="451"/>
      <c r="T48" s="560"/>
      <c r="U48" s="561"/>
      <c r="V48" s="451"/>
      <c r="W48" s="560"/>
      <c r="X48" s="615"/>
      <c r="Y48" s="610"/>
      <c r="Z48" s="560"/>
      <c r="AA48" s="561"/>
      <c r="AB48" s="451"/>
      <c r="AC48" s="560"/>
      <c r="AD48" s="561"/>
      <c r="AE48" s="451"/>
      <c r="AF48" s="560"/>
      <c r="AG48" s="561"/>
      <c r="AH48" s="451"/>
      <c r="AI48" s="560">
        <v>1E-3</v>
      </c>
      <c r="AJ48" s="561">
        <v>1.7000000000000001E-2</v>
      </c>
      <c r="AK48" s="610">
        <f>IF(AI48=0, "    ---- ", IF(ABS(ROUND(100/AI48*AJ48-100,1))&lt;999,ROUND(100/AI48*AJ48-100,1),IF(ROUND(100/AI48*AJ48-100,1)&gt;999,999,-999)))</f>
        <v>999</v>
      </c>
      <c r="AL48" s="614">
        <v>0.28000000000000003</v>
      </c>
      <c r="AM48" s="615"/>
      <c r="AN48" s="451"/>
      <c r="AO48" s="561">
        <f t="shared" si="4"/>
        <v>0.28100000000000003</v>
      </c>
      <c r="AP48" s="561">
        <f t="shared" si="4"/>
        <v>276.346</v>
      </c>
      <c r="AQ48" s="451">
        <f t="shared" si="6"/>
        <v>999</v>
      </c>
      <c r="AR48" s="561">
        <f t="shared" si="5"/>
        <v>0.28100000000000003</v>
      </c>
      <c r="AS48" s="561">
        <f t="shared" si="5"/>
        <v>276.346</v>
      </c>
      <c r="AT48" s="451">
        <f t="shared" si="7"/>
        <v>999</v>
      </c>
    </row>
    <row r="49" spans="1:46" s="515" customFormat="1" ht="18.75" customHeight="1" x14ac:dyDescent="0.3">
      <c r="A49" s="509" t="s">
        <v>433</v>
      </c>
      <c r="B49" s="560"/>
      <c r="C49" s="561"/>
      <c r="D49" s="561"/>
      <c r="E49" s="560"/>
      <c r="F49" s="561"/>
      <c r="G49" s="610"/>
      <c r="H49" s="560"/>
      <c r="I49" s="561"/>
      <c r="J49" s="451"/>
      <c r="K49" s="560"/>
      <c r="L49" s="561"/>
      <c r="M49" s="561"/>
      <c r="N49" s="560"/>
      <c r="O49" s="561"/>
      <c r="P49" s="451"/>
      <c r="Q49" s="560"/>
      <c r="R49" s="561"/>
      <c r="S49" s="451"/>
      <c r="T49" s="560"/>
      <c r="U49" s="561"/>
      <c r="V49" s="451"/>
      <c r="W49" s="560"/>
      <c r="X49" s="615"/>
      <c r="Y49" s="610"/>
      <c r="Z49" s="560"/>
      <c r="AA49" s="561"/>
      <c r="AB49" s="451"/>
      <c r="AC49" s="560"/>
      <c r="AD49" s="561"/>
      <c r="AE49" s="451"/>
      <c r="AF49" s="560"/>
      <c r="AG49" s="561"/>
      <c r="AH49" s="451"/>
      <c r="AI49" s="560"/>
      <c r="AJ49" s="561"/>
      <c r="AK49" s="610"/>
      <c r="AL49" s="614"/>
      <c r="AM49" s="615"/>
      <c r="AN49" s="451"/>
      <c r="AO49" s="561">
        <f t="shared" si="4"/>
        <v>0</v>
      </c>
      <c r="AP49" s="561">
        <f t="shared" si="4"/>
        <v>0</v>
      </c>
      <c r="AQ49" s="451" t="str">
        <f t="shared" si="6"/>
        <v xml:space="preserve">    ---- </v>
      </c>
      <c r="AR49" s="561">
        <f t="shared" si="5"/>
        <v>0</v>
      </c>
      <c r="AS49" s="561">
        <f t="shared" si="5"/>
        <v>0</v>
      </c>
      <c r="AT49" s="451" t="str">
        <f t="shared" si="7"/>
        <v xml:space="preserve">    ---- </v>
      </c>
    </row>
    <row r="50" spans="1:46" s="515" customFormat="1" ht="18.75" customHeight="1" x14ac:dyDescent="0.3">
      <c r="A50" s="509" t="s">
        <v>434</v>
      </c>
      <c r="B50" s="560">
        <v>0.501</v>
      </c>
      <c r="C50" s="561">
        <v>2.7389999999999999</v>
      </c>
      <c r="D50" s="561">
        <f>IF(B50=0, "    ---- ", IF(ABS(ROUND(100/B50*C50-100,1))&lt;999,ROUND(100/B50*C50-100,1),IF(ROUND(100/B50*C50-100,1)&gt;999,999,-999)))</f>
        <v>446.7</v>
      </c>
      <c r="E50" s="560">
        <v>0</v>
      </c>
      <c r="F50" s="561">
        <v>1.5640000000000001</v>
      </c>
      <c r="G50" s="610" t="str">
        <f t="shared" si="0"/>
        <v xml:space="preserve">    ---- </v>
      </c>
      <c r="H50" s="560"/>
      <c r="I50" s="561"/>
      <c r="J50" s="451"/>
      <c r="K50" s="560"/>
      <c r="L50" s="561"/>
      <c r="M50" s="561"/>
      <c r="N50" s="560"/>
      <c r="O50" s="561"/>
      <c r="P50" s="451"/>
      <c r="Q50" s="560"/>
      <c r="R50" s="561"/>
      <c r="S50" s="451"/>
      <c r="T50" s="560"/>
      <c r="U50" s="561"/>
      <c r="V50" s="451"/>
      <c r="W50" s="560">
        <v>50</v>
      </c>
      <c r="X50" s="615">
        <v>77.171807209999997</v>
      </c>
      <c r="Y50" s="610">
        <f t="shared" si="1"/>
        <v>54.3</v>
      </c>
      <c r="Z50" s="560"/>
      <c r="AA50" s="561"/>
      <c r="AB50" s="451"/>
      <c r="AC50" s="560">
        <v>3</v>
      </c>
      <c r="AD50" s="561">
        <v>1</v>
      </c>
      <c r="AE50" s="451">
        <f>IF(AC50=0, "    ---- ", IF(ABS(ROUND(100/AC50*AD50-100,1))&lt;999,ROUND(100/AC50*AD50-100,1),IF(ROUND(100/AC50*AD50-100,1)&gt;999,999,-999)))</f>
        <v>-66.7</v>
      </c>
      <c r="AF50" s="560"/>
      <c r="AG50" s="561"/>
      <c r="AH50" s="451"/>
      <c r="AI50" s="560">
        <v>-3.524</v>
      </c>
      <c r="AJ50" s="561">
        <v>-10.367000000000001</v>
      </c>
      <c r="AK50" s="610">
        <f>IF(AI50=0, "    ---- ", IF(ABS(ROUND(100/AI50*AJ50-100,1))&lt;999,ROUND(100/AI50*AJ50-100,1),IF(ROUND(100/AI50*AJ50-100,1)&gt;999,999,-999)))</f>
        <v>194.2</v>
      </c>
      <c r="AL50" s="614">
        <v>4.68</v>
      </c>
      <c r="AM50" s="615">
        <v>15.8</v>
      </c>
      <c r="AN50" s="451">
        <f>IF(AL50=0, "    ---- ", IF(ABS(ROUND(100/AL50*AM50-100,1))&lt;999,ROUND(100/AL50*AM50-100,1),IF(ROUND(100/AL50*AM50-100,1)&gt;999,999,-999)))</f>
        <v>237.6</v>
      </c>
      <c r="AO50" s="561">
        <f t="shared" si="4"/>
        <v>51.656999999999996</v>
      </c>
      <c r="AP50" s="561">
        <f t="shared" si="4"/>
        <v>86.907807209999987</v>
      </c>
      <c r="AQ50" s="451">
        <f t="shared" si="6"/>
        <v>68.2</v>
      </c>
      <c r="AR50" s="561">
        <f t="shared" si="5"/>
        <v>54.656999999999996</v>
      </c>
      <c r="AS50" s="561">
        <f t="shared" si="5"/>
        <v>87.907807209999987</v>
      </c>
      <c r="AT50" s="451">
        <f t="shared" si="7"/>
        <v>60.8</v>
      </c>
    </row>
    <row r="51" spans="1:46" s="515" customFormat="1" ht="18.75" customHeight="1" x14ac:dyDescent="0.3">
      <c r="A51" s="509" t="s">
        <v>435</v>
      </c>
      <c r="B51" s="560"/>
      <c r="C51" s="561"/>
      <c r="D51" s="561"/>
      <c r="E51" s="560"/>
      <c r="F51" s="561"/>
      <c r="G51" s="610"/>
      <c r="H51" s="560"/>
      <c r="I51" s="561"/>
      <c r="J51" s="451"/>
      <c r="K51" s="560"/>
      <c r="L51" s="561"/>
      <c r="M51" s="561"/>
      <c r="N51" s="560"/>
      <c r="O51" s="561"/>
      <c r="P51" s="451"/>
      <c r="Q51" s="560"/>
      <c r="R51" s="561"/>
      <c r="S51" s="451"/>
      <c r="T51" s="560"/>
      <c r="U51" s="561"/>
      <c r="V51" s="451"/>
      <c r="W51" s="560"/>
      <c r="X51" s="615"/>
      <c r="Y51" s="610"/>
      <c r="Z51" s="560"/>
      <c r="AA51" s="561"/>
      <c r="AB51" s="451"/>
      <c r="AC51" s="560"/>
      <c r="AD51" s="561"/>
      <c r="AE51" s="451"/>
      <c r="AF51" s="560"/>
      <c r="AG51" s="561"/>
      <c r="AH51" s="451"/>
      <c r="AI51" s="560"/>
      <c r="AJ51" s="561"/>
      <c r="AK51" s="610"/>
      <c r="AL51" s="614"/>
      <c r="AM51" s="615"/>
      <c r="AN51" s="451"/>
      <c r="AO51" s="561">
        <f t="shared" si="4"/>
        <v>0</v>
      </c>
      <c r="AP51" s="561">
        <f t="shared" si="4"/>
        <v>0</v>
      </c>
      <c r="AQ51" s="451" t="str">
        <f t="shared" si="6"/>
        <v xml:space="preserve">    ---- </v>
      </c>
      <c r="AR51" s="561">
        <f t="shared" si="5"/>
        <v>0</v>
      </c>
      <c r="AS51" s="561">
        <f t="shared" si="5"/>
        <v>0</v>
      </c>
      <c r="AT51" s="451" t="str">
        <f t="shared" si="7"/>
        <v xml:space="preserve">    ---- </v>
      </c>
    </row>
    <row r="52" spans="1:46" s="515" customFormat="1" ht="18.75" customHeight="1" x14ac:dyDescent="0.3">
      <c r="A52" s="509" t="s">
        <v>436</v>
      </c>
      <c r="B52" s="560"/>
      <c r="C52" s="561"/>
      <c r="D52" s="561"/>
      <c r="E52" s="560"/>
      <c r="F52" s="561"/>
      <c r="G52" s="610"/>
      <c r="H52" s="560"/>
      <c r="I52" s="561"/>
      <c r="J52" s="451"/>
      <c r="K52" s="560"/>
      <c r="L52" s="561"/>
      <c r="M52" s="561"/>
      <c r="N52" s="560"/>
      <c r="O52" s="561"/>
      <c r="P52" s="451"/>
      <c r="Q52" s="560"/>
      <c r="R52" s="561"/>
      <c r="S52" s="451"/>
      <c r="T52" s="560"/>
      <c r="U52" s="561"/>
      <c r="V52" s="451"/>
      <c r="W52" s="560"/>
      <c r="X52" s="615"/>
      <c r="Y52" s="610"/>
      <c r="Z52" s="560"/>
      <c r="AA52" s="561"/>
      <c r="AB52" s="451"/>
      <c r="AC52" s="560"/>
      <c r="AD52" s="561"/>
      <c r="AE52" s="451"/>
      <c r="AF52" s="560"/>
      <c r="AG52" s="561"/>
      <c r="AH52" s="451"/>
      <c r="AI52" s="560"/>
      <c r="AJ52" s="561"/>
      <c r="AK52" s="610"/>
      <c r="AL52" s="614"/>
      <c r="AM52" s="615"/>
      <c r="AN52" s="451"/>
      <c r="AO52" s="561">
        <f t="shared" si="4"/>
        <v>0</v>
      </c>
      <c r="AP52" s="561">
        <f t="shared" si="4"/>
        <v>0</v>
      </c>
      <c r="AQ52" s="451" t="str">
        <f t="shared" si="6"/>
        <v xml:space="preserve">    ---- </v>
      </c>
      <c r="AR52" s="561">
        <f t="shared" si="5"/>
        <v>0</v>
      </c>
      <c r="AS52" s="561">
        <f t="shared" si="5"/>
        <v>0</v>
      </c>
      <c r="AT52" s="451" t="str">
        <f t="shared" si="7"/>
        <v xml:space="preserve">    ---- </v>
      </c>
    </row>
    <row r="53" spans="1:46" s="515" customFormat="1" ht="18.75" customHeight="1" x14ac:dyDescent="0.3">
      <c r="A53" s="509" t="s">
        <v>437</v>
      </c>
      <c r="B53" s="560">
        <v>0.218</v>
      </c>
      <c r="C53" s="561">
        <v>0</v>
      </c>
      <c r="D53" s="561">
        <f>IF(B53=0, "    ---- ", IF(ABS(ROUND(100/B53*C53-100,1))&lt;999,ROUND(100/B53*C53-100,1),IF(ROUND(100/B53*C53-100,1)&gt;999,999,-999)))</f>
        <v>-100</v>
      </c>
      <c r="E53" s="560">
        <v>0</v>
      </c>
      <c r="F53" s="561">
        <v>0.27400000000000002</v>
      </c>
      <c r="G53" s="610" t="str">
        <f t="shared" si="0"/>
        <v xml:space="preserve">    ---- </v>
      </c>
      <c r="H53" s="560"/>
      <c r="I53" s="561"/>
      <c r="J53" s="451"/>
      <c r="K53" s="560"/>
      <c r="L53" s="561"/>
      <c r="M53" s="561"/>
      <c r="N53" s="560"/>
      <c r="O53" s="561"/>
      <c r="P53" s="451"/>
      <c r="Q53" s="560"/>
      <c r="R53" s="561"/>
      <c r="S53" s="451"/>
      <c r="T53" s="560"/>
      <c r="U53" s="561"/>
      <c r="V53" s="451"/>
      <c r="W53" s="560">
        <v>-2</v>
      </c>
      <c r="X53" s="615">
        <v>1.99202418</v>
      </c>
      <c r="Y53" s="610">
        <f t="shared" si="1"/>
        <v>-199.6</v>
      </c>
      <c r="Z53" s="560"/>
      <c r="AA53" s="561"/>
      <c r="AB53" s="451"/>
      <c r="AC53" s="560"/>
      <c r="AD53" s="561"/>
      <c r="AE53" s="451"/>
      <c r="AF53" s="560"/>
      <c r="AG53" s="561"/>
      <c r="AH53" s="451"/>
      <c r="AI53" s="560">
        <v>-4.2999999999999997E-2</v>
      </c>
      <c r="AJ53" s="561">
        <v>-1E-3</v>
      </c>
      <c r="AK53" s="610">
        <f>IF(AI53=0, "    ---- ", IF(ABS(ROUND(100/AI53*AJ53-100,1))&lt;999,ROUND(100/AI53*AJ53-100,1),IF(ROUND(100/AI53*AJ53-100,1)&gt;999,999,-999)))</f>
        <v>-97.7</v>
      </c>
      <c r="AL53" s="614">
        <v>1.72</v>
      </c>
      <c r="AM53" s="615">
        <v>2.1</v>
      </c>
      <c r="AN53" s="451">
        <f>IF(AL53=0, "    ---- ", IF(ABS(ROUND(100/AL53*AM53-100,1))&lt;999,ROUND(100/AL53*AM53-100,1),IF(ROUND(100/AL53*AM53-100,1)&gt;999,999,-999)))</f>
        <v>22.1</v>
      </c>
      <c r="AO53" s="561">
        <f t="shared" si="4"/>
        <v>-0.10499999999999998</v>
      </c>
      <c r="AP53" s="561">
        <f t="shared" si="4"/>
        <v>4.3650241800000007</v>
      </c>
      <c r="AQ53" s="451">
        <f t="shared" si="6"/>
        <v>-999</v>
      </c>
      <c r="AR53" s="561">
        <f t="shared" si="5"/>
        <v>-0.10499999999999998</v>
      </c>
      <c r="AS53" s="561">
        <f t="shared" si="5"/>
        <v>4.3650241800000007</v>
      </c>
      <c r="AT53" s="451">
        <f t="shared" si="7"/>
        <v>-999</v>
      </c>
    </row>
    <row r="54" spans="1:46" s="515" customFormat="1" ht="18.75" customHeight="1" x14ac:dyDescent="0.3">
      <c r="A54" s="509" t="s">
        <v>438</v>
      </c>
      <c r="B54" s="560"/>
      <c r="C54" s="561"/>
      <c r="D54" s="561"/>
      <c r="E54" s="560"/>
      <c r="F54" s="561"/>
      <c r="G54" s="610"/>
      <c r="H54" s="560"/>
      <c r="I54" s="561"/>
      <c r="J54" s="451"/>
      <c r="K54" s="560"/>
      <c r="L54" s="561"/>
      <c r="M54" s="561"/>
      <c r="N54" s="560"/>
      <c r="O54" s="561"/>
      <c r="P54" s="451"/>
      <c r="Q54" s="560"/>
      <c r="R54" s="561"/>
      <c r="S54" s="451"/>
      <c r="T54" s="560"/>
      <c r="U54" s="561"/>
      <c r="V54" s="451"/>
      <c r="W54" s="560"/>
      <c r="X54" s="615"/>
      <c r="Y54" s="610"/>
      <c r="Z54" s="560"/>
      <c r="AA54" s="561"/>
      <c r="AB54" s="451"/>
      <c r="AC54" s="560"/>
      <c r="AD54" s="561"/>
      <c r="AE54" s="451"/>
      <c r="AF54" s="560"/>
      <c r="AG54" s="561"/>
      <c r="AH54" s="451"/>
      <c r="AI54" s="560"/>
      <c r="AJ54" s="561"/>
      <c r="AK54" s="610"/>
      <c r="AL54" s="614"/>
      <c r="AM54" s="615"/>
      <c r="AN54" s="451"/>
      <c r="AO54" s="561">
        <f t="shared" si="4"/>
        <v>0</v>
      </c>
      <c r="AP54" s="561">
        <f t="shared" si="4"/>
        <v>0</v>
      </c>
      <c r="AQ54" s="451" t="str">
        <f t="shared" si="6"/>
        <v xml:space="preserve">    ---- </v>
      </c>
      <c r="AR54" s="561">
        <f t="shared" si="5"/>
        <v>0</v>
      </c>
      <c r="AS54" s="561">
        <f t="shared" si="5"/>
        <v>0</v>
      </c>
      <c r="AT54" s="451" t="str">
        <f t="shared" si="7"/>
        <v xml:space="preserve">    ---- </v>
      </c>
    </row>
    <row r="55" spans="1:46" s="515" customFormat="1" ht="18.75" customHeight="1" x14ac:dyDescent="0.3">
      <c r="A55" s="509" t="s">
        <v>439</v>
      </c>
      <c r="B55" s="560"/>
      <c r="C55" s="561"/>
      <c r="D55" s="561"/>
      <c r="E55" s="560"/>
      <c r="F55" s="561"/>
      <c r="G55" s="610"/>
      <c r="H55" s="560"/>
      <c r="I55" s="561"/>
      <c r="J55" s="451"/>
      <c r="K55" s="560"/>
      <c r="L55" s="561"/>
      <c r="M55" s="561"/>
      <c r="N55" s="560"/>
      <c r="O55" s="561"/>
      <c r="P55" s="451"/>
      <c r="Q55" s="560"/>
      <c r="R55" s="561"/>
      <c r="S55" s="451"/>
      <c r="T55" s="560"/>
      <c r="U55" s="561"/>
      <c r="V55" s="451"/>
      <c r="W55" s="560"/>
      <c r="X55" s="615"/>
      <c r="Y55" s="610"/>
      <c r="Z55" s="560"/>
      <c r="AA55" s="561"/>
      <c r="AB55" s="451"/>
      <c r="AC55" s="560"/>
      <c r="AD55" s="561"/>
      <c r="AE55" s="451"/>
      <c r="AF55" s="560"/>
      <c r="AG55" s="561"/>
      <c r="AH55" s="451"/>
      <c r="AI55" s="560"/>
      <c r="AJ55" s="561"/>
      <c r="AK55" s="610"/>
      <c r="AL55" s="614"/>
      <c r="AM55" s="615"/>
      <c r="AN55" s="451"/>
      <c r="AO55" s="561">
        <f t="shared" si="4"/>
        <v>0</v>
      </c>
      <c r="AP55" s="561">
        <f t="shared" si="4"/>
        <v>0</v>
      </c>
      <c r="AQ55" s="451" t="str">
        <f t="shared" si="6"/>
        <v xml:space="preserve">    ---- </v>
      </c>
      <c r="AR55" s="561">
        <f t="shared" si="5"/>
        <v>0</v>
      </c>
      <c r="AS55" s="561">
        <f t="shared" si="5"/>
        <v>0</v>
      </c>
      <c r="AT55" s="451" t="str">
        <f t="shared" si="7"/>
        <v xml:space="preserve">    ---- </v>
      </c>
    </row>
    <row r="56" spans="1:46" s="513" customFormat="1" ht="18.75" customHeight="1" x14ac:dyDescent="0.3">
      <c r="A56" s="507" t="s">
        <v>440</v>
      </c>
      <c r="B56" s="603">
        <v>0.71899999999999997</v>
      </c>
      <c r="C56" s="574">
        <f>SUM(C48:C53)+C55</f>
        <v>2.7389999999999999</v>
      </c>
      <c r="D56" s="574">
        <f>IF(B56=0, "    ---- ", IF(ABS(ROUND(100/B56*C56-100,1))&lt;999,ROUND(100/B56*C56-100,1),IF(ROUND(100/B56*C56-100,1)&gt;999,999,-999)))</f>
        <v>280.89999999999998</v>
      </c>
      <c r="E56" s="603">
        <v>0</v>
      </c>
      <c r="F56" s="574">
        <f>SUM(F48:F53)+F55</f>
        <v>278.16700000000003</v>
      </c>
      <c r="G56" s="608" t="str">
        <f t="shared" si="0"/>
        <v xml:space="preserve">    ---- </v>
      </c>
      <c r="H56" s="603"/>
      <c r="I56" s="574"/>
      <c r="J56" s="558"/>
      <c r="K56" s="603"/>
      <c r="L56" s="574"/>
      <c r="M56" s="574"/>
      <c r="N56" s="603"/>
      <c r="O56" s="574"/>
      <c r="P56" s="558"/>
      <c r="Q56" s="603"/>
      <c r="R56" s="574"/>
      <c r="S56" s="558"/>
      <c r="T56" s="603"/>
      <c r="U56" s="574"/>
      <c r="V56" s="558"/>
      <c r="W56" s="603">
        <v>48</v>
      </c>
      <c r="X56" s="617">
        <f>SUM(X48:X53)+X55</f>
        <v>79.163831389999999</v>
      </c>
      <c r="Y56" s="608">
        <f t="shared" si="1"/>
        <v>64.900000000000006</v>
      </c>
      <c r="Z56" s="603"/>
      <c r="AA56" s="574"/>
      <c r="AB56" s="558"/>
      <c r="AC56" s="603">
        <v>3</v>
      </c>
      <c r="AD56" s="574">
        <f>SUM(AD48:AD53)+AD55</f>
        <v>1</v>
      </c>
      <c r="AE56" s="558">
        <f>IF(AC56=0, "    ---- ", IF(ABS(ROUND(100/AC56*AD56-100,1))&lt;999,ROUND(100/AC56*AD56-100,1),IF(ROUND(100/AC56*AD56-100,1)&gt;999,999,-999)))</f>
        <v>-66.7</v>
      </c>
      <c r="AF56" s="603"/>
      <c r="AG56" s="574"/>
      <c r="AH56" s="558"/>
      <c r="AI56" s="603">
        <v>-3.5660000000000003</v>
      </c>
      <c r="AJ56" s="574">
        <f>SUM(AJ48:AJ53)+AJ55</f>
        <v>-10.351000000000001</v>
      </c>
      <c r="AK56" s="608">
        <f>IF(AI56=0, "    ---- ", IF(ABS(ROUND(100/AI56*AJ56-100,1))&lt;999,ROUND(100/AI56*AJ56-100,1),IF(ROUND(100/AI56*AJ56-100,1)&gt;999,999,-999)))</f>
        <v>190.3</v>
      </c>
      <c r="AL56" s="616">
        <v>6.68</v>
      </c>
      <c r="AM56" s="617">
        <f>SUM(AM48:AM53)+AM55</f>
        <v>17.900000000000002</v>
      </c>
      <c r="AN56" s="558">
        <f>IF(AL56=0, "    ---- ", IF(ABS(ROUND(100/AL56*AM56-100,1))&lt;999,ROUND(100/AL56*AM56-100,1),IF(ROUND(100/AL56*AM56-100,1)&gt;999,999,-999)))</f>
        <v>168</v>
      </c>
      <c r="AO56" s="574">
        <f t="shared" si="4"/>
        <v>51.832999999999998</v>
      </c>
      <c r="AP56" s="574">
        <f t="shared" si="4"/>
        <v>367.61883138999997</v>
      </c>
      <c r="AQ56" s="558">
        <f t="shared" si="6"/>
        <v>609.20000000000005</v>
      </c>
      <c r="AR56" s="574">
        <f t="shared" si="5"/>
        <v>54.832999999999998</v>
      </c>
      <c r="AS56" s="574">
        <f t="shared" si="5"/>
        <v>368.61883138999997</v>
      </c>
      <c r="AT56" s="558">
        <f t="shared" si="7"/>
        <v>572.29999999999995</v>
      </c>
    </row>
    <row r="57" spans="1:46" s="515" customFormat="1" ht="18.75" customHeight="1" x14ac:dyDescent="0.3">
      <c r="A57" s="509" t="s">
        <v>441</v>
      </c>
      <c r="B57" s="560"/>
      <c r="C57" s="561"/>
      <c r="D57" s="561"/>
      <c r="E57" s="560"/>
      <c r="F57" s="561">
        <v>276.33</v>
      </c>
      <c r="G57" s="608" t="str">
        <f t="shared" si="0"/>
        <v xml:space="preserve">    ---- </v>
      </c>
      <c r="H57" s="560"/>
      <c r="I57" s="561"/>
      <c r="J57" s="451"/>
      <c r="K57" s="560"/>
      <c r="L57" s="561"/>
      <c r="M57" s="561"/>
      <c r="N57" s="560"/>
      <c r="O57" s="561"/>
      <c r="P57" s="451"/>
      <c r="Q57" s="560"/>
      <c r="R57" s="561"/>
      <c r="S57" s="451"/>
      <c r="T57" s="560"/>
      <c r="U57" s="561"/>
      <c r="V57" s="451"/>
      <c r="W57" s="560"/>
      <c r="X57" s="615"/>
      <c r="Y57" s="610"/>
      <c r="Z57" s="560"/>
      <c r="AA57" s="561"/>
      <c r="AB57" s="451"/>
      <c r="AC57" s="560"/>
      <c r="AD57" s="561"/>
      <c r="AE57" s="451"/>
      <c r="AF57" s="560"/>
      <c r="AG57" s="561"/>
      <c r="AH57" s="451"/>
      <c r="AI57" s="560"/>
      <c r="AJ57" s="561"/>
      <c r="AK57" s="610"/>
      <c r="AL57" s="614"/>
      <c r="AM57" s="615"/>
      <c r="AN57" s="451"/>
      <c r="AO57" s="561">
        <f t="shared" si="4"/>
        <v>0</v>
      </c>
      <c r="AP57" s="561">
        <f t="shared" si="4"/>
        <v>276.33</v>
      </c>
      <c r="AQ57" s="451" t="str">
        <f t="shared" si="6"/>
        <v xml:space="preserve">    ---- </v>
      </c>
      <c r="AR57" s="561">
        <f t="shared" si="5"/>
        <v>0</v>
      </c>
      <c r="AS57" s="561">
        <f t="shared" si="5"/>
        <v>276.33</v>
      </c>
      <c r="AT57" s="451" t="str">
        <f t="shared" si="7"/>
        <v xml:space="preserve">    ---- </v>
      </c>
    </row>
    <row r="58" spans="1:46" s="515" customFormat="1" ht="18.75" customHeight="1" x14ac:dyDescent="0.3">
      <c r="A58" s="509" t="s">
        <v>442</v>
      </c>
      <c r="B58" s="560">
        <v>0.71899999999999997</v>
      </c>
      <c r="C58" s="561">
        <v>2.7389999999999999</v>
      </c>
      <c r="D58" s="561">
        <f>IF(B58=0, "    ---- ", IF(ABS(ROUND(100/B58*C58-100,1))&lt;999,ROUND(100/B58*C58-100,1),IF(ROUND(100/B58*C58-100,1)&gt;999,999,-999)))</f>
        <v>280.89999999999998</v>
      </c>
      <c r="E58" s="560">
        <v>0</v>
      </c>
      <c r="F58" s="561">
        <v>1.837</v>
      </c>
      <c r="G58" s="610" t="str">
        <f t="shared" si="0"/>
        <v xml:space="preserve">    ---- </v>
      </c>
      <c r="H58" s="560"/>
      <c r="I58" s="561"/>
      <c r="J58" s="451"/>
      <c r="K58" s="560"/>
      <c r="L58" s="561"/>
      <c r="M58" s="561"/>
      <c r="N58" s="560"/>
      <c r="O58" s="561"/>
      <c r="P58" s="451"/>
      <c r="Q58" s="560"/>
      <c r="R58" s="561"/>
      <c r="S58" s="451"/>
      <c r="T58" s="560"/>
      <c r="U58" s="561"/>
      <c r="V58" s="451"/>
      <c r="W58" s="560">
        <v>48</v>
      </c>
      <c r="X58" s="615">
        <v>79.163831389999999</v>
      </c>
      <c r="Y58" s="610">
        <f t="shared" si="1"/>
        <v>64.900000000000006</v>
      </c>
      <c r="Z58" s="560"/>
      <c r="AA58" s="561"/>
      <c r="AB58" s="451"/>
      <c r="AC58" s="560">
        <v>3</v>
      </c>
      <c r="AD58" s="561">
        <v>1</v>
      </c>
      <c r="AE58" s="451">
        <f>IF(AC58=0, "    ---- ", IF(ABS(ROUND(100/AC58*AD58-100,1))&lt;999,ROUND(100/AC58*AD58-100,1),IF(ROUND(100/AC58*AD58-100,1)&gt;999,999,-999)))</f>
        <v>-66.7</v>
      </c>
      <c r="AF58" s="560"/>
      <c r="AG58" s="561"/>
      <c r="AH58" s="451"/>
      <c r="AI58" s="560">
        <v>-3.5659999999999998</v>
      </c>
      <c r="AJ58" s="561">
        <v>-10.351000000000001</v>
      </c>
      <c r="AK58" s="610">
        <f>IF(AI58=0, "    ---- ", IF(ABS(ROUND(100/AI58*AJ58-100,1))&lt;999,ROUND(100/AI58*AJ58-100,1),IF(ROUND(100/AI58*AJ58-100,1)&gt;999,999,-999)))</f>
        <v>190.3</v>
      </c>
      <c r="AL58" s="614">
        <v>6.68</v>
      </c>
      <c r="AM58" s="615">
        <v>17.899999999999999</v>
      </c>
      <c r="AN58" s="451">
        <f>IF(AL58=0, "    ---- ", IF(ABS(ROUND(100/AL58*AM58-100,1))&lt;999,ROUND(100/AL58*AM58-100,1),IF(ROUND(100/AL58*AM58-100,1)&gt;999,999,-999)))</f>
        <v>168</v>
      </c>
      <c r="AO58" s="561">
        <f t="shared" si="4"/>
        <v>51.832999999999998</v>
      </c>
      <c r="AP58" s="561">
        <f t="shared" si="4"/>
        <v>91.288831389999984</v>
      </c>
      <c r="AQ58" s="451">
        <f t="shared" si="6"/>
        <v>76.099999999999994</v>
      </c>
      <c r="AR58" s="561">
        <f t="shared" si="5"/>
        <v>54.832999999999998</v>
      </c>
      <c r="AS58" s="561">
        <f t="shared" si="5"/>
        <v>92.288831389999984</v>
      </c>
      <c r="AT58" s="451">
        <f t="shared" si="7"/>
        <v>68.3</v>
      </c>
    </row>
    <row r="59" spans="1:46" s="515" customFormat="1" ht="18.75" customHeight="1" x14ac:dyDescent="0.3">
      <c r="A59" s="520"/>
      <c r="B59" s="618"/>
      <c r="C59" s="619"/>
      <c r="D59" s="619"/>
      <c r="E59" s="618"/>
      <c r="F59" s="619"/>
      <c r="G59" s="620"/>
      <c r="H59" s="618"/>
      <c r="I59" s="619"/>
      <c r="J59" s="621"/>
      <c r="K59" s="618"/>
      <c r="L59" s="619"/>
      <c r="M59" s="619"/>
      <c r="N59" s="618"/>
      <c r="O59" s="619"/>
      <c r="P59" s="621"/>
      <c r="Q59" s="618"/>
      <c r="R59" s="619"/>
      <c r="S59" s="621"/>
      <c r="T59" s="618"/>
      <c r="U59" s="619"/>
      <c r="V59" s="621"/>
      <c r="W59" s="618"/>
      <c r="X59" s="623"/>
      <c r="Y59" s="620"/>
      <c r="Z59" s="618"/>
      <c r="AA59" s="619"/>
      <c r="AB59" s="621"/>
      <c r="AC59" s="618"/>
      <c r="AD59" s="619"/>
      <c r="AE59" s="621"/>
      <c r="AF59" s="618"/>
      <c r="AG59" s="619"/>
      <c r="AH59" s="621"/>
      <c r="AI59" s="618"/>
      <c r="AJ59" s="619"/>
      <c r="AK59" s="620"/>
      <c r="AL59" s="622"/>
      <c r="AM59" s="623"/>
      <c r="AN59" s="621"/>
      <c r="AO59" s="619"/>
      <c r="AP59" s="619"/>
      <c r="AQ59" s="621"/>
      <c r="AR59" s="619"/>
      <c r="AS59" s="619"/>
      <c r="AT59" s="621"/>
    </row>
    <row r="60" spans="1:46" s="515" customFormat="1" ht="18.75" customHeight="1" x14ac:dyDescent="0.3">
      <c r="A60" s="624"/>
      <c r="B60" s="625"/>
      <c r="C60" s="626"/>
      <c r="D60" s="626"/>
      <c r="E60" s="625"/>
      <c r="F60" s="626"/>
      <c r="G60" s="627"/>
      <c r="H60" s="625"/>
      <c r="I60" s="626"/>
      <c r="J60" s="528"/>
      <c r="K60" s="625"/>
      <c r="L60" s="626"/>
      <c r="M60" s="626"/>
      <c r="N60" s="625"/>
      <c r="O60" s="626"/>
      <c r="P60" s="528"/>
      <c r="Q60" s="625"/>
      <c r="R60" s="626"/>
      <c r="S60" s="528"/>
      <c r="T60" s="625"/>
      <c r="U60" s="626"/>
      <c r="V60" s="528"/>
      <c r="W60" s="625"/>
      <c r="X60" s="629"/>
      <c r="Y60" s="627"/>
      <c r="Z60" s="625"/>
      <c r="AA60" s="626"/>
      <c r="AB60" s="528"/>
      <c r="AC60" s="625"/>
      <c r="AD60" s="626"/>
      <c r="AE60" s="528"/>
      <c r="AF60" s="625"/>
      <c r="AG60" s="626"/>
      <c r="AH60" s="528"/>
      <c r="AI60" s="625"/>
      <c r="AJ60" s="626"/>
      <c r="AK60" s="627"/>
      <c r="AL60" s="628"/>
      <c r="AM60" s="629"/>
      <c r="AN60" s="528"/>
      <c r="AO60" s="626"/>
      <c r="AP60" s="626"/>
      <c r="AQ60" s="528"/>
      <c r="AR60" s="626"/>
      <c r="AS60" s="626"/>
      <c r="AT60" s="528"/>
    </row>
    <row r="61" spans="1:46" s="513" customFormat="1" ht="18.75" customHeight="1" x14ac:dyDescent="0.3">
      <c r="A61" s="507" t="s">
        <v>446</v>
      </c>
      <c r="B61" s="603"/>
      <c r="C61" s="574"/>
      <c r="D61" s="574"/>
      <c r="E61" s="603"/>
      <c r="F61" s="574"/>
      <c r="G61" s="608"/>
      <c r="H61" s="603"/>
      <c r="I61" s="574"/>
      <c r="J61" s="558"/>
      <c r="K61" s="603"/>
      <c r="L61" s="574"/>
      <c r="M61" s="574"/>
      <c r="N61" s="603"/>
      <c r="O61" s="574"/>
      <c r="P61" s="558"/>
      <c r="Q61" s="603"/>
      <c r="R61" s="574"/>
      <c r="S61" s="558"/>
      <c r="T61" s="603"/>
      <c r="U61" s="574"/>
      <c r="V61" s="558"/>
      <c r="W61" s="603"/>
      <c r="X61" s="617"/>
      <c r="Y61" s="608"/>
      <c r="Z61" s="603"/>
      <c r="AA61" s="574"/>
      <c r="AB61" s="558"/>
      <c r="AC61" s="603"/>
      <c r="AD61" s="574"/>
      <c r="AE61" s="558"/>
      <c r="AF61" s="603"/>
      <c r="AG61" s="574"/>
      <c r="AH61" s="558"/>
      <c r="AI61" s="603"/>
      <c r="AJ61" s="574"/>
      <c r="AK61" s="608"/>
      <c r="AL61" s="616"/>
      <c r="AM61" s="617"/>
      <c r="AN61" s="558"/>
      <c r="AO61" s="574"/>
      <c r="AP61" s="574"/>
      <c r="AQ61" s="558"/>
      <c r="AR61" s="574"/>
      <c r="AS61" s="574"/>
      <c r="AT61" s="558"/>
    </row>
    <row r="62" spans="1:46" s="515" customFormat="1" ht="18.75" customHeight="1" x14ac:dyDescent="0.3">
      <c r="A62" s="509" t="s">
        <v>432</v>
      </c>
      <c r="B62" s="560"/>
      <c r="C62" s="561"/>
      <c r="D62" s="561"/>
      <c r="E62" s="560">
        <v>500.4</v>
      </c>
      <c r="F62" s="561">
        <f>219.859+16.551</f>
        <v>236.41</v>
      </c>
      <c r="G62" s="610">
        <f>IF(E62=0, "    ---- ", IF(ABS(ROUND(100/E62*F62-100,1))&lt;999,ROUND(100/E62*F62-100,1),IF(ROUND(100/E62*F62-100,1)&gt;999,999,-999)))</f>
        <v>-52.8</v>
      </c>
      <c r="H62" s="560"/>
      <c r="I62" s="561"/>
      <c r="J62" s="451"/>
      <c r="K62" s="560"/>
      <c r="L62" s="561"/>
      <c r="M62" s="561"/>
      <c r="N62" s="560"/>
      <c r="O62" s="561"/>
      <c r="P62" s="451"/>
      <c r="Q62" s="560"/>
      <c r="R62" s="561"/>
      <c r="S62" s="451"/>
      <c r="T62" s="560"/>
      <c r="U62" s="561"/>
      <c r="V62" s="451"/>
      <c r="W62" s="560">
        <v>11</v>
      </c>
      <c r="X62" s="615">
        <v>21.246069969000001</v>
      </c>
      <c r="Y62" s="610">
        <f t="shared" ref="Y62:Y108" si="8">IF(W62=0, "    ---- ", IF(ABS(ROUND(100/W62*X62-100,1))&lt;999,ROUND(100/W62*X62-100,1),IF(ROUND(100/W62*X62-100,1)&gt;999,999,-999)))</f>
        <v>93.1</v>
      </c>
      <c r="Z62" s="560"/>
      <c r="AA62" s="561"/>
      <c r="AB62" s="451"/>
      <c r="AC62" s="560"/>
      <c r="AD62" s="561"/>
      <c r="AE62" s="451"/>
      <c r="AF62" s="560"/>
      <c r="AG62" s="561"/>
      <c r="AH62" s="451"/>
      <c r="AI62" s="560">
        <v>42.235999999999997</v>
      </c>
      <c r="AJ62" s="561">
        <v>65.480999999999995</v>
      </c>
      <c r="AK62" s="610">
        <f t="shared" ref="AK62:AK108" si="9">IF(AI62=0, "    ---- ", IF(ABS(ROUND(100/AI62*AJ62-100,1))&lt;999,ROUND(100/AI62*AJ62-100,1),IF(ROUND(100/AI62*AJ62-100,1)&gt;999,999,-999)))</f>
        <v>55</v>
      </c>
      <c r="AL62" s="614">
        <v>152.27000000000001</v>
      </c>
      <c r="AM62" s="615">
        <v>341</v>
      </c>
      <c r="AN62" s="451">
        <f>IF(AL62=0, "    ---- ", IF(ABS(ROUND(100/AL62*AM62-100,1))&lt;999,ROUND(100/AL62*AM62-100,1),IF(ROUND(100/AL62*AM62-100,1)&gt;999,999,-999)))</f>
        <v>123.9</v>
      </c>
      <c r="AO62" s="561">
        <f t="shared" si="4"/>
        <v>705.90599999999995</v>
      </c>
      <c r="AP62" s="561">
        <f t="shared" si="4"/>
        <v>664.13706996899998</v>
      </c>
      <c r="AQ62" s="451">
        <f t="shared" si="6"/>
        <v>-5.9</v>
      </c>
      <c r="AR62" s="561">
        <f t="shared" si="5"/>
        <v>705.90599999999995</v>
      </c>
      <c r="AS62" s="561">
        <f t="shared" si="5"/>
        <v>664.13706996899998</v>
      </c>
      <c r="AT62" s="451">
        <f t="shared" si="7"/>
        <v>-5.9</v>
      </c>
    </row>
    <row r="63" spans="1:46" s="515" customFormat="1" ht="18.75" customHeight="1" x14ac:dyDescent="0.3">
      <c r="A63" s="509" t="s">
        <v>433</v>
      </c>
      <c r="B63" s="560"/>
      <c r="C63" s="561"/>
      <c r="D63" s="561"/>
      <c r="E63" s="560">
        <v>-10</v>
      </c>
      <c r="F63" s="561">
        <v>0</v>
      </c>
      <c r="G63" s="610">
        <f>IF(E63=0, "    ---- ", IF(ABS(ROUND(100/E63*F63-100,1))&lt;999,ROUND(100/E63*F63-100,1),IF(ROUND(100/E63*F63-100,1)&gt;999,999,-999)))</f>
        <v>-100</v>
      </c>
      <c r="H63" s="560"/>
      <c r="I63" s="561"/>
      <c r="J63" s="451"/>
      <c r="K63" s="560"/>
      <c r="L63" s="561"/>
      <c r="M63" s="561"/>
      <c r="N63" s="560"/>
      <c r="O63" s="561"/>
      <c r="P63" s="451"/>
      <c r="Q63" s="560"/>
      <c r="R63" s="561"/>
      <c r="S63" s="451"/>
      <c r="T63" s="560"/>
      <c r="U63" s="561"/>
      <c r="V63" s="451"/>
      <c r="W63" s="560">
        <v>-11</v>
      </c>
      <c r="X63" s="615">
        <v>-21.246069969000001</v>
      </c>
      <c r="Y63" s="610">
        <f t="shared" si="8"/>
        <v>93.1</v>
      </c>
      <c r="Z63" s="560"/>
      <c r="AA63" s="561"/>
      <c r="AB63" s="451"/>
      <c r="AC63" s="560"/>
      <c r="AD63" s="561"/>
      <c r="AE63" s="451"/>
      <c r="AF63" s="560"/>
      <c r="AG63" s="561"/>
      <c r="AH63" s="451"/>
      <c r="AI63" s="560"/>
      <c r="AJ63" s="561"/>
      <c r="AK63" s="610"/>
      <c r="AL63" s="614">
        <v>-117.2</v>
      </c>
      <c r="AM63" s="615"/>
      <c r="AN63" s="451">
        <f>IF(AL63=0, "    ---- ", IF(ABS(ROUND(100/AL63*AM63-100,1))&lt;999,ROUND(100/AL63*AM63-100,1),IF(ROUND(100/AL63*AM63-100,1)&gt;999,999,-999)))</f>
        <v>-100</v>
      </c>
      <c r="AO63" s="561">
        <f t="shared" si="4"/>
        <v>-138.19999999999999</v>
      </c>
      <c r="AP63" s="561">
        <f t="shared" si="4"/>
        <v>-21.246069969000001</v>
      </c>
      <c r="AQ63" s="451">
        <f t="shared" si="6"/>
        <v>-84.6</v>
      </c>
      <c r="AR63" s="561">
        <f t="shared" si="5"/>
        <v>-138.19999999999999</v>
      </c>
      <c r="AS63" s="561">
        <f t="shared" si="5"/>
        <v>-21.246069969000001</v>
      </c>
      <c r="AT63" s="451">
        <f t="shared" si="7"/>
        <v>-84.6</v>
      </c>
    </row>
    <row r="64" spans="1:46" s="515" customFormat="1" ht="18.75" customHeight="1" x14ac:dyDescent="0.3">
      <c r="A64" s="509" t="s">
        <v>434</v>
      </c>
      <c r="B64" s="560"/>
      <c r="C64" s="561"/>
      <c r="D64" s="561"/>
      <c r="E64" s="560">
        <v>94.4</v>
      </c>
      <c r="F64" s="561">
        <f>100.126+11.907</f>
        <v>112.033</v>
      </c>
      <c r="G64" s="610">
        <f>IF(E64=0, "    ---- ", IF(ABS(ROUND(100/E64*F64-100,1))&lt;999,ROUND(100/E64*F64-100,1),IF(ROUND(100/E64*F64-100,1)&gt;999,999,-999)))</f>
        <v>18.7</v>
      </c>
      <c r="H64" s="560"/>
      <c r="I64" s="561"/>
      <c r="J64" s="451"/>
      <c r="K64" s="560"/>
      <c r="L64" s="561"/>
      <c r="M64" s="561"/>
      <c r="N64" s="560"/>
      <c r="O64" s="561"/>
      <c r="P64" s="451"/>
      <c r="Q64" s="560"/>
      <c r="R64" s="561"/>
      <c r="S64" s="451"/>
      <c r="T64" s="560"/>
      <c r="U64" s="561"/>
      <c r="V64" s="451"/>
      <c r="W64" s="560">
        <v>-1</v>
      </c>
      <c r="X64" s="615">
        <v>-9.6508923739999997</v>
      </c>
      <c r="Y64" s="610">
        <f t="shared" si="8"/>
        <v>865.1</v>
      </c>
      <c r="Z64" s="560"/>
      <c r="AA64" s="561"/>
      <c r="AB64" s="451"/>
      <c r="AC64" s="560"/>
      <c r="AD64" s="561"/>
      <c r="AE64" s="451"/>
      <c r="AF64" s="560"/>
      <c r="AG64" s="561"/>
      <c r="AH64" s="451"/>
      <c r="AI64" s="560">
        <v>-9.2590000000000003</v>
      </c>
      <c r="AJ64" s="561">
        <v>-10.412000000000001</v>
      </c>
      <c r="AK64" s="610">
        <f t="shared" si="9"/>
        <v>12.5</v>
      </c>
      <c r="AL64" s="614">
        <v>-44.77</v>
      </c>
      <c r="AM64" s="615">
        <v>-9</v>
      </c>
      <c r="AN64" s="451">
        <f>IF(AL64=0, "    ---- ", IF(ABS(ROUND(100/AL64*AM64-100,1))&lt;999,ROUND(100/AL64*AM64-100,1),IF(ROUND(100/AL64*AM64-100,1)&gt;999,999,-999)))</f>
        <v>-79.900000000000006</v>
      </c>
      <c r="AO64" s="561">
        <f t="shared" si="4"/>
        <v>39.371000000000002</v>
      </c>
      <c r="AP64" s="561">
        <f t="shared" si="4"/>
        <v>82.970107626000001</v>
      </c>
      <c r="AQ64" s="451">
        <f t="shared" si="6"/>
        <v>110.7</v>
      </c>
      <c r="AR64" s="561">
        <f t="shared" si="5"/>
        <v>39.371000000000002</v>
      </c>
      <c r="AS64" s="561">
        <f t="shared" si="5"/>
        <v>82.970107626000001</v>
      </c>
      <c r="AT64" s="451">
        <f t="shared" si="7"/>
        <v>110.7</v>
      </c>
    </row>
    <row r="65" spans="1:46" s="515" customFormat="1" ht="18.75" customHeight="1" x14ac:dyDescent="0.3">
      <c r="A65" s="509" t="s">
        <v>435</v>
      </c>
      <c r="B65" s="560"/>
      <c r="C65" s="561"/>
      <c r="D65" s="561"/>
      <c r="E65" s="560"/>
      <c r="F65" s="561"/>
      <c r="G65" s="610"/>
      <c r="H65" s="560"/>
      <c r="I65" s="561"/>
      <c r="J65" s="451"/>
      <c r="K65" s="560"/>
      <c r="L65" s="561"/>
      <c r="M65" s="561"/>
      <c r="N65" s="560"/>
      <c r="O65" s="561"/>
      <c r="P65" s="451"/>
      <c r="Q65" s="560"/>
      <c r="R65" s="561"/>
      <c r="S65" s="451"/>
      <c r="T65" s="560"/>
      <c r="U65" s="561"/>
      <c r="V65" s="451"/>
      <c r="W65" s="560"/>
      <c r="X65" s="615"/>
      <c r="Y65" s="610"/>
      <c r="Z65" s="560"/>
      <c r="AA65" s="561"/>
      <c r="AB65" s="451"/>
      <c r="AC65" s="560"/>
      <c r="AD65" s="561"/>
      <c r="AE65" s="451"/>
      <c r="AF65" s="560"/>
      <c r="AG65" s="561"/>
      <c r="AH65" s="451"/>
      <c r="AI65" s="560"/>
      <c r="AJ65" s="561"/>
      <c r="AK65" s="610"/>
      <c r="AL65" s="614"/>
      <c r="AM65" s="615"/>
      <c r="AN65" s="451"/>
      <c r="AO65" s="561">
        <f t="shared" si="4"/>
        <v>0</v>
      </c>
      <c r="AP65" s="561">
        <f t="shared" si="4"/>
        <v>0</v>
      </c>
      <c r="AQ65" s="451" t="str">
        <f t="shared" si="6"/>
        <v xml:space="preserve">    ---- </v>
      </c>
      <c r="AR65" s="561">
        <f t="shared" si="5"/>
        <v>0</v>
      </c>
      <c r="AS65" s="561">
        <f t="shared" si="5"/>
        <v>0</v>
      </c>
      <c r="AT65" s="451" t="str">
        <f t="shared" si="7"/>
        <v xml:space="preserve">    ---- </v>
      </c>
    </row>
    <row r="66" spans="1:46" s="515" customFormat="1" ht="18.75" customHeight="1" x14ac:dyDescent="0.3">
      <c r="A66" s="509" t="s">
        <v>436</v>
      </c>
      <c r="B66" s="560"/>
      <c r="C66" s="561"/>
      <c r="D66" s="561"/>
      <c r="E66" s="560"/>
      <c r="F66" s="561"/>
      <c r="G66" s="610"/>
      <c r="H66" s="560"/>
      <c r="I66" s="561"/>
      <c r="J66" s="451"/>
      <c r="K66" s="560"/>
      <c r="L66" s="561"/>
      <c r="M66" s="561"/>
      <c r="N66" s="560"/>
      <c r="O66" s="561"/>
      <c r="P66" s="451"/>
      <c r="Q66" s="560"/>
      <c r="R66" s="561"/>
      <c r="S66" s="451"/>
      <c r="T66" s="560"/>
      <c r="U66" s="561"/>
      <c r="V66" s="451"/>
      <c r="W66" s="560"/>
      <c r="X66" s="615"/>
      <c r="Y66" s="610"/>
      <c r="Z66" s="560"/>
      <c r="AA66" s="561"/>
      <c r="AB66" s="451"/>
      <c r="AC66" s="560"/>
      <c r="AD66" s="561"/>
      <c r="AE66" s="451"/>
      <c r="AF66" s="560"/>
      <c r="AG66" s="561"/>
      <c r="AH66" s="451"/>
      <c r="AI66" s="560"/>
      <c r="AJ66" s="561"/>
      <c r="AK66" s="610"/>
      <c r="AL66" s="614"/>
      <c r="AM66" s="615"/>
      <c r="AN66" s="451"/>
      <c r="AO66" s="561">
        <f t="shared" si="4"/>
        <v>0</v>
      </c>
      <c r="AP66" s="561">
        <f t="shared" si="4"/>
        <v>0</v>
      </c>
      <c r="AQ66" s="451" t="str">
        <f t="shared" si="6"/>
        <v xml:space="preserve">    ---- </v>
      </c>
      <c r="AR66" s="561">
        <f t="shared" si="5"/>
        <v>0</v>
      </c>
      <c r="AS66" s="561">
        <f t="shared" si="5"/>
        <v>0</v>
      </c>
      <c r="AT66" s="451" t="str">
        <f t="shared" si="7"/>
        <v xml:space="preserve">    ---- </v>
      </c>
    </row>
    <row r="67" spans="1:46" s="515" customFormat="1" ht="18.75" customHeight="1" x14ac:dyDescent="0.3">
      <c r="A67" s="509" t="s">
        <v>437</v>
      </c>
      <c r="B67" s="560"/>
      <c r="C67" s="561"/>
      <c r="D67" s="561"/>
      <c r="E67" s="560">
        <v>100</v>
      </c>
      <c r="F67" s="561">
        <f>87.856+11.641</f>
        <v>99.497</v>
      </c>
      <c r="G67" s="610">
        <f>IF(E67=0, "    ---- ", IF(ABS(ROUND(100/E67*F67-100,1))&lt;999,ROUND(100/E67*F67-100,1),IF(ROUND(100/E67*F67-100,1)&gt;999,999,-999)))</f>
        <v>-0.5</v>
      </c>
      <c r="H67" s="560"/>
      <c r="I67" s="561"/>
      <c r="J67" s="451"/>
      <c r="K67" s="560"/>
      <c r="L67" s="561"/>
      <c r="M67" s="561"/>
      <c r="N67" s="560"/>
      <c r="O67" s="561"/>
      <c r="P67" s="451"/>
      <c r="Q67" s="560"/>
      <c r="R67" s="561"/>
      <c r="S67" s="451"/>
      <c r="T67" s="560"/>
      <c r="U67" s="561"/>
      <c r="V67" s="451"/>
      <c r="W67" s="560">
        <v>13</v>
      </c>
      <c r="X67" s="615">
        <v>9.2254531869999994</v>
      </c>
      <c r="Y67" s="610">
        <f t="shared" si="8"/>
        <v>-29</v>
      </c>
      <c r="Z67" s="560"/>
      <c r="AA67" s="561"/>
      <c r="AB67" s="451"/>
      <c r="AC67" s="560"/>
      <c r="AD67" s="561"/>
      <c r="AE67" s="451"/>
      <c r="AF67" s="560"/>
      <c r="AG67" s="561"/>
      <c r="AH67" s="451"/>
      <c r="AI67" s="560">
        <v>1.331</v>
      </c>
      <c r="AJ67" s="561">
        <v>2.323</v>
      </c>
      <c r="AK67" s="610">
        <f t="shared" si="9"/>
        <v>74.5</v>
      </c>
      <c r="AL67" s="614">
        <v>58.13</v>
      </c>
      <c r="AM67" s="615">
        <v>54</v>
      </c>
      <c r="AN67" s="451">
        <f>IF(AL67=0, "    ---- ", IF(ABS(ROUND(100/AL67*AM67-100,1))&lt;999,ROUND(100/AL67*AM67-100,1),IF(ROUND(100/AL67*AM67-100,1)&gt;999,999,-999)))</f>
        <v>-7.1</v>
      </c>
      <c r="AO67" s="561">
        <f t="shared" si="4"/>
        <v>172.46100000000001</v>
      </c>
      <c r="AP67" s="561">
        <f t="shared" si="4"/>
        <v>165.04545318699999</v>
      </c>
      <c r="AQ67" s="451">
        <f t="shared" si="6"/>
        <v>-4.3</v>
      </c>
      <c r="AR67" s="561">
        <f t="shared" si="5"/>
        <v>172.46100000000001</v>
      </c>
      <c r="AS67" s="561">
        <f t="shared" si="5"/>
        <v>165.04545318699999</v>
      </c>
      <c r="AT67" s="451">
        <f t="shared" si="7"/>
        <v>-4.3</v>
      </c>
    </row>
    <row r="68" spans="1:46" s="515" customFormat="1" ht="18.75" customHeight="1" x14ac:dyDescent="0.3">
      <c r="A68" s="509" t="s">
        <v>438</v>
      </c>
      <c r="B68" s="560"/>
      <c r="C68" s="561"/>
      <c r="D68" s="561"/>
      <c r="E68" s="560"/>
      <c r="F68" s="561"/>
      <c r="G68" s="610"/>
      <c r="H68" s="560"/>
      <c r="I68" s="561"/>
      <c r="J68" s="451"/>
      <c r="K68" s="560"/>
      <c r="L68" s="561"/>
      <c r="M68" s="561"/>
      <c r="N68" s="560"/>
      <c r="O68" s="561"/>
      <c r="P68" s="451"/>
      <c r="Q68" s="560"/>
      <c r="R68" s="561"/>
      <c r="S68" s="451"/>
      <c r="T68" s="560"/>
      <c r="U68" s="561"/>
      <c r="V68" s="451"/>
      <c r="W68" s="560"/>
      <c r="X68" s="615"/>
      <c r="Y68" s="610"/>
      <c r="Z68" s="560"/>
      <c r="AA68" s="561"/>
      <c r="AB68" s="451"/>
      <c r="AC68" s="560"/>
      <c r="AD68" s="561"/>
      <c r="AE68" s="451"/>
      <c r="AF68" s="560"/>
      <c r="AG68" s="561"/>
      <c r="AH68" s="451"/>
      <c r="AI68" s="560"/>
      <c r="AJ68" s="561"/>
      <c r="AK68" s="610"/>
      <c r="AL68" s="614"/>
      <c r="AM68" s="615"/>
      <c r="AN68" s="451"/>
      <c r="AO68" s="561">
        <f t="shared" si="4"/>
        <v>0</v>
      </c>
      <c r="AP68" s="561">
        <f t="shared" si="4"/>
        <v>0</v>
      </c>
      <c r="AQ68" s="451" t="str">
        <f t="shared" si="6"/>
        <v xml:space="preserve">    ---- </v>
      </c>
      <c r="AR68" s="561">
        <f t="shared" si="5"/>
        <v>0</v>
      </c>
      <c r="AS68" s="561">
        <f t="shared" si="5"/>
        <v>0</v>
      </c>
      <c r="AT68" s="451" t="str">
        <f t="shared" si="7"/>
        <v xml:space="preserve">    ---- </v>
      </c>
    </row>
    <row r="69" spans="1:46" s="515" customFormat="1" ht="18.75" customHeight="1" x14ac:dyDescent="0.3">
      <c r="A69" s="509" t="s">
        <v>439</v>
      </c>
      <c r="B69" s="560"/>
      <c r="C69" s="561"/>
      <c r="D69" s="561"/>
      <c r="E69" s="560"/>
      <c r="F69" s="561"/>
      <c r="G69" s="610"/>
      <c r="H69" s="560"/>
      <c r="I69" s="561"/>
      <c r="J69" s="451"/>
      <c r="K69" s="560"/>
      <c r="L69" s="561"/>
      <c r="M69" s="561"/>
      <c r="N69" s="560"/>
      <c r="O69" s="561"/>
      <c r="P69" s="451"/>
      <c r="Q69" s="560"/>
      <c r="R69" s="561"/>
      <c r="S69" s="451"/>
      <c r="T69" s="560"/>
      <c r="U69" s="561"/>
      <c r="V69" s="451"/>
      <c r="W69" s="560"/>
      <c r="X69" s="615"/>
      <c r="Y69" s="610"/>
      <c r="Z69" s="560"/>
      <c r="AA69" s="561"/>
      <c r="AB69" s="451"/>
      <c r="AC69" s="560"/>
      <c r="AD69" s="561"/>
      <c r="AE69" s="451"/>
      <c r="AF69" s="560"/>
      <c r="AG69" s="561"/>
      <c r="AH69" s="451"/>
      <c r="AI69" s="560"/>
      <c r="AJ69" s="561"/>
      <c r="AK69" s="610"/>
      <c r="AL69" s="614">
        <v>-3.05</v>
      </c>
      <c r="AM69" s="615">
        <v>-1</v>
      </c>
      <c r="AN69" s="451">
        <f>IF(AL69=0, "    ---- ", IF(ABS(ROUND(100/AL69*AM69-100,1))&lt;999,ROUND(100/AL69*AM69-100,1),IF(ROUND(100/AL69*AM69-100,1)&gt;999,999,-999)))</f>
        <v>-67.2</v>
      </c>
      <c r="AO69" s="561">
        <f t="shared" si="4"/>
        <v>-3.05</v>
      </c>
      <c r="AP69" s="561">
        <f t="shared" si="4"/>
        <v>-1</v>
      </c>
      <c r="AQ69" s="451">
        <f t="shared" si="6"/>
        <v>-67.2</v>
      </c>
      <c r="AR69" s="561">
        <f t="shared" si="5"/>
        <v>-3.05</v>
      </c>
      <c r="AS69" s="561">
        <f t="shared" si="5"/>
        <v>-1</v>
      </c>
      <c r="AT69" s="451">
        <f t="shared" si="7"/>
        <v>-67.2</v>
      </c>
    </row>
    <row r="70" spans="1:46" s="513" customFormat="1" ht="18.75" customHeight="1" x14ac:dyDescent="0.3">
      <c r="A70" s="507" t="s">
        <v>440</v>
      </c>
      <c r="B70" s="603"/>
      <c r="C70" s="574"/>
      <c r="D70" s="574"/>
      <c r="E70" s="574">
        <f>SUM(E62:E67)+E69</f>
        <v>684.8</v>
      </c>
      <c r="F70" s="574">
        <f>SUM(F62:F67)+F69</f>
        <v>447.94</v>
      </c>
      <c r="G70" s="608">
        <f>IF(E70=0, "    ---- ", IF(ABS(ROUND(100/E70*F70-100,1))&lt;999,ROUND(100/E70*F70-100,1),IF(ROUND(100/E70*F70-100,1)&gt;999,999,-999)))</f>
        <v>-34.6</v>
      </c>
      <c r="H70" s="603"/>
      <c r="I70" s="574"/>
      <c r="J70" s="558"/>
      <c r="K70" s="603"/>
      <c r="L70" s="574"/>
      <c r="M70" s="574"/>
      <c r="N70" s="603"/>
      <c r="O70" s="574"/>
      <c r="P70" s="558"/>
      <c r="Q70" s="603"/>
      <c r="R70" s="574"/>
      <c r="S70" s="558"/>
      <c r="T70" s="603"/>
      <c r="U70" s="574"/>
      <c r="V70" s="558"/>
      <c r="W70" s="603">
        <v>12</v>
      </c>
      <c r="X70" s="617">
        <f>SUM(X62:X67)+X69</f>
        <v>-0.42543918700000027</v>
      </c>
      <c r="Y70" s="608">
        <f t="shared" si="8"/>
        <v>-103.5</v>
      </c>
      <c r="Z70" s="603"/>
      <c r="AA70" s="574"/>
      <c r="AB70" s="558"/>
      <c r="AC70" s="603"/>
      <c r="AD70" s="574"/>
      <c r="AE70" s="558"/>
      <c r="AF70" s="603"/>
      <c r="AG70" s="574"/>
      <c r="AH70" s="558"/>
      <c r="AI70" s="603">
        <v>34.308</v>
      </c>
      <c r="AJ70" s="574">
        <f>SUM(AJ62:AJ67)+AJ69</f>
        <v>57.391999999999996</v>
      </c>
      <c r="AK70" s="608">
        <f t="shared" si="9"/>
        <v>67.3</v>
      </c>
      <c r="AL70" s="616">
        <v>45.38000000000001</v>
      </c>
      <c r="AM70" s="617">
        <f>SUM(AM62:AM67)+AM69</f>
        <v>385</v>
      </c>
      <c r="AN70" s="558">
        <f>IF(AL70=0, "    ---- ", IF(ABS(ROUND(100/AL70*AM70-100,1))&lt;999,ROUND(100/AL70*AM70-100,1),IF(ROUND(100/AL70*AM70-100,1)&gt;999,999,-999)))</f>
        <v>748.4</v>
      </c>
      <c r="AO70" s="574">
        <f t="shared" si="4"/>
        <v>776.48799999999994</v>
      </c>
      <c r="AP70" s="574">
        <f t="shared" si="4"/>
        <v>889.90656081299994</v>
      </c>
      <c r="AQ70" s="558">
        <f t="shared" si="6"/>
        <v>14.6</v>
      </c>
      <c r="AR70" s="574">
        <f t="shared" si="5"/>
        <v>776.48799999999994</v>
      </c>
      <c r="AS70" s="574">
        <f t="shared" si="5"/>
        <v>889.90656081299994</v>
      </c>
      <c r="AT70" s="558">
        <f t="shared" si="7"/>
        <v>14.6</v>
      </c>
    </row>
    <row r="71" spans="1:46" s="515" customFormat="1" ht="18.75" customHeight="1" x14ac:dyDescent="0.3">
      <c r="A71" s="509" t="s">
        <v>441</v>
      </c>
      <c r="B71" s="560"/>
      <c r="C71" s="561"/>
      <c r="D71" s="561"/>
      <c r="E71" s="560">
        <v>445</v>
      </c>
      <c r="F71" s="561">
        <f>265.097+26.064</f>
        <v>291.161</v>
      </c>
      <c r="G71" s="610">
        <f>IF(E71=0, "    ---- ", IF(ABS(ROUND(100/E71*F71-100,1))&lt;999,ROUND(100/E71*F71-100,1),IF(ROUND(100/E71*F71-100,1)&gt;999,999,-999)))</f>
        <v>-34.6</v>
      </c>
      <c r="H71" s="560"/>
      <c r="I71" s="561"/>
      <c r="J71" s="451"/>
      <c r="K71" s="560"/>
      <c r="L71" s="561"/>
      <c r="M71" s="561"/>
      <c r="N71" s="560"/>
      <c r="O71" s="561"/>
      <c r="P71" s="451"/>
      <c r="Q71" s="560"/>
      <c r="R71" s="561"/>
      <c r="S71" s="451"/>
      <c r="T71" s="560"/>
      <c r="U71" s="561"/>
      <c r="V71" s="451"/>
      <c r="W71" s="560">
        <v>8</v>
      </c>
      <c r="X71" s="615">
        <v>0</v>
      </c>
      <c r="Y71" s="610">
        <f t="shared" si="8"/>
        <v>-100</v>
      </c>
      <c r="Z71" s="560"/>
      <c r="AA71" s="561"/>
      <c r="AB71" s="451"/>
      <c r="AC71" s="560"/>
      <c r="AD71" s="561"/>
      <c r="AE71" s="451"/>
      <c r="AF71" s="560"/>
      <c r="AG71" s="561"/>
      <c r="AH71" s="451"/>
      <c r="AI71" s="560">
        <v>22.3</v>
      </c>
      <c r="AJ71" s="561">
        <v>37.305</v>
      </c>
      <c r="AK71" s="610">
        <f t="shared" si="9"/>
        <v>67.3</v>
      </c>
      <c r="AL71" s="614">
        <v>9.7100000000000009</v>
      </c>
      <c r="AM71" s="615">
        <v>315</v>
      </c>
      <c r="AN71" s="451">
        <f>IF(AL71=0, "    ---- ", IF(ABS(ROUND(100/AL71*AM71-100,1))&lt;999,ROUND(100/AL71*AM71-100,1),IF(ROUND(100/AL71*AM71-100,1)&gt;999,999,-999)))</f>
        <v>999</v>
      </c>
      <c r="AO71" s="561">
        <f t="shared" si="4"/>
        <v>485.01</v>
      </c>
      <c r="AP71" s="561">
        <f t="shared" si="4"/>
        <v>643.46600000000001</v>
      </c>
      <c r="AQ71" s="451">
        <f t="shared" si="6"/>
        <v>32.700000000000003</v>
      </c>
      <c r="AR71" s="561">
        <f t="shared" si="5"/>
        <v>485.01</v>
      </c>
      <c r="AS71" s="561">
        <f t="shared" si="5"/>
        <v>643.46600000000001</v>
      </c>
      <c r="AT71" s="451">
        <f t="shared" si="7"/>
        <v>32.700000000000003</v>
      </c>
    </row>
    <row r="72" spans="1:46" s="515" customFormat="1" ht="18.75" customHeight="1" x14ac:dyDescent="0.3">
      <c r="A72" s="509" t="s">
        <v>442</v>
      </c>
      <c r="B72" s="560"/>
      <c r="C72" s="561"/>
      <c r="D72" s="561"/>
      <c r="E72" s="560">
        <v>240</v>
      </c>
      <c r="F72" s="561">
        <f>142.745+14.034</f>
        <v>156.779</v>
      </c>
      <c r="G72" s="610">
        <f>IF(E72=0, "    ---- ", IF(ABS(ROUND(100/E72*F72-100,1))&lt;999,ROUND(100/E72*F72-100,1),IF(ROUND(100/E72*F72-100,1)&gt;999,999,-999)))</f>
        <v>-34.700000000000003</v>
      </c>
      <c r="H72" s="560"/>
      <c r="I72" s="561"/>
      <c r="J72" s="451"/>
      <c r="K72" s="560"/>
      <c r="L72" s="561"/>
      <c r="M72" s="561"/>
      <c r="N72" s="560"/>
      <c r="O72" s="561"/>
      <c r="P72" s="451"/>
      <c r="Q72" s="560"/>
      <c r="R72" s="561"/>
      <c r="S72" s="451"/>
      <c r="T72" s="560"/>
      <c r="U72" s="561"/>
      <c r="V72" s="451"/>
      <c r="W72" s="560">
        <v>4</v>
      </c>
      <c r="X72" s="615">
        <v>-0.42543918700000027</v>
      </c>
      <c r="Y72" s="610">
        <f t="shared" si="8"/>
        <v>-110.6</v>
      </c>
      <c r="Z72" s="560"/>
      <c r="AA72" s="561"/>
      <c r="AB72" s="451"/>
      <c r="AC72" s="560"/>
      <c r="AD72" s="561"/>
      <c r="AE72" s="451"/>
      <c r="AF72" s="560"/>
      <c r="AG72" s="561"/>
      <c r="AH72" s="451"/>
      <c r="AI72" s="560">
        <v>12.007999999999999</v>
      </c>
      <c r="AJ72" s="561">
        <v>20.087</v>
      </c>
      <c r="AK72" s="610">
        <f>IF(AI72=0, "    ---- ", IF(ABS(ROUND(100/AI72*AJ72-100,1))&lt;999,ROUND(100/AI72*AJ72-100,1),IF(ROUND(100/AI72*AJ72-100,1)&gt;999,999,-999)))</f>
        <v>67.3</v>
      </c>
      <c r="AL72" s="614">
        <v>35.67</v>
      </c>
      <c r="AM72" s="615">
        <v>70</v>
      </c>
      <c r="AN72" s="451">
        <f>IF(AL72=0, "    ---- ", IF(ABS(ROUND(100/AL72*AM72-100,1))&lt;999,ROUND(100/AL72*AM72-100,1),IF(ROUND(100/AL72*AM72-100,1)&gt;999,999,-999)))</f>
        <v>96.2</v>
      </c>
      <c r="AO72" s="561">
        <f t="shared" si="4"/>
        <v>291.678</v>
      </c>
      <c r="AP72" s="561">
        <f t="shared" si="4"/>
        <v>246.44056081299999</v>
      </c>
      <c r="AQ72" s="451">
        <f t="shared" si="6"/>
        <v>-15.5</v>
      </c>
      <c r="AR72" s="561">
        <f t="shared" si="5"/>
        <v>291.678</v>
      </c>
      <c r="AS72" s="561">
        <f t="shared" si="5"/>
        <v>246.44056081299999</v>
      </c>
      <c r="AT72" s="451">
        <f t="shared" si="7"/>
        <v>-15.5</v>
      </c>
    </row>
    <row r="73" spans="1:46" s="513" customFormat="1" ht="18.75" customHeight="1" x14ac:dyDescent="0.3">
      <c r="A73" s="507" t="s">
        <v>447</v>
      </c>
      <c r="B73" s="603"/>
      <c r="C73" s="574"/>
      <c r="D73" s="574"/>
      <c r="E73" s="603"/>
      <c r="F73" s="574"/>
      <c r="G73" s="608"/>
      <c r="H73" s="603"/>
      <c r="I73" s="574"/>
      <c r="J73" s="558"/>
      <c r="K73" s="603"/>
      <c r="L73" s="574"/>
      <c r="M73" s="574"/>
      <c r="N73" s="603"/>
      <c r="O73" s="574"/>
      <c r="P73" s="558"/>
      <c r="Q73" s="603"/>
      <c r="R73" s="574"/>
      <c r="S73" s="558"/>
      <c r="T73" s="603"/>
      <c r="U73" s="574"/>
      <c r="V73" s="558"/>
      <c r="W73" s="603"/>
      <c r="X73" s="617"/>
      <c r="Y73" s="608"/>
      <c r="Z73" s="603"/>
      <c r="AA73" s="574"/>
      <c r="AB73" s="558"/>
      <c r="AC73" s="603"/>
      <c r="AD73" s="574"/>
      <c r="AE73" s="558"/>
      <c r="AF73" s="603"/>
      <c r="AG73" s="574"/>
      <c r="AH73" s="558"/>
      <c r="AI73" s="603"/>
      <c r="AJ73" s="574"/>
      <c r="AK73" s="608"/>
      <c r="AL73" s="616"/>
      <c r="AM73" s="617"/>
      <c r="AN73" s="558"/>
      <c r="AO73" s="574"/>
      <c r="AP73" s="574"/>
      <c r="AQ73" s="558"/>
      <c r="AR73" s="574"/>
      <c r="AS73" s="574"/>
      <c r="AT73" s="558"/>
    </row>
    <row r="74" spans="1:46" s="515" customFormat="1" ht="18.75" customHeight="1" x14ac:dyDescent="0.3">
      <c r="A74" s="509" t="s">
        <v>432</v>
      </c>
      <c r="B74" s="560">
        <v>0</v>
      </c>
      <c r="C74" s="561">
        <v>-1.2999999999999999E-2</v>
      </c>
      <c r="D74" s="610" t="str">
        <f>IF(B74=0, "    ---- ", IF(ABS(ROUND(100/B74*C74-100,1))&lt;999,ROUND(100/B74*C74-100,1),IF(ROUND(100/B74*C74-100,1)&gt;999,999,-999)))</f>
        <v xml:space="preserve">    ---- </v>
      </c>
      <c r="E74" s="560">
        <v>72</v>
      </c>
      <c r="F74" s="561">
        <v>44.191000000000003</v>
      </c>
      <c r="G74" s="610">
        <f t="shared" ref="G74:G79" si="10">IF(E74=0, "    ---- ", IF(ABS(ROUND(100/E74*F74-100,1))&lt;999,ROUND(100/E74*F74-100,1),IF(ROUND(100/E74*F74-100,1)&gt;999,999,-999)))</f>
        <v>-38.6</v>
      </c>
      <c r="H74" s="560"/>
      <c r="I74" s="561"/>
      <c r="J74" s="451"/>
      <c r="K74" s="560"/>
      <c r="L74" s="561"/>
      <c r="M74" s="561"/>
      <c r="N74" s="560"/>
      <c r="O74" s="561"/>
      <c r="P74" s="451"/>
      <c r="Q74" s="560"/>
      <c r="R74" s="561"/>
      <c r="S74" s="451"/>
      <c r="T74" s="560"/>
      <c r="U74" s="561"/>
      <c r="V74" s="451"/>
      <c r="W74" s="560">
        <v>4</v>
      </c>
      <c r="X74" s="615">
        <v>7.7134631669999996</v>
      </c>
      <c r="Y74" s="610">
        <f t="shared" si="8"/>
        <v>92.8</v>
      </c>
      <c r="Z74" s="560"/>
      <c r="AA74" s="561"/>
      <c r="AB74" s="451"/>
      <c r="AC74" s="560"/>
      <c r="AD74" s="561"/>
      <c r="AE74" s="451"/>
      <c r="AF74" s="560"/>
      <c r="AG74" s="561"/>
      <c r="AH74" s="451"/>
      <c r="AI74" s="560">
        <v>-8.1000000000000003E-2</v>
      </c>
      <c r="AJ74" s="561">
        <v>1.0229999999999999</v>
      </c>
      <c r="AK74" s="610">
        <f t="shared" si="9"/>
        <v>-999</v>
      </c>
      <c r="AL74" s="614"/>
      <c r="AM74" s="615"/>
      <c r="AN74" s="451"/>
      <c r="AO74" s="561">
        <f t="shared" si="4"/>
        <v>75.918999999999997</v>
      </c>
      <c r="AP74" s="561">
        <f t="shared" si="4"/>
        <v>52.914463167000008</v>
      </c>
      <c r="AQ74" s="451">
        <f t="shared" si="6"/>
        <v>-30.3</v>
      </c>
      <c r="AR74" s="561">
        <f t="shared" si="5"/>
        <v>75.918999999999997</v>
      </c>
      <c r="AS74" s="561">
        <f t="shared" si="5"/>
        <v>52.914463167000008</v>
      </c>
      <c r="AT74" s="451">
        <f t="shared" si="7"/>
        <v>-30.3</v>
      </c>
    </row>
    <row r="75" spans="1:46" s="515" customFormat="1" ht="18.75" customHeight="1" x14ac:dyDescent="0.3">
      <c r="A75" s="509" t="s">
        <v>433</v>
      </c>
      <c r="B75" s="560"/>
      <c r="C75" s="561"/>
      <c r="D75" s="561"/>
      <c r="E75" s="560">
        <v>-40</v>
      </c>
      <c r="F75" s="561">
        <v>-44.191000000000003</v>
      </c>
      <c r="G75" s="610">
        <f t="shared" si="10"/>
        <v>10.5</v>
      </c>
      <c r="H75" s="560"/>
      <c r="I75" s="561"/>
      <c r="J75" s="451"/>
      <c r="K75" s="560"/>
      <c r="L75" s="561"/>
      <c r="M75" s="561"/>
      <c r="N75" s="560"/>
      <c r="O75" s="561"/>
      <c r="P75" s="451"/>
      <c r="Q75" s="560"/>
      <c r="R75" s="561"/>
      <c r="S75" s="451"/>
      <c r="T75" s="560"/>
      <c r="U75" s="561"/>
      <c r="V75" s="451"/>
      <c r="W75" s="560">
        <v>-4</v>
      </c>
      <c r="X75" s="615">
        <v>-7.6210828380000004</v>
      </c>
      <c r="Y75" s="610">
        <f t="shared" si="8"/>
        <v>90.5</v>
      </c>
      <c r="Z75" s="560"/>
      <c r="AA75" s="561"/>
      <c r="AB75" s="451"/>
      <c r="AC75" s="560"/>
      <c r="AD75" s="561"/>
      <c r="AE75" s="451"/>
      <c r="AF75" s="560"/>
      <c r="AG75" s="561"/>
      <c r="AH75" s="451"/>
      <c r="AI75" s="560">
        <v>8.1000000000000003E-2</v>
      </c>
      <c r="AJ75" s="561"/>
      <c r="AK75" s="610"/>
      <c r="AL75" s="614"/>
      <c r="AM75" s="615"/>
      <c r="AN75" s="451"/>
      <c r="AO75" s="561">
        <f t="shared" si="4"/>
        <v>-43.918999999999997</v>
      </c>
      <c r="AP75" s="561">
        <f t="shared" si="4"/>
        <v>-51.812082838000002</v>
      </c>
      <c r="AQ75" s="451">
        <f t="shared" si="6"/>
        <v>18</v>
      </c>
      <c r="AR75" s="561">
        <f t="shared" si="5"/>
        <v>-43.918999999999997</v>
      </c>
      <c r="AS75" s="561">
        <f t="shared" si="5"/>
        <v>-51.812082838000002</v>
      </c>
      <c r="AT75" s="451">
        <f t="shared" si="7"/>
        <v>18</v>
      </c>
    </row>
    <row r="76" spans="1:46" s="515" customFormat="1" ht="18.75" customHeight="1" x14ac:dyDescent="0.3">
      <c r="A76" s="509" t="s">
        <v>434</v>
      </c>
      <c r="B76" s="560">
        <v>-0.24099999999999999</v>
      </c>
      <c r="C76" s="561">
        <v>-0.51</v>
      </c>
      <c r="D76" s="610">
        <f>IF(B76=0, "    ---- ", IF(ABS(ROUND(100/B76*C76-100,1))&lt;999,ROUND(100/B76*C76-100,1),IF(ROUND(100/B76*C76-100,1)&gt;999,999,-999)))</f>
        <v>111.6</v>
      </c>
      <c r="E76" s="560">
        <v>-6</v>
      </c>
      <c r="F76" s="561">
        <v>2.7229999999999999</v>
      </c>
      <c r="G76" s="610">
        <f t="shared" si="10"/>
        <v>-145.4</v>
      </c>
      <c r="H76" s="560"/>
      <c r="I76" s="561"/>
      <c r="J76" s="451"/>
      <c r="K76" s="560"/>
      <c r="L76" s="561"/>
      <c r="M76" s="561"/>
      <c r="N76" s="560"/>
      <c r="O76" s="561"/>
      <c r="P76" s="451"/>
      <c r="Q76" s="560"/>
      <c r="R76" s="561"/>
      <c r="S76" s="451"/>
      <c r="T76" s="560"/>
      <c r="U76" s="561"/>
      <c r="V76" s="451"/>
      <c r="W76" s="560">
        <v>3</v>
      </c>
      <c r="X76" s="615">
        <v>3.1103622510000002</v>
      </c>
      <c r="Y76" s="610">
        <f t="shared" si="8"/>
        <v>3.7</v>
      </c>
      <c r="Z76" s="560"/>
      <c r="AA76" s="561"/>
      <c r="AB76" s="451"/>
      <c r="AC76" s="560"/>
      <c r="AD76" s="561"/>
      <c r="AE76" s="451"/>
      <c r="AF76" s="560"/>
      <c r="AG76" s="561"/>
      <c r="AH76" s="451"/>
      <c r="AI76" s="560">
        <v>0.27100000000000002</v>
      </c>
      <c r="AJ76" s="561">
        <v>0.39100000000000001</v>
      </c>
      <c r="AK76" s="610">
        <f t="shared" si="9"/>
        <v>44.3</v>
      </c>
      <c r="AL76" s="614"/>
      <c r="AM76" s="615"/>
      <c r="AN76" s="451"/>
      <c r="AO76" s="561">
        <f t="shared" si="4"/>
        <v>-2.9699999999999998</v>
      </c>
      <c r="AP76" s="561">
        <f t="shared" si="4"/>
        <v>5.7143622510000007</v>
      </c>
      <c r="AQ76" s="451">
        <f t="shared" si="6"/>
        <v>-292.39999999999998</v>
      </c>
      <c r="AR76" s="561">
        <f t="shared" si="5"/>
        <v>-2.9699999999999998</v>
      </c>
      <c r="AS76" s="561">
        <f t="shared" si="5"/>
        <v>5.7143622510000007</v>
      </c>
      <c r="AT76" s="451">
        <f t="shared" si="7"/>
        <v>-292.39999999999998</v>
      </c>
    </row>
    <row r="77" spans="1:46" s="515" customFormat="1" ht="18.75" customHeight="1" x14ac:dyDescent="0.3">
      <c r="A77" s="509" t="s">
        <v>435</v>
      </c>
      <c r="B77" s="560"/>
      <c r="C77" s="561"/>
      <c r="D77" s="561"/>
      <c r="E77" s="560">
        <v>0</v>
      </c>
      <c r="F77" s="561">
        <v>0.32700000000000001</v>
      </c>
      <c r="G77" s="610" t="str">
        <f t="shared" si="10"/>
        <v xml:space="preserve">    ---- </v>
      </c>
      <c r="H77" s="560"/>
      <c r="I77" s="561"/>
      <c r="J77" s="451"/>
      <c r="K77" s="560"/>
      <c r="L77" s="561"/>
      <c r="M77" s="561"/>
      <c r="N77" s="560"/>
      <c r="O77" s="561"/>
      <c r="P77" s="451"/>
      <c r="Q77" s="560"/>
      <c r="R77" s="561"/>
      <c r="S77" s="451"/>
      <c r="T77" s="560"/>
      <c r="U77" s="561"/>
      <c r="V77" s="451"/>
      <c r="W77" s="560"/>
      <c r="X77" s="615"/>
      <c r="Y77" s="610"/>
      <c r="Z77" s="560"/>
      <c r="AA77" s="561"/>
      <c r="AB77" s="451"/>
      <c r="AC77" s="560"/>
      <c r="AD77" s="561"/>
      <c r="AE77" s="451"/>
      <c r="AF77" s="560"/>
      <c r="AG77" s="561"/>
      <c r="AH77" s="451"/>
      <c r="AI77" s="560"/>
      <c r="AJ77" s="561"/>
      <c r="AK77" s="610"/>
      <c r="AL77" s="614"/>
      <c r="AM77" s="615"/>
      <c r="AN77" s="451"/>
      <c r="AO77" s="561">
        <f t="shared" ref="AO77:AP108" si="11">B77+E77+H77+K77+Q77+T77+W77+Z77+AF77+AI77+AL77</f>
        <v>0</v>
      </c>
      <c r="AP77" s="561">
        <f t="shared" si="11"/>
        <v>0.32700000000000001</v>
      </c>
      <c r="AQ77" s="451" t="str">
        <f t="shared" si="6"/>
        <v xml:space="preserve">    ---- </v>
      </c>
      <c r="AR77" s="561">
        <f t="shared" ref="AR77:AS108" si="12">+B77+E77+H77+K77+N77+Q77+T77+W77+Z77+AC77+AF77+AI77+AL77</f>
        <v>0</v>
      </c>
      <c r="AS77" s="561">
        <f t="shared" si="12"/>
        <v>0.32700000000000001</v>
      </c>
      <c r="AT77" s="451" t="str">
        <f t="shared" si="7"/>
        <v xml:space="preserve">    ---- </v>
      </c>
    </row>
    <row r="78" spans="1:46" s="515" customFormat="1" ht="18.75" customHeight="1" x14ac:dyDescent="0.3">
      <c r="A78" s="509" t="s">
        <v>436</v>
      </c>
      <c r="B78" s="560"/>
      <c r="C78" s="561"/>
      <c r="D78" s="561"/>
      <c r="E78" s="560">
        <v>17</v>
      </c>
      <c r="F78" s="561">
        <v>17.673999999999999</v>
      </c>
      <c r="G78" s="610">
        <f t="shared" si="10"/>
        <v>4</v>
      </c>
      <c r="H78" s="560"/>
      <c r="I78" s="561"/>
      <c r="J78" s="451"/>
      <c r="K78" s="560"/>
      <c r="L78" s="561"/>
      <c r="M78" s="561"/>
      <c r="N78" s="560"/>
      <c r="O78" s="561"/>
      <c r="P78" s="451"/>
      <c r="Q78" s="560"/>
      <c r="R78" s="561"/>
      <c r="S78" s="451"/>
      <c r="T78" s="560"/>
      <c r="U78" s="561"/>
      <c r="V78" s="451"/>
      <c r="W78" s="560">
        <v>2</v>
      </c>
      <c r="X78" s="615">
        <v>2.1250724829999998</v>
      </c>
      <c r="Y78" s="610">
        <f t="shared" si="8"/>
        <v>6.3</v>
      </c>
      <c r="Z78" s="560"/>
      <c r="AA78" s="561"/>
      <c r="AB78" s="451"/>
      <c r="AC78" s="560"/>
      <c r="AD78" s="561"/>
      <c r="AE78" s="451"/>
      <c r="AF78" s="560"/>
      <c r="AG78" s="561"/>
      <c r="AH78" s="451"/>
      <c r="AI78" s="560">
        <v>0.377</v>
      </c>
      <c r="AJ78" s="561">
        <v>0.377</v>
      </c>
      <c r="AK78" s="610">
        <f t="shared" si="9"/>
        <v>0</v>
      </c>
      <c r="AL78" s="614"/>
      <c r="AM78" s="615"/>
      <c r="AN78" s="451"/>
      <c r="AO78" s="561">
        <f t="shared" si="11"/>
        <v>19.376999999999999</v>
      </c>
      <c r="AP78" s="561">
        <f t="shared" si="11"/>
        <v>20.176072482999999</v>
      </c>
      <c r="AQ78" s="451">
        <f t="shared" si="6"/>
        <v>4.0999999999999996</v>
      </c>
      <c r="AR78" s="561">
        <f t="shared" si="12"/>
        <v>19.376999999999999</v>
      </c>
      <c r="AS78" s="561">
        <f t="shared" si="12"/>
        <v>20.176072482999999</v>
      </c>
      <c r="AT78" s="451">
        <f t="shared" si="7"/>
        <v>4.0999999999999996</v>
      </c>
    </row>
    <row r="79" spans="1:46" s="515" customFormat="1" ht="18.75" customHeight="1" x14ac:dyDescent="0.3">
      <c r="A79" s="509" t="s">
        <v>437</v>
      </c>
      <c r="B79" s="560">
        <v>-1.2050000000000001</v>
      </c>
      <c r="C79" s="561">
        <v>-0.23</v>
      </c>
      <c r="D79" s="610">
        <f>IF(B79=0, "    ---- ", IF(ABS(ROUND(100/B79*C79-100,1))&lt;999,ROUND(100/B79*C79-100,1),IF(ROUND(100/B79*C79-100,1)&gt;999,999,-999)))</f>
        <v>-80.900000000000006</v>
      </c>
      <c r="E79" s="560"/>
      <c r="F79" s="561">
        <v>0.27960000000000002</v>
      </c>
      <c r="G79" s="610" t="str">
        <f t="shared" si="10"/>
        <v xml:space="preserve">    ---- </v>
      </c>
      <c r="H79" s="560"/>
      <c r="I79" s="561"/>
      <c r="J79" s="451"/>
      <c r="K79" s="560"/>
      <c r="L79" s="561"/>
      <c r="M79" s="561"/>
      <c r="N79" s="560"/>
      <c r="O79" s="561"/>
      <c r="P79" s="451"/>
      <c r="Q79" s="560"/>
      <c r="R79" s="561"/>
      <c r="S79" s="451"/>
      <c r="T79" s="560"/>
      <c r="U79" s="561"/>
      <c r="V79" s="451"/>
      <c r="W79" s="560">
        <v>1</v>
      </c>
      <c r="X79" s="615">
        <v>6.0076696999999998E-2</v>
      </c>
      <c r="Y79" s="610">
        <f t="shared" si="8"/>
        <v>-94</v>
      </c>
      <c r="Z79" s="560"/>
      <c r="AA79" s="561"/>
      <c r="AB79" s="451"/>
      <c r="AC79" s="560"/>
      <c r="AD79" s="561"/>
      <c r="AE79" s="451"/>
      <c r="AF79" s="560"/>
      <c r="AG79" s="561"/>
      <c r="AH79" s="451"/>
      <c r="AI79" s="560">
        <v>-0.14499999999999999</v>
      </c>
      <c r="AJ79" s="561">
        <v>-0.434</v>
      </c>
      <c r="AK79" s="610">
        <f t="shared" si="9"/>
        <v>199.3</v>
      </c>
      <c r="AL79" s="614"/>
      <c r="AM79" s="615"/>
      <c r="AN79" s="451"/>
      <c r="AO79" s="561">
        <f t="shared" si="11"/>
        <v>-0.35000000000000009</v>
      </c>
      <c r="AP79" s="561">
        <f t="shared" si="11"/>
        <v>-0.32432330300000001</v>
      </c>
      <c r="AQ79" s="451">
        <f t="shared" si="6"/>
        <v>-7.3</v>
      </c>
      <c r="AR79" s="561">
        <f t="shared" si="12"/>
        <v>-0.35000000000000009</v>
      </c>
      <c r="AS79" s="561">
        <f t="shared" si="12"/>
        <v>-0.32432330300000001</v>
      </c>
      <c r="AT79" s="451">
        <f t="shared" si="7"/>
        <v>-7.3</v>
      </c>
    </row>
    <row r="80" spans="1:46" s="515" customFormat="1" ht="18.75" customHeight="1" x14ac:dyDescent="0.3">
      <c r="A80" s="509" t="s">
        <v>438</v>
      </c>
      <c r="B80" s="560"/>
      <c r="C80" s="561"/>
      <c r="D80" s="561"/>
      <c r="E80" s="560"/>
      <c r="F80" s="561"/>
      <c r="G80" s="610"/>
      <c r="H80" s="560"/>
      <c r="I80" s="561"/>
      <c r="J80" s="451"/>
      <c r="K80" s="560"/>
      <c r="L80" s="561"/>
      <c r="M80" s="561"/>
      <c r="N80" s="560"/>
      <c r="O80" s="561"/>
      <c r="P80" s="451"/>
      <c r="Q80" s="560"/>
      <c r="R80" s="561"/>
      <c r="S80" s="451"/>
      <c r="T80" s="560"/>
      <c r="U80" s="561"/>
      <c r="V80" s="451"/>
      <c r="W80" s="560">
        <v>2</v>
      </c>
      <c r="X80" s="615">
        <v>2</v>
      </c>
      <c r="Y80" s="610">
        <f t="shared" si="8"/>
        <v>0</v>
      </c>
      <c r="Z80" s="560"/>
      <c r="AA80" s="561"/>
      <c r="AB80" s="451"/>
      <c r="AC80" s="560"/>
      <c r="AD80" s="561"/>
      <c r="AE80" s="451"/>
      <c r="AF80" s="560"/>
      <c r="AG80" s="561"/>
      <c r="AH80" s="451"/>
      <c r="AI80" s="560"/>
      <c r="AJ80" s="561"/>
      <c r="AK80" s="610"/>
      <c r="AL80" s="614"/>
      <c r="AM80" s="615"/>
      <c r="AN80" s="451"/>
      <c r="AO80" s="561">
        <f t="shared" si="11"/>
        <v>2</v>
      </c>
      <c r="AP80" s="561">
        <f t="shared" si="11"/>
        <v>2</v>
      </c>
      <c r="AQ80" s="451">
        <f t="shared" si="6"/>
        <v>0</v>
      </c>
      <c r="AR80" s="561">
        <f t="shared" si="12"/>
        <v>2</v>
      </c>
      <c r="AS80" s="561">
        <f t="shared" si="12"/>
        <v>2</v>
      </c>
      <c r="AT80" s="451">
        <f t="shared" si="7"/>
        <v>0</v>
      </c>
    </row>
    <row r="81" spans="1:46" s="515" customFormat="1" ht="18.75" customHeight="1" x14ac:dyDescent="0.3">
      <c r="A81" s="509" t="s">
        <v>439</v>
      </c>
      <c r="B81" s="560"/>
      <c r="C81" s="561"/>
      <c r="D81" s="561"/>
      <c r="E81" s="560"/>
      <c r="F81" s="561"/>
      <c r="G81" s="610"/>
      <c r="H81" s="560"/>
      <c r="I81" s="561"/>
      <c r="J81" s="451"/>
      <c r="K81" s="560"/>
      <c r="L81" s="561"/>
      <c r="M81" s="561"/>
      <c r="N81" s="560"/>
      <c r="O81" s="561"/>
      <c r="P81" s="451"/>
      <c r="Q81" s="560"/>
      <c r="R81" s="561"/>
      <c r="S81" s="451"/>
      <c r="T81" s="560"/>
      <c r="U81" s="561"/>
      <c r="V81" s="451"/>
      <c r="W81" s="560"/>
      <c r="X81" s="615"/>
      <c r="Y81" s="610"/>
      <c r="Z81" s="560"/>
      <c r="AA81" s="561"/>
      <c r="AB81" s="451"/>
      <c r="AC81" s="560"/>
      <c r="AD81" s="561"/>
      <c r="AE81" s="451"/>
      <c r="AF81" s="560"/>
      <c r="AG81" s="561"/>
      <c r="AH81" s="451"/>
      <c r="AI81" s="560"/>
      <c r="AJ81" s="561"/>
      <c r="AK81" s="610"/>
      <c r="AL81" s="614"/>
      <c r="AM81" s="615"/>
      <c r="AN81" s="451"/>
      <c r="AO81" s="561">
        <f t="shared" si="11"/>
        <v>0</v>
      </c>
      <c r="AP81" s="561">
        <f t="shared" si="11"/>
        <v>0</v>
      </c>
      <c r="AQ81" s="451" t="str">
        <f t="shared" si="6"/>
        <v xml:space="preserve">    ---- </v>
      </c>
      <c r="AR81" s="561">
        <f t="shared" si="12"/>
        <v>0</v>
      </c>
      <c r="AS81" s="561">
        <f t="shared" si="12"/>
        <v>0</v>
      </c>
      <c r="AT81" s="451" t="str">
        <f t="shared" si="7"/>
        <v xml:space="preserve">    ---- </v>
      </c>
    </row>
    <row r="82" spans="1:46" s="513" customFormat="1" ht="18.75" customHeight="1" x14ac:dyDescent="0.3">
      <c r="A82" s="507" t="s">
        <v>440</v>
      </c>
      <c r="B82" s="603">
        <v>-1.4460000000000002</v>
      </c>
      <c r="C82" s="574">
        <f>SUM(C74:C79)+C81</f>
        <v>-0.753</v>
      </c>
      <c r="D82" s="610">
        <f t="shared" ref="D82:D84" si="13">IF(B82=0, "    ---- ", IF(ABS(ROUND(100/B82*C82-100,1))&lt;999,ROUND(100/B82*C82-100,1),IF(ROUND(100/B82*C82-100,1)&gt;999,999,-999)))</f>
        <v>-47.9</v>
      </c>
      <c r="E82" s="574">
        <f>SUM(E74:E79)+E81</f>
        <v>43</v>
      </c>
      <c r="F82" s="574">
        <f>SUM(F74:F79)+F81</f>
        <v>21.003599999999999</v>
      </c>
      <c r="G82" s="608">
        <f>IF(E82=0, "    ---- ", IF(ABS(ROUND(100/E82*F82-100,1))&lt;999,ROUND(100/E82*F82-100,1),IF(ROUND(100/E82*F82-100,1)&gt;999,999,-999)))</f>
        <v>-51.2</v>
      </c>
      <c r="H82" s="603"/>
      <c r="I82" s="574"/>
      <c r="J82" s="558"/>
      <c r="K82" s="603"/>
      <c r="L82" s="574"/>
      <c r="M82" s="574"/>
      <c r="N82" s="603"/>
      <c r="O82" s="574"/>
      <c r="P82" s="558"/>
      <c r="Q82" s="603"/>
      <c r="R82" s="574"/>
      <c r="S82" s="558"/>
      <c r="T82" s="603"/>
      <c r="U82" s="574"/>
      <c r="V82" s="558"/>
      <c r="W82" s="603">
        <v>6</v>
      </c>
      <c r="X82" s="617">
        <f>SUM(X74:X79)+X81</f>
        <v>5.3878917599999996</v>
      </c>
      <c r="Y82" s="608">
        <f t="shared" si="8"/>
        <v>-10.199999999999999</v>
      </c>
      <c r="Z82" s="603"/>
      <c r="AA82" s="574"/>
      <c r="AB82" s="558"/>
      <c r="AC82" s="603"/>
      <c r="AD82" s="574"/>
      <c r="AE82" s="558"/>
      <c r="AF82" s="603"/>
      <c r="AG82" s="574"/>
      <c r="AH82" s="558"/>
      <c r="AI82" s="603">
        <v>0.503</v>
      </c>
      <c r="AJ82" s="574">
        <f>SUM(AJ74:AJ79)+AJ81</f>
        <v>1.357</v>
      </c>
      <c r="AK82" s="608">
        <f t="shared" si="9"/>
        <v>169.8</v>
      </c>
      <c r="AL82" s="616"/>
      <c r="AM82" s="617"/>
      <c r="AN82" s="558"/>
      <c r="AO82" s="574">
        <f t="shared" si="11"/>
        <v>48.057000000000002</v>
      </c>
      <c r="AP82" s="574">
        <f t="shared" si="11"/>
        <v>26.995491759999997</v>
      </c>
      <c r="AQ82" s="558">
        <f t="shared" si="6"/>
        <v>-43.8</v>
      </c>
      <c r="AR82" s="574">
        <f t="shared" si="12"/>
        <v>48.057000000000002</v>
      </c>
      <c r="AS82" s="574">
        <f t="shared" si="12"/>
        <v>26.995491759999997</v>
      </c>
      <c r="AT82" s="558">
        <f t="shared" si="7"/>
        <v>-43.8</v>
      </c>
    </row>
    <row r="83" spans="1:46" s="515" customFormat="1" ht="18.75" customHeight="1" x14ac:dyDescent="0.3">
      <c r="A83" s="509" t="s">
        <v>441</v>
      </c>
      <c r="B83" s="560">
        <v>0</v>
      </c>
      <c r="C83" s="561">
        <v>0</v>
      </c>
      <c r="D83" s="610" t="str">
        <f t="shared" si="13"/>
        <v xml:space="preserve">    ---- </v>
      </c>
      <c r="E83" s="560">
        <v>32</v>
      </c>
      <c r="F83" s="561">
        <v>-0.13980000000000001</v>
      </c>
      <c r="G83" s="610">
        <f>IF(E83=0, "    ---- ", IF(ABS(ROUND(100/E83*F83-100,1))&lt;999,ROUND(100/E83*F83-100,1),IF(ROUND(100/E83*F83-100,1)&gt;999,999,-999)))</f>
        <v>-100.4</v>
      </c>
      <c r="H83" s="560"/>
      <c r="I83" s="561"/>
      <c r="J83" s="451"/>
      <c r="K83" s="560"/>
      <c r="L83" s="561"/>
      <c r="M83" s="561"/>
      <c r="N83" s="560"/>
      <c r="O83" s="561"/>
      <c r="P83" s="451"/>
      <c r="Q83" s="560"/>
      <c r="R83" s="561"/>
      <c r="S83" s="451"/>
      <c r="T83" s="560"/>
      <c r="U83" s="561"/>
      <c r="V83" s="451"/>
      <c r="W83" s="560"/>
      <c r="X83" s="615">
        <v>3.0038348999999999E-2</v>
      </c>
      <c r="Y83" s="610" t="str">
        <f t="shared" si="8"/>
        <v xml:space="preserve">    ---- </v>
      </c>
      <c r="Z83" s="560"/>
      <c r="AA83" s="561"/>
      <c r="AB83" s="451"/>
      <c r="AC83" s="560"/>
      <c r="AD83" s="561"/>
      <c r="AE83" s="451"/>
      <c r="AF83" s="560"/>
      <c r="AG83" s="561"/>
      <c r="AH83" s="451"/>
      <c r="AI83" s="560"/>
      <c r="AJ83" s="561">
        <v>1.0229999999999999</v>
      </c>
      <c r="AK83" s="610" t="str">
        <f t="shared" si="9"/>
        <v xml:space="preserve">    ---- </v>
      </c>
      <c r="AL83" s="614"/>
      <c r="AM83" s="615"/>
      <c r="AN83" s="451"/>
      <c r="AO83" s="561">
        <f t="shared" si="11"/>
        <v>32</v>
      </c>
      <c r="AP83" s="561">
        <f t="shared" si="11"/>
        <v>0.91323834899999989</v>
      </c>
      <c r="AQ83" s="451">
        <f t="shared" si="6"/>
        <v>-97.1</v>
      </c>
      <c r="AR83" s="561">
        <f t="shared" si="12"/>
        <v>32</v>
      </c>
      <c r="AS83" s="561">
        <f t="shared" si="12"/>
        <v>0.91323834899999989</v>
      </c>
      <c r="AT83" s="451">
        <f t="shared" si="7"/>
        <v>-97.1</v>
      </c>
    </row>
    <row r="84" spans="1:46" s="515" customFormat="1" ht="18.75" customHeight="1" x14ac:dyDescent="0.3">
      <c r="A84" s="509" t="s">
        <v>442</v>
      </c>
      <c r="B84" s="560">
        <v>-1.446</v>
      </c>
      <c r="C84" s="561">
        <v>-0.753</v>
      </c>
      <c r="D84" s="610">
        <f t="shared" si="13"/>
        <v>-47.9</v>
      </c>
      <c r="E84" s="560">
        <v>11</v>
      </c>
      <c r="F84" s="561">
        <v>20.863</v>
      </c>
      <c r="G84" s="610">
        <f>IF(E84=0, "    ---- ", IF(ABS(ROUND(100/E84*F84-100,1))&lt;999,ROUND(100/E84*F84-100,1),IF(ROUND(100/E84*F84-100,1)&gt;999,999,-999)))</f>
        <v>89.7</v>
      </c>
      <c r="H84" s="560"/>
      <c r="I84" s="561"/>
      <c r="J84" s="451"/>
      <c r="K84" s="560"/>
      <c r="L84" s="561"/>
      <c r="M84" s="561"/>
      <c r="N84" s="560"/>
      <c r="O84" s="561"/>
      <c r="P84" s="451"/>
      <c r="Q84" s="560"/>
      <c r="R84" s="561"/>
      <c r="S84" s="451"/>
      <c r="T84" s="560"/>
      <c r="U84" s="561"/>
      <c r="V84" s="451"/>
      <c r="W84" s="560">
        <v>6</v>
      </c>
      <c r="X84" s="615">
        <v>5.3578534109999998</v>
      </c>
      <c r="Y84" s="610">
        <f t="shared" si="8"/>
        <v>-10.7</v>
      </c>
      <c r="Z84" s="560"/>
      <c r="AA84" s="561"/>
      <c r="AB84" s="451"/>
      <c r="AC84" s="560"/>
      <c r="AD84" s="561"/>
      <c r="AE84" s="451"/>
      <c r="AF84" s="560"/>
      <c r="AG84" s="561"/>
      <c r="AH84" s="451"/>
      <c r="AI84" s="560">
        <v>0.503</v>
      </c>
      <c r="AJ84" s="561">
        <v>0.33400000000000002</v>
      </c>
      <c r="AK84" s="610">
        <f t="shared" si="9"/>
        <v>-33.6</v>
      </c>
      <c r="AL84" s="614"/>
      <c r="AM84" s="615"/>
      <c r="AN84" s="451"/>
      <c r="AO84" s="561">
        <f t="shared" si="11"/>
        <v>16.056999999999999</v>
      </c>
      <c r="AP84" s="561">
        <f t="shared" si="11"/>
        <v>25.801853411</v>
      </c>
      <c r="AQ84" s="451">
        <f t="shared" si="6"/>
        <v>60.7</v>
      </c>
      <c r="AR84" s="561">
        <f t="shared" si="12"/>
        <v>16.056999999999999</v>
      </c>
      <c r="AS84" s="561">
        <f t="shared" si="12"/>
        <v>25.801853411</v>
      </c>
      <c r="AT84" s="451">
        <f t="shared" si="7"/>
        <v>60.7</v>
      </c>
    </row>
    <row r="85" spans="1:46" s="513" customFormat="1" ht="18.75" customHeight="1" x14ac:dyDescent="0.3">
      <c r="A85" s="507" t="s">
        <v>448</v>
      </c>
      <c r="B85" s="603"/>
      <c r="C85" s="574"/>
      <c r="D85" s="574"/>
      <c r="E85" s="603"/>
      <c r="F85" s="574"/>
      <c r="G85" s="608"/>
      <c r="H85" s="603"/>
      <c r="I85" s="574"/>
      <c r="J85" s="558"/>
      <c r="K85" s="603"/>
      <c r="L85" s="574"/>
      <c r="M85" s="574"/>
      <c r="N85" s="603"/>
      <c r="O85" s="574"/>
      <c r="P85" s="558"/>
      <c r="Q85" s="603"/>
      <c r="R85" s="574"/>
      <c r="S85" s="558"/>
      <c r="T85" s="603"/>
      <c r="U85" s="574"/>
      <c r="V85" s="558"/>
      <c r="W85" s="603"/>
      <c r="X85" s="617"/>
      <c r="Y85" s="608"/>
      <c r="Z85" s="603"/>
      <c r="AA85" s="574"/>
      <c r="AB85" s="558"/>
      <c r="AC85" s="603"/>
      <c r="AD85" s="574"/>
      <c r="AE85" s="558"/>
      <c r="AF85" s="603"/>
      <c r="AG85" s="574"/>
      <c r="AH85" s="558"/>
      <c r="AI85" s="603"/>
      <c r="AJ85" s="574"/>
      <c r="AK85" s="608"/>
      <c r="AL85" s="616"/>
      <c r="AM85" s="617"/>
      <c r="AN85" s="558"/>
      <c r="AO85" s="574"/>
      <c r="AP85" s="574"/>
      <c r="AQ85" s="558"/>
      <c r="AR85" s="574"/>
      <c r="AS85" s="574"/>
      <c r="AT85" s="558"/>
    </row>
    <row r="86" spans="1:46" s="515" customFormat="1" ht="18.75" customHeight="1" x14ac:dyDescent="0.3">
      <c r="A86" s="509" t="s">
        <v>432</v>
      </c>
      <c r="B86" s="560"/>
      <c r="C86" s="561"/>
      <c r="D86" s="630"/>
      <c r="E86" s="560"/>
      <c r="F86" s="561"/>
      <c r="G86" s="610"/>
      <c r="H86" s="560">
        <v>1.6719999999999999</v>
      </c>
      <c r="I86" s="561">
        <v>12.943</v>
      </c>
      <c r="J86" s="610">
        <f>IF(H86=0, "    ---- ", IF(ABS(ROUND(100/H86*I86-100,1))&lt;999,ROUND(100/H86*I86-100,1),IF(ROUND(100/H86*I86-100,1)&gt;999,999,-999)))</f>
        <v>674.1</v>
      </c>
      <c r="K86" s="560">
        <v>15.343</v>
      </c>
      <c r="L86" s="561">
        <v>20.141999999999999</v>
      </c>
      <c r="M86" s="615">
        <f>IF(K86=0, "    ---- ", IF(ABS(ROUND(100/K86*L86-100,1))&lt;999,ROUND(100/K86*L86-100,1),IF(ROUND(100/K86*L86-100,1)&gt;999,999,-999)))</f>
        <v>31.3</v>
      </c>
      <c r="N86" s="560"/>
      <c r="O86" s="561"/>
      <c r="P86" s="465"/>
      <c r="Q86" s="560"/>
      <c r="R86" s="561"/>
      <c r="S86" s="465"/>
      <c r="T86" s="560"/>
      <c r="U86" s="561"/>
      <c r="V86" s="465"/>
      <c r="W86" s="560">
        <v>3</v>
      </c>
      <c r="X86" s="615">
        <v>6.6436513699999997</v>
      </c>
      <c r="Y86" s="610">
        <f t="shared" si="8"/>
        <v>121.5</v>
      </c>
      <c r="Z86" s="560"/>
      <c r="AA86" s="561"/>
      <c r="AB86" s="610"/>
      <c r="AC86" s="560"/>
      <c r="AD86" s="561"/>
      <c r="AE86" s="465"/>
      <c r="AF86" s="560"/>
      <c r="AG86" s="561"/>
      <c r="AH86" s="465"/>
      <c r="AI86" s="560">
        <v>-76.900999999999996</v>
      </c>
      <c r="AJ86" s="561">
        <v>-2.2120000000000002</v>
      </c>
      <c r="AK86" s="610">
        <f t="shared" si="9"/>
        <v>-97.1</v>
      </c>
      <c r="AL86" s="614"/>
      <c r="AM86" s="615"/>
      <c r="AN86" s="610"/>
      <c r="AO86" s="615">
        <f t="shared" si="11"/>
        <v>-56.885999999999996</v>
      </c>
      <c r="AP86" s="615">
        <f t="shared" si="11"/>
        <v>37.516651369999998</v>
      </c>
      <c r="AQ86" s="610">
        <f t="shared" si="6"/>
        <v>-166</v>
      </c>
      <c r="AR86" s="561">
        <f t="shared" si="12"/>
        <v>-56.885999999999996</v>
      </c>
      <c r="AS86" s="615">
        <f t="shared" si="12"/>
        <v>37.516651369999998</v>
      </c>
      <c r="AT86" s="610">
        <f t="shared" si="7"/>
        <v>-166</v>
      </c>
    </row>
    <row r="87" spans="1:46" s="515" customFormat="1" ht="18.75" customHeight="1" x14ac:dyDescent="0.3">
      <c r="A87" s="509" t="s">
        <v>433</v>
      </c>
      <c r="B87" s="560"/>
      <c r="C87" s="561"/>
      <c r="D87" s="630"/>
      <c r="E87" s="560"/>
      <c r="F87" s="561"/>
      <c r="G87" s="610"/>
      <c r="H87" s="560"/>
      <c r="I87" s="561"/>
      <c r="J87" s="465"/>
      <c r="K87" s="560"/>
      <c r="L87" s="561"/>
      <c r="M87" s="630"/>
      <c r="N87" s="560"/>
      <c r="O87" s="561"/>
      <c r="P87" s="465"/>
      <c r="Q87" s="560"/>
      <c r="R87" s="561"/>
      <c r="S87" s="465"/>
      <c r="T87" s="560"/>
      <c r="U87" s="561"/>
      <c r="V87" s="465"/>
      <c r="W87" s="560"/>
      <c r="X87" s="615"/>
      <c r="Y87" s="610"/>
      <c r="Z87" s="560"/>
      <c r="AA87" s="561"/>
      <c r="AB87" s="465"/>
      <c r="AC87" s="560"/>
      <c r="AD87" s="561"/>
      <c r="AE87" s="465"/>
      <c r="AF87" s="560"/>
      <c r="AG87" s="561"/>
      <c r="AH87" s="465"/>
      <c r="AI87" s="560"/>
      <c r="AJ87" s="561"/>
      <c r="AK87" s="610"/>
      <c r="AL87" s="614"/>
      <c r="AM87" s="615"/>
      <c r="AN87" s="465"/>
      <c r="AO87" s="630">
        <f t="shared" si="11"/>
        <v>0</v>
      </c>
      <c r="AP87" s="630">
        <f t="shared" si="11"/>
        <v>0</v>
      </c>
      <c r="AQ87" s="465" t="str">
        <f t="shared" si="6"/>
        <v xml:space="preserve">    ---- </v>
      </c>
      <c r="AR87" s="561">
        <f t="shared" si="12"/>
        <v>0</v>
      </c>
      <c r="AS87" s="630">
        <f t="shared" si="12"/>
        <v>0</v>
      </c>
      <c r="AT87" s="465" t="str">
        <f t="shared" si="7"/>
        <v xml:space="preserve">    ---- </v>
      </c>
    </row>
    <row r="88" spans="1:46" s="515" customFormat="1" ht="18.75" customHeight="1" x14ac:dyDescent="0.3">
      <c r="A88" s="509" t="s">
        <v>434</v>
      </c>
      <c r="B88" s="560">
        <v>0.27100000000000002</v>
      </c>
      <c r="C88" s="561">
        <v>-8.98</v>
      </c>
      <c r="D88" s="610">
        <f>IF(B88=0, "    ---- ", IF(ABS(ROUND(100/B88*C88-100,1))&lt;999,ROUND(100/B88*C88-100,1),IF(ROUND(100/B88*C88-100,1)&gt;999,999,-999)))</f>
        <v>-999</v>
      </c>
      <c r="E88" s="560"/>
      <c r="F88" s="561"/>
      <c r="G88" s="610"/>
      <c r="H88" s="560">
        <v>-11.279</v>
      </c>
      <c r="I88" s="561">
        <v>-17.053999999999998</v>
      </c>
      <c r="J88" s="451">
        <f>IF(H88=0, "    ---- ", IF(ABS(ROUND(100/H88*I88-100,1))&lt;999,ROUND(100/H88*I88-100,1),IF(ROUND(100/H88*I88-100,1)&gt;999,999,-999)))</f>
        <v>51.2</v>
      </c>
      <c r="K88" s="560">
        <v>23.733000000000001</v>
      </c>
      <c r="L88" s="561">
        <v>28.988</v>
      </c>
      <c r="M88" s="561">
        <f>IF(K88=0, "    ---- ", IF(ABS(ROUND(100/K88*L88-100,1))&lt;999,ROUND(100/K88*L88-100,1),IF(ROUND(100/K88*L88-100,1)&gt;999,999,-999)))</f>
        <v>22.1</v>
      </c>
      <c r="N88" s="560"/>
      <c r="O88" s="561"/>
      <c r="P88" s="451"/>
      <c r="Q88" s="560"/>
      <c r="R88" s="561"/>
      <c r="S88" s="451"/>
      <c r="T88" s="560"/>
      <c r="U88" s="561"/>
      <c r="V88" s="451"/>
      <c r="W88" s="560">
        <v>5</v>
      </c>
      <c r="X88" s="615">
        <v>6.3341353219999998</v>
      </c>
      <c r="Y88" s="610">
        <f t="shared" si="8"/>
        <v>26.7</v>
      </c>
      <c r="Z88" s="560"/>
      <c r="AA88" s="561"/>
      <c r="AB88" s="451"/>
      <c r="AC88" s="560"/>
      <c r="AD88" s="561"/>
      <c r="AE88" s="451"/>
      <c r="AF88" s="560"/>
      <c r="AG88" s="561"/>
      <c r="AH88" s="451"/>
      <c r="AI88" s="560">
        <v>4.6050000000000004</v>
      </c>
      <c r="AJ88" s="561">
        <v>-40.777999999999999</v>
      </c>
      <c r="AK88" s="610">
        <f t="shared" si="9"/>
        <v>-985.5</v>
      </c>
      <c r="AL88" s="614"/>
      <c r="AM88" s="615"/>
      <c r="AN88" s="451"/>
      <c r="AO88" s="561">
        <f t="shared" si="11"/>
        <v>22.330000000000002</v>
      </c>
      <c r="AP88" s="561">
        <f t="shared" si="11"/>
        <v>-31.489864677999996</v>
      </c>
      <c r="AQ88" s="451">
        <f t="shared" ref="AQ88:AQ108" si="14">IF(AO88=0, "    ---- ", IF(ABS(ROUND(100/AO88*AP88-100,1))&lt;999,ROUND(100/AO88*AP88-100,1),IF(ROUND(100/AO88*AP88-100,1)&gt;999,999,-999)))</f>
        <v>-241</v>
      </c>
      <c r="AR88" s="561">
        <f t="shared" si="12"/>
        <v>22.330000000000002</v>
      </c>
      <c r="AS88" s="561">
        <f t="shared" si="12"/>
        <v>-31.489864677999996</v>
      </c>
      <c r="AT88" s="451">
        <f t="shared" ref="AT88:AT108" si="15">IF(AR88=0, "    ---- ", IF(ABS(ROUND(100/AR88*AS88-100,1))&lt;999,ROUND(100/AR88*AS88-100,1),IF(ROUND(100/AR88*AS88-100,1)&gt;999,999,-999)))</f>
        <v>-241</v>
      </c>
    </row>
    <row r="89" spans="1:46" s="515" customFormat="1" ht="18.75" customHeight="1" x14ac:dyDescent="0.3">
      <c r="A89" s="509" t="s">
        <v>435</v>
      </c>
      <c r="B89" s="560"/>
      <c r="C89" s="561"/>
      <c r="D89" s="561"/>
      <c r="E89" s="560"/>
      <c r="F89" s="561"/>
      <c r="G89" s="610"/>
      <c r="H89" s="560"/>
      <c r="I89" s="561"/>
      <c r="J89" s="451"/>
      <c r="K89" s="560"/>
      <c r="L89" s="561"/>
      <c r="M89" s="561"/>
      <c r="N89" s="560"/>
      <c r="O89" s="561"/>
      <c r="P89" s="451"/>
      <c r="Q89" s="560"/>
      <c r="R89" s="561"/>
      <c r="S89" s="451"/>
      <c r="T89" s="560"/>
      <c r="U89" s="561"/>
      <c r="V89" s="451"/>
      <c r="W89" s="560"/>
      <c r="X89" s="615"/>
      <c r="Y89" s="610"/>
      <c r="Z89" s="560"/>
      <c r="AA89" s="561"/>
      <c r="AB89" s="451"/>
      <c r="AC89" s="560"/>
      <c r="AD89" s="561"/>
      <c r="AE89" s="451"/>
      <c r="AF89" s="560"/>
      <c r="AG89" s="561"/>
      <c r="AH89" s="451"/>
      <c r="AI89" s="560"/>
      <c r="AJ89" s="561"/>
      <c r="AK89" s="610"/>
      <c r="AL89" s="614"/>
      <c r="AM89" s="615"/>
      <c r="AN89" s="451"/>
      <c r="AO89" s="561">
        <f t="shared" si="11"/>
        <v>0</v>
      </c>
      <c r="AP89" s="561">
        <f t="shared" si="11"/>
        <v>0</v>
      </c>
      <c r="AQ89" s="451" t="str">
        <f t="shared" si="14"/>
        <v xml:space="preserve">    ---- </v>
      </c>
      <c r="AR89" s="561">
        <f t="shared" si="12"/>
        <v>0</v>
      </c>
      <c r="AS89" s="561">
        <f t="shared" si="12"/>
        <v>0</v>
      </c>
      <c r="AT89" s="451" t="str">
        <f t="shared" si="15"/>
        <v xml:space="preserve">    ---- </v>
      </c>
    </row>
    <row r="90" spans="1:46" s="515" customFormat="1" ht="18.75" customHeight="1" x14ac:dyDescent="0.3">
      <c r="A90" s="509" t="s">
        <v>436</v>
      </c>
      <c r="B90" s="560"/>
      <c r="C90" s="561"/>
      <c r="D90" s="561"/>
      <c r="E90" s="560"/>
      <c r="F90" s="561"/>
      <c r="G90" s="610"/>
      <c r="H90" s="560"/>
      <c r="I90" s="561"/>
      <c r="J90" s="451"/>
      <c r="K90" s="560"/>
      <c r="L90" s="561"/>
      <c r="M90" s="561"/>
      <c r="N90" s="560"/>
      <c r="O90" s="561"/>
      <c r="P90" s="451"/>
      <c r="Q90" s="560"/>
      <c r="R90" s="561"/>
      <c r="S90" s="451"/>
      <c r="T90" s="560"/>
      <c r="U90" s="561"/>
      <c r="V90" s="451"/>
      <c r="W90" s="560"/>
      <c r="X90" s="615"/>
      <c r="Y90" s="610"/>
      <c r="Z90" s="560"/>
      <c r="AA90" s="561"/>
      <c r="AB90" s="451"/>
      <c r="AC90" s="560"/>
      <c r="AD90" s="561"/>
      <c r="AE90" s="451"/>
      <c r="AF90" s="560"/>
      <c r="AG90" s="561"/>
      <c r="AH90" s="451"/>
      <c r="AI90" s="560"/>
      <c r="AJ90" s="561"/>
      <c r="AK90" s="610"/>
      <c r="AL90" s="614"/>
      <c r="AM90" s="615"/>
      <c r="AN90" s="451"/>
      <c r="AO90" s="561">
        <f t="shared" si="11"/>
        <v>0</v>
      </c>
      <c r="AP90" s="561">
        <f t="shared" si="11"/>
        <v>0</v>
      </c>
      <c r="AQ90" s="451" t="str">
        <f t="shared" si="14"/>
        <v xml:space="preserve">    ---- </v>
      </c>
      <c r="AR90" s="561">
        <f t="shared" si="12"/>
        <v>0</v>
      </c>
      <c r="AS90" s="561">
        <f t="shared" si="12"/>
        <v>0</v>
      </c>
      <c r="AT90" s="451" t="str">
        <f t="shared" si="15"/>
        <v xml:space="preserve">    ---- </v>
      </c>
    </row>
    <row r="91" spans="1:46" s="515" customFormat="1" ht="18.75" customHeight="1" x14ac:dyDescent="0.3">
      <c r="A91" s="509" t="s">
        <v>437</v>
      </c>
      <c r="B91" s="560">
        <v>8.6149999999999984</v>
      </c>
      <c r="C91" s="561">
        <f>17.604-7.186</f>
        <v>10.417999999999999</v>
      </c>
      <c r="D91" s="610">
        <f>IF(B91=0, "    ---- ", IF(ABS(ROUND(100/B91*C91-100,1))&lt;999,ROUND(100/B91*C91-100,1),IF(ROUND(100/B91*C91-100,1)&gt;999,999,-999)))</f>
        <v>20.9</v>
      </c>
      <c r="E91" s="560"/>
      <c r="F91" s="561"/>
      <c r="G91" s="610"/>
      <c r="H91" s="560">
        <v>-10.554</v>
      </c>
      <c r="I91" s="561">
        <v>30.788</v>
      </c>
      <c r="J91" s="451">
        <f>IF(H91=0, "    ---- ", IF(ABS(ROUND(100/H91*I91-100,1))&lt;999,ROUND(100/H91*I91-100,1),IF(ROUND(100/H91*I91-100,1)&gt;999,999,-999)))</f>
        <v>-391.7</v>
      </c>
      <c r="K91" s="560">
        <v>-1.113</v>
      </c>
      <c r="L91" s="561">
        <v>11.834</v>
      </c>
      <c r="M91" s="561">
        <f>IF(K91=0, "    ---- ", IF(ABS(ROUND(100/K91*L91-100,1))&lt;999,ROUND(100/K91*L91-100,1),IF(ROUND(100/K91*L91-100,1)&gt;999,999,-999)))</f>
        <v>-999</v>
      </c>
      <c r="N91" s="560"/>
      <c r="O91" s="561"/>
      <c r="P91" s="451"/>
      <c r="Q91" s="560"/>
      <c r="R91" s="561"/>
      <c r="S91" s="451"/>
      <c r="T91" s="560"/>
      <c r="U91" s="561"/>
      <c r="V91" s="451"/>
      <c r="W91" s="560">
        <v>25</v>
      </c>
      <c r="X91" s="615">
        <v>26.552274976</v>
      </c>
      <c r="Y91" s="610">
        <f t="shared" si="8"/>
        <v>6.2</v>
      </c>
      <c r="Z91" s="560"/>
      <c r="AA91" s="561"/>
      <c r="AB91" s="451"/>
      <c r="AC91" s="560"/>
      <c r="AD91" s="561"/>
      <c r="AE91" s="451"/>
      <c r="AF91" s="560"/>
      <c r="AG91" s="561"/>
      <c r="AH91" s="451"/>
      <c r="AI91" s="560">
        <v>-6.0350000000000001</v>
      </c>
      <c r="AJ91" s="561">
        <v>-21.373999999999999</v>
      </c>
      <c r="AK91" s="610">
        <f t="shared" si="9"/>
        <v>254.2</v>
      </c>
      <c r="AL91" s="614"/>
      <c r="AM91" s="615"/>
      <c r="AN91" s="451"/>
      <c r="AO91" s="561">
        <f t="shared" si="11"/>
        <v>15.912999999999997</v>
      </c>
      <c r="AP91" s="561">
        <f t="shared" si="11"/>
        <v>58.218274976000004</v>
      </c>
      <c r="AQ91" s="451">
        <f t="shared" si="14"/>
        <v>265.89999999999998</v>
      </c>
      <c r="AR91" s="561">
        <f t="shared" si="12"/>
        <v>15.912999999999997</v>
      </c>
      <c r="AS91" s="561">
        <f t="shared" si="12"/>
        <v>58.218274976000004</v>
      </c>
      <c r="AT91" s="451">
        <f t="shared" si="15"/>
        <v>265.89999999999998</v>
      </c>
    </row>
    <row r="92" spans="1:46" s="515" customFormat="1" ht="18.75" customHeight="1" x14ac:dyDescent="0.3">
      <c r="A92" s="509" t="s">
        <v>438</v>
      </c>
      <c r="B92" s="560"/>
      <c r="C92" s="561"/>
      <c r="D92" s="561"/>
      <c r="E92" s="560"/>
      <c r="F92" s="561"/>
      <c r="G92" s="610"/>
      <c r="H92" s="560"/>
      <c r="I92" s="561"/>
      <c r="J92" s="451"/>
      <c r="K92" s="560"/>
      <c r="L92" s="561"/>
      <c r="M92" s="561"/>
      <c r="N92" s="560"/>
      <c r="O92" s="561"/>
      <c r="P92" s="451"/>
      <c r="Q92" s="560"/>
      <c r="R92" s="561"/>
      <c r="S92" s="451"/>
      <c r="T92" s="560"/>
      <c r="U92" s="561"/>
      <c r="V92" s="451"/>
      <c r="W92" s="560"/>
      <c r="X92" s="615"/>
      <c r="Y92" s="610"/>
      <c r="Z92" s="560"/>
      <c r="AA92" s="561"/>
      <c r="AB92" s="451"/>
      <c r="AC92" s="560"/>
      <c r="AD92" s="561"/>
      <c r="AE92" s="451"/>
      <c r="AF92" s="560"/>
      <c r="AG92" s="561"/>
      <c r="AH92" s="451"/>
      <c r="AI92" s="560"/>
      <c r="AJ92" s="561"/>
      <c r="AK92" s="610"/>
      <c r="AL92" s="614"/>
      <c r="AM92" s="615"/>
      <c r="AN92" s="451"/>
      <c r="AO92" s="561">
        <f t="shared" si="11"/>
        <v>0</v>
      </c>
      <c r="AP92" s="561">
        <f t="shared" si="11"/>
        <v>0</v>
      </c>
      <c r="AQ92" s="451" t="str">
        <f t="shared" si="14"/>
        <v xml:space="preserve">    ---- </v>
      </c>
      <c r="AR92" s="561">
        <f t="shared" si="12"/>
        <v>0</v>
      </c>
      <c r="AS92" s="561">
        <f t="shared" si="12"/>
        <v>0</v>
      </c>
      <c r="AT92" s="451" t="str">
        <f t="shared" si="15"/>
        <v xml:space="preserve">    ---- </v>
      </c>
    </row>
    <row r="93" spans="1:46" s="515" customFormat="1" ht="18.75" customHeight="1" x14ac:dyDescent="0.3">
      <c r="A93" s="509" t="s">
        <v>439</v>
      </c>
      <c r="B93" s="560"/>
      <c r="C93" s="561"/>
      <c r="D93" s="561"/>
      <c r="E93" s="560"/>
      <c r="F93" s="561"/>
      <c r="G93" s="610"/>
      <c r="H93" s="560">
        <v>-0.20899999999999999</v>
      </c>
      <c r="I93" s="561">
        <v>-8.5999999999999993E-2</v>
      </c>
      <c r="J93" s="451">
        <f>IF(H93=0, "    ---- ", IF(ABS(ROUND(100/H93*I93-100,1))&lt;999,ROUND(100/H93*I93-100,1),IF(ROUND(100/H93*I93-100,1)&gt;999,999,-999)))</f>
        <v>-58.9</v>
      </c>
      <c r="K93" s="560"/>
      <c r="L93" s="561"/>
      <c r="M93" s="561"/>
      <c r="N93" s="560"/>
      <c r="O93" s="561"/>
      <c r="P93" s="451"/>
      <c r="Q93" s="560"/>
      <c r="R93" s="561"/>
      <c r="S93" s="451"/>
      <c r="T93" s="560"/>
      <c r="U93" s="561"/>
      <c r="V93" s="451"/>
      <c r="W93" s="560"/>
      <c r="X93" s="615"/>
      <c r="Y93" s="610"/>
      <c r="Z93" s="560"/>
      <c r="AA93" s="561"/>
      <c r="AB93" s="451"/>
      <c r="AC93" s="560"/>
      <c r="AD93" s="561"/>
      <c r="AE93" s="451"/>
      <c r="AF93" s="560"/>
      <c r="AG93" s="561"/>
      <c r="AH93" s="451"/>
      <c r="AI93" s="560"/>
      <c r="AJ93" s="561"/>
      <c r="AK93" s="610"/>
      <c r="AL93" s="614"/>
      <c r="AM93" s="615"/>
      <c r="AN93" s="451"/>
      <c r="AO93" s="561">
        <f t="shared" si="11"/>
        <v>-0.20899999999999999</v>
      </c>
      <c r="AP93" s="561">
        <f t="shared" si="11"/>
        <v>-8.5999999999999993E-2</v>
      </c>
      <c r="AQ93" s="451">
        <f t="shared" si="14"/>
        <v>-58.9</v>
      </c>
      <c r="AR93" s="561">
        <f t="shared" si="12"/>
        <v>-0.20899999999999999</v>
      </c>
      <c r="AS93" s="561">
        <f t="shared" si="12"/>
        <v>-8.5999999999999993E-2</v>
      </c>
      <c r="AT93" s="451">
        <f t="shared" si="15"/>
        <v>-58.9</v>
      </c>
    </row>
    <row r="94" spans="1:46" s="513" customFormat="1" ht="18.75" customHeight="1" x14ac:dyDescent="0.3">
      <c r="A94" s="507" t="s">
        <v>440</v>
      </c>
      <c r="B94" s="603">
        <v>8.8859999999999992</v>
      </c>
      <c r="C94" s="574">
        <f>SUM(C86:C91)+C93</f>
        <v>1.4379999999999988</v>
      </c>
      <c r="D94" s="610">
        <f>IF(B94=0, "    ---- ", IF(ABS(ROUND(100/B94*C94-100,1))&lt;999,ROUND(100/B94*C94-100,1),IF(ROUND(100/B94*C94-100,1)&gt;999,999,-999)))</f>
        <v>-83.8</v>
      </c>
      <c r="E94" s="603"/>
      <c r="F94" s="574"/>
      <c r="G94" s="608"/>
      <c r="H94" s="603">
        <v>-20.37</v>
      </c>
      <c r="I94" s="574">
        <f>SUM(I86:I91)+I93</f>
        <v>26.591000000000001</v>
      </c>
      <c r="J94" s="558">
        <f>IF(H94=0, "    ---- ", IF(ABS(ROUND(100/H94*I94-100,1))&lt;999,ROUND(100/H94*I94-100,1),IF(ROUND(100/H94*I94-100,1)&gt;999,999,-999)))</f>
        <v>-230.5</v>
      </c>
      <c r="K94" s="603">
        <v>37.963000000000001</v>
      </c>
      <c r="L94" s="574">
        <f>SUM(L86:L91)+L93</f>
        <v>60.963999999999999</v>
      </c>
      <c r="M94" s="574">
        <f>IF(K94=0, "    ---- ", IF(ABS(ROUND(100/K94*L94-100,1))&lt;999,ROUND(100/K94*L94-100,1),IF(ROUND(100/K94*L94-100,1)&gt;999,999,-999)))</f>
        <v>60.6</v>
      </c>
      <c r="N94" s="603"/>
      <c r="O94" s="574"/>
      <c r="P94" s="558"/>
      <c r="Q94" s="603"/>
      <c r="R94" s="574"/>
      <c r="S94" s="558"/>
      <c r="T94" s="603"/>
      <c r="U94" s="574"/>
      <c r="V94" s="558"/>
      <c r="W94" s="603">
        <v>33</v>
      </c>
      <c r="X94" s="617">
        <f>SUM(X86:X91)+X93</f>
        <v>39.530061668000002</v>
      </c>
      <c r="Y94" s="608">
        <f t="shared" si="8"/>
        <v>19.8</v>
      </c>
      <c r="Z94" s="603"/>
      <c r="AA94" s="574"/>
      <c r="AB94" s="558"/>
      <c r="AC94" s="603"/>
      <c r="AD94" s="574"/>
      <c r="AE94" s="558"/>
      <c r="AF94" s="603"/>
      <c r="AG94" s="574"/>
      <c r="AH94" s="558"/>
      <c r="AI94" s="603">
        <v>-78.330999999999989</v>
      </c>
      <c r="AJ94" s="574">
        <f>SUM(AJ86:AJ91)+AJ93</f>
        <v>-64.364000000000004</v>
      </c>
      <c r="AK94" s="608">
        <f t="shared" si="9"/>
        <v>-17.8</v>
      </c>
      <c r="AL94" s="616"/>
      <c r="AM94" s="617"/>
      <c r="AN94" s="558"/>
      <c r="AO94" s="574">
        <f t="shared" si="11"/>
        <v>-18.85199999999999</v>
      </c>
      <c r="AP94" s="574">
        <f t="shared" si="11"/>
        <v>64.159061667999993</v>
      </c>
      <c r="AQ94" s="558">
        <f t="shared" si="14"/>
        <v>-440.3</v>
      </c>
      <c r="AR94" s="574">
        <f t="shared" si="12"/>
        <v>-18.85199999999999</v>
      </c>
      <c r="AS94" s="574">
        <f t="shared" si="12"/>
        <v>64.159061667999993</v>
      </c>
      <c r="AT94" s="558">
        <f t="shared" si="15"/>
        <v>-440.3</v>
      </c>
    </row>
    <row r="95" spans="1:46" s="515" customFormat="1" ht="18.75" customHeight="1" x14ac:dyDescent="0.3">
      <c r="A95" s="509" t="s">
        <v>441</v>
      </c>
      <c r="B95" s="560"/>
      <c r="C95" s="561"/>
      <c r="D95" s="561"/>
      <c r="E95" s="560"/>
      <c r="F95" s="561"/>
      <c r="G95" s="610"/>
      <c r="H95" s="560"/>
      <c r="I95" s="561"/>
      <c r="J95" s="451"/>
      <c r="K95" s="560">
        <v>0.66600000000000004</v>
      </c>
      <c r="L95" s="561">
        <v>1.105</v>
      </c>
      <c r="M95" s="561">
        <f>IF(K95=0, "    ---- ", IF(ABS(ROUND(100/K95*L95-100,1))&lt;999,ROUND(100/K95*L95-100,1),IF(ROUND(100/K95*L95-100,1)&gt;999,999,-999)))</f>
        <v>65.900000000000006</v>
      </c>
      <c r="N95" s="560"/>
      <c r="O95" s="561"/>
      <c r="P95" s="451"/>
      <c r="Q95" s="560"/>
      <c r="R95" s="561"/>
      <c r="S95" s="451"/>
      <c r="T95" s="560"/>
      <c r="U95" s="561"/>
      <c r="V95" s="451"/>
      <c r="W95" s="560"/>
      <c r="X95" s="615"/>
      <c r="Y95" s="610"/>
      <c r="Z95" s="560"/>
      <c r="AA95" s="561"/>
      <c r="AB95" s="451"/>
      <c r="AC95" s="560"/>
      <c r="AD95" s="561"/>
      <c r="AE95" s="451"/>
      <c r="AF95" s="560"/>
      <c r="AG95" s="561"/>
      <c r="AH95" s="451"/>
      <c r="AI95" s="560"/>
      <c r="AJ95" s="561"/>
      <c r="AK95" s="610"/>
      <c r="AL95" s="614"/>
      <c r="AM95" s="615"/>
      <c r="AN95" s="451"/>
      <c r="AO95" s="561">
        <f t="shared" si="11"/>
        <v>0.66600000000000004</v>
      </c>
      <c r="AP95" s="561">
        <f t="shared" si="11"/>
        <v>1.105</v>
      </c>
      <c r="AQ95" s="451">
        <f t="shared" si="14"/>
        <v>65.900000000000006</v>
      </c>
      <c r="AR95" s="561">
        <f t="shared" si="12"/>
        <v>0.66600000000000004</v>
      </c>
      <c r="AS95" s="561">
        <f t="shared" si="12"/>
        <v>1.105</v>
      </c>
      <c r="AT95" s="451">
        <f t="shared" si="15"/>
        <v>65.900000000000006</v>
      </c>
    </row>
    <row r="96" spans="1:46" s="515" customFormat="1" ht="18.75" customHeight="1" x14ac:dyDescent="0.3">
      <c r="A96" s="509" t="s">
        <v>442</v>
      </c>
      <c r="B96" s="560">
        <v>8.8859999999999992</v>
      </c>
      <c r="C96" s="561">
        <v>1.4379999999999999</v>
      </c>
      <c r="D96" s="610">
        <f>IF(B96=0, "    ---- ", IF(ABS(ROUND(100/B96*C96-100,1))&lt;999,ROUND(100/B96*C96-100,1),IF(ROUND(100/B96*C96-100,1)&gt;999,999,-999)))</f>
        <v>-83.8</v>
      </c>
      <c r="E96" s="560"/>
      <c r="F96" s="561"/>
      <c r="G96" s="610"/>
      <c r="H96" s="560">
        <v>-20.370999999999999</v>
      </c>
      <c r="I96" s="561">
        <v>26.59</v>
      </c>
      <c r="J96" s="451">
        <f>IF(H96=0, "    ---- ", IF(ABS(ROUND(100/H96*I96-100,1))&lt;999,ROUND(100/H96*I96-100,1),IF(ROUND(100/H96*I96-100,1)&gt;999,999,-999)))</f>
        <v>-230.5</v>
      </c>
      <c r="K96" s="560">
        <v>37.296999999999997</v>
      </c>
      <c r="L96" s="561">
        <v>59.859000000000002</v>
      </c>
      <c r="M96" s="561">
        <f>IF(K96=0, "    ---- ", IF(ABS(ROUND(100/K96*L96-100,1))&lt;999,ROUND(100/K96*L96-100,1),IF(ROUND(100/K96*L96-100,1)&gt;999,999,-999)))</f>
        <v>60.5</v>
      </c>
      <c r="N96" s="560"/>
      <c r="O96" s="561"/>
      <c r="P96" s="451"/>
      <c r="Q96" s="560"/>
      <c r="R96" s="561"/>
      <c r="S96" s="451"/>
      <c r="T96" s="560"/>
      <c r="U96" s="561"/>
      <c r="V96" s="451"/>
      <c r="W96" s="560">
        <v>33</v>
      </c>
      <c r="X96" s="615">
        <v>39.530061668000002</v>
      </c>
      <c r="Y96" s="610">
        <f t="shared" si="8"/>
        <v>19.8</v>
      </c>
      <c r="Z96" s="560"/>
      <c r="AA96" s="561"/>
      <c r="AB96" s="451"/>
      <c r="AC96" s="560"/>
      <c r="AD96" s="561"/>
      <c r="AE96" s="451"/>
      <c r="AF96" s="560"/>
      <c r="AG96" s="561"/>
      <c r="AH96" s="451"/>
      <c r="AI96" s="560">
        <v>-78.331000000000003</v>
      </c>
      <c r="AJ96" s="561">
        <v>-64.364000000000004</v>
      </c>
      <c r="AK96" s="610">
        <f t="shared" si="9"/>
        <v>-17.8</v>
      </c>
      <c r="AL96" s="614"/>
      <c r="AM96" s="615"/>
      <c r="AN96" s="451"/>
      <c r="AO96" s="561">
        <f t="shared" si="11"/>
        <v>-19.519000000000005</v>
      </c>
      <c r="AP96" s="561">
        <f t="shared" si="11"/>
        <v>63.053061667999998</v>
      </c>
      <c r="AQ96" s="451">
        <f t="shared" si="14"/>
        <v>-423</v>
      </c>
      <c r="AR96" s="561">
        <f t="shared" si="12"/>
        <v>-19.519000000000005</v>
      </c>
      <c r="AS96" s="561">
        <f t="shared" si="12"/>
        <v>63.053061667999998</v>
      </c>
      <c r="AT96" s="451">
        <f t="shared" si="15"/>
        <v>-423</v>
      </c>
    </row>
    <row r="97" spans="1:47" s="515" customFormat="1" ht="18.75" customHeight="1" x14ac:dyDescent="0.3">
      <c r="A97" s="507" t="s">
        <v>449</v>
      </c>
      <c r="B97" s="560"/>
      <c r="C97" s="561"/>
      <c r="D97" s="561"/>
      <c r="E97" s="560"/>
      <c r="F97" s="561"/>
      <c r="G97" s="610"/>
      <c r="H97" s="560"/>
      <c r="I97" s="561"/>
      <c r="J97" s="451"/>
      <c r="K97" s="560"/>
      <c r="L97" s="561"/>
      <c r="M97" s="561"/>
      <c r="N97" s="560"/>
      <c r="O97" s="561"/>
      <c r="P97" s="451"/>
      <c r="Q97" s="560"/>
      <c r="R97" s="561"/>
      <c r="S97" s="451"/>
      <c r="T97" s="560"/>
      <c r="U97" s="561"/>
      <c r="V97" s="451"/>
      <c r="W97" s="560"/>
      <c r="X97" s="615"/>
      <c r="Y97" s="610"/>
      <c r="Z97" s="560"/>
      <c r="AA97" s="561"/>
      <c r="AB97" s="451"/>
      <c r="AC97" s="560"/>
      <c r="AD97" s="561"/>
      <c r="AE97" s="451"/>
      <c r="AF97" s="560"/>
      <c r="AG97" s="561"/>
      <c r="AH97" s="451"/>
      <c r="AI97" s="560"/>
      <c r="AJ97" s="561"/>
      <c r="AK97" s="610"/>
      <c r="AL97" s="614"/>
      <c r="AM97" s="615"/>
      <c r="AN97" s="451"/>
      <c r="AO97" s="561"/>
      <c r="AP97" s="561"/>
      <c r="AQ97" s="451"/>
      <c r="AR97" s="561"/>
      <c r="AS97" s="561"/>
      <c r="AT97" s="451"/>
    </row>
    <row r="98" spans="1:47" s="515" customFormat="1" ht="18.75" customHeight="1" x14ac:dyDescent="0.3">
      <c r="A98" s="509" t="s">
        <v>432</v>
      </c>
      <c r="B98" s="560"/>
      <c r="C98" s="561"/>
      <c r="D98" s="561"/>
      <c r="E98" s="560"/>
      <c r="F98" s="561">
        <v>296.26400000000001</v>
      </c>
      <c r="G98" s="610" t="str">
        <f>IF(E98=0, "    ---- ", IF(ABS(ROUND(100/E98*F98-100,1))&lt;999,ROUND(100/E98*F98-100,1),IF(ROUND(100/E98*F98-100,1)&gt;999,999,-999)))</f>
        <v xml:space="preserve">    ---- </v>
      </c>
      <c r="H98" s="560"/>
      <c r="I98" s="561"/>
      <c r="J98" s="451"/>
      <c r="K98" s="560"/>
      <c r="L98" s="561"/>
      <c r="M98" s="561"/>
      <c r="N98" s="560"/>
      <c r="O98" s="561"/>
      <c r="P98" s="451"/>
      <c r="Q98" s="560"/>
      <c r="R98" s="561"/>
      <c r="S98" s="451"/>
      <c r="T98" s="560"/>
      <c r="U98" s="561"/>
      <c r="V98" s="451"/>
      <c r="W98" s="560"/>
      <c r="X98" s="615"/>
      <c r="Y98" s="610"/>
      <c r="Z98" s="560"/>
      <c r="AA98" s="561"/>
      <c r="AB98" s="451"/>
      <c r="AC98" s="560"/>
      <c r="AD98" s="561"/>
      <c r="AE98" s="451"/>
      <c r="AF98" s="560"/>
      <c r="AG98" s="561"/>
      <c r="AH98" s="451"/>
      <c r="AI98" s="560">
        <v>5.0999999999999997E-2</v>
      </c>
      <c r="AJ98" s="561">
        <v>0.22800000000000001</v>
      </c>
      <c r="AK98" s="610">
        <f t="shared" si="9"/>
        <v>347.1</v>
      </c>
      <c r="AL98" s="614"/>
      <c r="AM98" s="615"/>
      <c r="AN98" s="451"/>
      <c r="AO98" s="561">
        <f t="shared" si="11"/>
        <v>5.0999999999999997E-2</v>
      </c>
      <c r="AP98" s="561">
        <f t="shared" si="11"/>
        <v>296.49200000000002</v>
      </c>
      <c r="AQ98" s="451">
        <f t="shared" si="14"/>
        <v>999</v>
      </c>
      <c r="AR98" s="561">
        <f t="shared" si="12"/>
        <v>5.0999999999999997E-2</v>
      </c>
      <c r="AS98" s="561">
        <f t="shared" si="12"/>
        <v>296.49200000000002</v>
      </c>
      <c r="AT98" s="451">
        <f t="shared" si="15"/>
        <v>999</v>
      </c>
    </row>
    <row r="99" spans="1:47" s="515" customFormat="1" ht="18.75" customHeight="1" x14ac:dyDescent="0.3">
      <c r="A99" s="509" t="s">
        <v>433</v>
      </c>
      <c r="B99" s="560"/>
      <c r="C99" s="561"/>
      <c r="D99" s="561"/>
      <c r="E99" s="560"/>
      <c r="F99" s="561"/>
      <c r="G99" s="610"/>
      <c r="H99" s="560"/>
      <c r="I99" s="561"/>
      <c r="J99" s="451"/>
      <c r="K99" s="560"/>
      <c r="L99" s="561"/>
      <c r="M99" s="561"/>
      <c r="N99" s="560"/>
      <c r="O99" s="561"/>
      <c r="P99" s="451"/>
      <c r="Q99" s="560"/>
      <c r="R99" s="561"/>
      <c r="S99" s="451"/>
      <c r="T99" s="560"/>
      <c r="U99" s="561"/>
      <c r="V99" s="451"/>
      <c r="W99" s="560"/>
      <c r="X99" s="615"/>
      <c r="Y99" s="610"/>
      <c r="Z99" s="560"/>
      <c r="AA99" s="561"/>
      <c r="AB99" s="451"/>
      <c r="AC99" s="560"/>
      <c r="AD99" s="561"/>
      <c r="AE99" s="451"/>
      <c r="AF99" s="560"/>
      <c r="AG99" s="561"/>
      <c r="AH99" s="451"/>
      <c r="AI99" s="560"/>
      <c r="AJ99" s="561"/>
      <c r="AK99" s="610"/>
      <c r="AL99" s="614"/>
      <c r="AM99" s="615"/>
      <c r="AN99" s="451"/>
      <c r="AO99" s="561">
        <f t="shared" si="11"/>
        <v>0</v>
      </c>
      <c r="AP99" s="561">
        <f t="shared" si="11"/>
        <v>0</v>
      </c>
      <c r="AQ99" s="451" t="str">
        <f t="shared" si="14"/>
        <v xml:space="preserve">    ---- </v>
      </c>
      <c r="AR99" s="561">
        <f t="shared" si="12"/>
        <v>0</v>
      </c>
      <c r="AS99" s="561">
        <f t="shared" si="12"/>
        <v>0</v>
      </c>
      <c r="AT99" s="451" t="str">
        <f t="shared" si="15"/>
        <v xml:space="preserve">    ---- </v>
      </c>
    </row>
    <row r="100" spans="1:47" s="515" customFormat="1" ht="18.75" customHeight="1" x14ac:dyDescent="0.3">
      <c r="A100" s="509" t="s">
        <v>434</v>
      </c>
      <c r="B100" s="560">
        <v>0.57699999999999996</v>
      </c>
      <c r="C100" s="561">
        <v>4.2359999999999998</v>
      </c>
      <c r="D100" s="561">
        <f>IF(B100=0, "    ---- ", IF(ABS(ROUND(100/B100*C100-100,1))&lt;999,ROUND(100/B100*C100-100,1),IF(ROUND(100/B100*C100-100,1)&gt;999,999,-999)))</f>
        <v>634.1</v>
      </c>
      <c r="E100" s="560">
        <v>10.132</v>
      </c>
      <c r="F100" s="561">
        <v>-8.4079999999999995</v>
      </c>
      <c r="G100" s="610">
        <f>IF(E100=0, "    ---- ", IF(ABS(ROUND(100/E100*F100-100,1))&lt;999,ROUND(100/E100*F100-100,1),IF(ROUND(100/E100*F100-100,1)&gt;999,999,-999)))</f>
        <v>-183</v>
      </c>
      <c r="H100" s="560"/>
      <c r="I100" s="561"/>
      <c r="J100" s="451"/>
      <c r="K100" s="560">
        <v>34.238999999999997</v>
      </c>
      <c r="L100" s="561">
        <f>13.637-1.24</f>
        <v>12.397</v>
      </c>
      <c r="M100" s="561">
        <f>IF(K100=0, "    ---- ", IF(ABS(ROUND(100/K100*L100-100,1))&lt;999,ROUND(100/K100*L100-100,1),IF(ROUND(100/K100*L100-100,1)&gt;999,999,-999)))</f>
        <v>-63.8</v>
      </c>
      <c r="N100" s="560"/>
      <c r="O100" s="561"/>
      <c r="P100" s="451"/>
      <c r="Q100" s="560"/>
      <c r="R100" s="561"/>
      <c r="S100" s="451"/>
      <c r="T100" s="560"/>
      <c r="U100" s="561"/>
      <c r="V100" s="451"/>
      <c r="W100" s="560">
        <v>10</v>
      </c>
      <c r="X100" s="615">
        <v>15.144545149000001</v>
      </c>
      <c r="Y100" s="610">
        <f t="shared" si="8"/>
        <v>51.4</v>
      </c>
      <c r="Z100" s="560"/>
      <c r="AA100" s="561"/>
      <c r="AB100" s="451"/>
      <c r="AC100" s="560">
        <v>-1</v>
      </c>
      <c r="AD100" s="561">
        <v>8</v>
      </c>
      <c r="AE100" s="451">
        <f>IF(AC100=0, "    ---- ", IF(ABS(ROUND(100/AC100*AD100-100,1))&lt;999,ROUND(100/AC100*AD100-100,1),IF(ROUND(100/AC100*AD100-100,1)&gt;999,999,-999)))</f>
        <v>-900</v>
      </c>
      <c r="AF100" s="560">
        <v>-11.169</v>
      </c>
      <c r="AG100" s="561"/>
      <c r="AH100" s="451">
        <f>IF(AF100=0, "    ---- ", IF(ABS(ROUND(100/AF100*AG100-100,1))&lt;999,ROUND(100/AF100*AG100-100,1),IF(ROUND(100/AF100*AG100-100,1)&gt;999,999,-999)))</f>
        <v>-100</v>
      </c>
      <c r="AI100" s="560">
        <v>1.89</v>
      </c>
      <c r="AJ100" s="561">
        <v>6.4320000000000004</v>
      </c>
      <c r="AK100" s="610">
        <f t="shared" si="9"/>
        <v>240.3</v>
      </c>
      <c r="AL100" s="614">
        <v>17</v>
      </c>
      <c r="AM100" s="615">
        <v>20.8</v>
      </c>
      <c r="AN100" s="451">
        <f>IF(AL100=0, "    ---- ", IF(ABS(ROUND(100/AL100*AM100-100,1))&lt;999,ROUND(100/AL100*AM100-100,1),IF(ROUND(100/AL100*AM100-100,1)&gt;999,999,-999)))</f>
        <v>22.4</v>
      </c>
      <c r="AO100" s="561">
        <f t="shared" si="11"/>
        <v>62.668999999999997</v>
      </c>
      <c r="AP100" s="561">
        <f t="shared" si="11"/>
        <v>50.601545149000003</v>
      </c>
      <c r="AQ100" s="451">
        <f t="shared" si="14"/>
        <v>-19.3</v>
      </c>
      <c r="AR100" s="561">
        <f t="shared" si="12"/>
        <v>61.668999999999997</v>
      </c>
      <c r="AS100" s="561">
        <f t="shared" si="12"/>
        <v>58.601545149000003</v>
      </c>
      <c r="AT100" s="451">
        <f t="shared" si="15"/>
        <v>-5</v>
      </c>
    </row>
    <row r="101" spans="1:47" s="515" customFormat="1" ht="18.75" customHeight="1" x14ac:dyDescent="0.3">
      <c r="A101" s="509" t="s">
        <v>435</v>
      </c>
      <c r="B101" s="560"/>
      <c r="C101" s="561"/>
      <c r="D101" s="561"/>
      <c r="E101" s="560"/>
      <c r="F101" s="561"/>
      <c r="G101" s="610"/>
      <c r="H101" s="560"/>
      <c r="I101" s="561"/>
      <c r="J101" s="451"/>
      <c r="K101" s="560"/>
      <c r="L101" s="561"/>
      <c r="M101" s="561"/>
      <c r="N101" s="560"/>
      <c r="O101" s="561"/>
      <c r="P101" s="451"/>
      <c r="Q101" s="560"/>
      <c r="R101" s="561"/>
      <c r="S101" s="451"/>
      <c r="T101" s="560"/>
      <c r="U101" s="561"/>
      <c r="V101" s="451"/>
      <c r="W101" s="560"/>
      <c r="X101" s="615"/>
      <c r="Y101" s="610"/>
      <c r="Z101" s="560"/>
      <c r="AA101" s="561"/>
      <c r="AB101" s="451"/>
      <c r="AC101" s="560"/>
      <c r="AD101" s="561"/>
      <c r="AE101" s="451"/>
      <c r="AF101" s="560"/>
      <c r="AG101" s="561"/>
      <c r="AH101" s="451"/>
      <c r="AI101" s="560"/>
      <c r="AJ101" s="561"/>
      <c r="AK101" s="610"/>
      <c r="AL101" s="614"/>
      <c r="AM101" s="615"/>
      <c r="AN101" s="451"/>
      <c r="AO101" s="561">
        <f t="shared" si="11"/>
        <v>0</v>
      </c>
      <c r="AP101" s="561">
        <f t="shared" si="11"/>
        <v>0</v>
      </c>
      <c r="AQ101" s="451" t="str">
        <f t="shared" si="14"/>
        <v xml:space="preserve">    ---- </v>
      </c>
      <c r="AR101" s="561">
        <f t="shared" si="12"/>
        <v>0</v>
      </c>
      <c r="AS101" s="561">
        <f t="shared" si="12"/>
        <v>0</v>
      </c>
      <c r="AT101" s="451" t="str">
        <f t="shared" si="15"/>
        <v xml:space="preserve">    ---- </v>
      </c>
    </row>
    <row r="102" spans="1:47" s="515" customFormat="1" ht="18.75" customHeight="1" x14ac:dyDescent="0.3">
      <c r="A102" s="509" t="s">
        <v>436</v>
      </c>
      <c r="B102" s="560"/>
      <c r="C102" s="561"/>
      <c r="D102" s="561"/>
      <c r="E102" s="560"/>
      <c r="F102" s="561"/>
      <c r="G102" s="610"/>
      <c r="H102" s="560"/>
      <c r="I102" s="561"/>
      <c r="J102" s="451"/>
      <c r="K102" s="560"/>
      <c r="L102" s="561"/>
      <c r="M102" s="561"/>
      <c r="N102" s="560"/>
      <c r="O102" s="561"/>
      <c r="P102" s="451"/>
      <c r="Q102" s="560"/>
      <c r="R102" s="561"/>
      <c r="S102" s="451"/>
      <c r="T102" s="560"/>
      <c r="U102" s="561"/>
      <c r="V102" s="451"/>
      <c r="W102" s="560"/>
      <c r="X102" s="615"/>
      <c r="Y102" s="610"/>
      <c r="Z102" s="560"/>
      <c r="AA102" s="561"/>
      <c r="AB102" s="451"/>
      <c r="AC102" s="560"/>
      <c r="AD102" s="561"/>
      <c r="AE102" s="451"/>
      <c r="AF102" s="560"/>
      <c r="AG102" s="561"/>
      <c r="AH102" s="451"/>
      <c r="AI102" s="560"/>
      <c r="AJ102" s="561"/>
      <c r="AK102" s="610"/>
      <c r="AL102" s="614"/>
      <c r="AM102" s="615"/>
      <c r="AN102" s="451"/>
      <c r="AO102" s="561">
        <f t="shared" si="11"/>
        <v>0</v>
      </c>
      <c r="AP102" s="561">
        <f t="shared" si="11"/>
        <v>0</v>
      </c>
      <c r="AQ102" s="451" t="str">
        <f t="shared" si="14"/>
        <v xml:space="preserve">    ---- </v>
      </c>
      <c r="AR102" s="561">
        <f t="shared" si="12"/>
        <v>0</v>
      </c>
      <c r="AS102" s="561">
        <f t="shared" si="12"/>
        <v>0</v>
      </c>
      <c r="AT102" s="451" t="str">
        <f t="shared" si="15"/>
        <v xml:space="preserve">    ---- </v>
      </c>
    </row>
    <row r="103" spans="1:47" s="515" customFormat="1" ht="18.75" customHeight="1" x14ac:dyDescent="0.3">
      <c r="A103" s="509" t="s">
        <v>437</v>
      </c>
      <c r="B103" s="560">
        <v>-3.355</v>
      </c>
      <c r="C103" s="561">
        <v>-2.1429999999999998</v>
      </c>
      <c r="D103" s="561">
        <f>IF(B103=0, "    ---- ", IF(ABS(ROUND(100/B103*C103-100,1))&lt;999,ROUND(100/B103*C103-100,1),IF(ROUND(100/B103*C103-100,1)&gt;999,999,-999)))</f>
        <v>-36.1</v>
      </c>
      <c r="E103" s="560">
        <v>-1.544</v>
      </c>
      <c r="F103" s="561">
        <v>0.68200000000000005</v>
      </c>
      <c r="G103" s="610">
        <f>IF(E103=0, "    ---- ", IF(ABS(ROUND(100/E103*F103-100,1))&lt;999,ROUND(100/E103*F103-100,1),IF(ROUND(100/E103*F103-100,1)&gt;999,999,-999)))</f>
        <v>-144.19999999999999</v>
      </c>
      <c r="H103" s="560"/>
      <c r="I103" s="561"/>
      <c r="J103" s="451"/>
      <c r="K103" s="560">
        <v>0.92800000000000005</v>
      </c>
      <c r="L103" s="561">
        <f>1.442-0.016</f>
        <v>1.4259999999999999</v>
      </c>
      <c r="M103" s="561">
        <f>IF(K103=0, "    ---- ", IF(ABS(ROUND(100/K103*L103-100,1))&lt;999,ROUND(100/K103*L103-100,1),IF(ROUND(100/K103*L103-100,1)&gt;999,999,-999)))</f>
        <v>53.7</v>
      </c>
      <c r="N103" s="560"/>
      <c r="O103" s="561"/>
      <c r="P103" s="451"/>
      <c r="Q103" s="560"/>
      <c r="R103" s="561"/>
      <c r="S103" s="451"/>
      <c r="T103" s="560"/>
      <c r="U103" s="561"/>
      <c r="V103" s="451"/>
      <c r="W103" s="560">
        <v>-3</v>
      </c>
      <c r="X103" s="615">
        <v>-2.1127505700000002</v>
      </c>
      <c r="Y103" s="610">
        <f t="shared" si="8"/>
        <v>-29.6</v>
      </c>
      <c r="Z103" s="560"/>
      <c r="AA103" s="561"/>
      <c r="AB103" s="451"/>
      <c r="AC103" s="560"/>
      <c r="AD103" s="561"/>
      <c r="AE103" s="451"/>
      <c r="AF103" s="560">
        <v>-0.32200000000000001</v>
      </c>
      <c r="AG103" s="561"/>
      <c r="AH103" s="451">
        <f>IF(AF103=0, "    ---- ", IF(ABS(ROUND(100/AF103*AG103-100,1))&lt;999,ROUND(100/AF103*AG103-100,1),IF(ROUND(100/AF103*AG103-100,1)&gt;999,999,-999)))</f>
        <v>-100</v>
      </c>
      <c r="AI103" s="560">
        <v>-1.7999999999999999E-2</v>
      </c>
      <c r="AJ103" s="561">
        <v>-2.8050000000000002</v>
      </c>
      <c r="AK103" s="610">
        <f t="shared" si="9"/>
        <v>999</v>
      </c>
      <c r="AL103" s="614">
        <v>0</v>
      </c>
      <c r="AM103" s="615">
        <v>-0.4</v>
      </c>
      <c r="AN103" s="451" t="str">
        <f>IF(AL103=0, "    ---- ", IF(ABS(ROUND(100/AL103*AM103-100,1))&lt;999,ROUND(100/AL103*AM103-100,1),IF(ROUND(100/AL103*AM103-100,1)&gt;999,999,-999)))</f>
        <v xml:space="preserve">    ---- </v>
      </c>
      <c r="AO103" s="561">
        <f t="shared" si="11"/>
        <v>-7.3109999999999999</v>
      </c>
      <c r="AP103" s="561">
        <f t="shared" si="11"/>
        <v>-5.3527505700000013</v>
      </c>
      <c r="AQ103" s="451">
        <f t="shared" si="14"/>
        <v>-26.8</v>
      </c>
      <c r="AR103" s="561">
        <f t="shared" si="12"/>
        <v>-7.3109999999999999</v>
      </c>
      <c r="AS103" s="561">
        <f t="shared" si="12"/>
        <v>-5.3527505700000013</v>
      </c>
      <c r="AT103" s="451">
        <f t="shared" si="15"/>
        <v>-26.8</v>
      </c>
    </row>
    <row r="104" spans="1:47" s="515" customFormat="1" ht="18.75" customHeight="1" x14ac:dyDescent="0.3">
      <c r="A104" s="509" t="s">
        <v>438</v>
      </c>
      <c r="B104" s="560"/>
      <c r="C104" s="561"/>
      <c r="D104" s="561"/>
      <c r="E104" s="560"/>
      <c r="F104" s="561"/>
      <c r="G104" s="610"/>
      <c r="H104" s="560"/>
      <c r="I104" s="561"/>
      <c r="J104" s="451"/>
      <c r="K104" s="560"/>
      <c r="L104" s="561"/>
      <c r="M104" s="561"/>
      <c r="N104" s="560"/>
      <c r="O104" s="561"/>
      <c r="P104" s="451"/>
      <c r="Q104" s="560"/>
      <c r="R104" s="561"/>
      <c r="S104" s="451"/>
      <c r="T104" s="560"/>
      <c r="U104" s="561"/>
      <c r="V104" s="451"/>
      <c r="W104" s="560"/>
      <c r="X104" s="615"/>
      <c r="Y104" s="610"/>
      <c r="Z104" s="560"/>
      <c r="AA104" s="561"/>
      <c r="AB104" s="451"/>
      <c r="AC104" s="560"/>
      <c r="AD104" s="561"/>
      <c r="AE104" s="451"/>
      <c r="AF104" s="560"/>
      <c r="AG104" s="561"/>
      <c r="AH104" s="451"/>
      <c r="AI104" s="560"/>
      <c r="AJ104" s="561"/>
      <c r="AK104" s="610"/>
      <c r="AL104" s="614"/>
      <c r="AM104" s="615"/>
      <c r="AN104" s="451"/>
      <c r="AO104" s="561">
        <f t="shared" si="11"/>
        <v>0</v>
      </c>
      <c r="AP104" s="561">
        <f t="shared" si="11"/>
        <v>0</v>
      </c>
      <c r="AQ104" s="451" t="str">
        <f t="shared" si="14"/>
        <v xml:space="preserve">    ---- </v>
      </c>
      <c r="AR104" s="561">
        <f t="shared" si="12"/>
        <v>0</v>
      </c>
      <c r="AS104" s="561">
        <f t="shared" si="12"/>
        <v>0</v>
      </c>
      <c r="AT104" s="451" t="str">
        <f t="shared" si="15"/>
        <v xml:space="preserve">    ---- </v>
      </c>
    </row>
    <row r="105" spans="1:47" s="515" customFormat="1" ht="18.75" customHeight="1" x14ac:dyDescent="0.3">
      <c r="A105" s="509" t="s">
        <v>439</v>
      </c>
      <c r="B105" s="560"/>
      <c r="C105" s="561"/>
      <c r="D105" s="561"/>
      <c r="E105" s="560"/>
      <c r="F105" s="561"/>
      <c r="G105" s="610"/>
      <c r="H105" s="560"/>
      <c r="I105" s="561"/>
      <c r="J105" s="451"/>
      <c r="K105" s="560"/>
      <c r="L105" s="561"/>
      <c r="M105" s="561"/>
      <c r="N105" s="560"/>
      <c r="O105" s="561"/>
      <c r="P105" s="451"/>
      <c r="Q105" s="560"/>
      <c r="R105" s="561"/>
      <c r="S105" s="451"/>
      <c r="T105" s="560"/>
      <c r="U105" s="561"/>
      <c r="V105" s="451"/>
      <c r="W105" s="560"/>
      <c r="X105" s="615"/>
      <c r="Y105" s="610"/>
      <c r="Z105" s="560"/>
      <c r="AA105" s="561"/>
      <c r="AB105" s="451"/>
      <c r="AC105" s="560"/>
      <c r="AD105" s="561"/>
      <c r="AE105" s="451"/>
      <c r="AF105" s="560"/>
      <c r="AG105" s="561"/>
      <c r="AH105" s="451"/>
      <c r="AI105" s="560"/>
      <c r="AJ105" s="561"/>
      <c r="AK105" s="610"/>
      <c r="AL105" s="614"/>
      <c r="AM105" s="615"/>
      <c r="AN105" s="451"/>
      <c r="AO105" s="561">
        <f t="shared" si="11"/>
        <v>0</v>
      </c>
      <c r="AP105" s="561">
        <f t="shared" si="11"/>
        <v>0</v>
      </c>
      <c r="AQ105" s="451" t="str">
        <f t="shared" si="14"/>
        <v xml:space="preserve">    ---- </v>
      </c>
      <c r="AR105" s="561">
        <f t="shared" si="12"/>
        <v>0</v>
      </c>
      <c r="AS105" s="561">
        <f t="shared" si="12"/>
        <v>0</v>
      </c>
      <c r="AT105" s="451" t="str">
        <f t="shared" si="15"/>
        <v xml:space="preserve">    ---- </v>
      </c>
    </row>
    <row r="106" spans="1:47" s="513" customFormat="1" ht="18.75" customHeight="1" x14ac:dyDescent="0.3">
      <c r="A106" s="507" t="s">
        <v>440</v>
      </c>
      <c r="B106" s="603">
        <v>-2.778</v>
      </c>
      <c r="C106" s="574">
        <f>SUM(C98:C103)+C105</f>
        <v>2.093</v>
      </c>
      <c r="D106" s="574">
        <f>IF(B106=0, "    ---- ", IF(ABS(ROUND(100/B106*C106-100,1))&lt;999,ROUND(100/B106*C106-100,1),IF(ROUND(100/B106*C106-100,1)&gt;999,999,-999)))</f>
        <v>-175.3</v>
      </c>
      <c r="E106" s="574">
        <f>SUM(E98:E103)+E105</f>
        <v>8.5879999999999992</v>
      </c>
      <c r="F106" s="574">
        <f>SUM(F98:F103)+F105</f>
        <v>288.53800000000001</v>
      </c>
      <c r="G106" s="608">
        <f>IF(E106=0, "    ---- ", IF(ABS(ROUND(100/E106*F106-100,1))&lt;999,ROUND(100/E106*F106-100,1),IF(ROUND(100/E106*F106-100,1)&gt;999,999,-999)))</f>
        <v>999</v>
      </c>
      <c r="H106" s="603"/>
      <c r="I106" s="574"/>
      <c r="J106" s="558"/>
      <c r="K106" s="603">
        <v>35.166999999999994</v>
      </c>
      <c r="L106" s="574">
        <f>SUM(L98:L103)+L105</f>
        <v>13.823</v>
      </c>
      <c r="M106" s="574">
        <f>IF(K106=0, "    ---- ", IF(ABS(ROUND(100/K106*L106-100,1))&lt;999,ROUND(100/K106*L106-100,1),IF(ROUND(100/K106*L106-100,1)&gt;999,999,-999)))</f>
        <v>-60.7</v>
      </c>
      <c r="N106" s="603"/>
      <c r="O106" s="574"/>
      <c r="P106" s="558"/>
      <c r="Q106" s="603"/>
      <c r="R106" s="574"/>
      <c r="S106" s="558"/>
      <c r="T106" s="603"/>
      <c r="U106" s="574"/>
      <c r="V106" s="558"/>
      <c r="W106" s="603">
        <v>7</v>
      </c>
      <c r="X106" s="617">
        <f>SUM(X98:X103)+X105</f>
        <v>13.031794579</v>
      </c>
      <c r="Y106" s="608">
        <f t="shared" si="8"/>
        <v>86.2</v>
      </c>
      <c r="Z106" s="603"/>
      <c r="AA106" s="574"/>
      <c r="AB106" s="558"/>
      <c r="AC106" s="603">
        <v>-1</v>
      </c>
      <c r="AD106" s="574">
        <f>SUM(AD98:AD103)+AD105</f>
        <v>8</v>
      </c>
      <c r="AE106" s="558">
        <f>IF(AC106=0, "    ---- ", IF(ABS(ROUND(100/AC106*AD106-100,1))&lt;999,ROUND(100/AC106*AD106-100,1),IF(ROUND(100/AC106*AD106-100,1)&gt;999,999,-999)))</f>
        <v>-900</v>
      </c>
      <c r="AF106" s="603">
        <v>-11.491</v>
      </c>
      <c r="AG106" s="574"/>
      <c r="AH106" s="558">
        <f>IF(AF106=0, "    ---- ", IF(ABS(ROUND(100/AF106*AG106-100,1))&lt;999,ROUND(100/AF106*AG106-100,1),IF(ROUND(100/AF106*AG106-100,1)&gt;999,999,-999)))</f>
        <v>-100</v>
      </c>
      <c r="AI106" s="603">
        <v>1.9229999999999998</v>
      </c>
      <c r="AJ106" s="574">
        <f>SUM(AJ98:AJ103)+AJ105</f>
        <v>3.855</v>
      </c>
      <c r="AK106" s="608">
        <f t="shared" si="9"/>
        <v>100.5</v>
      </c>
      <c r="AL106" s="616">
        <v>17</v>
      </c>
      <c r="AM106" s="617">
        <f>SUM(AM98:AM103)+AM105</f>
        <v>20.400000000000002</v>
      </c>
      <c r="AN106" s="558">
        <f>IF(AL106=0, "    ---- ", IF(ABS(ROUND(100/AL106*AM106-100,1))&lt;999,ROUND(100/AL106*AM106-100,1),IF(ROUND(100/AL106*AM106-100,1)&gt;999,999,-999)))</f>
        <v>20</v>
      </c>
      <c r="AO106" s="574">
        <f>B106+E106+H106+K106+Q106+T106+W106+Z106+AF106+AI106+AL106</f>
        <v>55.408999999999992</v>
      </c>
      <c r="AP106" s="574">
        <f t="shared" si="11"/>
        <v>341.74079457900001</v>
      </c>
      <c r="AQ106" s="558">
        <f t="shared" si="14"/>
        <v>516.79999999999995</v>
      </c>
      <c r="AR106" s="574">
        <f t="shared" si="12"/>
        <v>54.408999999999992</v>
      </c>
      <c r="AS106" s="574">
        <f t="shared" si="12"/>
        <v>349.74079457900001</v>
      </c>
      <c r="AT106" s="558">
        <f t="shared" si="15"/>
        <v>542.79999999999995</v>
      </c>
    </row>
    <row r="107" spans="1:47" s="515" customFormat="1" ht="18.75" customHeight="1" x14ac:dyDescent="0.3">
      <c r="A107" s="509" t="s">
        <v>441</v>
      </c>
      <c r="B107" s="560"/>
      <c r="C107" s="561"/>
      <c r="D107" s="561"/>
      <c r="E107" s="560"/>
      <c r="F107" s="561">
        <v>296.18599999999998</v>
      </c>
      <c r="G107" s="610" t="str">
        <f>IF(E107=0, "    ---- ", IF(ABS(ROUND(100/E107*F107-100,1))&lt;999,ROUND(100/E107*F107-100,1),IF(ROUND(100/E107*F107-100,1)&gt;999,999,-999)))</f>
        <v xml:space="preserve">    ---- </v>
      </c>
      <c r="H107" s="560"/>
      <c r="I107" s="561"/>
      <c r="J107" s="451"/>
      <c r="K107" s="560"/>
      <c r="L107" s="561"/>
      <c r="M107" s="561"/>
      <c r="N107" s="560"/>
      <c r="O107" s="561"/>
      <c r="P107" s="451"/>
      <c r="Q107" s="560"/>
      <c r="R107" s="561"/>
      <c r="S107" s="451"/>
      <c r="T107" s="560"/>
      <c r="U107" s="561"/>
      <c r="V107" s="451"/>
      <c r="W107" s="560"/>
      <c r="X107" s="615"/>
      <c r="Y107" s="610"/>
      <c r="Z107" s="560"/>
      <c r="AA107" s="561"/>
      <c r="AB107" s="451"/>
      <c r="AC107" s="560"/>
      <c r="AD107" s="561"/>
      <c r="AE107" s="451"/>
      <c r="AF107" s="560"/>
      <c r="AG107" s="561"/>
      <c r="AH107" s="451"/>
      <c r="AI107" s="560"/>
      <c r="AJ107" s="561"/>
      <c r="AK107" s="610"/>
      <c r="AL107" s="614"/>
      <c r="AM107" s="615"/>
      <c r="AN107" s="451"/>
      <c r="AO107" s="561">
        <f t="shared" si="11"/>
        <v>0</v>
      </c>
      <c r="AP107" s="561">
        <f t="shared" si="11"/>
        <v>296.18599999999998</v>
      </c>
      <c r="AQ107" s="451" t="str">
        <f t="shared" si="14"/>
        <v xml:space="preserve">    ---- </v>
      </c>
      <c r="AR107" s="561">
        <f t="shared" si="12"/>
        <v>0</v>
      </c>
      <c r="AS107" s="561">
        <f t="shared" si="12"/>
        <v>296.18599999999998</v>
      </c>
      <c r="AT107" s="451" t="str">
        <f t="shared" si="15"/>
        <v xml:space="preserve">    ---- </v>
      </c>
    </row>
    <row r="108" spans="1:47" s="515" customFormat="1" ht="18.75" customHeight="1" x14ac:dyDescent="0.3">
      <c r="A108" s="520" t="s">
        <v>442</v>
      </c>
      <c r="B108" s="618">
        <v>-2.778</v>
      </c>
      <c r="C108" s="619">
        <v>2.093</v>
      </c>
      <c r="D108" s="619">
        <f>IF(B108=0, "    ---- ", IF(ABS(ROUND(100/B108*C108-100,1))&lt;999,ROUND(100/B108*C108-100,1),IF(ROUND(100/B108*C108-100,1)&gt;999,999,-999)))</f>
        <v>-175.3</v>
      </c>
      <c r="E108" s="618">
        <v>9</v>
      </c>
      <c r="F108" s="619">
        <v>-7.6479999999999997</v>
      </c>
      <c r="G108" s="620">
        <f>IF(E108=0, "    ---- ", IF(ABS(ROUND(100/E108*F108-100,1))&lt;999,ROUND(100/E108*F108-100,1),IF(ROUND(100/E108*F108-100,1)&gt;999,999,-999)))</f>
        <v>-185</v>
      </c>
      <c r="H108" s="618"/>
      <c r="I108" s="619"/>
      <c r="J108" s="621"/>
      <c r="K108" s="618">
        <v>35.167000000000002</v>
      </c>
      <c r="L108" s="619">
        <f>13.621+0.202</f>
        <v>13.823</v>
      </c>
      <c r="M108" s="619">
        <f>IF(K108=0, "    ---- ", IF(ABS(ROUND(100/K108*L108-100,1))&lt;999,ROUND(100/K108*L108-100,1),IF(ROUND(100/K108*L108-100,1)&gt;999,999,-999)))</f>
        <v>-60.7</v>
      </c>
      <c r="N108" s="618"/>
      <c r="O108" s="619"/>
      <c r="P108" s="621"/>
      <c r="Q108" s="618"/>
      <c r="R108" s="619"/>
      <c r="S108" s="621"/>
      <c r="T108" s="618"/>
      <c r="U108" s="619"/>
      <c r="V108" s="621"/>
      <c r="W108" s="618">
        <v>7</v>
      </c>
      <c r="X108" s="623">
        <v>13.031794579</v>
      </c>
      <c r="Y108" s="620">
        <f t="shared" si="8"/>
        <v>86.2</v>
      </c>
      <c r="Z108" s="618"/>
      <c r="AA108" s="619"/>
      <c r="AB108" s="621"/>
      <c r="AC108" s="618">
        <v>-1</v>
      </c>
      <c r="AD108" s="619">
        <v>8</v>
      </c>
      <c r="AE108" s="621"/>
      <c r="AF108" s="618">
        <v>-11.491</v>
      </c>
      <c r="AG108" s="619"/>
      <c r="AH108" s="621">
        <f>IF(AF108=0, "    ---- ", IF(ABS(ROUND(100/AF108*AG108-100,1))&lt;999,ROUND(100/AF108*AG108-100,1),IF(ROUND(100/AF108*AG108-100,1)&gt;999,999,-999)))</f>
        <v>-100</v>
      </c>
      <c r="AI108" s="618">
        <v>1.923</v>
      </c>
      <c r="AJ108" s="619">
        <v>3.855</v>
      </c>
      <c r="AK108" s="620">
        <f t="shared" si="9"/>
        <v>100.5</v>
      </c>
      <c r="AL108" s="622">
        <v>17</v>
      </c>
      <c r="AM108" s="623">
        <v>20.399999999999999</v>
      </c>
      <c r="AN108" s="621">
        <f>IF(AL108=0, "    ---- ", IF(ABS(ROUND(100/AL108*AM108-100,1))&lt;999,ROUND(100/AL108*AM108-100,1),IF(ROUND(100/AL108*AM108-100,1)&gt;999,999,-999)))</f>
        <v>20</v>
      </c>
      <c r="AO108" s="619">
        <f t="shared" si="11"/>
        <v>55.821000000000005</v>
      </c>
      <c r="AP108" s="619">
        <f t="shared" si="11"/>
        <v>45.554794579000003</v>
      </c>
      <c r="AQ108" s="621">
        <f t="shared" si="14"/>
        <v>-18.399999999999999</v>
      </c>
      <c r="AR108" s="619">
        <f t="shared" si="12"/>
        <v>54.821000000000005</v>
      </c>
      <c r="AS108" s="619">
        <f t="shared" si="12"/>
        <v>53.554794578999996</v>
      </c>
      <c r="AT108" s="621">
        <f t="shared" si="15"/>
        <v>-2.2999999999999998</v>
      </c>
    </row>
    <row r="109" spans="1:47" s="515" customFormat="1" ht="18.75" customHeight="1" x14ac:dyDescent="0.3">
      <c r="A109" s="515" t="s">
        <v>286</v>
      </c>
    </row>
    <row r="110" spans="1:47" ht="18.75" customHeight="1" x14ac:dyDescent="0.3">
      <c r="A110" s="515"/>
      <c r="B110" s="515"/>
      <c r="C110" s="515"/>
      <c r="D110" s="515"/>
      <c r="E110" s="515"/>
      <c r="F110" s="515"/>
      <c r="G110" s="515"/>
      <c r="H110" s="515"/>
      <c r="I110" s="515"/>
      <c r="J110" s="515"/>
      <c r="K110" s="515"/>
      <c r="L110" s="515"/>
      <c r="M110" s="515"/>
      <c r="N110" s="515"/>
      <c r="O110" s="515"/>
      <c r="P110" s="515"/>
      <c r="Q110" s="515"/>
      <c r="R110" s="515"/>
      <c r="S110" s="515"/>
      <c r="T110" s="515"/>
      <c r="U110" s="515"/>
      <c r="V110" s="515"/>
      <c r="W110" s="515"/>
      <c r="X110" s="515"/>
      <c r="Y110" s="515"/>
      <c r="Z110" s="515"/>
      <c r="AA110" s="515"/>
      <c r="AB110" s="515"/>
      <c r="AC110" s="515"/>
      <c r="AD110" s="515"/>
      <c r="AE110" s="515"/>
      <c r="AF110" s="515"/>
      <c r="AG110" s="515"/>
      <c r="AH110" s="515"/>
      <c r="AI110" s="515"/>
      <c r="AJ110" s="515"/>
      <c r="AK110" s="515"/>
      <c r="AL110" s="515"/>
      <c r="AM110" s="515"/>
      <c r="AN110" s="515"/>
      <c r="AO110" s="515"/>
      <c r="AP110" s="515"/>
      <c r="AQ110" s="515"/>
      <c r="AR110" s="515"/>
      <c r="AU110" s="515"/>
    </row>
    <row r="111" spans="1:47" ht="18.75" x14ac:dyDescent="0.3">
      <c r="A111" s="515"/>
      <c r="B111" s="515"/>
      <c r="C111" s="515"/>
      <c r="D111" s="515"/>
      <c r="E111" s="515"/>
      <c r="F111" s="515"/>
      <c r="G111" s="515"/>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row>
    <row r="112" spans="1:47" ht="18.75" x14ac:dyDescent="0.3">
      <c r="A112" s="515"/>
      <c r="B112" s="515"/>
      <c r="C112" s="515"/>
      <c r="D112" s="515"/>
      <c r="E112" s="515"/>
      <c r="F112" s="515"/>
      <c r="G112" s="515"/>
      <c r="H112" s="515"/>
      <c r="I112" s="515"/>
      <c r="J112" s="515"/>
      <c r="K112" s="515"/>
      <c r="L112" s="515"/>
      <c r="M112" s="515"/>
      <c r="N112" s="631"/>
      <c r="O112" s="631"/>
      <c r="P112" s="515"/>
      <c r="Q112" s="631"/>
      <c r="R112" s="631"/>
      <c r="S112" s="515"/>
      <c r="T112" s="515"/>
      <c r="U112" s="515"/>
      <c r="V112" s="515"/>
      <c r="W112" s="631"/>
      <c r="X112" s="631"/>
      <c r="Y112" s="515"/>
      <c r="Z112" s="515"/>
      <c r="AA112" s="515"/>
      <c r="AB112" s="515"/>
      <c r="AC112" s="515"/>
      <c r="AD112" s="515"/>
      <c r="AE112" s="515"/>
      <c r="AF112" s="515"/>
      <c r="AG112" s="515"/>
      <c r="AH112" s="515"/>
      <c r="AI112" s="631"/>
      <c r="AJ112" s="631"/>
      <c r="AK112" s="515"/>
      <c r="AL112" s="631"/>
      <c r="AM112" s="631"/>
      <c r="AN112" s="515"/>
      <c r="AO112" s="515"/>
      <c r="AP112" s="515"/>
      <c r="AQ112" s="515"/>
      <c r="AR112" s="631"/>
      <c r="AS112" s="631"/>
      <c r="AT112" s="515"/>
      <c r="AU112" s="515"/>
    </row>
    <row r="113" spans="1:47" ht="18.75" x14ac:dyDescent="0.3">
      <c r="A113" s="515"/>
      <c r="B113" s="515"/>
      <c r="C113" s="515"/>
      <c r="D113" s="515"/>
      <c r="E113" s="515"/>
      <c r="F113" s="515"/>
      <c r="G113" s="515"/>
      <c r="H113" s="515"/>
      <c r="I113" s="515"/>
      <c r="J113" s="515"/>
      <c r="K113" s="515"/>
      <c r="L113" s="515"/>
      <c r="M113" s="515"/>
      <c r="N113" s="515"/>
      <c r="O113" s="515"/>
      <c r="P113" s="515"/>
      <c r="Q113" s="515"/>
      <c r="R113" s="515"/>
      <c r="S113" s="515"/>
      <c r="T113" s="515"/>
      <c r="U113" s="515"/>
      <c r="V113" s="515"/>
      <c r="W113" s="515"/>
      <c r="X113" s="515"/>
      <c r="Y113" s="515"/>
      <c r="Z113" s="515"/>
      <c r="AA113" s="515"/>
      <c r="AB113" s="515"/>
      <c r="AC113" s="515"/>
      <c r="AD113" s="515"/>
      <c r="AE113" s="515"/>
      <c r="AF113" s="515"/>
      <c r="AG113" s="515"/>
      <c r="AH113" s="515"/>
      <c r="AI113" s="515"/>
      <c r="AJ113" s="515"/>
      <c r="AK113" s="515"/>
      <c r="AL113" s="515"/>
      <c r="AM113" s="515"/>
      <c r="AN113" s="515"/>
      <c r="AO113" s="515"/>
      <c r="AP113" s="515"/>
      <c r="AQ113" s="515"/>
      <c r="AR113" s="515"/>
      <c r="AS113" s="515"/>
      <c r="AT113" s="515"/>
      <c r="AU113" s="515"/>
    </row>
    <row r="114" spans="1:47" ht="18.75" x14ac:dyDescent="0.3">
      <c r="A114" s="515"/>
      <c r="B114" s="515"/>
      <c r="C114" s="515"/>
      <c r="D114" s="515"/>
      <c r="E114" s="515"/>
      <c r="F114" s="515"/>
      <c r="G114" s="515"/>
      <c r="H114" s="515"/>
      <c r="I114" s="515"/>
      <c r="J114" s="515"/>
      <c r="K114" s="515"/>
      <c r="L114" s="515"/>
      <c r="M114" s="515"/>
      <c r="N114" s="515"/>
      <c r="O114" s="515"/>
      <c r="P114" s="515"/>
      <c r="Q114" s="515"/>
      <c r="R114" s="515"/>
      <c r="S114" s="515"/>
      <c r="T114" s="515"/>
      <c r="U114" s="515"/>
      <c r="V114" s="515"/>
      <c r="W114" s="515"/>
      <c r="X114" s="515"/>
      <c r="Y114" s="515"/>
      <c r="Z114" s="515"/>
      <c r="AA114" s="515"/>
      <c r="AB114" s="515"/>
      <c r="AC114" s="515"/>
      <c r="AD114" s="515"/>
      <c r="AE114" s="515"/>
      <c r="AF114" s="515"/>
      <c r="AG114" s="515"/>
      <c r="AH114" s="515"/>
      <c r="AI114" s="515"/>
      <c r="AJ114" s="515"/>
      <c r="AK114" s="515"/>
      <c r="AL114" s="515"/>
      <c r="AM114" s="515"/>
      <c r="AN114" s="515"/>
      <c r="AO114" s="515"/>
      <c r="AP114" s="515"/>
      <c r="AQ114" s="515"/>
      <c r="AR114" s="515"/>
      <c r="AS114" s="515"/>
      <c r="AT114" s="515"/>
      <c r="AU114" s="515"/>
    </row>
    <row r="115" spans="1:47" ht="18.75" x14ac:dyDescent="0.3">
      <c r="A115" s="515"/>
      <c r="B115" s="515"/>
      <c r="C115" s="515"/>
      <c r="D115" s="515"/>
      <c r="E115" s="515"/>
      <c r="F115" s="515"/>
      <c r="G115" s="515"/>
      <c r="H115" s="515"/>
      <c r="I115" s="515"/>
      <c r="J115" s="515"/>
      <c r="K115" s="515"/>
      <c r="L115" s="515"/>
      <c r="M115" s="515"/>
      <c r="N115" s="515"/>
      <c r="O115" s="515"/>
      <c r="P115" s="515"/>
      <c r="Q115" s="515"/>
      <c r="R115" s="515"/>
      <c r="S115" s="515"/>
      <c r="T115" s="515"/>
      <c r="U115" s="515"/>
      <c r="V115" s="515"/>
      <c r="W115" s="515"/>
      <c r="X115" s="515"/>
      <c r="Y115" s="515"/>
      <c r="Z115" s="515"/>
      <c r="AA115" s="515"/>
      <c r="AB115" s="515"/>
      <c r="AC115" s="515"/>
      <c r="AD115" s="515"/>
      <c r="AE115" s="515"/>
      <c r="AF115" s="515"/>
      <c r="AG115" s="515"/>
      <c r="AH115" s="515"/>
      <c r="AI115" s="515"/>
      <c r="AJ115" s="515"/>
      <c r="AK115" s="515"/>
      <c r="AL115" s="515"/>
      <c r="AM115" s="515"/>
      <c r="AN115" s="515"/>
      <c r="AO115" s="515"/>
      <c r="AP115" s="515"/>
      <c r="AQ115" s="515"/>
      <c r="AR115" s="515"/>
      <c r="AS115" s="515"/>
      <c r="AT115" s="515"/>
      <c r="AU115" s="515"/>
    </row>
    <row r="116" spans="1:47" ht="18.75" x14ac:dyDescent="0.3">
      <c r="A116" s="515"/>
      <c r="B116" s="515"/>
      <c r="C116" s="515"/>
      <c r="D116" s="515"/>
      <c r="E116" s="515"/>
      <c r="F116" s="515"/>
      <c r="G116" s="515"/>
      <c r="H116" s="515"/>
      <c r="I116" s="515"/>
      <c r="J116" s="515"/>
      <c r="K116" s="515"/>
      <c r="L116" s="515"/>
      <c r="M116" s="515"/>
      <c r="N116" s="515"/>
      <c r="O116" s="515"/>
      <c r="P116" s="515"/>
      <c r="Q116" s="515"/>
      <c r="R116" s="515"/>
      <c r="S116" s="515"/>
      <c r="T116" s="515"/>
      <c r="U116" s="515"/>
      <c r="V116" s="515"/>
      <c r="W116" s="515"/>
      <c r="X116" s="515"/>
      <c r="Y116" s="515"/>
      <c r="Z116" s="515"/>
      <c r="AA116" s="515"/>
      <c r="AB116" s="515"/>
      <c r="AC116" s="515"/>
      <c r="AD116" s="515"/>
      <c r="AE116" s="515"/>
      <c r="AF116" s="515"/>
      <c r="AG116" s="515"/>
      <c r="AH116" s="515"/>
      <c r="AI116" s="515"/>
      <c r="AJ116" s="515"/>
      <c r="AK116" s="515"/>
      <c r="AL116" s="515"/>
      <c r="AM116" s="515"/>
      <c r="AN116" s="515"/>
      <c r="AO116" s="515"/>
      <c r="AP116" s="515"/>
      <c r="AQ116" s="515"/>
      <c r="AR116" s="515"/>
      <c r="AS116" s="515"/>
      <c r="AT116" s="515"/>
      <c r="AU116" s="515"/>
    </row>
    <row r="117" spans="1:47" ht="18.75" x14ac:dyDescent="0.3">
      <c r="A117" s="515"/>
      <c r="B117" s="515"/>
      <c r="C117" s="515"/>
      <c r="D117" s="515"/>
      <c r="E117" s="515"/>
      <c r="F117" s="515"/>
      <c r="G117" s="515"/>
      <c r="H117" s="515"/>
      <c r="I117" s="515"/>
      <c r="J117" s="515"/>
      <c r="K117" s="515"/>
      <c r="L117" s="515"/>
      <c r="M117" s="515"/>
      <c r="N117" s="515"/>
      <c r="O117" s="515"/>
      <c r="P117" s="515"/>
      <c r="Q117" s="515"/>
      <c r="R117" s="515"/>
      <c r="S117" s="515"/>
      <c r="T117" s="515"/>
      <c r="U117" s="515"/>
      <c r="V117" s="515"/>
      <c r="W117" s="515"/>
      <c r="X117" s="515"/>
      <c r="Y117" s="515"/>
      <c r="Z117" s="515"/>
      <c r="AA117" s="515"/>
      <c r="AB117" s="515"/>
      <c r="AC117" s="515"/>
      <c r="AD117" s="515"/>
      <c r="AE117" s="515"/>
      <c r="AF117" s="515"/>
      <c r="AG117" s="515"/>
      <c r="AH117" s="515"/>
      <c r="AI117" s="515"/>
      <c r="AJ117" s="515"/>
      <c r="AK117" s="515"/>
      <c r="AL117" s="515"/>
      <c r="AM117" s="515"/>
      <c r="AN117" s="515"/>
      <c r="AO117" s="515"/>
      <c r="AP117" s="515"/>
      <c r="AQ117" s="515"/>
      <c r="AR117" s="515"/>
      <c r="AS117" s="515"/>
      <c r="AT117" s="515"/>
      <c r="AU117" s="515"/>
    </row>
    <row r="118" spans="1:47" ht="18.75" x14ac:dyDescent="0.3">
      <c r="A118" s="515"/>
      <c r="B118" s="515"/>
      <c r="C118" s="515"/>
      <c r="D118" s="515"/>
      <c r="E118" s="515"/>
      <c r="F118" s="515"/>
      <c r="G118" s="515"/>
      <c r="H118" s="515"/>
      <c r="I118" s="515"/>
      <c r="J118" s="515"/>
      <c r="K118" s="515"/>
      <c r="L118" s="515"/>
      <c r="M118" s="515"/>
      <c r="N118" s="515"/>
      <c r="O118" s="515"/>
      <c r="P118" s="515"/>
      <c r="Q118" s="515"/>
      <c r="R118" s="515"/>
      <c r="S118" s="515"/>
      <c r="T118" s="515"/>
      <c r="U118" s="515"/>
      <c r="V118" s="515"/>
      <c r="W118" s="515"/>
      <c r="X118" s="515"/>
      <c r="Y118" s="515"/>
      <c r="Z118" s="515"/>
      <c r="AA118" s="515"/>
      <c r="AB118" s="515"/>
      <c r="AC118" s="515"/>
      <c r="AD118" s="515"/>
      <c r="AE118" s="515"/>
      <c r="AF118" s="515"/>
      <c r="AG118" s="515"/>
      <c r="AH118" s="515"/>
      <c r="AI118" s="515"/>
      <c r="AJ118" s="515"/>
      <c r="AK118" s="515"/>
      <c r="AL118" s="515"/>
      <c r="AM118" s="515"/>
      <c r="AN118" s="515"/>
      <c r="AO118" s="515"/>
      <c r="AP118" s="515"/>
      <c r="AQ118" s="515"/>
      <c r="AR118" s="515"/>
      <c r="AS118" s="515"/>
      <c r="AT118" s="515"/>
      <c r="AU118" s="515"/>
    </row>
    <row r="119" spans="1:47" ht="18.75" x14ac:dyDescent="0.3">
      <c r="A119" s="515"/>
      <c r="B119" s="515"/>
      <c r="C119" s="515"/>
      <c r="D119" s="515"/>
      <c r="E119" s="515"/>
      <c r="F119" s="515"/>
      <c r="G119" s="515"/>
      <c r="H119" s="515"/>
      <c r="I119" s="515"/>
      <c r="J119" s="515"/>
      <c r="K119" s="515"/>
      <c r="L119" s="515"/>
      <c r="M119" s="515"/>
      <c r="N119" s="515"/>
      <c r="O119" s="515"/>
      <c r="P119" s="515"/>
      <c r="Q119" s="515"/>
      <c r="R119" s="515"/>
      <c r="S119" s="515"/>
      <c r="T119" s="515"/>
      <c r="U119" s="515"/>
      <c r="V119" s="515"/>
      <c r="W119" s="515"/>
      <c r="X119" s="515"/>
      <c r="Y119" s="515"/>
      <c r="Z119" s="515"/>
      <c r="AA119" s="515"/>
      <c r="AB119" s="515"/>
      <c r="AC119" s="515"/>
      <c r="AD119" s="515"/>
      <c r="AE119" s="515"/>
      <c r="AF119" s="515"/>
      <c r="AG119" s="515"/>
      <c r="AH119" s="515"/>
      <c r="AI119" s="515"/>
      <c r="AJ119" s="515"/>
      <c r="AK119" s="515"/>
      <c r="AL119" s="515"/>
      <c r="AM119" s="515"/>
      <c r="AN119" s="515"/>
      <c r="AO119" s="515"/>
      <c r="AP119" s="515"/>
      <c r="AQ119" s="515"/>
      <c r="AR119" s="515"/>
      <c r="AS119" s="515"/>
      <c r="AT119" s="515"/>
      <c r="AU119" s="515"/>
    </row>
    <row r="120" spans="1:47" ht="18.75" x14ac:dyDescent="0.3">
      <c r="A120" s="515"/>
      <c r="B120" s="515"/>
      <c r="C120" s="515"/>
      <c r="D120" s="515"/>
      <c r="E120" s="515"/>
      <c r="F120" s="515"/>
      <c r="G120" s="515"/>
      <c r="H120" s="515"/>
      <c r="I120" s="515"/>
      <c r="J120" s="515"/>
      <c r="K120" s="515"/>
      <c r="L120" s="515"/>
      <c r="M120" s="515"/>
      <c r="N120" s="515"/>
      <c r="O120" s="515"/>
      <c r="P120" s="515"/>
      <c r="Q120" s="515"/>
      <c r="R120" s="515"/>
      <c r="S120" s="515"/>
      <c r="T120" s="515"/>
      <c r="U120" s="515"/>
      <c r="V120" s="515"/>
      <c r="W120" s="515"/>
      <c r="X120" s="515"/>
      <c r="Y120" s="515"/>
      <c r="Z120" s="515"/>
      <c r="AA120" s="515"/>
      <c r="AB120" s="515"/>
      <c r="AC120" s="515"/>
      <c r="AD120" s="515"/>
      <c r="AE120" s="515"/>
      <c r="AF120" s="515"/>
      <c r="AG120" s="515"/>
      <c r="AH120" s="515"/>
      <c r="AI120" s="515"/>
      <c r="AJ120" s="515"/>
      <c r="AK120" s="515"/>
      <c r="AL120" s="515"/>
      <c r="AM120" s="515"/>
      <c r="AN120" s="515"/>
      <c r="AO120" s="515"/>
      <c r="AP120" s="515"/>
      <c r="AQ120" s="515"/>
      <c r="AR120" s="515"/>
      <c r="AS120" s="515"/>
      <c r="AT120" s="515"/>
      <c r="AU120" s="515"/>
    </row>
    <row r="121" spans="1:47" ht="18.75" x14ac:dyDescent="0.3">
      <c r="A121" s="632"/>
      <c r="B121" s="632"/>
      <c r="C121" s="632"/>
      <c r="D121" s="632"/>
      <c r="E121" s="632"/>
      <c r="F121" s="632"/>
      <c r="G121" s="632"/>
      <c r="H121" s="632"/>
      <c r="I121" s="632"/>
      <c r="J121" s="632"/>
      <c r="K121" s="632"/>
      <c r="L121" s="632"/>
      <c r="M121" s="632"/>
      <c r="N121" s="632"/>
      <c r="O121" s="632"/>
      <c r="P121" s="632"/>
      <c r="Q121" s="632"/>
      <c r="R121" s="632"/>
      <c r="S121" s="632"/>
      <c r="T121" s="632"/>
      <c r="U121" s="632"/>
      <c r="V121" s="632"/>
      <c r="W121" s="632"/>
      <c r="X121" s="632"/>
      <c r="Y121" s="632"/>
      <c r="Z121" s="632"/>
      <c r="AA121" s="632"/>
      <c r="AB121" s="632"/>
      <c r="AC121" s="632"/>
      <c r="AD121" s="632"/>
      <c r="AE121" s="632"/>
      <c r="AF121" s="632"/>
      <c r="AG121" s="632"/>
      <c r="AH121" s="632"/>
      <c r="AI121" s="632"/>
      <c r="AJ121" s="632"/>
      <c r="AK121" s="632"/>
      <c r="AL121" s="632"/>
      <c r="AM121" s="632"/>
      <c r="AN121" s="632"/>
      <c r="AO121" s="632"/>
      <c r="AP121" s="632"/>
      <c r="AQ121" s="632"/>
      <c r="AR121" s="632"/>
      <c r="AS121" s="632"/>
      <c r="AT121" s="632"/>
      <c r="AU121" s="515"/>
    </row>
    <row r="122" spans="1:47" ht="18.75" x14ac:dyDescent="0.3">
      <c r="A122" s="515"/>
      <c r="B122" s="515"/>
      <c r="C122" s="515"/>
      <c r="D122" s="515"/>
      <c r="E122" s="515"/>
      <c r="F122" s="515"/>
      <c r="G122" s="515"/>
      <c r="H122" s="515"/>
      <c r="I122" s="515"/>
      <c r="J122" s="515"/>
      <c r="K122" s="515"/>
      <c r="L122" s="515"/>
      <c r="M122" s="515"/>
      <c r="N122" s="515"/>
      <c r="O122" s="515"/>
      <c r="P122" s="515"/>
      <c r="Q122" s="515"/>
      <c r="R122" s="515"/>
      <c r="S122" s="515"/>
      <c r="T122" s="515"/>
      <c r="U122" s="515"/>
      <c r="V122" s="515"/>
      <c r="W122" s="515"/>
      <c r="X122" s="515"/>
      <c r="Y122" s="515"/>
      <c r="Z122" s="515"/>
      <c r="AA122" s="515"/>
      <c r="AB122" s="515"/>
      <c r="AC122" s="515"/>
      <c r="AD122" s="515"/>
      <c r="AE122" s="515"/>
      <c r="AF122" s="515"/>
      <c r="AG122" s="515"/>
      <c r="AH122" s="515"/>
      <c r="AI122" s="515"/>
      <c r="AJ122" s="515"/>
      <c r="AK122" s="515"/>
      <c r="AL122" s="515"/>
      <c r="AM122" s="515"/>
      <c r="AN122" s="515"/>
      <c r="AO122" s="515"/>
      <c r="AP122" s="515"/>
      <c r="AQ122" s="515"/>
      <c r="AR122" s="515"/>
      <c r="AS122" s="515"/>
      <c r="AT122" s="515"/>
      <c r="AU122" s="515"/>
    </row>
    <row r="123" spans="1:47" ht="18.75" x14ac:dyDescent="0.3">
      <c r="A123" s="515"/>
      <c r="B123" s="515"/>
      <c r="C123" s="515"/>
      <c r="D123" s="515"/>
      <c r="E123" s="515"/>
      <c r="F123" s="515"/>
      <c r="G123" s="515"/>
      <c r="H123" s="515"/>
      <c r="I123" s="515"/>
      <c r="J123" s="515"/>
      <c r="K123" s="515"/>
      <c r="L123" s="515"/>
      <c r="M123" s="515"/>
      <c r="N123" s="515"/>
      <c r="O123" s="515"/>
      <c r="P123" s="515"/>
      <c r="Q123" s="515"/>
      <c r="R123" s="515"/>
      <c r="S123" s="515"/>
      <c r="T123" s="515"/>
      <c r="U123" s="515"/>
      <c r="V123" s="515"/>
      <c r="W123" s="515"/>
      <c r="X123" s="515"/>
      <c r="Y123" s="515"/>
      <c r="Z123" s="515"/>
      <c r="AA123" s="515"/>
      <c r="AB123" s="515"/>
      <c r="AC123" s="515"/>
      <c r="AD123" s="515"/>
      <c r="AE123" s="515"/>
      <c r="AF123" s="515"/>
      <c r="AG123" s="515"/>
      <c r="AH123" s="515"/>
      <c r="AI123" s="515"/>
      <c r="AJ123" s="515"/>
      <c r="AK123" s="515"/>
      <c r="AL123" s="515"/>
      <c r="AM123" s="515"/>
      <c r="AN123" s="515"/>
      <c r="AO123" s="515"/>
      <c r="AP123" s="515"/>
      <c r="AQ123" s="515"/>
      <c r="AR123" s="515"/>
      <c r="AS123" s="515"/>
      <c r="AT123" s="515"/>
      <c r="AU123" s="515"/>
    </row>
    <row r="124" spans="1:47" ht="18.75" x14ac:dyDescent="0.3">
      <c r="A124" s="515"/>
      <c r="B124" s="515"/>
      <c r="C124" s="515"/>
      <c r="D124" s="515"/>
      <c r="E124" s="515"/>
      <c r="F124" s="515"/>
      <c r="G124" s="515"/>
      <c r="H124" s="515"/>
      <c r="I124" s="515"/>
      <c r="J124" s="515"/>
      <c r="K124" s="515"/>
      <c r="L124" s="515"/>
      <c r="M124" s="515"/>
      <c r="N124" s="515"/>
      <c r="O124" s="515"/>
      <c r="P124" s="515"/>
      <c r="Q124" s="515"/>
      <c r="R124" s="515"/>
      <c r="S124" s="515"/>
      <c r="T124" s="515"/>
      <c r="U124" s="515"/>
      <c r="V124" s="515"/>
      <c r="W124" s="515"/>
      <c r="X124" s="515"/>
      <c r="Y124" s="515"/>
      <c r="Z124" s="515"/>
      <c r="AA124" s="515"/>
      <c r="AB124" s="515"/>
      <c r="AC124" s="515"/>
      <c r="AD124" s="515"/>
      <c r="AE124" s="515"/>
      <c r="AF124" s="515"/>
      <c r="AG124" s="515"/>
      <c r="AH124" s="515"/>
      <c r="AI124" s="515"/>
      <c r="AJ124" s="515"/>
      <c r="AK124" s="515"/>
      <c r="AL124" s="515"/>
      <c r="AM124" s="515"/>
      <c r="AN124" s="515"/>
      <c r="AO124" s="515"/>
      <c r="AP124" s="515"/>
      <c r="AQ124" s="515"/>
      <c r="AR124" s="515"/>
      <c r="AS124" s="515"/>
      <c r="AT124" s="515"/>
      <c r="AU124" s="515"/>
    </row>
    <row r="125" spans="1:47" ht="18.75" x14ac:dyDescent="0.3">
      <c r="A125" s="515"/>
      <c r="B125" s="515"/>
      <c r="C125" s="515"/>
      <c r="D125" s="515"/>
      <c r="E125" s="515"/>
      <c r="F125" s="515"/>
      <c r="G125" s="515"/>
      <c r="H125" s="515"/>
      <c r="I125" s="515"/>
      <c r="J125" s="515"/>
      <c r="K125" s="515"/>
      <c r="L125" s="515"/>
      <c r="M125" s="515"/>
      <c r="N125" s="515"/>
      <c r="O125" s="515"/>
      <c r="P125" s="515"/>
      <c r="Q125" s="515"/>
      <c r="R125" s="515"/>
      <c r="S125" s="515"/>
      <c r="T125" s="515"/>
      <c r="U125" s="515"/>
      <c r="V125" s="515"/>
      <c r="W125" s="515"/>
      <c r="X125" s="515"/>
      <c r="Y125" s="515"/>
      <c r="Z125" s="515"/>
      <c r="AA125" s="515"/>
      <c r="AB125" s="515"/>
      <c r="AC125" s="515"/>
      <c r="AD125" s="515"/>
      <c r="AE125" s="515"/>
      <c r="AF125" s="515"/>
      <c r="AG125" s="515"/>
      <c r="AH125" s="515"/>
      <c r="AI125" s="515"/>
      <c r="AJ125" s="515"/>
      <c r="AK125" s="515"/>
      <c r="AL125" s="515"/>
      <c r="AM125" s="515"/>
      <c r="AN125" s="515"/>
      <c r="AO125" s="515"/>
      <c r="AP125" s="515"/>
      <c r="AQ125" s="515"/>
      <c r="AR125" s="515"/>
      <c r="AS125" s="515"/>
      <c r="AT125" s="515"/>
      <c r="AU125" s="515"/>
    </row>
    <row r="126" spans="1:47" ht="18.75" x14ac:dyDescent="0.3">
      <c r="A126" s="515"/>
    </row>
    <row r="127" spans="1:47" ht="18.75" x14ac:dyDescent="0.3">
      <c r="A127" s="515"/>
    </row>
    <row r="128" spans="1:47" ht="18.75" x14ac:dyDescent="0.3">
      <c r="A128" s="515"/>
    </row>
    <row r="129" spans="1:1" ht="18.75" x14ac:dyDescent="0.3">
      <c r="A129" s="515"/>
    </row>
    <row r="130" spans="1:1" ht="18.75" x14ac:dyDescent="0.3">
      <c r="A130" s="515"/>
    </row>
    <row r="131" spans="1:1" ht="18.75" x14ac:dyDescent="0.3">
      <c r="A131" s="515"/>
    </row>
    <row r="132" spans="1:1" ht="18.75" x14ac:dyDescent="0.3">
      <c r="A132" s="515"/>
    </row>
    <row r="133" spans="1:1" ht="18.75" x14ac:dyDescent="0.3">
      <c r="A133" s="515"/>
    </row>
    <row r="134" spans="1:1" ht="18.75" x14ac:dyDescent="0.3">
      <c r="A134" s="515"/>
    </row>
    <row r="135" spans="1:1" ht="18.75" x14ac:dyDescent="0.3">
      <c r="A135" s="515"/>
    </row>
    <row r="136" spans="1:1" ht="18.75" x14ac:dyDescent="0.3">
      <c r="A136" s="515"/>
    </row>
    <row r="137" spans="1:1" ht="18.75" x14ac:dyDescent="0.3">
      <c r="A137" s="515"/>
    </row>
    <row r="138" spans="1:1" ht="18.75" x14ac:dyDescent="0.3">
      <c r="A138" s="515"/>
    </row>
    <row r="139" spans="1:1" ht="18.75" x14ac:dyDescent="0.3">
      <c r="A139" s="515"/>
    </row>
    <row r="140" spans="1:1" ht="18.75" x14ac:dyDescent="0.3">
      <c r="A140" s="515"/>
    </row>
    <row r="141" spans="1:1" ht="18.75" x14ac:dyDescent="0.3">
      <c r="A141" s="515"/>
    </row>
    <row r="142" spans="1:1" ht="18.75" x14ac:dyDescent="0.3">
      <c r="A142" s="515"/>
    </row>
    <row r="143" spans="1:1" ht="18.75" x14ac:dyDescent="0.3">
      <c r="A143" s="515"/>
    </row>
    <row r="144" spans="1:1" ht="18.75" x14ac:dyDescent="0.3">
      <c r="A144" s="515"/>
    </row>
    <row r="145" spans="1:1" ht="18.75" x14ac:dyDescent="0.3">
      <c r="A145" s="515"/>
    </row>
    <row r="146" spans="1:1" ht="18.75" x14ac:dyDescent="0.3">
      <c r="A146" s="515"/>
    </row>
    <row r="147" spans="1:1" ht="18.75" x14ac:dyDescent="0.3">
      <c r="A147" s="515"/>
    </row>
    <row r="148" spans="1:1" ht="18.75" x14ac:dyDescent="0.3">
      <c r="A148" s="515"/>
    </row>
    <row r="149" spans="1:1" ht="18.75" x14ac:dyDescent="0.3">
      <c r="A149" s="515"/>
    </row>
    <row r="150" spans="1:1" ht="18.75" x14ac:dyDescent="0.3">
      <c r="A150" s="515"/>
    </row>
    <row r="151" spans="1:1" ht="18.75" x14ac:dyDescent="0.3">
      <c r="A151" s="515"/>
    </row>
    <row r="152" spans="1:1" ht="18.75" x14ac:dyDescent="0.3">
      <c r="A152" s="515"/>
    </row>
    <row r="153" spans="1:1" ht="18.75" x14ac:dyDescent="0.3">
      <c r="A153" s="515"/>
    </row>
    <row r="154" spans="1:1" ht="18.75" x14ac:dyDescent="0.3">
      <c r="A154" s="515"/>
    </row>
    <row r="155" spans="1:1" ht="18.75" x14ac:dyDescent="0.3">
      <c r="A155" s="515"/>
    </row>
    <row r="156" spans="1:1" ht="18.75" x14ac:dyDescent="0.3">
      <c r="A156" s="515"/>
    </row>
    <row r="157" spans="1:1" ht="18.75" x14ac:dyDescent="0.3">
      <c r="A157" s="515"/>
    </row>
    <row r="158" spans="1:1" ht="18.75" x14ac:dyDescent="0.3">
      <c r="A158" s="515"/>
    </row>
    <row r="159" spans="1:1" ht="18.75" x14ac:dyDescent="0.3">
      <c r="A159" s="515"/>
    </row>
    <row r="160" spans="1:1" ht="18.75" x14ac:dyDescent="0.3">
      <c r="A160" s="515"/>
    </row>
    <row r="161" spans="1:1" ht="18.75" x14ac:dyDescent="0.3">
      <c r="A161" s="515"/>
    </row>
    <row r="162" spans="1:1" ht="18.75" x14ac:dyDescent="0.3">
      <c r="A162" s="515"/>
    </row>
    <row r="163" spans="1:1" ht="18.75" x14ac:dyDescent="0.3">
      <c r="A163" s="515"/>
    </row>
    <row r="164" spans="1:1" ht="18.75" x14ac:dyDescent="0.3">
      <c r="A164" s="515"/>
    </row>
    <row r="165" spans="1:1" ht="18.75" x14ac:dyDescent="0.3">
      <c r="A165" s="515"/>
    </row>
    <row r="166" spans="1:1" ht="18.75" x14ac:dyDescent="0.3">
      <c r="A166" s="515"/>
    </row>
    <row r="167" spans="1:1" ht="18.75" x14ac:dyDescent="0.3">
      <c r="A167" s="515"/>
    </row>
    <row r="168" spans="1:1" ht="18.75" x14ac:dyDescent="0.3">
      <c r="A168" s="515"/>
    </row>
    <row r="169" spans="1:1" ht="18.75" x14ac:dyDescent="0.3">
      <c r="A169" s="515"/>
    </row>
    <row r="170" spans="1:1" ht="18.75" x14ac:dyDescent="0.3">
      <c r="A170" s="515"/>
    </row>
    <row r="171" spans="1:1" ht="18.75" x14ac:dyDescent="0.3">
      <c r="A171" s="515"/>
    </row>
    <row r="172" spans="1:1" ht="18.75" x14ac:dyDescent="0.3">
      <c r="A172" s="515"/>
    </row>
    <row r="173" spans="1:1" ht="18.75" x14ac:dyDescent="0.3">
      <c r="A173" s="515"/>
    </row>
    <row r="174" spans="1:1" ht="18.75" x14ac:dyDescent="0.3">
      <c r="A174" s="515"/>
    </row>
    <row r="175" spans="1:1" ht="18.75" x14ac:dyDescent="0.3">
      <c r="A175" s="515"/>
    </row>
    <row r="176" spans="1:1" ht="18.75" x14ac:dyDescent="0.3">
      <c r="A176" s="515"/>
    </row>
    <row r="177" spans="1:1" ht="18.75" x14ac:dyDescent="0.3">
      <c r="A177" s="515"/>
    </row>
    <row r="178" spans="1:1" ht="18.75" x14ac:dyDescent="0.3">
      <c r="A178" s="515"/>
    </row>
    <row r="179" spans="1:1" ht="18.75" x14ac:dyDescent="0.3">
      <c r="A179" s="515"/>
    </row>
    <row r="180" spans="1:1" ht="18.75" x14ac:dyDescent="0.3">
      <c r="A180" s="515"/>
    </row>
    <row r="181" spans="1:1" ht="18.75" x14ac:dyDescent="0.3">
      <c r="A181" s="515"/>
    </row>
    <row r="182" spans="1:1" ht="18.75" x14ac:dyDescent="0.3">
      <c r="A182" s="515"/>
    </row>
    <row r="183" spans="1:1" ht="18.75" x14ac:dyDescent="0.3">
      <c r="A183" s="515"/>
    </row>
    <row r="184" spans="1:1" ht="18.75" x14ac:dyDescent="0.3">
      <c r="A184" s="515"/>
    </row>
    <row r="185" spans="1:1" ht="18.75" x14ac:dyDescent="0.3">
      <c r="A185" s="515"/>
    </row>
    <row r="186" spans="1:1" ht="18.75" x14ac:dyDescent="0.3">
      <c r="A186" s="515"/>
    </row>
    <row r="187" spans="1:1" ht="18.75" x14ac:dyDescent="0.3">
      <c r="A187" s="515"/>
    </row>
    <row r="188" spans="1:1" ht="18.75" x14ac:dyDescent="0.3">
      <c r="A188" s="515"/>
    </row>
    <row r="189" spans="1:1" ht="18.75" x14ac:dyDescent="0.3">
      <c r="A189" s="515"/>
    </row>
    <row r="190" spans="1:1" ht="18.75" x14ac:dyDescent="0.3">
      <c r="A190" s="515"/>
    </row>
    <row r="191" spans="1:1" ht="18.75" x14ac:dyDescent="0.3">
      <c r="A191" s="515"/>
    </row>
    <row r="192" spans="1:1" ht="18.75" x14ac:dyDescent="0.3">
      <c r="A192" s="515"/>
    </row>
    <row r="193" spans="1:1" ht="18.75" x14ac:dyDescent="0.3">
      <c r="A193" s="515"/>
    </row>
    <row r="194" spans="1:1" ht="18.75" x14ac:dyDescent="0.3">
      <c r="A194" s="515"/>
    </row>
    <row r="195" spans="1:1" ht="18.75" x14ac:dyDescent="0.3">
      <c r="A195" s="515"/>
    </row>
    <row r="196" spans="1:1" ht="18.75" x14ac:dyDescent="0.3">
      <c r="A196" s="515"/>
    </row>
    <row r="197" spans="1:1" ht="18.75" x14ac:dyDescent="0.3">
      <c r="A197" s="515"/>
    </row>
    <row r="198" spans="1:1" ht="18.75" x14ac:dyDescent="0.3">
      <c r="A198" s="515"/>
    </row>
    <row r="199" spans="1:1" ht="18.75" x14ac:dyDescent="0.3">
      <c r="A199" s="515"/>
    </row>
    <row r="200" spans="1:1" ht="18.75" x14ac:dyDescent="0.3">
      <c r="A200" s="515"/>
    </row>
    <row r="201" spans="1:1" ht="18.75" x14ac:dyDescent="0.3">
      <c r="A201" s="515"/>
    </row>
    <row r="202" spans="1:1" ht="18.75" x14ac:dyDescent="0.3">
      <c r="A202" s="515"/>
    </row>
    <row r="203" spans="1:1" ht="18.75" x14ac:dyDescent="0.3">
      <c r="A203" s="515"/>
    </row>
    <row r="204" spans="1:1" ht="18.75" x14ac:dyDescent="0.3">
      <c r="A204" s="515"/>
    </row>
    <row r="205" spans="1:1" ht="18.75" x14ac:dyDescent="0.3">
      <c r="A205" s="515"/>
    </row>
    <row r="206" spans="1:1" ht="18.75" x14ac:dyDescent="0.3">
      <c r="A206" s="515"/>
    </row>
    <row r="207" spans="1:1" ht="18.75" x14ac:dyDescent="0.3">
      <c r="A207" s="515"/>
    </row>
    <row r="208" spans="1:1" ht="18.75" x14ac:dyDescent="0.3">
      <c r="A208" s="515"/>
    </row>
    <row r="209" spans="1:1" ht="18.75" x14ac:dyDescent="0.3">
      <c r="A209" s="515"/>
    </row>
    <row r="210" spans="1:1" ht="18.75" x14ac:dyDescent="0.3">
      <c r="A210" s="515"/>
    </row>
    <row r="211" spans="1:1" ht="18.75" x14ac:dyDescent="0.3">
      <c r="A211" s="515"/>
    </row>
    <row r="212" spans="1:1" ht="18.75" x14ac:dyDescent="0.3">
      <c r="A212" s="515"/>
    </row>
    <row r="213" spans="1:1" ht="18.75" x14ac:dyDescent="0.3">
      <c r="A213" s="515"/>
    </row>
    <row r="214" spans="1:1" ht="18.75" x14ac:dyDescent="0.3">
      <c r="A214" s="515"/>
    </row>
    <row r="215" spans="1:1" ht="18.75" x14ac:dyDescent="0.3">
      <c r="A215" s="515"/>
    </row>
    <row r="216" spans="1:1" ht="18.75" x14ac:dyDescent="0.3">
      <c r="A216" s="515"/>
    </row>
    <row r="217" spans="1:1" ht="18.75" x14ac:dyDescent="0.3">
      <c r="A217" s="515"/>
    </row>
    <row r="218" spans="1:1" ht="18.75" x14ac:dyDescent="0.3">
      <c r="A218" s="515"/>
    </row>
    <row r="219" spans="1:1" ht="18.75" x14ac:dyDescent="0.3">
      <c r="A219" s="515"/>
    </row>
    <row r="220" spans="1:1" ht="18.75" x14ac:dyDescent="0.3">
      <c r="A220" s="515"/>
    </row>
    <row r="221" spans="1:1" ht="18.75" x14ac:dyDescent="0.3">
      <c r="A221" s="515"/>
    </row>
    <row r="222" spans="1:1" ht="18.75" x14ac:dyDescent="0.3">
      <c r="A222" s="515"/>
    </row>
    <row r="223" spans="1:1" ht="18.75" x14ac:dyDescent="0.3">
      <c r="A223" s="515"/>
    </row>
  </sheetData>
  <mergeCells count="27">
    <mergeCell ref="AO6:AQ6"/>
    <mergeCell ref="AR6:AT6"/>
    <mergeCell ref="B6:D6"/>
    <mergeCell ref="E6:G6"/>
    <mergeCell ref="H6:J6"/>
    <mergeCell ref="K6:M6"/>
    <mergeCell ref="N6:P6"/>
    <mergeCell ref="T6:V6"/>
    <mergeCell ref="Q7:S7"/>
    <mergeCell ref="Z6:AB6"/>
    <mergeCell ref="AF6:AH6"/>
    <mergeCell ref="AI6:AK6"/>
    <mergeCell ref="AL6:AN6"/>
    <mergeCell ref="AL7:AN7"/>
    <mergeCell ref="B7:D7"/>
    <mergeCell ref="E7:G7"/>
    <mergeCell ref="H7:J7"/>
    <mergeCell ref="K7:M7"/>
    <mergeCell ref="N7:P7"/>
    <mergeCell ref="AO7:AQ7"/>
    <mergeCell ref="AR7:AT7"/>
    <mergeCell ref="T7:V7"/>
    <mergeCell ref="W7:Y7"/>
    <mergeCell ref="Z7:AB7"/>
    <mergeCell ref="AC7:AE7"/>
    <mergeCell ref="AF7:AH7"/>
    <mergeCell ref="AI7:AK7"/>
  </mergeCells>
  <hyperlinks>
    <hyperlink ref="B1" location="Innhold!A1" display="Tilbake"/>
  </hyperlinks>
  <pageMargins left="0.78740157480314965" right="0.78740157480314965" top="1.5748031496062993" bottom="0.98425196850393704" header="0.51181102362204722" footer="0.51181102362204722"/>
  <pageSetup paperSize="9" scale="45" fitToWidth="4" orientation="portrait" r:id="rId1"/>
  <headerFooter alignWithMargins="0"/>
  <rowBreaks count="1" manualBreakCount="1">
    <brk id="59" max="39" man="1"/>
  </rowBreaks>
  <colBreaks count="4" manualBreakCount="4">
    <brk id="10" min="1" max="108" man="1"/>
    <brk id="19" min="1" max="108" man="1"/>
    <brk id="28" min="1" max="108" man="1"/>
    <brk id="37" min="1" max="108"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48"/>
  <sheetViews>
    <sheetView showGridLines="0" zoomScale="60" zoomScaleNormal="60" workbookViewId="0">
      <pane xSplit="1" ySplit="9" topLeftCell="B10" activePane="bottomRight" state="frozen"/>
      <selection activeCell="AJ43" sqref="AJ43"/>
      <selection pane="topRight" activeCell="AJ43" sqref="AJ43"/>
      <selection pane="bottomLeft" activeCell="AJ43" sqref="AJ43"/>
      <selection pane="bottomRight" activeCell="A5" sqref="A5"/>
    </sheetView>
  </sheetViews>
  <sheetFormatPr baseColWidth="10" defaultColWidth="12.5703125" defaultRowHeight="15.75" x14ac:dyDescent="0.25"/>
  <cols>
    <col min="1" max="1" width="59" style="634" customWidth="1"/>
    <col min="2" max="46" width="11.7109375" style="634" customWidth="1"/>
    <col min="47" max="16384" width="12.5703125" style="634"/>
  </cols>
  <sheetData>
    <row r="1" spans="1:50" ht="20.25" customHeight="1" x14ac:dyDescent="0.3">
      <c r="A1" s="588" t="s">
        <v>206</v>
      </c>
      <c r="B1" s="405" t="s">
        <v>64</v>
      </c>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3"/>
      <c r="AM1" s="633"/>
      <c r="AN1" s="633"/>
      <c r="AO1" s="633"/>
      <c r="AP1" s="633"/>
      <c r="AQ1" s="633"/>
      <c r="AR1" s="633"/>
      <c r="AS1" s="633"/>
      <c r="AT1" s="633"/>
      <c r="AU1" s="633"/>
      <c r="AV1" s="633"/>
      <c r="AW1" s="633"/>
      <c r="AX1" s="633"/>
    </row>
    <row r="2" spans="1:50" ht="20.100000000000001" customHeight="1" x14ac:dyDescent="0.3">
      <c r="A2" s="635" t="s">
        <v>294</v>
      </c>
      <c r="B2" s="633"/>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c r="AF2" s="633"/>
      <c r="AG2" s="633"/>
      <c r="AH2" s="633"/>
      <c r="AI2" s="633"/>
      <c r="AJ2" s="633"/>
      <c r="AK2" s="633"/>
      <c r="AL2" s="633"/>
      <c r="AM2" s="633"/>
      <c r="AN2" s="633"/>
      <c r="AO2" s="633"/>
      <c r="AP2" s="633"/>
      <c r="AQ2" s="633"/>
      <c r="AR2" s="633"/>
      <c r="AS2" s="633"/>
      <c r="AT2" s="633"/>
      <c r="AU2" s="633"/>
      <c r="AV2" s="633"/>
      <c r="AW2" s="633"/>
      <c r="AX2" s="633"/>
    </row>
    <row r="3" spans="1:50" ht="20.100000000000001" customHeight="1" x14ac:dyDescent="0.3">
      <c r="A3" s="636" t="s">
        <v>450</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row>
    <row r="4" spans="1:50" ht="20.100000000000001" customHeight="1" x14ac:dyDescent="0.3">
      <c r="A4" s="637" t="s">
        <v>451</v>
      </c>
      <c r="B4" s="638"/>
      <c r="C4" s="633"/>
      <c r="D4" s="633"/>
      <c r="E4" s="633"/>
      <c r="F4" s="633"/>
      <c r="G4" s="633"/>
      <c r="H4" s="633"/>
      <c r="I4" s="633"/>
      <c r="J4" s="633"/>
      <c r="K4" s="633"/>
      <c r="L4" s="633"/>
      <c r="M4" s="633"/>
      <c r="N4" s="633"/>
      <c r="O4" s="633"/>
      <c r="P4" s="633"/>
      <c r="Q4" s="633"/>
      <c r="R4" s="633"/>
      <c r="S4" s="633"/>
      <c r="T4" s="633"/>
      <c r="U4" s="633"/>
      <c r="V4" s="633"/>
      <c r="W4" s="633"/>
      <c r="X4" s="633"/>
      <c r="Y4" s="633"/>
      <c r="Z4" s="633"/>
      <c r="AA4" s="633"/>
      <c r="AB4" s="633"/>
      <c r="AC4" s="638"/>
      <c r="AD4" s="638"/>
      <c r="AE4" s="638"/>
      <c r="AF4" s="638"/>
      <c r="AG4" s="638"/>
      <c r="AH4" s="638"/>
      <c r="AI4" s="633"/>
      <c r="AJ4" s="633"/>
      <c r="AK4" s="633"/>
      <c r="AL4" s="633"/>
      <c r="AM4" s="633"/>
      <c r="AN4" s="633"/>
      <c r="AO4" s="633"/>
      <c r="AP4" s="633"/>
      <c r="AQ4" s="633"/>
      <c r="AR4" s="633"/>
      <c r="AS4" s="633"/>
      <c r="AT4" s="633"/>
      <c r="AU4" s="638"/>
      <c r="AV4" s="633"/>
      <c r="AW4" s="633"/>
      <c r="AX4" s="633"/>
    </row>
    <row r="5" spans="1:50" ht="18.75" customHeight="1" x14ac:dyDescent="0.3">
      <c r="A5" s="639" t="s">
        <v>403</v>
      </c>
      <c r="B5" s="640"/>
      <c r="C5" s="640"/>
      <c r="D5" s="641"/>
      <c r="E5" s="642"/>
      <c r="F5" s="640"/>
      <c r="G5" s="641"/>
      <c r="H5" s="642"/>
      <c r="I5" s="640"/>
      <c r="J5" s="641"/>
      <c r="K5" s="640"/>
      <c r="L5" s="640"/>
      <c r="M5" s="640"/>
      <c r="N5" s="640"/>
      <c r="O5" s="640"/>
      <c r="P5" s="641"/>
      <c r="Q5" s="642"/>
      <c r="R5" s="640"/>
      <c r="S5" s="641"/>
      <c r="T5" s="642"/>
      <c r="U5" s="640"/>
      <c r="V5" s="641"/>
      <c r="W5" s="642"/>
      <c r="X5" s="640"/>
      <c r="Y5" s="641"/>
      <c r="Z5" s="642"/>
      <c r="AA5" s="640"/>
      <c r="AB5" s="641"/>
      <c r="AC5" s="642"/>
      <c r="AD5" s="640"/>
      <c r="AE5" s="641"/>
      <c r="AF5" s="642"/>
      <c r="AG5" s="640"/>
      <c r="AH5" s="641"/>
      <c r="AI5" s="642"/>
      <c r="AJ5" s="640"/>
      <c r="AK5" s="641"/>
      <c r="AL5" s="642"/>
      <c r="AM5" s="640"/>
      <c r="AN5" s="641"/>
      <c r="AO5" s="642"/>
      <c r="AP5" s="640"/>
      <c r="AQ5" s="641"/>
      <c r="AR5" s="642"/>
      <c r="AS5" s="640"/>
      <c r="AT5" s="641"/>
      <c r="AU5" s="638"/>
      <c r="AV5" s="638"/>
      <c r="AW5" s="633"/>
      <c r="AX5" s="633"/>
    </row>
    <row r="6" spans="1:50" ht="18.75" customHeight="1" x14ac:dyDescent="0.3">
      <c r="A6" s="643" t="s">
        <v>125</v>
      </c>
      <c r="B6" s="845" t="s">
        <v>209</v>
      </c>
      <c r="C6" s="846"/>
      <c r="D6" s="847"/>
      <c r="E6" s="845" t="s">
        <v>210</v>
      </c>
      <c r="F6" s="846"/>
      <c r="G6" s="847"/>
      <c r="H6" s="845" t="s">
        <v>211</v>
      </c>
      <c r="I6" s="846"/>
      <c r="J6" s="847"/>
      <c r="K6" s="845" t="s">
        <v>212</v>
      </c>
      <c r="L6" s="846"/>
      <c r="M6" s="847"/>
      <c r="N6" s="845" t="s">
        <v>213</v>
      </c>
      <c r="O6" s="846"/>
      <c r="P6" s="847"/>
      <c r="Q6" s="424" t="s">
        <v>213</v>
      </c>
      <c r="R6" s="425"/>
      <c r="S6" s="426"/>
      <c r="T6" s="845" t="s">
        <v>76</v>
      </c>
      <c r="U6" s="846"/>
      <c r="V6" s="847"/>
      <c r="W6" s="424"/>
      <c r="X6" s="425"/>
      <c r="Y6" s="426"/>
      <c r="Z6" s="845" t="s">
        <v>214</v>
      </c>
      <c r="AA6" s="846"/>
      <c r="AB6" s="847"/>
      <c r="AC6" s="424"/>
      <c r="AD6" s="425"/>
      <c r="AE6" s="426"/>
      <c r="AF6" s="845" t="s">
        <v>88</v>
      </c>
      <c r="AG6" s="846"/>
      <c r="AH6" s="847"/>
      <c r="AI6" s="845"/>
      <c r="AJ6" s="846"/>
      <c r="AK6" s="847"/>
      <c r="AL6" s="845" t="s">
        <v>89</v>
      </c>
      <c r="AM6" s="846"/>
      <c r="AN6" s="847"/>
      <c r="AO6" s="854" t="s">
        <v>2</v>
      </c>
      <c r="AP6" s="855"/>
      <c r="AQ6" s="856"/>
      <c r="AR6" s="845" t="s">
        <v>2</v>
      </c>
      <c r="AS6" s="846"/>
      <c r="AT6" s="847"/>
      <c r="AU6" s="638"/>
      <c r="AV6" s="638"/>
      <c r="AW6" s="633"/>
      <c r="AX6" s="633"/>
    </row>
    <row r="7" spans="1:50" ht="18.75" customHeight="1" x14ac:dyDescent="0.3">
      <c r="A7" s="644"/>
      <c r="B7" s="839" t="s">
        <v>215</v>
      </c>
      <c r="C7" s="840"/>
      <c r="D7" s="841"/>
      <c r="E7" s="839" t="s">
        <v>216</v>
      </c>
      <c r="F7" s="840"/>
      <c r="G7" s="841"/>
      <c r="H7" s="839" t="s">
        <v>216</v>
      </c>
      <c r="I7" s="840"/>
      <c r="J7" s="841"/>
      <c r="K7" s="839" t="s">
        <v>217</v>
      </c>
      <c r="L7" s="840"/>
      <c r="M7" s="841"/>
      <c r="N7" s="839" t="s">
        <v>111</v>
      </c>
      <c r="O7" s="840"/>
      <c r="P7" s="841"/>
      <c r="Q7" s="839" t="s">
        <v>76</v>
      </c>
      <c r="R7" s="840"/>
      <c r="S7" s="841"/>
      <c r="T7" s="839" t="s">
        <v>218</v>
      </c>
      <c r="U7" s="840"/>
      <c r="V7" s="841"/>
      <c r="W7" s="839" t="s">
        <v>81</v>
      </c>
      <c r="X7" s="840"/>
      <c r="Y7" s="841"/>
      <c r="Z7" s="839" t="s">
        <v>215</v>
      </c>
      <c r="AA7" s="840"/>
      <c r="AB7" s="841"/>
      <c r="AC7" s="839" t="s">
        <v>87</v>
      </c>
      <c r="AD7" s="840"/>
      <c r="AE7" s="841"/>
      <c r="AF7" s="839" t="s">
        <v>219</v>
      </c>
      <c r="AG7" s="840"/>
      <c r="AH7" s="841"/>
      <c r="AI7" s="839" t="s">
        <v>83</v>
      </c>
      <c r="AJ7" s="840"/>
      <c r="AK7" s="841"/>
      <c r="AL7" s="839" t="s">
        <v>216</v>
      </c>
      <c r="AM7" s="840"/>
      <c r="AN7" s="841"/>
      <c r="AO7" s="842" t="s">
        <v>348</v>
      </c>
      <c r="AP7" s="843"/>
      <c r="AQ7" s="844"/>
      <c r="AR7" s="857" t="s">
        <v>349</v>
      </c>
      <c r="AS7" s="858"/>
      <c r="AT7" s="859"/>
      <c r="AU7" s="638"/>
      <c r="AV7" s="638"/>
      <c r="AW7" s="633"/>
      <c r="AX7" s="633"/>
    </row>
    <row r="8" spans="1:50" ht="18.75" customHeight="1" x14ac:dyDescent="0.3">
      <c r="A8" s="644"/>
      <c r="B8" s="541"/>
      <c r="C8" s="541"/>
      <c r="D8" s="428" t="s">
        <v>100</v>
      </c>
      <c r="E8" s="541"/>
      <c r="F8" s="541"/>
      <c r="G8" s="428" t="s">
        <v>100</v>
      </c>
      <c r="H8" s="541"/>
      <c r="I8" s="541"/>
      <c r="J8" s="428" t="s">
        <v>100</v>
      </c>
      <c r="K8" s="541"/>
      <c r="L8" s="541"/>
      <c r="M8" s="428" t="s">
        <v>100</v>
      </c>
      <c r="N8" s="541"/>
      <c r="O8" s="541"/>
      <c r="P8" s="428" t="s">
        <v>100</v>
      </c>
      <c r="Q8" s="541"/>
      <c r="R8" s="541"/>
      <c r="S8" s="428" t="s">
        <v>100</v>
      </c>
      <c r="T8" s="541"/>
      <c r="U8" s="541"/>
      <c r="V8" s="428" t="s">
        <v>100</v>
      </c>
      <c r="W8" s="541"/>
      <c r="X8" s="541"/>
      <c r="Y8" s="428" t="s">
        <v>100</v>
      </c>
      <c r="Z8" s="541"/>
      <c r="AA8" s="541"/>
      <c r="AB8" s="428" t="s">
        <v>100</v>
      </c>
      <c r="AC8" s="541"/>
      <c r="AD8" s="541"/>
      <c r="AE8" s="428" t="s">
        <v>100</v>
      </c>
      <c r="AF8" s="541"/>
      <c r="AG8" s="541"/>
      <c r="AH8" s="428" t="s">
        <v>100</v>
      </c>
      <c r="AI8" s="541"/>
      <c r="AJ8" s="541"/>
      <c r="AK8" s="428" t="s">
        <v>100</v>
      </c>
      <c r="AL8" s="541"/>
      <c r="AM8" s="541"/>
      <c r="AN8" s="428" t="s">
        <v>100</v>
      </c>
      <c r="AO8" s="541"/>
      <c r="AP8" s="541"/>
      <c r="AQ8" s="428" t="s">
        <v>100</v>
      </c>
      <c r="AR8" s="541"/>
      <c r="AS8" s="541"/>
      <c r="AT8" s="428" t="s">
        <v>100</v>
      </c>
      <c r="AU8" s="638"/>
      <c r="AV8" s="638"/>
      <c r="AW8" s="633"/>
      <c r="AX8" s="633"/>
    </row>
    <row r="9" spans="1:50" ht="18.75" customHeight="1" x14ac:dyDescent="0.3">
      <c r="A9" s="645" t="s">
        <v>350</v>
      </c>
      <c r="B9" s="543">
        <v>2015</v>
      </c>
      <c r="C9" s="543">
        <v>2016</v>
      </c>
      <c r="D9" s="431" t="s">
        <v>102</v>
      </c>
      <c r="E9" s="543">
        <v>2015</v>
      </c>
      <c r="F9" s="543">
        <v>2016</v>
      </c>
      <c r="G9" s="431" t="s">
        <v>102</v>
      </c>
      <c r="H9" s="543">
        <v>2015</v>
      </c>
      <c r="I9" s="543">
        <v>2016</v>
      </c>
      <c r="J9" s="431" t="s">
        <v>102</v>
      </c>
      <c r="K9" s="543">
        <v>2015</v>
      </c>
      <c r="L9" s="543">
        <v>2016</v>
      </c>
      <c r="M9" s="431" t="s">
        <v>102</v>
      </c>
      <c r="N9" s="543">
        <v>2015</v>
      </c>
      <c r="O9" s="543">
        <v>2016</v>
      </c>
      <c r="P9" s="431" t="s">
        <v>102</v>
      </c>
      <c r="Q9" s="543">
        <v>2015</v>
      </c>
      <c r="R9" s="543">
        <v>2016</v>
      </c>
      <c r="S9" s="431" t="s">
        <v>102</v>
      </c>
      <c r="T9" s="543">
        <v>2015</v>
      </c>
      <c r="U9" s="543">
        <v>2016</v>
      </c>
      <c r="V9" s="431" t="s">
        <v>102</v>
      </c>
      <c r="W9" s="543">
        <v>2015</v>
      </c>
      <c r="X9" s="543">
        <v>2016</v>
      </c>
      <c r="Y9" s="431" t="s">
        <v>102</v>
      </c>
      <c r="Z9" s="543">
        <v>2015</v>
      </c>
      <c r="AA9" s="543">
        <v>2016</v>
      </c>
      <c r="AB9" s="431" t="s">
        <v>102</v>
      </c>
      <c r="AC9" s="543">
        <v>2015</v>
      </c>
      <c r="AD9" s="543">
        <v>2016</v>
      </c>
      <c r="AE9" s="431" t="s">
        <v>102</v>
      </c>
      <c r="AF9" s="543">
        <v>2015</v>
      </c>
      <c r="AG9" s="543">
        <v>2016</v>
      </c>
      <c r="AH9" s="431" t="s">
        <v>102</v>
      </c>
      <c r="AI9" s="543">
        <v>2015</v>
      </c>
      <c r="AJ9" s="543">
        <v>2016</v>
      </c>
      <c r="AK9" s="431" t="s">
        <v>102</v>
      </c>
      <c r="AL9" s="543">
        <v>2015</v>
      </c>
      <c r="AM9" s="543">
        <v>2016</v>
      </c>
      <c r="AN9" s="431" t="s">
        <v>102</v>
      </c>
      <c r="AO9" s="543">
        <v>2015</v>
      </c>
      <c r="AP9" s="543">
        <v>2016</v>
      </c>
      <c r="AQ9" s="431" t="s">
        <v>102</v>
      </c>
      <c r="AR9" s="543">
        <v>2015</v>
      </c>
      <c r="AS9" s="543">
        <v>2016</v>
      </c>
      <c r="AT9" s="431" t="s">
        <v>102</v>
      </c>
      <c r="AU9" s="638"/>
      <c r="AV9" s="638"/>
      <c r="AW9" s="633"/>
      <c r="AX9" s="633"/>
    </row>
    <row r="10" spans="1:50" ht="18.75" customHeight="1" x14ac:dyDescent="0.3">
      <c r="A10" s="646"/>
      <c r="B10" s="647"/>
      <c r="C10" s="648"/>
      <c r="D10" s="649"/>
      <c r="E10" s="650"/>
      <c r="F10" s="649"/>
      <c r="G10" s="651"/>
      <c r="H10" s="647"/>
      <c r="I10" s="648"/>
      <c r="J10" s="652"/>
      <c r="K10" s="647"/>
      <c r="L10" s="648"/>
      <c r="M10" s="649"/>
      <c r="N10" s="653"/>
      <c r="O10" s="654"/>
      <c r="P10" s="655"/>
      <c r="Q10" s="650"/>
      <c r="R10" s="649"/>
      <c r="S10" s="651"/>
      <c r="T10" s="650"/>
      <c r="U10" s="656"/>
      <c r="V10" s="655"/>
      <c r="W10" s="647"/>
      <c r="X10" s="648"/>
      <c r="Y10" s="651"/>
      <c r="Z10" s="650"/>
      <c r="AA10" s="649"/>
      <c r="AB10" s="651"/>
      <c r="AC10" s="647"/>
      <c r="AD10" s="648"/>
      <c r="AE10" s="651"/>
      <c r="AF10" s="650"/>
      <c r="AG10" s="649"/>
      <c r="AH10" s="651"/>
      <c r="AI10" s="647"/>
      <c r="AJ10" s="648"/>
      <c r="AK10" s="651"/>
      <c r="AL10" s="647"/>
      <c r="AM10" s="648"/>
      <c r="AN10" s="651"/>
      <c r="AO10" s="649"/>
      <c r="AP10" s="649"/>
      <c r="AQ10" s="651"/>
      <c r="AR10" s="648"/>
      <c r="AS10" s="648"/>
      <c r="AT10" s="651"/>
      <c r="AU10" s="638"/>
      <c r="AV10" s="638"/>
      <c r="AW10" s="633"/>
      <c r="AX10" s="633"/>
    </row>
    <row r="11" spans="1:50" ht="18.75" customHeight="1" x14ac:dyDescent="0.3">
      <c r="A11" s="507" t="s">
        <v>452</v>
      </c>
      <c r="B11" s="603"/>
      <c r="C11" s="574"/>
      <c r="D11" s="657"/>
      <c r="E11" s="603"/>
      <c r="F11" s="574"/>
      <c r="G11" s="658"/>
      <c r="H11" s="603"/>
      <c r="I11" s="574"/>
      <c r="J11" s="658"/>
      <c r="K11" s="603"/>
      <c r="L11" s="574"/>
      <c r="M11" s="657"/>
      <c r="N11" s="603"/>
      <c r="O11" s="574"/>
      <c r="P11" s="658"/>
      <c r="Q11" s="603"/>
      <c r="R11" s="574"/>
      <c r="S11" s="658"/>
      <c r="T11" s="603"/>
      <c r="U11" s="574"/>
      <c r="V11" s="658"/>
      <c r="W11" s="603"/>
      <c r="X11" s="574"/>
      <c r="Y11" s="658"/>
      <c r="Z11" s="603"/>
      <c r="AA11" s="574"/>
      <c r="AB11" s="658"/>
      <c r="AC11" s="603"/>
      <c r="AD11" s="574"/>
      <c r="AE11" s="658"/>
      <c r="AF11" s="603"/>
      <c r="AG11" s="574"/>
      <c r="AH11" s="658"/>
      <c r="AI11" s="603"/>
      <c r="AJ11" s="574"/>
      <c r="AK11" s="658"/>
      <c r="AL11" s="603"/>
      <c r="AM11" s="574"/>
      <c r="AN11" s="658"/>
      <c r="AO11" s="657"/>
      <c r="AP11" s="657"/>
      <c r="AQ11" s="658"/>
      <c r="AR11" s="574"/>
      <c r="AS11" s="574"/>
      <c r="AT11" s="658"/>
      <c r="AU11" s="638"/>
      <c r="AV11" s="638"/>
      <c r="AW11" s="633"/>
      <c r="AX11" s="633"/>
    </row>
    <row r="12" spans="1:50" s="660" customFormat="1" ht="18.75" customHeight="1" x14ac:dyDescent="0.3">
      <c r="A12" s="509" t="s">
        <v>432</v>
      </c>
      <c r="B12" s="560">
        <v>-0.308</v>
      </c>
      <c r="C12" s="561">
        <v>-6.0999999999999999E-2</v>
      </c>
      <c r="D12" s="659">
        <f>IF(B12=0, "    ---- ", IF(ABS(ROUND(100/B12*C12-100,1))&lt;999,ROUND(100/B12*C12-100,1),IF(ROUND(100/B12*C12-100,1)&gt;999,999,-999)))</f>
        <v>-80.2</v>
      </c>
      <c r="E12" s="560">
        <v>939.15700000000004</v>
      </c>
      <c r="F12" s="561">
        <v>445.08600000000001</v>
      </c>
      <c r="G12" s="565">
        <f t="shared" ref="G12:G17" si="0">IF(E12=0, "    ---- ", IF(ABS(ROUND(100/E12*F12-100,1))&lt;999,ROUND(100/E12*F12-100,1),IF(ROUND(100/E12*F12-100,1)&gt;999,999,-999)))</f>
        <v>-52.6</v>
      </c>
      <c r="H12" s="560"/>
      <c r="I12" s="561"/>
      <c r="J12" s="565"/>
      <c r="K12" s="560"/>
      <c r="L12" s="561"/>
      <c r="M12" s="659"/>
      <c r="N12" s="560"/>
      <c r="O12" s="561"/>
      <c r="P12" s="565"/>
      <c r="Q12" s="560"/>
      <c r="R12" s="561"/>
      <c r="S12" s="565"/>
      <c r="T12" s="560">
        <v>15</v>
      </c>
      <c r="U12" s="561">
        <v>14</v>
      </c>
      <c r="V12" s="565">
        <f t="shared" ref="V12:V17" si="1">IF(T12=0, "    ---- ", IF(ABS(ROUND(100/T12*U12-100,1))&lt;999,ROUND(100/T12*U12-100,1),IF(ROUND(100/T12*U12-100,1)&gt;999,999,-999)))</f>
        <v>-6.7</v>
      </c>
      <c r="W12" s="560">
        <v>139</v>
      </c>
      <c r="X12" s="561">
        <v>184.63304972899999</v>
      </c>
      <c r="Y12" s="565">
        <f t="shared" ref="Y12:Y22" si="2">IF(W12=0, "    ---- ", IF(ABS(ROUND(100/W12*X12-100,1))&lt;999,ROUND(100/W12*X12-100,1),IF(ROUND(100/W12*X12-100,1)&gt;999,999,-999)))</f>
        <v>32.799999999999997</v>
      </c>
      <c r="Z12" s="560"/>
      <c r="AA12" s="561"/>
      <c r="AB12" s="565"/>
      <c r="AC12" s="560"/>
      <c r="AD12" s="561"/>
      <c r="AE12" s="565"/>
      <c r="AF12" s="560"/>
      <c r="AG12" s="561"/>
      <c r="AH12" s="565"/>
      <c r="AI12" s="560">
        <v>-48.868000000000002</v>
      </c>
      <c r="AJ12" s="561">
        <v>58.366</v>
      </c>
      <c r="AK12" s="565">
        <f>IF(AI12=0, "    ---- ", IF(ABS(ROUND(100/AI12*AJ12-100,1))&lt;999,ROUND(100/AI12*AJ12-100,1),IF(ROUND(100/AI12*AJ12-100,1)&gt;999,999,-999)))</f>
        <v>-219.4</v>
      </c>
      <c r="AL12" s="560">
        <v>1222</v>
      </c>
      <c r="AM12" s="561">
        <v>1344</v>
      </c>
      <c r="AN12" s="565">
        <f t="shared" ref="AN12:AN22" si="3">IF(AL12=0, "    ---- ", IF(ABS(ROUND(100/AL12*AM12-100,1))&lt;999,ROUND(100/AL12*AM12-100,1),IF(ROUND(100/AL12*AM12-100,1)&gt;999,999,-999)))</f>
        <v>10</v>
      </c>
      <c r="AO12" s="659">
        <f>B12+E12+H12+K12+Q12+T12+W12+Z12+AF12+AI12+AL12</f>
        <v>2265.9810000000002</v>
      </c>
      <c r="AP12" s="659">
        <f>C12+F12+I12+L12+R12+U12+X12+AA12+AG12+AJ12+AM12</f>
        <v>2046.0240497290001</v>
      </c>
      <c r="AQ12" s="565">
        <f t="shared" ref="AQ12:AQ43" si="4">IF(AO12=0, "    ---- ", IF(ABS(ROUND(100/AO12*AP12-100,1))&lt;999,ROUND(100/AO12*AP12-100,1),IF(ROUND(100/AO12*AP12-100,1)&gt;999,999,-999)))</f>
        <v>-9.6999999999999993</v>
      </c>
      <c r="AR12" s="561">
        <f>+B12+E12+H12+K12+N12+Q12+T12+W12+Z12+AC12+AF12+AI12+AL12</f>
        <v>2265.9810000000002</v>
      </c>
      <c r="AS12" s="561">
        <f>+C12+F12+I12+L12+O12+R12+U12+X12+AA12+AD12+AG12+AJ12+AM12</f>
        <v>2046.0240497290001</v>
      </c>
      <c r="AT12" s="565">
        <f t="shared" ref="AT12:AT43" si="5">IF(AR12=0, "    ---- ", IF(ABS(ROUND(100/AR12*AS12-100,1))&lt;999,ROUND(100/AR12*AS12-100,1),IF(ROUND(100/AR12*AS12-100,1)&gt;999,999,-999)))</f>
        <v>-9.6999999999999993</v>
      </c>
      <c r="AU12" s="638"/>
      <c r="AV12" s="638"/>
      <c r="AW12" s="633"/>
      <c r="AX12" s="633"/>
    </row>
    <row r="13" spans="1:50" s="660" customFormat="1" ht="18.75" customHeight="1" x14ac:dyDescent="0.3">
      <c r="A13" s="509" t="s">
        <v>433</v>
      </c>
      <c r="B13" s="560"/>
      <c r="C13" s="561"/>
      <c r="D13" s="659"/>
      <c r="E13" s="560">
        <v>-499.113</v>
      </c>
      <c r="F13" s="561">
        <v>-388.56</v>
      </c>
      <c r="G13" s="565">
        <f t="shared" si="0"/>
        <v>-22.1</v>
      </c>
      <c r="H13" s="560"/>
      <c r="I13" s="561"/>
      <c r="J13" s="565"/>
      <c r="K13" s="560"/>
      <c r="L13" s="561"/>
      <c r="M13" s="659"/>
      <c r="N13" s="560"/>
      <c r="O13" s="561"/>
      <c r="P13" s="565"/>
      <c r="Q13" s="560"/>
      <c r="R13" s="561"/>
      <c r="S13" s="565"/>
      <c r="T13" s="560">
        <v>-5</v>
      </c>
      <c r="U13" s="561">
        <v>-1</v>
      </c>
      <c r="V13" s="565">
        <f t="shared" si="1"/>
        <v>-80</v>
      </c>
      <c r="W13" s="560">
        <v>-60</v>
      </c>
      <c r="X13" s="561">
        <v>-96.291078999999996</v>
      </c>
      <c r="Y13" s="565">
        <f t="shared" si="2"/>
        <v>60.5</v>
      </c>
      <c r="Z13" s="560"/>
      <c r="AA13" s="561"/>
      <c r="AB13" s="565"/>
      <c r="AC13" s="560"/>
      <c r="AD13" s="561"/>
      <c r="AE13" s="565"/>
      <c r="AF13" s="560"/>
      <c r="AG13" s="561"/>
      <c r="AH13" s="565"/>
      <c r="AI13" s="560">
        <v>47.448999999999998</v>
      </c>
      <c r="AJ13" s="561">
        <v>-58.366</v>
      </c>
      <c r="AK13" s="565">
        <f>IF(AI13=0, "    ---- ", IF(ABS(ROUND(100/AI13*AJ13-100,1))&lt;999,ROUND(100/AI13*AJ13-100,1),IF(ROUND(100/AI13*AJ13-100,1)&gt;999,999,-999)))</f>
        <v>-223</v>
      </c>
      <c r="AL13" s="560">
        <v>-523</v>
      </c>
      <c r="AM13" s="561"/>
      <c r="AN13" s="565">
        <f t="shared" si="3"/>
        <v>-100</v>
      </c>
      <c r="AO13" s="659">
        <f t="shared" ref="AO13:AP100" si="6">B13+E13+H13+K13+Q13+T13+W13+Z13+AF13+AI13+AL13</f>
        <v>-1039.6640000000002</v>
      </c>
      <c r="AP13" s="659">
        <f t="shared" si="6"/>
        <v>-544.21707900000001</v>
      </c>
      <c r="AQ13" s="565">
        <f t="shared" si="4"/>
        <v>-47.7</v>
      </c>
      <c r="AR13" s="561">
        <f t="shared" ref="AR13:AS100" si="7">+B13+E13+H13+K13+N13+Q13+T13+W13+Z13+AC13+AF13+AI13+AL13</f>
        <v>-1039.6640000000002</v>
      </c>
      <c r="AS13" s="561">
        <f t="shared" si="7"/>
        <v>-544.21707900000001</v>
      </c>
      <c r="AT13" s="565">
        <f t="shared" si="5"/>
        <v>-47.7</v>
      </c>
      <c r="AU13" s="638"/>
      <c r="AV13" s="638"/>
      <c r="AW13" s="633"/>
      <c r="AX13" s="633"/>
    </row>
    <row r="14" spans="1:50" s="660" customFormat="1" ht="18.75" customHeight="1" x14ac:dyDescent="0.3">
      <c r="A14" s="509" t="s">
        <v>434</v>
      </c>
      <c r="B14" s="560">
        <v>-0.45400000000000001</v>
      </c>
      <c r="C14" s="561">
        <f>-2.211-0.71</f>
        <v>-2.9209999999999998</v>
      </c>
      <c r="D14" s="659">
        <f>IF(B14=0, "    ---- ", IF(ABS(ROUND(100/B14*C14-100,1))&lt;999,ROUND(100/B14*C14-100,1),IF(ROUND(100/B14*C14-100,1)&gt;999,999,-999)))</f>
        <v>543.4</v>
      </c>
      <c r="E14" s="560">
        <v>101.608</v>
      </c>
      <c r="F14" s="561">
        <v>96.204999999999998</v>
      </c>
      <c r="G14" s="565">
        <f t="shared" si="0"/>
        <v>-5.3</v>
      </c>
      <c r="H14" s="560"/>
      <c r="I14" s="561"/>
      <c r="J14" s="565"/>
      <c r="K14" s="560"/>
      <c r="L14" s="561"/>
      <c r="M14" s="659"/>
      <c r="N14" s="560"/>
      <c r="O14" s="561"/>
      <c r="P14" s="565"/>
      <c r="Q14" s="560"/>
      <c r="R14" s="561"/>
      <c r="S14" s="565"/>
      <c r="T14" s="560">
        <v>-4</v>
      </c>
      <c r="U14" s="561">
        <v>0</v>
      </c>
      <c r="V14" s="565">
        <f t="shared" si="1"/>
        <v>-100</v>
      </c>
      <c r="W14" s="560">
        <v>-10</v>
      </c>
      <c r="X14" s="561">
        <v>-40.960032407999996</v>
      </c>
      <c r="Y14" s="565">
        <f t="shared" si="2"/>
        <v>309.60000000000002</v>
      </c>
      <c r="Z14" s="560"/>
      <c r="AA14" s="561"/>
      <c r="AB14" s="565"/>
      <c r="AC14" s="560"/>
      <c r="AD14" s="561"/>
      <c r="AE14" s="565"/>
      <c r="AF14" s="560"/>
      <c r="AG14" s="561"/>
      <c r="AH14" s="565"/>
      <c r="AI14" s="560">
        <v>-26.321000000000002</v>
      </c>
      <c r="AJ14" s="561">
        <v>-23.899000000000001</v>
      </c>
      <c r="AK14" s="565">
        <f>IF(AI14=0, "    ---- ", IF(ABS(ROUND(100/AI14*AJ14-100,1))&lt;999,ROUND(100/AI14*AJ14-100,1),IF(ROUND(100/AI14*AJ14-100,1)&gt;999,999,-999)))</f>
        <v>-9.1999999999999993</v>
      </c>
      <c r="AL14" s="560">
        <v>-9</v>
      </c>
      <c r="AM14" s="561">
        <v>-19</v>
      </c>
      <c r="AN14" s="565">
        <f t="shared" si="3"/>
        <v>111.1</v>
      </c>
      <c r="AO14" s="659">
        <f t="shared" si="6"/>
        <v>51.833000000000013</v>
      </c>
      <c r="AP14" s="659">
        <f t="shared" si="6"/>
        <v>9.4249675919999945</v>
      </c>
      <c r="AQ14" s="565">
        <f t="shared" si="4"/>
        <v>-81.8</v>
      </c>
      <c r="AR14" s="561">
        <f t="shared" si="7"/>
        <v>51.833000000000013</v>
      </c>
      <c r="AS14" s="561">
        <f t="shared" si="7"/>
        <v>9.4249675919999945</v>
      </c>
      <c r="AT14" s="565">
        <f t="shared" si="5"/>
        <v>-81.8</v>
      </c>
      <c r="AU14" s="638"/>
      <c r="AV14" s="638"/>
      <c r="AW14" s="633"/>
      <c r="AX14" s="633"/>
    </row>
    <row r="15" spans="1:50" s="660" customFormat="1" ht="18.75" customHeight="1" x14ac:dyDescent="0.3">
      <c r="A15" s="509" t="s">
        <v>435</v>
      </c>
      <c r="B15" s="560"/>
      <c r="C15" s="561"/>
      <c r="D15" s="659"/>
      <c r="E15" s="560">
        <v>89.956999999999994</v>
      </c>
      <c r="F15" s="561">
        <v>50.515999999999998</v>
      </c>
      <c r="G15" s="565">
        <f t="shared" si="0"/>
        <v>-43.8</v>
      </c>
      <c r="H15" s="560"/>
      <c r="I15" s="561"/>
      <c r="J15" s="565"/>
      <c r="K15" s="560"/>
      <c r="L15" s="561"/>
      <c r="M15" s="659"/>
      <c r="N15" s="560"/>
      <c r="O15" s="561"/>
      <c r="P15" s="565"/>
      <c r="Q15" s="560"/>
      <c r="R15" s="561"/>
      <c r="S15" s="565"/>
      <c r="T15" s="560">
        <v>3</v>
      </c>
      <c r="U15" s="561">
        <v>1</v>
      </c>
      <c r="V15" s="565">
        <f t="shared" si="1"/>
        <v>-66.7</v>
      </c>
      <c r="W15" s="560">
        <v>12</v>
      </c>
      <c r="X15" s="561">
        <v>4.1174720999999996</v>
      </c>
      <c r="Y15" s="565">
        <f t="shared" si="2"/>
        <v>-65.7</v>
      </c>
      <c r="Z15" s="560"/>
      <c r="AA15" s="561"/>
      <c r="AB15" s="565"/>
      <c r="AC15" s="560"/>
      <c r="AD15" s="561"/>
      <c r="AE15" s="565"/>
      <c r="AF15" s="560"/>
      <c r="AG15" s="561"/>
      <c r="AH15" s="565"/>
      <c r="AI15" s="560"/>
      <c r="AJ15" s="561"/>
      <c r="AK15" s="565"/>
      <c r="AL15" s="560">
        <v>123</v>
      </c>
      <c r="AM15" s="561">
        <v>77</v>
      </c>
      <c r="AN15" s="565">
        <f t="shared" si="3"/>
        <v>-37.4</v>
      </c>
      <c r="AO15" s="659">
        <f t="shared" si="6"/>
        <v>227.95699999999999</v>
      </c>
      <c r="AP15" s="659">
        <f t="shared" si="6"/>
        <v>132.63347210000001</v>
      </c>
      <c r="AQ15" s="565">
        <f t="shared" si="4"/>
        <v>-41.8</v>
      </c>
      <c r="AR15" s="561">
        <f t="shared" si="7"/>
        <v>227.95699999999999</v>
      </c>
      <c r="AS15" s="561">
        <f t="shared" si="7"/>
        <v>132.63347210000001</v>
      </c>
      <c r="AT15" s="565">
        <f t="shared" si="5"/>
        <v>-41.8</v>
      </c>
      <c r="AU15" s="638"/>
      <c r="AV15" s="638"/>
      <c r="AW15" s="633"/>
      <c r="AX15" s="633"/>
    </row>
    <row r="16" spans="1:50" s="660" customFormat="1" ht="18.75" customHeight="1" x14ac:dyDescent="0.3">
      <c r="A16" s="509" t="s">
        <v>436</v>
      </c>
      <c r="B16" s="560">
        <v>0.81899999999999995</v>
      </c>
      <c r="C16" s="561">
        <v>0.85799999999999998</v>
      </c>
      <c r="D16" s="659">
        <f>IF(B16=0, "    ---- ", IF(ABS(ROUND(100/B16*C16-100,1))&lt;999,ROUND(100/B16*C16-100,1),IF(ROUND(100/B16*C16-100,1)&gt;999,999,-999)))</f>
        <v>4.8</v>
      </c>
      <c r="E16" s="560">
        <v>426.238</v>
      </c>
      <c r="F16" s="561">
        <v>228.524</v>
      </c>
      <c r="G16" s="565">
        <f t="shared" si="0"/>
        <v>-46.4</v>
      </c>
      <c r="H16" s="560"/>
      <c r="I16" s="561"/>
      <c r="J16" s="565"/>
      <c r="K16" s="560"/>
      <c r="L16" s="561"/>
      <c r="M16" s="659"/>
      <c r="N16" s="560"/>
      <c r="O16" s="561"/>
      <c r="P16" s="565"/>
      <c r="Q16" s="560"/>
      <c r="R16" s="561"/>
      <c r="S16" s="565"/>
      <c r="T16" s="560">
        <v>4</v>
      </c>
      <c r="U16" s="561">
        <v>4</v>
      </c>
      <c r="V16" s="565">
        <f t="shared" si="1"/>
        <v>0</v>
      </c>
      <c r="W16" s="560">
        <v>152</v>
      </c>
      <c r="X16" s="561">
        <v>133.34921299999999</v>
      </c>
      <c r="Y16" s="565">
        <f t="shared" si="2"/>
        <v>-12.3</v>
      </c>
      <c r="Z16" s="560"/>
      <c r="AA16" s="561"/>
      <c r="AB16" s="565"/>
      <c r="AC16" s="560"/>
      <c r="AD16" s="561"/>
      <c r="AE16" s="565"/>
      <c r="AF16" s="560"/>
      <c r="AG16" s="561"/>
      <c r="AH16" s="565"/>
      <c r="AI16" s="560">
        <v>30.169</v>
      </c>
      <c r="AJ16" s="561">
        <v>33.642000000000003</v>
      </c>
      <c r="AK16" s="565">
        <f>IF(AI16=0, "    ---- ", IF(ABS(ROUND(100/AI16*AJ16-100,1))&lt;999,ROUND(100/AI16*AJ16-100,1),IF(ROUND(100/AI16*AJ16-100,1)&gt;999,999,-999)))</f>
        <v>11.5</v>
      </c>
      <c r="AL16" s="560">
        <v>370</v>
      </c>
      <c r="AM16" s="561">
        <v>325</v>
      </c>
      <c r="AN16" s="565">
        <f t="shared" si="3"/>
        <v>-12.2</v>
      </c>
      <c r="AO16" s="659">
        <f t="shared" si="6"/>
        <v>983.226</v>
      </c>
      <c r="AP16" s="659">
        <f t="shared" si="6"/>
        <v>725.37321300000008</v>
      </c>
      <c r="AQ16" s="565">
        <f t="shared" si="4"/>
        <v>-26.2</v>
      </c>
      <c r="AR16" s="561">
        <f t="shared" si="7"/>
        <v>983.226</v>
      </c>
      <c r="AS16" s="561">
        <f t="shared" si="7"/>
        <v>725.37321300000008</v>
      </c>
      <c r="AT16" s="565">
        <f t="shared" si="5"/>
        <v>-26.2</v>
      </c>
      <c r="AU16" s="638"/>
      <c r="AV16" s="638"/>
      <c r="AW16" s="633"/>
      <c r="AX16" s="633"/>
    </row>
    <row r="17" spans="1:50" s="660" customFormat="1" ht="18.75" customHeight="1" x14ac:dyDescent="0.3">
      <c r="A17" s="509" t="s">
        <v>437</v>
      </c>
      <c r="B17" s="560">
        <v>-0.253</v>
      </c>
      <c r="C17" s="561">
        <f>-3.759+1.62</f>
        <v>-2.1389999999999998</v>
      </c>
      <c r="D17" s="659">
        <f>IF(B17=0, "    ---- ", IF(ABS(ROUND(100/B17*C17-100,1))&lt;999,ROUND(100/B17*C17-100,1),IF(ROUND(100/B17*C17-100,1)&gt;999,999,-999)))</f>
        <v>745.5</v>
      </c>
      <c r="E17" s="560">
        <v>104.172</v>
      </c>
      <c r="F17" s="561">
        <v>78.653000000000006</v>
      </c>
      <c r="G17" s="565">
        <f t="shared" si="0"/>
        <v>-24.5</v>
      </c>
      <c r="H17" s="560"/>
      <c r="I17" s="561"/>
      <c r="J17" s="565"/>
      <c r="K17" s="560"/>
      <c r="L17" s="561"/>
      <c r="M17" s="659"/>
      <c r="N17" s="560"/>
      <c r="O17" s="561"/>
      <c r="P17" s="565"/>
      <c r="Q17" s="560"/>
      <c r="R17" s="561"/>
      <c r="S17" s="565"/>
      <c r="T17" s="560">
        <v>-1</v>
      </c>
      <c r="U17" s="561">
        <v>4</v>
      </c>
      <c r="V17" s="565">
        <f t="shared" si="1"/>
        <v>-500</v>
      </c>
      <c r="W17" s="560">
        <v>9</v>
      </c>
      <c r="X17" s="561">
        <v>-10.317099719</v>
      </c>
      <c r="Y17" s="565">
        <f t="shared" si="2"/>
        <v>-214.6</v>
      </c>
      <c r="Z17" s="560"/>
      <c r="AA17" s="561"/>
      <c r="AB17" s="565"/>
      <c r="AC17" s="560"/>
      <c r="AD17" s="561"/>
      <c r="AE17" s="565"/>
      <c r="AF17" s="560"/>
      <c r="AG17" s="561"/>
      <c r="AH17" s="565"/>
      <c r="AI17" s="560">
        <v>31.728000000000002</v>
      </c>
      <c r="AJ17" s="561">
        <v>29.834</v>
      </c>
      <c r="AK17" s="565">
        <f>IF(AI17=0, "    ---- ", IF(ABS(ROUND(100/AI17*AJ17-100,1))&lt;999,ROUND(100/AI17*AJ17-100,1),IF(ROUND(100/AI17*AJ17-100,1)&gt;999,999,-999)))</f>
        <v>-6</v>
      </c>
      <c r="AL17" s="560">
        <v>101</v>
      </c>
      <c r="AM17" s="561"/>
      <c r="AN17" s="565">
        <f t="shared" si="3"/>
        <v>-100</v>
      </c>
      <c r="AO17" s="659">
        <f t="shared" si="6"/>
        <v>244.64699999999999</v>
      </c>
      <c r="AP17" s="659">
        <f t="shared" si="6"/>
        <v>100.03090028100002</v>
      </c>
      <c r="AQ17" s="565">
        <f t="shared" si="4"/>
        <v>-59.1</v>
      </c>
      <c r="AR17" s="561">
        <f t="shared" si="7"/>
        <v>244.64699999999999</v>
      </c>
      <c r="AS17" s="561">
        <f t="shared" si="7"/>
        <v>100.03090028100002</v>
      </c>
      <c r="AT17" s="565">
        <f t="shared" si="5"/>
        <v>-59.1</v>
      </c>
      <c r="AU17" s="638"/>
      <c r="AV17" s="638"/>
      <c r="AW17" s="633"/>
      <c r="AX17" s="633"/>
    </row>
    <row r="18" spans="1:50" s="660" customFormat="1" ht="18.75" customHeight="1" x14ac:dyDescent="0.3">
      <c r="A18" s="509" t="s">
        <v>438</v>
      </c>
      <c r="B18" s="560">
        <v>-0.21099999999999999</v>
      </c>
      <c r="C18" s="561">
        <v>0</v>
      </c>
      <c r="D18" s="659">
        <f>IF(B18=0, "    ---- ", IF(ABS(ROUND(100/B18*C18-100,1))&lt;999,ROUND(100/B18*C18-100,1),IF(ROUND(100/B18*C18-100,1)&gt;999,999,-999)))</f>
        <v>-100</v>
      </c>
      <c r="E18" s="560"/>
      <c r="F18" s="561"/>
      <c r="G18" s="565"/>
      <c r="H18" s="560"/>
      <c r="I18" s="561"/>
      <c r="J18" s="565"/>
      <c r="K18" s="560"/>
      <c r="L18" s="561"/>
      <c r="M18" s="659"/>
      <c r="N18" s="560"/>
      <c r="O18" s="561"/>
      <c r="P18" s="565"/>
      <c r="Q18" s="560"/>
      <c r="R18" s="561"/>
      <c r="S18" s="565"/>
      <c r="T18" s="560"/>
      <c r="U18" s="561"/>
      <c r="V18" s="565"/>
      <c r="W18" s="560">
        <v>43</v>
      </c>
      <c r="X18" s="561">
        <v>34</v>
      </c>
      <c r="Y18" s="565">
        <f t="shared" si="2"/>
        <v>-20.9</v>
      </c>
      <c r="Z18" s="560"/>
      <c r="AA18" s="561"/>
      <c r="AB18" s="565"/>
      <c r="AC18" s="560"/>
      <c r="AD18" s="561"/>
      <c r="AE18" s="565"/>
      <c r="AF18" s="560"/>
      <c r="AG18" s="561"/>
      <c r="AH18" s="565"/>
      <c r="AI18" s="560"/>
      <c r="AJ18" s="561"/>
      <c r="AK18" s="565"/>
      <c r="AL18" s="560">
        <v>40</v>
      </c>
      <c r="AM18" s="561"/>
      <c r="AN18" s="565">
        <f t="shared" si="3"/>
        <v>-100</v>
      </c>
      <c r="AO18" s="659">
        <f t="shared" si="6"/>
        <v>82.789000000000001</v>
      </c>
      <c r="AP18" s="659">
        <f t="shared" si="6"/>
        <v>34</v>
      </c>
      <c r="AQ18" s="565">
        <f t="shared" si="4"/>
        <v>-58.9</v>
      </c>
      <c r="AR18" s="561">
        <f t="shared" si="7"/>
        <v>82.789000000000001</v>
      </c>
      <c r="AS18" s="561">
        <f t="shared" si="7"/>
        <v>34</v>
      </c>
      <c r="AT18" s="565">
        <f t="shared" si="5"/>
        <v>-58.9</v>
      </c>
      <c r="AU18" s="638"/>
      <c r="AV18" s="638"/>
      <c r="AW18" s="633"/>
      <c r="AX18" s="633"/>
    </row>
    <row r="19" spans="1:50" s="660" customFormat="1" ht="18.75" customHeight="1" x14ac:dyDescent="0.3">
      <c r="A19" s="509" t="s">
        <v>439</v>
      </c>
      <c r="B19" s="560"/>
      <c r="C19" s="561"/>
      <c r="D19" s="659"/>
      <c r="E19" s="560"/>
      <c r="F19" s="561"/>
      <c r="G19" s="565"/>
      <c r="H19" s="560"/>
      <c r="I19" s="561"/>
      <c r="J19" s="565"/>
      <c r="K19" s="560"/>
      <c r="L19" s="561"/>
      <c r="M19" s="659"/>
      <c r="N19" s="560"/>
      <c r="O19" s="561"/>
      <c r="P19" s="565"/>
      <c r="Q19" s="560"/>
      <c r="R19" s="561"/>
      <c r="S19" s="565"/>
      <c r="T19" s="560">
        <v>-10</v>
      </c>
      <c r="U19" s="561">
        <v>-14</v>
      </c>
      <c r="V19" s="565">
        <f>IF(T19=0, "    ---- ", IF(ABS(ROUND(100/T19*U19-100,1))&lt;999,ROUND(100/T19*U19-100,1),IF(ROUND(100/T19*U19-100,1)&gt;999,999,-999)))</f>
        <v>40</v>
      </c>
      <c r="W19" s="560">
        <v>-74</v>
      </c>
      <c r="X19" s="561">
        <v>-74.848214999999996</v>
      </c>
      <c r="Y19" s="565">
        <f t="shared" si="2"/>
        <v>1.1000000000000001</v>
      </c>
      <c r="Z19" s="560"/>
      <c r="AA19" s="561"/>
      <c r="AB19" s="565"/>
      <c r="AC19" s="560"/>
      <c r="AD19" s="561"/>
      <c r="AE19" s="565"/>
      <c r="AF19" s="560"/>
      <c r="AG19" s="561"/>
      <c r="AH19" s="565"/>
      <c r="AI19" s="560"/>
      <c r="AJ19" s="561"/>
      <c r="AK19" s="565"/>
      <c r="AL19" s="560">
        <v>-454</v>
      </c>
      <c r="AM19" s="561">
        <v>-23</v>
      </c>
      <c r="AN19" s="565">
        <f t="shared" si="3"/>
        <v>-94.9</v>
      </c>
      <c r="AO19" s="659">
        <f t="shared" si="6"/>
        <v>-538</v>
      </c>
      <c r="AP19" s="659">
        <f t="shared" si="6"/>
        <v>-111.848215</v>
      </c>
      <c r="AQ19" s="565">
        <f t="shared" si="4"/>
        <v>-79.2</v>
      </c>
      <c r="AR19" s="561">
        <f t="shared" si="7"/>
        <v>-538</v>
      </c>
      <c r="AS19" s="561">
        <f t="shared" si="7"/>
        <v>-111.848215</v>
      </c>
      <c r="AT19" s="565">
        <f t="shared" si="5"/>
        <v>-79.2</v>
      </c>
      <c r="AU19" s="638"/>
      <c r="AV19" s="638"/>
      <c r="AW19" s="633"/>
      <c r="AX19" s="633"/>
    </row>
    <row r="20" spans="1:50" s="662" customFormat="1" ht="18.75" customHeight="1" x14ac:dyDescent="0.3">
      <c r="A20" s="507" t="s">
        <v>440</v>
      </c>
      <c r="B20" s="603">
        <v>-0.19600000000000006</v>
      </c>
      <c r="C20" s="574">
        <f>SUM(C12:C17)+C19</f>
        <v>-4.2629999999999999</v>
      </c>
      <c r="D20" s="657">
        <f>IF(B20=0, "    ---- ", IF(ABS(ROUND(100/B20*C20-100,1))&lt;999,ROUND(100/B20*C20-100,1),IF(ROUND(100/B20*C20-100,1)&gt;999,999,-999)))</f>
        <v>999</v>
      </c>
      <c r="E20" s="603">
        <v>1162.019</v>
      </c>
      <c r="F20" s="574">
        <f>SUM(F12:F17)+F19</f>
        <v>510.42399999999998</v>
      </c>
      <c r="G20" s="658">
        <f>IF(E20=0, "    ---- ", IF(ABS(ROUND(100/E20*F20-100,1))&lt;999,ROUND(100/E20*F20-100,1),IF(ROUND(100/E20*F20-100,1)&gt;999,999,-999)))</f>
        <v>-56.1</v>
      </c>
      <c r="H20" s="603"/>
      <c r="I20" s="574"/>
      <c r="J20" s="658"/>
      <c r="K20" s="603"/>
      <c r="L20" s="574"/>
      <c r="M20" s="657"/>
      <c r="N20" s="603"/>
      <c r="O20" s="574"/>
      <c r="P20" s="658"/>
      <c r="Q20" s="603"/>
      <c r="R20" s="574"/>
      <c r="S20" s="658"/>
      <c r="T20" s="603">
        <v>2</v>
      </c>
      <c r="U20" s="574">
        <f>SUM(U12:U17)+U19</f>
        <v>8</v>
      </c>
      <c r="V20" s="658">
        <f>IF(T20=0, "    ---- ", IF(ABS(ROUND(100/T20*U20-100,1))&lt;999,ROUND(100/T20*U20-100,1),IF(ROUND(100/T20*U20-100,1)&gt;999,999,-999)))</f>
        <v>300</v>
      </c>
      <c r="W20" s="603">
        <v>168</v>
      </c>
      <c r="X20" s="574">
        <f>SUM(X12:X17)+X19</f>
        <v>99.683308701999991</v>
      </c>
      <c r="Y20" s="658">
        <f t="shared" si="2"/>
        <v>-40.700000000000003</v>
      </c>
      <c r="Z20" s="603"/>
      <c r="AA20" s="574"/>
      <c r="AB20" s="658"/>
      <c r="AC20" s="603"/>
      <c r="AD20" s="574"/>
      <c r="AE20" s="658"/>
      <c r="AF20" s="603"/>
      <c r="AG20" s="574"/>
      <c r="AH20" s="658"/>
      <c r="AI20" s="603">
        <v>34.156999999999996</v>
      </c>
      <c r="AJ20" s="574">
        <f>SUM(AJ12:AJ17)+AJ19</f>
        <v>39.576999999999998</v>
      </c>
      <c r="AK20" s="658">
        <f>IF(AI20=0, "    ---- ", IF(ABS(ROUND(100/AI20*AJ20-100,1))&lt;999,ROUND(100/AI20*AJ20-100,1),IF(ROUND(100/AI20*AJ20-100,1)&gt;999,999,-999)))</f>
        <v>15.9</v>
      </c>
      <c r="AL20" s="603">
        <v>830</v>
      </c>
      <c r="AM20" s="574">
        <f>SUM(AM12:AM17)+AM19</f>
        <v>1704</v>
      </c>
      <c r="AN20" s="658">
        <f t="shared" si="3"/>
        <v>105.3</v>
      </c>
      <c r="AO20" s="657">
        <f t="shared" si="6"/>
        <v>2195.98</v>
      </c>
      <c r="AP20" s="657">
        <f t="shared" si="6"/>
        <v>2357.4213087019998</v>
      </c>
      <c r="AQ20" s="658">
        <f t="shared" si="4"/>
        <v>7.4</v>
      </c>
      <c r="AR20" s="574">
        <f t="shared" si="7"/>
        <v>2195.98</v>
      </c>
      <c r="AS20" s="574">
        <f t="shared" si="7"/>
        <v>2357.4213087019998</v>
      </c>
      <c r="AT20" s="658">
        <f t="shared" si="5"/>
        <v>7.4</v>
      </c>
      <c r="AU20" s="636"/>
      <c r="AV20" s="636"/>
      <c r="AW20" s="661"/>
      <c r="AX20" s="661"/>
    </row>
    <row r="21" spans="1:50" s="660" customFormat="1" ht="18.75" customHeight="1" x14ac:dyDescent="0.3">
      <c r="A21" s="509" t="s">
        <v>441</v>
      </c>
      <c r="B21" s="560">
        <v>0.21099999999999999</v>
      </c>
      <c r="C21" s="561">
        <v>0</v>
      </c>
      <c r="D21" s="659">
        <f>IF(B21=0, "    ---- ", IF(ABS(ROUND(100/B21*C21-100,1))&lt;999,ROUND(100/B21*C21-100,1),IF(ROUND(100/B21*C21-100,1)&gt;999,999,-999)))</f>
        <v>-100</v>
      </c>
      <c r="E21" s="560">
        <v>768.65200000000004</v>
      </c>
      <c r="F21" s="561">
        <v>352.95400000000001</v>
      </c>
      <c r="G21" s="565">
        <f>IF(E21=0, "    ---- ", IF(ABS(ROUND(100/E21*F21-100,1))&lt;999,ROUND(100/E21*F21-100,1),IF(ROUND(100/E21*F21-100,1)&gt;999,999,-999)))</f>
        <v>-54.1</v>
      </c>
      <c r="H21" s="560"/>
      <c r="I21" s="561"/>
      <c r="J21" s="565"/>
      <c r="K21" s="560"/>
      <c r="L21" s="561"/>
      <c r="M21" s="659"/>
      <c r="N21" s="560"/>
      <c r="O21" s="561"/>
      <c r="P21" s="565"/>
      <c r="Q21" s="560"/>
      <c r="R21" s="561"/>
      <c r="S21" s="565"/>
      <c r="T21" s="560">
        <v>1</v>
      </c>
      <c r="U21" s="561">
        <v>5</v>
      </c>
      <c r="V21" s="565">
        <f>IF(T21=0, "    ---- ", IF(ABS(ROUND(100/T21*U21-100,1))&lt;999,ROUND(100/T21*U21-100,1),IF(ROUND(100/T21*U21-100,1)&gt;999,999,-999)))</f>
        <v>400</v>
      </c>
      <c r="W21" s="560">
        <v>27</v>
      </c>
      <c r="X21" s="561">
        <v>26.115687463</v>
      </c>
      <c r="Y21" s="565">
        <f t="shared" si="2"/>
        <v>-3.3</v>
      </c>
      <c r="Z21" s="560"/>
      <c r="AA21" s="561"/>
      <c r="AB21" s="565"/>
      <c r="AC21" s="560"/>
      <c r="AD21" s="561"/>
      <c r="AE21" s="565"/>
      <c r="AF21" s="560"/>
      <c r="AG21" s="561"/>
      <c r="AH21" s="565"/>
      <c r="AI21" s="560">
        <v>15.864000000000001</v>
      </c>
      <c r="AJ21" s="561">
        <v>14.917</v>
      </c>
      <c r="AK21" s="565">
        <f>IF(AI21=0, "    ---- ", IF(ABS(ROUND(100/AI21*AJ21-100,1))&lt;999,ROUND(100/AI21*AJ21-100,1),IF(ROUND(100/AI21*AJ21-100,1)&gt;999,999,-999)))</f>
        <v>-6</v>
      </c>
      <c r="AL21" s="560">
        <v>1087</v>
      </c>
      <c r="AM21" s="561">
        <v>1319</v>
      </c>
      <c r="AN21" s="565">
        <f t="shared" si="3"/>
        <v>21.3</v>
      </c>
      <c r="AO21" s="659">
        <f t="shared" si="6"/>
        <v>1899.7270000000001</v>
      </c>
      <c r="AP21" s="659">
        <f t="shared" si="6"/>
        <v>1717.986687463</v>
      </c>
      <c r="AQ21" s="565">
        <f t="shared" si="4"/>
        <v>-9.6</v>
      </c>
      <c r="AR21" s="561">
        <f t="shared" si="7"/>
        <v>1899.7270000000001</v>
      </c>
      <c r="AS21" s="561">
        <f t="shared" si="7"/>
        <v>1717.986687463</v>
      </c>
      <c r="AT21" s="565">
        <f t="shared" si="5"/>
        <v>-9.6</v>
      </c>
      <c r="AU21" s="638"/>
      <c r="AV21" s="638"/>
      <c r="AW21" s="633"/>
      <c r="AX21" s="633"/>
    </row>
    <row r="22" spans="1:50" s="660" customFormat="1" ht="18.75" customHeight="1" x14ac:dyDescent="0.3">
      <c r="A22" s="509" t="s">
        <v>442</v>
      </c>
      <c r="B22" s="560">
        <v>-0.40700000000000003</v>
      </c>
      <c r="C22" s="561">
        <f>-5.111+0.848</f>
        <v>-4.2629999999999999</v>
      </c>
      <c r="D22" s="659">
        <f>IF(B22=0, "    ---- ", IF(ABS(ROUND(100/B22*C22-100,1))&lt;999,ROUND(100/B22*C22-100,1),IF(ROUND(100/B22*C22-100,1)&gt;999,999,-999)))</f>
        <v>947.4</v>
      </c>
      <c r="E22" s="560">
        <v>393.36699999999996</v>
      </c>
      <c r="F22" s="561">
        <v>158.029</v>
      </c>
      <c r="G22" s="565">
        <f>IF(E22=0, "    ---- ", IF(ABS(ROUND(100/E22*F22-100,1))&lt;999,ROUND(100/E22*F22-100,1),IF(ROUND(100/E22*F22-100,1)&gt;999,999,-999)))</f>
        <v>-59.8</v>
      </c>
      <c r="H22" s="560"/>
      <c r="I22" s="561"/>
      <c r="J22" s="565"/>
      <c r="K22" s="560"/>
      <c r="L22" s="561"/>
      <c r="M22" s="659"/>
      <c r="N22" s="560"/>
      <c r="O22" s="561"/>
      <c r="P22" s="565"/>
      <c r="Q22" s="560"/>
      <c r="R22" s="561"/>
      <c r="S22" s="565"/>
      <c r="T22" s="560">
        <v>1</v>
      </c>
      <c r="U22" s="561">
        <v>3</v>
      </c>
      <c r="V22" s="565">
        <f>IF(T22=0, "    ---- ", IF(ABS(ROUND(100/T22*U22-100,1))&lt;999,ROUND(100/T22*U22-100,1),IF(ROUND(100/T22*U22-100,1)&gt;999,999,-999)))</f>
        <v>200</v>
      </c>
      <c r="W22" s="560">
        <v>141</v>
      </c>
      <c r="X22" s="561">
        <v>73.56762123899999</v>
      </c>
      <c r="Y22" s="565">
        <f t="shared" si="2"/>
        <v>-47.8</v>
      </c>
      <c r="Z22" s="560"/>
      <c r="AA22" s="561"/>
      <c r="AB22" s="565"/>
      <c r="AC22" s="560"/>
      <c r="AD22" s="561"/>
      <c r="AE22" s="565"/>
      <c r="AF22" s="560"/>
      <c r="AG22" s="561"/>
      <c r="AH22" s="565"/>
      <c r="AI22" s="560">
        <v>18.292999999999999</v>
      </c>
      <c r="AJ22" s="561">
        <v>24.66</v>
      </c>
      <c r="AK22" s="565">
        <f>IF(AI22=0, "    ---- ", IF(ABS(ROUND(100/AI22*AJ22-100,1))&lt;999,ROUND(100/AI22*AJ22-100,1),IF(ROUND(100/AI22*AJ22-100,1)&gt;999,999,-999)))</f>
        <v>34.799999999999997</v>
      </c>
      <c r="AL22" s="560">
        <v>-257</v>
      </c>
      <c r="AM22" s="561">
        <v>385</v>
      </c>
      <c r="AN22" s="565">
        <f t="shared" si="3"/>
        <v>-249.8</v>
      </c>
      <c r="AO22" s="659">
        <f t="shared" si="6"/>
        <v>296.25300000000004</v>
      </c>
      <c r="AP22" s="659">
        <f t="shared" si="6"/>
        <v>639.99362123899994</v>
      </c>
      <c r="AQ22" s="565">
        <f t="shared" si="4"/>
        <v>116</v>
      </c>
      <c r="AR22" s="561">
        <f t="shared" si="7"/>
        <v>296.25300000000004</v>
      </c>
      <c r="AS22" s="561">
        <f t="shared" si="7"/>
        <v>639.99362123899994</v>
      </c>
      <c r="AT22" s="565">
        <f t="shared" si="5"/>
        <v>116</v>
      </c>
      <c r="AU22" s="638"/>
      <c r="AV22" s="638"/>
      <c r="AW22" s="633"/>
      <c r="AX22" s="633"/>
    </row>
    <row r="23" spans="1:50" ht="18.75" customHeight="1" x14ac:dyDescent="0.3">
      <c r="A23" s="507" t="s">
        <v>453</v>
      </c>
      <c r="B23" s="603"/>
      <c r="C23" s="574"/>
      <c r="D23" s="657"/>
      <c r="E23" s="603"/>
      <c r="F23" s="574"/>
      <c r="G23" s="658"/>
      <c r="H23" s="603"/>
      <c r="I23" s="574"/>
      <c r="J23" s="658"/>
      <c r="K23" s="603"/>
      <c r="L23" s="574"/>
      <c r="M23" s="657"/>
      <c r="N23" s="603"/>
      <c r="O23" s="574"/>
      <c r="P23" s="658"/>
      <c r="Q23" s="603"/>
      <c r="R23" s="574"/>
      <c r="S23" s="658"/>
      <c r="T23" s="603"/>
      <c r="U23" s="574"/>
      <c r="V23" s="658"/>
      <c r="W23" s="603"/>
      <c r="X23" s="574"/>
      <c r="Y23" s="658"/>
      <c r="Z23" s="603"/>
      <c r="AA23" s="574"/>
      <c r="AB23" s="658"/>
      <c r="AC23" s="603"/>
      <c r="AD23" s="574"/>
      <c r="AE23" s="658"/>
      <c r="AF23" s="603"/>
      <c r="AG23" s="574"/>
      <c r="AH23" s="658"/>
      <c r="AI23" s="603"/>
      <c r="AJ23" s="574"/>
      <c r="AK23" s="658"/>
      <c r="AL23" s="603"/>
      <c r="AM23" s="574"/>
      <c r="AN23" s="658"/>
      <c r="AO23" s="657"/>
      <c r="AP23" s="657"/>
      <c r="AQ23" s="658"/>
      <c r="AR23" s="574"/>
      <c r="AS23" s="574"/>
      <c r="AT23" s="658"/>
      <c r="AU23" s="638"/>
      <c r="AV23" s="638"/>
      <c r="AW23" s="633"/>
      <c r="AX23" s="633"/>
    </row>
    <row r="24" spans="1:50" s="660" customFormat="1" ht="18.75" customHeight="1" x14ac:dyDescent="0.3">
      <c r="A24" s="509" t="s">
        <v>432</v>
      </c>
      <c r="B24" s="560"/>
      <c r="C24" s="561"/>
      <c r="D24" s="659"/>
      <c r="E24" s="560"/>
      <c r="F24" s="561"/>
      <c r="G24" s="565"/>
      <c r="H24" s="560"/>
      <c r="I24" s="561"/>
      <c r="J24" s="565"/>
      <c r="K24" s="560"/>
      <c r="L24" s="561"/>
      <c r="M24" s="659"/>
      <c r="N24" s="560"/>
      <c r="O24" s="561"/>
      <c r="P24" s="565"/>
      <c r="Q24" s="560"/>
      <c r="R24" s="561"/>
      <c r="S24" s="565"/>
      <c r="T24" s="560"/>
      <c r="U24" s="561"/>
      <c r="V24" s="565"/>
      <c r="W24" s="560"/>
      <c r="X24" s="561"/>
      <c r="Y24" s="565"/>
      <c r="Z24" s="560"/>
      <c r="AA24" s="561"/>
      <c r="AB24" s="565"/>
      <c r="AC24" s="560"/>
      <c r="AD24" s="561"/>
      <c r="AE24" s="565"/>
      <c r="AF24" s="560"/>
      <c r="AG24" s="561"/>
      <c r="AH24" s="565"/>
      <c r="AI24" s="560"/>
      <c r="AJ24" s="561"/>
      <c r="AK24" s="565"/>
      <c r="AL24" s="560"/>
      <c r="AM24" s="561"/>
      <c r="AN24" s="565"/>
      <c r="AO24" s="659">
        <f t="shared" si="6"/>
        <v>0</v>
      </c>
      <c r="AP24" s="659">
        <f t="shared" si="6"/>
        <v>0</v>
      </c>
      <c r="AQ24" s="565" t="str">
        <f t="shared" si="4"/>
        <v xml:space="preserve">    ---- </v>
      </c>
      <c r="AR24" s="561">
        <f t="shared" si="7"/>
        <v>0</v>
      </c>
      <c r="AS24" s="561">
        <f t="shared" si="7"/>
        <v>0</v>
      </c>
      <c r="AT24" s="565" t="str">
        <f t="shared" si="5"/>
        <v xml:space="preserve">    ---- </v>
      </c>
      <c r="AU24" s="638"/>
      <c r="AV24" s="638"/>
      <c r="AW24" s="633"/>
      <c r="AX24" s="633"/>
    </row>
    <row r="25" spans="1:50" s="660" customFormat="1" ht="18.75" customHeight="1" x14ac:dyDescent="0.3">
      <c r="A25" s="509" t="s">
        <v>433</v>
      </c>
      <c r="B25" s="560"/>
      <c r="C25" s="561"/>
      <c r="D25" s="659"/>
      <c r="E25" s="560"/>
      <c r="F25" s="561"/>
      <c r="G25" s="565"/>
      <c r="H25" s="560"/>
      <c r="I25" s="561"/>
      <c r="J25" s="565"/>
      <c r="K25" s="560"/>
      <c r="L25" s="561"/>
      <c r="M25" s="659"/>
      <c r="N25" s="560"/>
      <c r="O25" s="561"/>
      <c r="P25" s="565"/>
      <c r="Q25" s="560"/>
      <c r="R25" s="561"/>
      <c r="S25" s="565"/>
      <c r="T25" s="560"/>
      <c r="U25" s="561"/>
      <c r="V25" s="565"/>
      <c r="W25" s="560"/>
      <c r="X25" s="561"/>
      <c r="Y25" s="565"/>
      <c r="Z25" s="560"/>
      <c r="AA25" s="561"/>
      <c r="AB25" s="565"/>
      <c r="AC25" s="560"/>
      <c r="AD25" s="561"/>
      <c r="AE25" s="565"/>
      <c r="AF25" s="560"/>
      <c r="AG25" s="561"/>
      <c r="AH25" s="565"/>
      <c r="AI25" s="560"/>
      <c r="AJ25" s="561"/>
      <c r="AK25" s="565"/>
      <c r="AL25" s="560"/>
      <c r="AM25" s="561"/>
      <c r="AN25" s="565"/>
      <c r="AO25" s="659">
        <f t="shared" si="6"/>
        <v>0</v>
      </c>
      <c r="AP25" s="659">
        <f t="shared" si="6"/>
        <v>0</v>
      </c>
      <c r="AQ25" s="565" t="str">
        <f t="shared" si="4"/>
        <v xml:space="preserve">    ---- </v>
      </c>
      <c r="AR25" s="561">
        <f t="shared" si="7"/>
        <v>0</v>
      </c>
      <c r="AS25" s="561">
        <f t="shared" si="7"/>
        <v>0</v>
      </c>
      <c r="AT25" s="565" t="str">
        <f t="shared" si="5"/>
        <v xml:space="preserve">    ---- </v>
      </c>
      <c r="AU25" s="638"/>
      <c r="AV25" s="638"/>
      <c r="AW25" s="633"/>
      <c r="AX25" s="633"/>
    </row>
    <row r="26" spans="1:50" s="660" customFormat="1" ht="18.75" customHeight="1" x14ac:dyDescent="0.3">
      <c r="A26" s="509" t="s">
        <v>434</v>
      </c>
      <c r="B26" s="560"/>
      <c r="C26" s="561"/>
      <c r="D26" s="659"/>
      <c r="E26" s="560"/>
      <c r="F26" s="561"/>
      <c r="G26" s="565"/>
      <c r="H26" s="560"/>
      <c r="I26" s="561"/>
      <c r="J26" s="565"/>
      <c r="K26" s="560"/>
      <c r="L26" s="561"/>
      <c r="M26" s="659"/>
      <c r="N26" s="560"/>
      <c r="O26" s="561"/>
      <c r="P26" s="565"/>
      <c r="Q26" s="560"/>
      <c r="R26" s="561"/>
      <c r="S26" s="565"/>
      <c r="T26" s="560"/>
      <c r="U26" s="561"/>
      <c r="V26" s="565"/>
      <c r="W26" s="560"/>
      <c r="X26" s="561"/>
      <c r="Y26" s="565"/>
      <c r="Z26" s="560"/>
      <c r="AA26" s="561"/>
      <c r="AB26" s="565"/>
      <c r="AC26" s="560"/>
      <c r="AD26" s="561"/>
      <c r="AE26" s="565"/>
      <c r="AF26" s="560"/>
      <c r="AG26" s="561"/>
      <c r="AH26" s="565"/>
      <c r="AI26" s="560"/>
      <c r="AJ26" s="561"/>
      <c r="AK26" s="565"/>
      <c r="AL26" s="560"/>
      <c r="AM26" s="561"/>
      <c r="AN26" s="565"/>
      <c r="AO26" s="659">
        <f t="shared" si="6"/>
        <v>0</v>
      </c>
      <c r="AP26" s="659">
        <f t="shared" si="6"/>
        <v>0</v>
      </c>
      <c r="AQ26" s="565" t="str">
        <f t="shared" si="4"/>
        <v xml:space="preserve">    ---- </v>
      </c>
      <c r="AR26" s="561">
        <f t="shared" si="7"/>
        <v>0</v>
      </c>
      <c r="AS26" s="561">
        <f t="shared" si="7"/>
        <v>0</v>
      </c>
      <c r="AT26" s="565" t="str">
        <f t="shared" si="5"/>
        <v xml:space="preserve">    ---- </v>
      </c>
      <c r="AU26" s="638"/>
      <c r="AV26" s="638"/>
      <c r="AW26" s="633"/>
      <c r="AX26" s="633"/>
    </row>
    <row r="27" spans="1:50" s="660" customFormat="1" ht="18.75" customHeight="1" x14ac:dyDescent="0.3">
      <c r="A27" s="509" t="s">
        <v>435</v>
      </c>
      <c r="B27" s="560"/>
      <c r="C27" s="561"/>
      <c r="D27" s="659"/>
      <c r="E27" s="560"/>
      <c r="F27" s="561"/>
      <c r="G27" s="565"/>
      <c r="H27" s="560"/>
      <c r="I27" s="561"/>
      <c r="J27" s="565"/>
      <c r="K27" s="560"/>
      <c r="L27" s="561"/>
      <c r="M27" s="659"/>
      <c r="N27" s="560"/>
      <c r="O27" s="561"/>
      <c r="P27" s="565"/>
      <c r="Q27" s="560"/>
      <c r="R27" s="561"/>
      <c r="S27" s="565"/>
      <c r="T27" s="560"/>
      <c r="U27" s="561"/>
      <c r="V27" s="565"/>
      <c r="W27" s="560"/>
      <c r="X27" s="561"/>
      <c r="Y27" s="565"/>
      <c r="Z27" s="560"/>
      <c r="AA27" s="561"/>
      <c r="AB27" s="565"/>
      <c r="AC27" s="560"/>
      <c r="AD27" s="561"/>
      <c r="AE27" s="565"/>
      <c r="AF27" s="560"/>
      <c r="AG27" s="561"/>
      <c r="AH27" s="565"/>
      <c r="AI27" s="560"/>
      <c r="AJ27" s="561"/>
      <c r="AK27" s="565"/>
      <c r="AL27" s="560"/>
      <c r="AM27" s="561"/>
      <c r="AN27" s="565"/>
      <c r="AO27" s="659">
        <f t="shared" si="6"/>
        <v>0</v>
      </c>
      <c r="AP27" s="659">
        <f t="shared" si="6"/>
        <v>0</v>
      </c>
      <c r="AQ27" s="565" t="str">
        <f t="shared" si="4"/>
        <v xml:space="preserve">    ---- </v>
      </c>
      <c r="AR27" s="561">
        <f t="shared" si="7"/>
        <v>0</v>
      </c>
      <c r="AS27" s="561">
        <f t="shared" si="7"/>
        <v>0</v>
      </c>
      <c r="AT27" s="565" t="str">
        <f t="shared" si="5"/>
        <v xml:space="preserve">    ---- </v>
      </c>
      <c r="AU27" s="638"/>
      <c r="AV27" s="638"/>
      <c r="AW27" s="633"/>
      <c r="AX27" s="633"/>
    </row>
    <row r="28" spans="1:50" s="660" customFormat="1" ht="18.75" customHeight="1" x14ac:dyDescent="0.3">
      <c r="A28" s="509" t="s">
        <v>436</v>
      </c>
      <c r="B28" s="560"/>
      <c r="C28" s="561"/>
      <c r="D28" s="659"/>
      <c r="E28" s="560"/>
      <c r="F28" s="561"/>
      <c r="G28" s="565"/>
      <c r="H28" s="560"/>
      <c r="I28" s="561"/>
      <c r="J28" s="565"/>
      <c r="K28" s="560"/>
      <c r="L28" s="561"/>
      <c r="M28" s="659"/>
      <c r="N28" s="560"/>
      <c r="O28" s="561"/>
      <c r="P28" s="565"/>
      <c r="Q28" s="560"/>
      <c r="R28" s="561"/>
      <c r="S28" s="565"/>
      <c r="T28" s="560"/>
      <c r="U28" s="561"/>
      <c r="V28" s="565"/>
      <c r="W28" s="560"/>
      <c r="X28" s="561"/>
      <c r="Y28" s="565"/>
      <c r="Z28" s="560"/>
      <c r="AA28" s="561"/>
      <c r="AB28" s="565"/>
      <c r="AC28" s="560"/>
      <c r="AD28" s="561"/>
      <c r="AE28" s="565"/>
      <c r="AF28" s="560"/>
      <c r="AG28" s="561"/>
      <c r="AH28" s="565"/>
      <c r="AI28" s="560"/>
      <c r="AJ28" s="561"/>
      <c r="AK28" s="565"/>
      <c r="AL28" s="560"/>
      <c r="AM28" s="561"/>
      <c r="AN28" s="565"/>
      <c r="AO28" s="659">
        <f t="shared" si="6"/>
        <v>0</v>
      </c>
      <c r="AP28" s="659">
        <f t="shared" si="6"/>
        <v>0</v>
      </c>
      <c r="AQ28" s="565" t="str">
        <f t="shared" si="4"/>
        <v xml:space="preserve">    ---- </v>
      </c>
      <c r="AR28" s="561">
        <f t="shared" si="7"/>
        <v>0</v>
      </c>
      <c r="AS28" s="561">
        <f t="shared" si="7"/>
        <v>0</v>
      </c>
      <c r="AT28" s="565" t="str">
        <f t="shared" si="5"/>
        <v xml:space="preserve">    ---- </v>
      </c>
      <c r="AU28" s="638"/>
      <c r="AV28" s="638"/>
      <c r="AW28" s="633"/>
      <c r="AX28" s="633"/>
    </row>
    <row r="29" spans="1:50" s="660" customFormat="1" ht="18.75" customHeight="1" x14ac:dyDescent="0.3">
      <c r="A29" s="509" t="s">
        <v>437</v>
      </c>
      <c r="B29" s="560"/>
      <c r="C29" s="561"/>
      <c r="D29" s="659"/>
      <c r="E29" s="560"/>
      <c r="F29" s="561"/>
      <c r="G29" s="565"/>
      <c r="H29" s="560"/>
      <c r="I29" s="561"/>
      <c r="J29" s="565"/>
      <c r="K29" s="560"/>
      <c r="L29" s="561"/>
      <c r="M29" s="659"/>
      <c r="N29" s="560"/>
      <c r="O29" s="561"/>
      <c r="P29" s="565"/>
      <c r="Q29" s="560"/>
      <c r="R29" s="561"/>
      <c r="S29" s="565"/>
      <c r="T29" s="560"/>
      <c r="U29" s="561"/>
      <c r="V29" s="565"/>
      <c r="W29" s="560"/>
      <c r="X29" s="561"/>
      <c r="Y29" s="565"/>
      <c r="Z29" s="560"/>
      <c r="AA29" s="561"/>
      <c r="AB29" s="565"/>
      <c r="AC29" s="560"/>
      <c r="AD29" s="561"/>
      <c r="AE29" s="565"/>
      <c r="AF29" s="560"/>
      <c r="AG29" s="561"/>
      <c r="AH29" s="565"/>
      <c r="AI29" s="560"/>
      <c r="AJ29" s="561"/>
      <c r="AK29" s="565"/>
      <c r="AL29" s="560"/>
      <c r="AM29" s="561"/>
      <c r="AN29" s="565"/>
      <c r="AO29" s="659">
        <f t="shared" si="6"/>
        <v>0</v>
      </c>
      <c r="AP29" s="659">
        <f t="shared" si="6"/>
        <v>0</v>
      </c>
      <c r="AQ29" s="565" t="str">
        <f t="shared" si="4"/>
        <v xml:space="preserve">    ---- </v>
      </c>
      <c r="AR29" s="561">
        <f t="shared" si="7"/>
        <v>0</v>
      </c>
      <c r="AS29" s="561">
        <f t="shared" si="7"/>
        <v>0</v>
      </c>
      <c r="AT29" s="565" t="str">
        <f t="shared" si="5"/>
        <v xml:space="preserve">    ---- </v>
      </c>
      <c r="AU29" s="638"/>
      <c r="AV29" s="638"/>
      <c r="AW29" s="633"/>
      <c r="AX29" s="633"/>
    </row>
    <row r="30" spans="1:50" s="660" customFormat="1" ht="18.75" customHeight="1" x14ac:dyDescent="0.3">
      <c r="A30" s="509" t="s">
        <v>438</v>
      </c>
      <c r="B30" s="560"/>
      <c r="C30" s="561"/>
      <c r="D30" s="659"/>
      <c r="E30" s="560"/>
      <c r="F30" s="561"/>
      <c r="G30" s="565"/>
      <c r="H30" s="560"/>
      <c r="I30" s="561"/>
      <c r="J30" s="565"/>
      <c r="K30" s="560"/>
      <c r="L30" s="561"/>
      <c r="M30" s="659"/>
      <c r="N30" s="560"/>
      <c r="O30" s="561"/>
      <c r="P30" s="565"/>
      <c r="Q30" s="560"/>
      <c r="R30" s="561"/>
      <c r="S30" s="565"/>
      <c r="T30" s="560"/>
      <c r="U30" s="561"/>
      <c r="V30" s="565"/>
      <c r="W30" s="560"/>
      <c r="X30" s="561"/>
      <c r="Y30" s="565"/>
      <c r="Z30" s="560"/>
      <c r="AA30" s="561"/>
      <c r="AB30" s="565"/>
      <c r="AC30" s="560"/>
      <c r="AD30" s="561"/>
      <c r="AE30" s="565"/>
      <c r="AF30" s="560"/>
      <c r="AG30" s="561"/>
      <c r="AH30" s="565"/>
      <c r="AI30" s="560"/>
      <c r="AJ30" s="561"/>
      <c r="AK30" s="565"/>
      <c r="AL30" s="560"/>
      <c r="AM30" s="561"/>
      <c r="AN30" s="565"/>
      <c r="AO30" s="659">
        <f t="shared" si="6"/>
        <v>0</v>
      </c>
      <c r="AP30" s="659">
        <f t="shared" si="6"/>
        <v>0</v>
      </c>
      <c r="AQ30" s="565" t="str">
        <f t="shared" si="4"/>
        <v xml:space="preserve">    ---- </v>
      </c>
      <c r="AR30" s="561">
        <f t="shared" si="7"/>
        <v>0</v>
      </c>
      <c r="AS30" s="561">
        <f t="shared" si="7"/>
        <v>0</v>
      </c>
      <c r="AT30" s="565" t="str">
        <f t="shared" si="5"/>
        <v xml:space="preserve">    ---- </v>
      </c>
      <c r="AU30" s="638"/>
      <c r="AV30" s="638"/>
      <c r="AW30" s="633"/>
      <c r="AX30" s="633"/>
    </row>
    <row r="31" spans="1:50" s="660" customFormat="1" ht="18.75" customHeight="1" x14ac:dyDescent="0.3">
      <c r="A31" s="509" t="s">
        <v>439</v>
      </c>
      <c r="B31" s="560"/>
      <c r="C31" s="561"/>
      <c r="D31" s="659"/>
      <c r="E31" s="560"/>
      <c r="F31" s="561"/>
      <c r="G31" s="565"/>
      <c r="H31" s="560"/>
      <c r="I31" s="561"/>
      <c r="J31" s="565"/>
      <c r="K31" s="560"/>
      <c r="L31" s="561"/>
      <c r="M31" s="659"/>
      <c r="N31" s="560"/>
      <c r="O31" s="561"/>
      <c r="P31" s="565"/>
      <c r="Q31" s="560"/>
      <c r="R31" s="561"/>
      <c r="S31" s="565"/>
      <c r="T31" s="560"/>
      <c r="U31" s="561"/>
      <c r="V31" s="565"/>
      <c r="W31" s="560"/>
      <c r="X31" s="561"/>
      <c r="Y31" s="565"/>
      <c r="Z31" s="560"/>
      <c r="AA31" s="561"/>
      <c r="AB31" s="565"/>
      <c r="AC31" s="560"/>
      <c r="AD31" s="561"/>
      <c r="AE31" s="565"/>
      <c r="AF31" s="560"/>
      <c r="AG31" s="561"/>
      <c r="AH31" s="565"/>
      <c r="AI31" s="560"/>
      <c r="AJ31" s="561"/>
      <c r="AK31" s="565"/>
      <c r="AL31" s="560"/>
      <c r="AM31" s="561"/>
      <c r="AN31" s="565"/>
      <c r="AO31" s="659">
        <f t="shared" si="6"/>
        <v>0</v>
      </c>
      <c r="AP31" s="659">
        <f t="shared" si="6"/>
        <v>0</v>
      </c>
      <c r="AQ31" s="565" t="str">
        <f t="shared" si="4"/>
        <v xml:space="preserve">    ---- </v>
      </c>
      <c r="AR31" s="561">
        <f t="shared" si="7"/>
        <v>0</v>
      </c>
      <c r="AS31" s="561">
        <f t="shared" si="7"/>
        <v>0</v>
      </c>
      <c r="AT31" s="565" t="str">
        <f t="shared" si="5"/>
        <v xml:space="preserve">    ---- </v>
      </c>
      <c r="AU31" s="638"/>
      <c r="AV31" s="638"/>
      <c r="AW31" s="633"/>
      <c r="AX31" s="633"/>
    </row>
    <row r="32" spans="1:50" s="662" customFormat="1" ht="18.75" customHeight="1" x14ac:dyDescent="0.3">
      <c r="A32" s="507" t="s">
        <v>440</v>
      </c>
      <c r="B32" s="603"/>
      <c r="C32" s="574"/>
      <c r="D32" s="657"/>
      <c r="E32" s="603"/>
      <c r="F32" s="574"/>
      <c r="G32" s="658"/>
      <c r="H32" s="603"/>
      <c r="I32" s="574"/>
      <c r="J32" s="658"/>
      <c r="K32" s="603"/>
      <c r="L32" s="574"/>
      <c r="M32" s="657"/>
      <c r="N32" s="603"/>
      <c r="O32" s="574"/>
      <c r="P32" s="658"/>
      <c r="Q32" s="603"/>
      <c r="R32" s="574"/>
      <c r="S32" s="658"/>
      <c r="T32" s="603"/>
      <c r="U32" s="574"/>
      <c r="V32" s="658"/>
      <c r="W32" s="603"/>
      <c r="X32" s="574"/>
      <c r="Y32" s="658"/>
      <c r="Z32" s="603"/>
      <c r="AA32" s="574"/>
      <c r="AB32" s="658"/>
      <c r="AC32" s="603"/>
      <c r="AD32" s="574"/>
      <c r="AE32" s="658"/>
      <c r="AF32" s="603"/>
      <c r="AG32" s="574"/>
      <c r="AH32" s="658"/>
      <c r="AI32" s="603"/>
      <c r="AJ32" s="574"/>
      <c r="AK32" s="658"/>
      <c r="AL32" s="603"/>
      <c r="AM32" s="574"/>
      <c r="AN32" s="658"/>
      <c r="AO32" s="657">
        <f t="shared" si="6"/>
        <v>0</v>
      </c>
      <c r="AP32" s="657">
        <f t="shared" si="6"/>
        <v>0</v>
      </c>
      <c r="AQ32" s="658" t="str">
        <f t="shared" si="4"/>
        <v xml:space="preserve">    ---- </v>
      </c>
      <c r="AR32" s="574">
        <f t="shared" si="7"/>
        <v>0</v>
      </c>
      <c r="AS32" s="574">
        <f t="shared" si="7"/>
        <v>0</v>
      </c>
      <c r="AT32" s="658" t="str">
        <f t="shared" si="5"/>
        <v xml:space="preserve">    ---- </v>
      </c>
      <c r="AU32" s="636"/>
      <c r="AV32" s="636"/>
      <c r="AW32" s="661"/>
      <c r="AX32" s="661"/>
    </row>
    <row r="33" spans="1:50" s="660" customFormat="1" ht="18.75" customHeight="1" x14ac:dyDescent="0.3">
      <c r="A33" s="509" t="s">
        <v>441</v>
      </c>
      <c r="B33" s="560"/>
      <c r="C33" s="561"/>
      <c r="D33" s="659"/>
      <c r="E33" s="560"/>
      <c r="F33" s="561"/>
      <c r="G33" s="565"/>
      <c r="H33" s="560"/>
      <c r="I33" s="561"/>
      <c r="J33" s="565"/>
      <c r="K33" s="560"/>
      <c r="L33" s="561"/>
      <c r="M33" s="659"/>
      <c r="N33" s="560"/>
      <c r="O33" s="561"/>
      <c r="P33" s="565"/>
      <c r="Q33" s="560"/>
      <c r="R33" s="561"/>
      <c r="S33" s="565"/>
      <c r="T33" s="560"/>
      <c r="U33" s="561"/>
      <c r="V33" s="565"/>
      <c r="W33" s="560"/>
      <c r="X33" s="561"/>
      <c r="Y33" s="565"/>
      <c r="Z33" s="560"/>
      <c r="AA33" s="561"/>
      <c r="AB33" s="565"/>
      <c r="AC33" s="560"/>
      <c r="AD33" s="561"/>
      <c r="AE33" s="565"/>
      <c r="AF33" s="560"/>
      <c r="AG33" s="561"/>
      <c r="AH33" s="565"/>
      <c r="AI33" s="560"/>
      <c r="AJ33" s="561"/>
      <c r="AK33" s="565"/>
      <c r="AL33" s="560"/>
      <c r="AM33" s="561"/>
      <c r="AN33" s="565"/>
      <c r="AO33" s="659">
        <f t="shared" si="6"/>
        <v>0</v>
      </c>
      <c r="AP33" s="659">
        <f t="shared" si="6"/>
        <v>0</v>
      </c>
      <c r="AQ33" s="565" t="str">
        <f t="shared" si="4"/>
        <v xml:space="preserve">    ---- </v>
      </c>
      <c r="AR33" s="561">
        <f t="shared" si="7"/>
        <v>0</v>
      </c>
      <c r="AS33" s="561">
        <f t="shared" si="7"/>
        <v>0</v>
      </c>
      <c r="AT33" s="565" t="str">
        <f t="shared" si="5"/>
        <v xml:space="preserve">    ---- </v>
      </c>
      <c r="AU33" s="638"/>
      <c r="AV33" s="638"/>
      <c r="AW33" s="633"/>
      <c r="AX33" s="633"/>
    </row>
    <row r="34" spans="1:50" s="660" customFormat="1" ht="18.75" customHeight="1" x14ac:dyDescent="0.3">
      <c r="A34" s="509" t="s">
        <v>442</v>
      </c>
      <c r="B34" s="560"/>
      <c r="C34" s="561"/>
      <c r="D34" s="659"/>
      <c r="E34" s="560"/>
      <c r="F34" s="561"/>
      <c r="G34" s="565"/>
      <c r="H34" s="560"/>
      <c r="I34" s="561"/>
      <c r="J34" s="565"/>
      <c r="K34" s="560"/>
      <c r="L34" s="561"/>
      <c r="M34" s="659"/>
      <c r="N34" s="560"/>
      <c r="O34" s="561"/>
      <c r="P34" s="565"/>
      <c r="Q34" s="560"/>
      <c r="R34" s="561"/>
      <c r="S34" s="565"/>
      <c r="T34" s="560"/>
      <c r="U34" s="561"/>
      <c r="V34" s="565"/>
      <c r="W34" s="560"/>
      <c r="X34" s="561"/>
      <c r="Y34" s="565"/>
      <c r="Z34" s="560"/>
      <c r="AA34" s="561"/>
      <c r="AB34" s="565"/>
      <c r="AC34" s="560"/>
      <c r="AD34" s="561"/>
      <c r="AE34" s="565"/>
      <c r="AF34" s="560"/>
      <c r="AG34" s="561"/>
      <c r="AH34" s="565"/>
      <c r="AI34" s="560"/>
      <c r="AJ34" s="561"/>
      <c r="AK34" s="565"/>
      <c r="AL34" s="560"/>
      <c r="AM34" s="561"/>
      <c r="AN34" s="565"/>
      <c r="AO34" s="659">
        <f t="shared" si="6"/>
        <v>0</v>
      </c>
      <c r="AP34" s="659">
        <f t="shared" si="6"/>
        <v>0</v>
      </c>
      <c r="AQ34" s="565" t="str">
        <f t="shared" si="4"/>
        <v xml:space="preserve">    ---- </v>
      </c>
      <c r="AR34" s="561">
        <f t="shared" si="7"/>
        <v>0</v>
      </c>
      <c r="AS34" s="561">
        <f t="shared" si="7"/>
        <v>0</v>
      </c>
      <c r="AT34" s="565" t="str">
        <f t="shared" si="5"/>
        <v xml:space="preserve">    ---- </v>
      </c>
      <c r="AU34" s="638"/>
      <c r="AV34" s="638"/>
      <c r="AW34" s="633"/>
      <c r="AX34" s="633"/>
    </row>
    <row r="35" spans="1:50" ht="18.75" customHeight="1" x14ac:dyDescent="0.3">
      <c r="A35" s="507" t="s">
        <v>454</v>
      </c>
      <c r="B35" s="603"/>
      <c r="C35" s="574"/>
      <c r="D35" s="657"/>
      <c r="E35" s="603"/>
      <c r="F35" s="574"/>
      <c r="G35" s="658"/>
      <c r="H35" s="603"/>
      <c r="I35" s="574"/>
      <c r="J35" s="658"/>
      <c r="K35" s="603"/>
      <c r="L35" s="574"/>
      <c r="M35" s="657"/>
      <c r="N35" s="603"/>
      <c r="O35" s="574"/>
      <c r="P35" s="658"/>
      <c r="Q35" s="603"/>
      <c r="R35" s="574"/>
      <c r="S35" s="658"/>
      <c r="T35" s="603"/>
      <c r="U35" s="574"/>
      <c r="V35" s="658"/>
      <c r="W35" s="603"/>
      <c r="X35" s="574"/>
      <c r="Y35" s="658"/>
      <c r="Z35" s="603"/>
      <c r="AA35" s="574"/>
      <c r="AB35" s="658"/>
      <c r="AC35" s="603"/>
      <c r="AD35" s="574"/>
      <c r="AE35" s="658"/>
      <c r="AF35" s="603"/>
      <c r="AG35" s="574"/>
      <c r="AH35" s="658"/>
      <c r="AI35" s="603"/>
      <c r="AJ35" s="574"/>
      <c r="AK35" s="658"/>
      <c r="AL35" s="603"/>
      <c r="AM35" s="574"/>
      <c r="AN35" s="658"/>
      <c r="AO35" s="657"/>
      <c r="AP35" s="657"/>
      <c r="AQ35" s="658"/>
      <c r="AR35" s="574"/>
      <c r="AS35" s="574"/>
      <c r="AT35" s="658"/>
      <c r="AU35" s="638"/>
      <c r="AV35" s="638"/>
      <c r="AW35" s="633"/>
      <c r="AX35" s="633"/>
    </row>
    <row r="36" spans="1:50" s="660" customFormat="1" ht="18.75" customHeight="1" x14ac:dyDescent="0.3">
      <c r="A36" s="509" t="s">
        <v>432</v>
      </c>
      <c r="B36" s="560"/>
      <c r="C36" s="561"/>
      <c r="D36" s="659"/>
      <c r="E36" s="560"/>
      <c r="F36" s="561"/>
      <c r="G36" s="565"/>
      <c r="H36" s="560"/>
      <c r="I36" s="561"/>
      <c r="J36" s="565"/>
      <c r="K36" s="560"/>
      <c r="L36" s="561"/>
      <c r="M36" s="659"/>
      <c r="N36" s="560"/>
      <c r="O36" s="561"/>
      <c r="P36" s="565"/>
      <c r="Q36" s="560"/>
      <c r="R36" s="561"/>
      <c r="S36" s="565"/>
      <c r="T36" s="560"/>
      <c r="U36" s="561"/>
      <c r="V36" s="565"/>
      <c r="W36" s="560"/>
      <c r="X36" s="561"/>
      <c r="Y36" s="565"/>
      <c r="Z36" s="560"/>
      <c r="AA36" s="561"/>
      <c r="AB36" s="565"/>
      <c r="AC36" s="560"/>
      <c r="AD36" s="561"/>
      <c r="AE36" s="565"/>
      <c r="AF36" s="560"/>
      <c r="AG36" s="561"/>
      <c r="AH36" s="565"/>
      <c r="AI36" s="560">
        <v>11.625</v>
      </c>
      <c r="AJ36" s="561">
        <f>11.391+9.514</f>
        <v>20.905000000000001</v>
      </c>
      <c r="AK36" s="565">
        <f>IF(AI36=0, "    ---- ", IF(ABS(ROUND(100/AI36*AJ36-100,1))&lt;999,ROUND(100/AI36*AJ36-100,1),IF(ROUND(100/AI36*AJ36-100,1)&gt;999,999,-999)))</f>
        <v>79.8</v>
      </c>
      <c r="AL36" s="560"/>
      <c r="AM36" s="561"/>
      <c r="AN36" s="565"/>
      <c r="AO36" s="659">
        <f t="shared" si="6"/>
        <v>11.625</v>
      </c>
      <c r="AP36" s="659">
        <f t="shared" si="6"/>
        <v>20.905000000000001</v>
      </c>
      <c r="AQ36" s="565">
        <f t="shared" si="4"/>
        <v>79.8</v>
      </c>
      <c r="AR36" s="561">
        <f t="shared" si="7"/>
        <v>11.625</v>
      </c>
      <c r="AS36" s="561">
        <f t="shared" si="7"/>
        <v>20.905000000000001</v>
      </c>
      <c r="AT36" s="565">
        <f t="shared" si="5"/>
        <v>79.8</v>
      </c>
      <c r="AU36" s="638"/>
      <c r="AV36" s="638"/>
      <c r="AW36" s="633"/>
      <c r="AX36" s="633"/>
    </row>
    <row r="37" spans="1:50" s="660" customFormat="1" ht="18.75" customHeight="1" x14ac:dyDescent="0.3">
      <c r="A37" s="509" t="s">
        <v>433</v>
      </c>
      <c r="B37" s="560"/>
      <c r="C37" s="561"/>
      <c r="D37" s="659"/>
      <c r="E37" s="560"/>
      <c r="F37" s="561"/>
      <c r="G37" s="565"/>
      <c r="H37" s="560"/>
      <c r="I37" s="561"/>
      <c r="J37" s="565"/>
      <c r="K37" s="560"/>
      <c r="L37" s="561"/>
      <c r="M37" s="659"/>
      <c r="N37" s="560"/>
      <c r="O37" s="561"/>
      <c r="P37" s="565"/>
      <c r="Q37" s="560"/>
      <c r="R37" s="561"/>
      <c r="S37" s="565"/>
      <c r="T37" s="560"/>
      <c r="U37" s="561"/>
      <c r="V37" s="565"/>
      <c r="W37" s="560"/>
      <c r="X37" s="561"/>
      <c r="Y37" s="565"/>
      <c r="Z37" s="560"/>
      <c r="AA37" s="561"/>
      <c r="AB37" s="565"/>
      <c r="AC37" s="560"/>
      <c r="AD37" s="561"/>
      <c r="AE37" s="565"/>
      <c r="AF37" s="560"/>
      <c r="AG37" s="561"/>
      <c r="AH37" s="565"/>
      <c r="AI37" s="560"/>
      <c r="AJ37" s="561"/>
      <c r="AK37" s="565"/>
      <c r="AL37" s="560"/>
      <c r="AM37" s="561"/>
      <c r="AN37" s="565"/>
      <c r="AO37" s="659">
        <f t="shared" si="6"/>
        <v>0</v>
      </c>
      <c r="AP37" s="659">
        <f t="shared" si="6"/>
        <v>0</v>
      </c>
      <c r="AQ37" s="565" t="str">
        <f t="shared" si="4"/>
        <v xml:space="preserve">    ---- </v>
      </c>
      <c r="AR37" s="561">
        <f t="shared" si="7"/>
        <v>0</v>
      </c>
      <c r="AS37" s="561">
        <f t="shared" si="7"/>
        <v>0</v>
      </c>
      <c r="AT37" s="565" t="str">
        <f t="shared" si="5"/>
        <v xml:space="preserve">    ---- </v>
      </c>
      <c r="AU37" s="638"/>
      <c r="AV37" s="638"/>
      <c r="AW37" s="633"/>
      <c r="AX37" s="633"/>
    </row>
    <row r="38" spans="1:50" s="660" customFormat="1" ht="18.75" customHeight="1" x14ac:dyDescent="0.3">
      <c r="A38" s="509" t="s">
        <v>434</v>
      </c>
      <c r="B38" s="560"/>
      <c r="C38" s="561"/>
      <c r="D38" s="659"/>
      <c r="E38" s="560"/>
      <c r="F38" s="561"/>
      <c r="G38" s="565"/>
      <c r="H38" s="560"/>
      <c r="I38" s="561"/>
      <c r="J38" s="565"/>
      <c r="K38" s="560"/>
      <c r="L38" s="561"/>
      <c r="M38" s="659"/>
      <c r="N38" s="560"/>
      <c r="O38" s="561"/>
      <c r="P38" s="565"/>
      <c r="Q38" s="560"/>
      <c r="R38" s="561"/>
      <c r="S38" s="565"/>
      <c r="T38" s="560"/>
      <c r="U38" s="561"/>
      <c r="V38" s="565"/>
      <c r="W38" s="560"/>
      <c r="X38" s="561">
        <v>128.50200881500001</v>
      </c>
      <c r="Y38" s="565" t="str">
        <f>IF(W38=0, "    ---- ", IF(ABS(ROUND(100/W38*X38-100,1))&lt;999,ROUND(100/W38*X38-100,1),IF(ROUND(100/W38*X38-100,1)&gt;999,999,-999)))</f>
        <v xml:space="preserve">    ---- </v>
      </c>
      <c r="Z38" s="560"/>
      <c r="AA38" s="561"/>
      <c r="AB38" s="565"/>
      <c r="AC38" s="560"/>
      <c r="AD38" s="561"/>
      <c r="AE38" s="565"/>
      <c r="AF38" s="560"/>
      <c r="AG38" s="561"/>
      <c r="AH38" s="565"/>
      <c r="AI38" s="560">
        <v>-4.7309999999999999</v>
      </c>
      <c r="AJ38" s="561">
        <f>-4.463+0.717</f>
        <v>-3.746</v>
      </c>
      <c r="AK38" s="565">
        <f>IF(AI38=0, "    ---- ", IF(ABS(ROUND(100/AI38*AJ38-100,1))&lt;999,ROUND(100/AI38*AJ38-100,1),IF(ROUND(100/AI38*AJ38-100,1)&gt;999,999,-999)))</f>
        <v>-20.8</v>
      </c>
      <c r="AL38" s="560"/>
      <c r="AM38" s="561"/>
      <c r="AN38" s="565"/>
      <c r="AO38" s="659">
        <f t="shared" si="6"/>
        <v>-4.7309999999999999</v>
      </c>
      <c r="AP38" s="659">
        <f t="shared" si="6"/>
        <v>124.75600881500002</v>
      </c>
      <c r="AQ38" s="565">
        <f t="shared" si="4"/>
        <v>-999</v>
      </c>
      <c r="AR38" s="561">
        <f t="shared" si="7"/>
        <v>-4.7309999999999999</v>
      </c>
      <c r="AS38" s="561">
        <f t="shared" si="7"/>
        <v>124.75600881500002</v>
      </c>
      <c r="AT38" s="565">
        <f t="shared" si="5"/>
        <v>-999</v>
      </c>
      <c r="AU38" s="638"/>
      <c r="AV38" s="638"/>
      <c r="AW38" s="633"/>
      <c r="AX38" s="633"/>
    </row>
    <row r="39" spans="1:50" s="660" customFormat="1" ht="18.75" customHeight="1" x14ac:dyDescent="0.3">
      <c r="A39" s="509" t="s">
        <v>435</v>
      </c>
      <c r="B39" s="560"/>
      <c r="C39" s="561"/>
      <c r="D39" s="659"/>
      <c r="E39" s="560"/>
      <c r="F39" s="561"/>
      <c r="G39" s="565"/>
      <c r="H39" s="560"/>
      <c r="I39" s="561"/>
      <c r="J39" s="565"/>
      <c r="K39" s="560"/>
      <c r="L39" s="561"/>
      <c r="M39" s="659"/>
      <c r="N39" s="560"/>
      <c r="O39" s="561"/>
      <c r="P39" s="565"/>
      <c r="Q39" s="560"/>
      <c r="R39" s="561"/>
      <c r="S39" s="565"/>
      <c r="T39" s="560"/>
      <c r="U39" s="561"/>
      <c r="V39" s="565"/>
      <c r="W39" s="560"/>
      <c r="X39" s="561"/>
      <c r="Y39" s="565"/>
      <c r="Z39" s="560"/>
      <c r="AA39" s="561"/>
      <c r="AB39" s="565"/>
      <c r="AC39" s="560"/>
      <c r="AD39" s="561"/>
      <c r="AE39" s="565"/>
      <c r="AF39" s="560"/>
      <c r="AG39" s="561"/>
      <c r="AH39" s="565"/>
      <c r="AI39" s="560"/>
      <c r="AJ39" s="561"/>
      <c r="AK39" s="565"/>
      <c r="AL39" s="560"/>
      <c r="AM39" s="561"/>
      <c r="AN39" s="565"/>
      <c r="AO39" s="659">
        <f t="shared" si="6"/>
        <v>0</v>
      </c>
      <c r="AP39" s="659">
        <f t="shared" si="6"/>
        <v>0</v>
      </c>
      <c r="AQ39" s="565" t="str">
        <f t="shared" si="4"/>
        <v xml:space="preserve">    ---- </v>
      </c>
      <c r="AR39" s="561">
        <f t="shared" si="7"/>
        <v>0</v>
      </c>
      <c r="AS39" s="561">
        <f t="shared" si="7"/>
        <v>0</v>
      </c>
      <c r="AT39" s="565" t="str">
        <f t="shared" si="5"/>
        <v xml:space="preserve">    ---- </v>
      </c>
      <c r="AU39" s="638"/>
      <c r="AV39" s="638"/>
      <c r="AW39" s="633"/>
      <c r="AX39" s="633"/>
    </row>
    <row r="40" spans="1:50" s="660" customFormat="1" ht="18.75" customHeight="1" x14ac:dyDescent="0.3">
      <c r="A40" s="509" t="s">
        <v>436</v>
      </c>
      <c r="B40" s="560"/>
      <c r="C40" s="561"/>
      <c r="D40" s="659"/>
      <c r="E40" s="560"/>
      <c r="F40" s="561"/>
      <c r="G40" s="565"/>
      <c r="H40" s="560"/>
      <c r="I40" s="561"/>
      <c r="J40" s="565"/>
      <c r="K40" s="560"/>
      <c r="L40" s="561"/>
      <c r="M40" s="659"/>
      <c r="N40" s="560"/>
      <c r="O40" s="561"/>
      <c r="P40" s="565"/>
      <c r="Q40" s="560"/>
      <c r="R40" s="561"/>
      <c r="S40" s="565"/>
      <c r="T40" s="560"/>
      <c r="U40" s="561"/>
      <c r="V40" s="565"/>
      <c r="W40" s="560"/>
      <c r="X40" s="561"/>
      <c r="Y40" s="565"/>
      <c r="Z40" s="560"/>
      <c r="AA40" s="561"/>
      <c r="AB40" s="565"/>
      <c r="AC40" s="560"/>
      <c r="AD40" s="561"/>
      <c r="AE40" s="565"/>
      <c r="AF40" s="560"/>
      <c r="AG40" s="561"/>
      <c r="AH40" s="565"/>
      <c r="AI40" s="560">
        <v>2.96</v>
      </c>
      <c r="AJ40" s="561">
        <f>1.317+1.312</f>
        <v>2.629</v>
      </c>
      <c r="AK40" s="565">
        <f>IF(AI40=0, "    ---- ", IF(ABS(ROUND(100/AI40*AJ40-100,1))&lt;999,ROUND(100/AI40*AJ40-100,1),IF(ROUND(100/AI40*AJ40-100,1)&gt;999,999,-999)))</f>
        <v>-11.2</v>
      </c>
      <c r="AL40" s="560"/>
      <c r="AM40" s="561"/>
      <c r="AN40" s="565"/>
      <c r="AO40" s="659">
        <f t="shared" si="6"/>
        <v>2.96</v>
      </c>
      <c r="AP40" s="659">
        <f t="shared" si="6"/>
        <v>2.629</v>
      </c>
      <c r="AQ40" s="565">
        <f t="shared" si="4"/>
        <v>-11.2</v>
      </c>
      <c r="AR40" s="561">
        <f t="shared" si="7"/>
        <v>2.96</v>
      </c>
      <c r="AS40" s="561">
        <f t="shared" si="7"/>
        <v>2.629</v>
      </c>
      <c r="AT40" s="565">
        <f t="shared" si="5"/>
        <v>-11.2</v>
      </c>
      <c r="AU40" s="638"/>
      <c r="AV40" s="638"/>
      <c r="AW40" s="633"/>
      <c r="AX40" s="633"/>
    </row>
    <row r="41" spans="1:50" s="660" customFormat="1" ht="18.75" customHeight="1" x14ac:dyDescent="0.3">
      <c r="A41" s="509" t="s">
        <v>437</v>
      </c>
      <c r="B41" s="560"/>
      <c r="C41" s="561"/>
      <c r="D41" s="659"/>
      <c r="E41" s="560"/>
      <c r="F41" s="561"/>
      <c r="G41" s="565"/>
      <c r="H41" s="560"/>
      <c r="I41" s="561"/>
      <c r="J41" s="565"/>
      <c r="K41" s="560"/>
      <c r="L41" s="561"/>
      <c r="M41" s="659"/>
      <c r="N41" s="560"/>
      <c r="O41" s="561"/>
      <c r="P41" s="565"/>
      <c r="Q41" s="560"/>
      <c r="R41" s="561"/>
      <c r="S41" s="565"/>
      <c r="T41" s="560"/>
      <c r="U41" s="561"/>
      <c r="V41" s="565"/>
      <c r="W41" s="560"/>
      <c r="X41" s="561">
        <v>-0.63230299999999995</v>
      </c>
      <c r="Y41" s="565" t="str">
        <f>IF(W41=0, "    ---- ", IF(ABS(ROUND(100/W41*X41-100,1))&lt;999,ROUND(100/W41*X41-100,1),IF(ROUND(100/W41*X41-100,1)&gt;999,999,-999)))</f>
        <v xml:space="preserve">    ---- </v>
      </c>
      <c r="Z41" s="560"/>
      <c r="AA41" s="561"/>
      <c r="AB41" s="565"/>
      <c r="AC41" s="560"/>
      <c r="AD41" s="561"/>
      <c r="AE41" s="565"/>
      <c r="AF41" s="560"/>
      <c r="AG41" s="561"/>
      <c r="AH41" s="565"/>
      <c r="AI41" s="560">
        <v>-2.0299999999999998</v>
      </c>
      <c r="AJ41" s="561">
        <v>-5.0000000000000001E-3</v>
      </c>
      <c r="AK41" s="565">
        <f>IF(AI41=0, "    ---- ", IF(ABS(ROUND(100/AI41*AJ41-100,1))&lt;999,ROUND(100/AI41*AJ41-100,1),IF(ROUND(100/AI41*AJ41-100,1)&gt;999,999,-999)))</f>
        <v>-99.8</v>
      </c>
      <c r="AL41" s="560"/>
      <c r="AM41" s="561"/>
      <c r="AN41" s="565"/>
      <c r="AO41" s="659">
        <f t="shared" si="6"/>
        <v>-2.0299999999999998</v>
      </c>
      <c r="AP41" s="659">
        <f t="shared" si="6"/>
        <v>-0.63730299999999995</v>
      </c>
      <c r="AQ41" s="565">
        <f t="shared" si="4"/>
        <v>-68.599999999999994</v>
      </c>
      <c r="AR41" s="561">
        <f t="shared" si="7"/>
        <v>-2.0299999999999998</v>
      </c>
      <c r="AS41" s="561">
        <f t="shared" si="7"/>
        <v>-0.63730299999999995</v>
      </c>
      <c r="AT41" s="565">
        <f t="shared" si="5"/>
        <v>-68.599999999999994</v>
      </c>
      <c r="AU41" s="638"/>
      <c r="AV41" s="638"/>
      <c r="AW41" s="633"/>
      <c r="AX41" s="633"/>
    </row>
    <row r="42" spans="1:50" s="660" customFormat="1" ht="18.75" customHeight="1" x14ac:dyDescent="0.3">
      <c r="A42" s="509" t="s">
        <v>438</v>
      </c>
      <c r="B42" s="560"/>
      <c r="C42" s="561"/>
      <c r="D42" s="659"/>
      <c r="E42" s="560"/>
      <c r="F42" s="561"/>
      <c r="G42" s="565"/>
      <c r="H42" s="560"/>
      <c r="I42" s="561"/>
      <c r="J42" s="565"/>
      <c r="K42" s="560"/>
      <c r="L42" s="561"/>
      <c r="M42" s="659"/>
      <c r="N42" s="560"/>
      <c r="O42" s="561"/>
      <c r="P42" s="565"/>
      <c r="Q42" s="560"/>
      <c r="R42" s="561"/>
      <c r="S42" s="565"/>
      <c r="T42" s="560"/>
      <c r="U42" s="561"/>
      <c r="V42" s="565"/>
      <c r="W42" s="560"/>
      <c r="X42" s="561"/>
      <c r="Y42" s="565"/>
      <c r="Z42" s="560"/>
      <c r="AA42" s="561"/>
      <c r="AB42" s="565"/>
      <c r="AC42" s="560"/>
      <c r="AD42" s="561"/>
      <c r="AE42" s="565"/>
      <c r="AF42" s="560"/>
      <c r="AG42" s="561"/>
      <c r="AH42" s="565"/>
      <c r="AI42" s="560"/>
      <c r="AJ42" s="561"/>
      <c r="AK42" s="565"/>
      <c r="AL42" s="560"/>
      <c r="AM42" s="561"/>
      <c r="AN42" s="565"/>
      <c r="AO42" s="659">
        <f t="shared" si="6"/>
        <v>0</v>
      </c>
      <c r="AP42" s="659">
        <f t="shared" si="6"/>
        <v>0</v>
      </c>
      <c r="AQ42" s="565" t="str">
        <f t="shared" si="4"/>
        <v xml:space="preserve">    ---- </v>
      </c>
      <c r="AR42" s="561">
        <f t="shared" si="7"/>
        <v>0</v>
      </c>
      <c r="AS42" s="561">
        <f t="shared" si="7"/>
        <v>0</v>
      </c>
      <c r="AT42" s="565" t="str">
        <f t="shared" si="5"/>
        <v xml:space="preserve">    ---- </v>
      </c>
      <c r="AU42" s="638"/>
      <c r="AV42" s="638"/>
      <c r="AW42" s="633"/>
      <c r="AX42" s="633"/>
    </row>
    <row r="43" spans="1:50" s="660" customFormat="1" ht="18.75" customHeight="1" x14ac:dyDescent="0.3">
      <c r="A43" s="509" t="s">
        <v>439</v>
      </c>
      <c r="B43" s="663"/>
      <c r="C43" s="659"/>
      <c r="D43" s="659"/>
      <c r="E43" s="663"/>
      <c r="F43" s="659"/>
      <c r="G43" s="565"/>
      <c r="H43" s="663"/>
      <c r="I43" s="664"/>
      <c r="J43" s="565"/>
      <c r="K43" s="663"/>
      <c r="L43" s="659"/>
      <c r="M43" s="659"/>
      <c r="N43" s="663"/>
      <c r="O43" s="659"/>
      <c r="P43" s="565"/>
      <c r="Q43" s="663"/>
      <c r="R43" s="659"/>
      <c r="S43" s="565"/>
      <c r="T43" s="663"/>
      <c r="U43" s="664"/>
      <c r="V43" s="565"/>
      <c r="W43" s="663"/>
      <c r="X43" s="664">
        <v>18.735525000000003</v>
      </c>
      <c r="Y43" s="565" t="str">
        <f t="shared" ref="Y43:Y46" si="8">IF(W43=0, "    ---- ", IF(ABS(ROUND(100/W43*X43-100,1))&lt;999,ROUND(100/W43*X43-100,1),IF(ROUND(100/W43*X43-100,1)&gt;999,999,-999)))</f>
        <v xml:space="preserve">    ---- </v>
      </c>
      <c r="Z43" s="663"/>
      <c r="AA43" s="659"/>
      <c r="AB43" s="565"/>
      <c r="AC43" s="663"/>
      <c r="AD43" s="659"/>
      <c r="AE43" s="565"/>
      <c r="AF43" s="663"/>
      <c r="AG43" s="659"/>
      <c r="AH43" s="565"/>
      <c r="AI43" s="663"/>
      <c r="AJ43" s="659"/>
      <c r="AK43" s="565"/>
      <c r="AL43" s="663"/>
      <c r="AM43" s="659"/>
      <c r="AN43" s="565"/>
      <c r="AO43" s="659">
        <f t="shared" si="6"/>
        <v>0</v>
      </c>
      <c r="AP43" s="659">
        <f t="shared" si="6"/>
        <v>18.735525000000003</v>
      </c>
      <c r="AQ43" s="565" t="str">
        <f t="shared" si="4"/>
        <v xml:space="preserve">    ---- </v>
      </c>
      <c r="AR43" s="561">
        <f t="shared" si="7"/>
        <v>0</v>
      </c>
      <c r="AS43" s="561">
        <f t="shared" si="7"/>
        <v>18.735525000000003</v>
      </c>
      <c r="AT43" s="565" t="str">
        <f t="shared" si="5"/>
        <v xml:space="preserve">    ---- </v>
      </c>
      <c r="AU43" s="638"/>
      <c r="AV43" s="638"/>
      <c r="AW43" s="633"/>
      <c r="AX43" s="633"/>
    </row>
    <row r="44" spans="1:50" s="662" customFormat="1" ht="18.75" customHeight="1" x14ac:dyDescent="0.3">
      <c r="A44" s="507" t="s">
        <v>440</v>
      </c>
      <c r="B44" s="665"/>
      <c r="C44" s="657"/>
      <c r="D44" s="657"/>
      <c r="E44" s="665"/>
      <c r="F44" s="657"/>
      <c r="G44" s="658"/>
      <c r="H44" s="665"/>
      <c r="I44" s="666"/>
      <c r="J44" s="658"/>
      <c r="K44" s="665"/>
      <c r="L44" s="657"/>
      <c r="M44" s="657"/>
      <c r="N44" s="665"/>
      <c r="O44" s="657"/>
      <c r="P44" s="658"/>
      <c r="Q44" s="665"/>
      <c r="R44" s="657"/>
      <c r="S44" s="658"/>
      <c r="T44" s="665"/>
      <c r="U44" s="666"/>
      <c r="V44" s="658"/>
      <c r="W44" s="665"/>
      <c r="X44" s="666">
        <f>SUM(X36:X41)+X43</f>
        <v>146.60523081500003</v>
      </c>
      <c r="Y44" s="565" t="str">
        <f t="shared" si="8"/>
        <v xml:space="preserve">    ---- </v>
      </c>
      <c r="Z44" s="665"/>
      <c r="AA44" s="657"/>
      <c r="AB44" s="658"/>
      <c r="AC44" s="665"/>
      <c r="AD44" s="657"/>
      <c r="AE44" s="658"/>
      <c r="AF44" s="665"/>
      <c r="AG44" s="657"/>
      <c r="AH44" s="658"/>
      <c r="AI44" s="665">
        <v>7.8239999999999998</v>
      </c>
      <c r="AJ44" s="657">
        <f>SUM(AJ36:AJ41)+AJ43</f>
        <v>19.783000000000005</v>
      </c>
      <c r="AK44" s="658">
        <f>IF(AI44=0, "    ---- ", IF(ABS(ROUND(100/AI44*AJ44-100,1))&lt;999,ROUND(100/AI44*AJ44-100,1),IF(ROUND(100/AI44*AJ44-100,1)&gt;999,999,-999)))</f>
        <v>152.9</v>
      </c>
      <c r="AL44" s="665"/>
      <c r="AM44" s="657"/>
      <c r="AN44" s="658"/>
      <c r="AO44" s="657">
        <f t="shared" si="6"/>
        <v>7.8239999999999998</v>
      </c>
      <c r="AP44" s="657">
        <f t="shared" si="6"/>
        <v>166.38823081500004</v>
      </c>
      <c r="AQ44" s="658">
        <f>IF(AO44=0, "    ---- ", IF(ABS(ROUND(100/AO44*AP44-100,1))&lt;999,ROUND(100/AO44*AP44-100,1),IF(ROUND(100/AO44*AP44-100,1)&gt;999,999,-999)))</f>
        <v>999</v>
      </c>
      <c r="AR44" s="574">
        <f t="shared" si="7"/>
        <v>7.8239999999999998</v>
      </c>
      <c r="AS44" s="574">
        <f t="shared" si="7"/>
        <v>166.38823081500004</v>
      </c>
      <c r="AT44" s="658">
        <f>IF(AR44=0, "    ---- ", IF(ABS(ROUND(100/AR44*AS44-100,1))&lt;999,ROUND(100/AR44*AS44-100,1),IF(ROUND(100/AR44*AS44-100,1)&gt;999,999,-999)))</f>
        <v>999</v>
      </c>
      <c r="AU44" s="636"/>
      <c r="AV44" s="636"/>
      <c r="AW44" s="661"/>
      <c r="AX44" s="661"/>
    </row>
    <row r="45" spans="1:50" s="660" customFormat="1" ht="18.75" customHeight="1" x14ac:dyDescent="0.3">
      <c r="A45" s="509" t="s">
        <v>441</v>
      </c>
      <c r="B45" s="663"/>
      <c r="C45" s="659"/>
      <c r="D45" s="659"/>
      <c r="E45" s="663"/>
      <c r="F45" s="659"/>
      <c r="G45" s="565"/>
      <c r="H45" s="663"/>
      <c r="I45" s="664"/>
      <c r="J45" s="565"/>
      <c r="K45" s="663"/>
      <c r="L45" s="659"/>
      <c r="M45" s="659"/>
      <c r="N45" s="663"/>
      <c r="O45" s="659"/>
      <c r="P45" s="565"/>
      <c r="Q45" s="663"/>
      <c r="R45" s="659"/>
      <c r="S45" s="565"/>
      <c r="T45" s="663"/>
      <c r="U45" s="664"/>
      <c r="V45" s="565"/>
      <c r="W45" s="663"/>
      <c r="X45" s="664"/>
      <c r="Y45" s="565"/>
      <c r="Z45" s="663"/>
      <c r="AA45" s="659"/>
      <c r="AB45" s="565"/>
      <c r="AC45" s="663"/>
      <c r="AD45" s="659"/>
      <c r="AE45" s="565"/>
      <c r="AF45" s="663"/>
      <c r="AG45" s="659"/>
      <c r="AH45" s="565"/>
      <c r="AI45" s="663">
        <v>11.625</v>
      </c>
      <c r="AJ45" s="659">
        <f>11.391+9.514</f>
        <v>20.905000000000001</v>
      </c>
      <c r="AK45" s="565">
        <f>IF(AI45=0, "    ---- ", IF(ABS(ROUND(100/AI45*AJ45-100,1))&lt;999,ROUND(100/AI45*AJ45-100,1),IF(ROUND(100/AI45*AJ45-100,1)&gt;999,999,-999)))</f>
        <v>79.8</v>
      </c>
      <c r="AL45" s="663"/>
      <c r="AM45" s="659"/>
      <c r="AN45" s="565"/>
      <c r="AO45" s="659">
        <f t="shared" si="6"/>
        <v>11.625</v>
      </c>
      <c r="AP45" s="659">
        <f t="shared" si="6"/>
        <v>20.905000000000001</v>
      </c>
      <c r="AQ45" s="565">
        <f t="shared" ref="AQ45:AQ144" si="9">IF(AO45=0, "    ---- ", IF(ABS(ROUND(100/AO45*AP45-100,1))&lt;999,ROUND(100/AO45*AP45-100,1),IF(ROUND(100/AO45*AP45-100,1)&gt;999,999,-999)))</f>
        <v>79.8</v>
      </c>
      <c r="AR45" s="561">
        <f t="shared" si="7"/>
        <v>11.625</v>
      </c>
      <c r="AS45" s="561">
        <f t="shared" si="7"/>
        <v>20.905000000000001</v>
      </c>
      <c r="AT45" s="565">
        <f t="shared" ref="AT45:AT144" si="10">IF(AR45=0, "    ---- ", IF(ABS(ROUND(100/AR45*AS45-100,1))&lt;999,ROUND(100/AR45*AS45-100,1),IF(ROUND(100/AR45*AS45-100,1)&gt;999,999,-999)))</f>
        <v>79.8</v>
      </c>
      <c r="AU45" s="638"/>
      <c r="AV45" s="638"/>
      <c r="AW45" s="633"/>
      <c r="AX45" s="633"/>
    </row>
    <row r="46" spans="1:50" s="660" customFormat="1" ht="18.75" customHeight="1" x14ac:dyDescent="0.3">
      <c r="A46" s="509" t="s">
        <v>442</v>
      </c>
      <c r="B46" s="663"/>
      <c r="C46" s="659"/>
      <c r="D46" s="659"/>
      <c r="E46" s="663"/>
      <c r="F46" s="659"/>
      <c r="G46" s="565"/>
      <c r="H46" s="663"/>
      <c r="I46" s="664"/>
      <c r="J46" s="565"/>
      <c r="K46" s="663"/>
      <c r="L46" s="659"/>
      <c r="M46" s="659"/>
      <c r="N46" s="663"/>
      <c r="O46" s="659"/>
      <c r="P46" s="565"/>
      <c r="Q46" s="663"/>
      <c r="R46" s="659"/>
      <c r="S46" s="565"/>
      <c r="T46" s="663"/>
      <c r="U46" s="664"/>
      <c r="V46" s="565"/>
      <c r="W46" s="663"/>
      <c r="X46" s="664">
        <v>146.60523081500003</v>
      </c>
      <c r="Y46" s="565" t="str">
        <f t="shared" si="8"/>
        <v xml:space="preserve">    ---- </v>
      </c>
      <c r="Z46" s="663"/>
      <c r="AA46" s="659"/>
      <c r="AB46" s="565"/>
      <c r="AC46" s="663"/>
      <c r="AD46" s="659"/>
      <c r="AE46" s="565"/>
      <c r="AF46" s="663"/>
      <c r="AG46" s="659"/>
      <c r="AH46" s="565"/>
      <c r="AI46" s="663">
        <v>-3.8010000000000002</v>
      </c>
      <c r="AJ46" s="659">
        <f>-3.146+2.024</f>
        <v>-1.1219999999999999</v>
      </c>
      <c r="AK46" s="565">
        <f>IF(AI46=0, "    ---- ", IF(ABS(ROUND(100/AI46*AJ46-100,1))&lt;999,ROUND(100/AI46*AJ46-100,1),IF(ROUND(100/AI46*AJ46-100,1)&gt;999,999,-999)))</f>
        <v>-70.5</v>
      </c>
      <c r="AL46" s="663"/>
      <c r="AM46" s="659"/>
      <c r="AN46" s="565"/>
      <c r="AO46" s="659">
        <f t="shared" si="6"/>
        <v>-3.8010000000000002</v>
      </c>
      <c r="AP46" s="659">
        <f t="shared" si="6"/>
        <v>145.48323081500001</v>
      </c>
      <c r="AQ46" s="565">
        <f t="shared" si="9"/>
        <v>-999</v>
      </c>
      <c r="AR46" s="561">
        <f t="shared" si="7"/>
        <v>-3.8010000000000002</v>
      </c>
      <c r="AS46" s="561">
        <f t="shared" si="7"/>
        <v>145.48323081500001</v>
      </c>
      <c r="AT46" s="565">
        <f t="shared" si="10"/>
        <v>-999</v>
      </c>
      <c r="AU46" s="638"/>
      <c r="AV46" s="638"/>
      <c r="AW46" s="633"/>
      <c r="AX46" s="633"/>
    </row>
    <row r="47" spans="1:50" s="660" customFormat="1" ht="18.75" customHeight="1" x14ac:dyDescent="0.3">
      <c r="A47" s="507" t="s">
        <v>455</v>
      </c>
      <c r="B47" s="663"/>
      <c r="C47" s="659"/>
      <c r="D47" s="659"/>
      <c r="E47" s="663"/>
      <c r="F47" s="659"/>
      <c r="G47" s="565"/>
      <c r="H47" s="663"/>
      <c r="I47" s="664"/>
      <c r="J47" s="565"/>
      <c r="K47" s="663"/>
      <c r="L47" s="659"/>
      <c r="M47" s="659"/>
      <c r="N47" s="663"/>
      <c r="O47" s="659"/>
      <c r="P47" s="565"/>
      <c r="Q47" s="663"/>
      <c r="R47" s="659"/>
      <c r="S47" s="565"/>
      <c r="T47" s="663"/>
      <c r="U47" s="664"/>
      <c r="V47" s="565"/>
      <c r="W47" s="663"/>
      <c r="X47" s="664"/>
      <c r="Y47" s="565"/>
      <c r="Z47" s="663"/>
      <c r="AA47" s="659"/>
      <c r="AB47" s="565"/>
      <c r="AC47" s="663"/>
      <c r="AD47" s="659"/>
      <c r="AE47" s="565"/>
      <c r="AF47" s="663"/>
      <c r="AG47" s="659"/>
      <c r="AH47" s="565"/>
      <c r="AI47" s="663"/>
      <c r="AJ47" s="659"/>
      <c r="AK47" s="565"/>
      <c r="AL47" s="663"/>
      <c r="AM47" s="659"/>
      <c r="AN47" s="565"/>
      <c r="AO47" s="659"/>
      <c r="AP47" s="659"/>
      <c r="AQ47" s="565"/>
      <c r="AR47" s="561"/>
      <c r="AS47" s="561"/>
      <c r="AT47" s="565"/>
      <c r="AU47" s="638"/>
      <c r="AV47" s="638"/>
      <c r="AW47" s="633"/>
      <c r="AX47" s="633"/>
    </row>
    <row r="48" spans="1:50" s="660" customFormat="1" ht="18.75" customHeight="1" x14ac:dyDescent="0.3">
      <c r="A48" s="509" t="s">
        <v>432</v>
      </c>
      <c r="B48" s="663"/>
      <c r="C48" s="659"/>
      <c r="D48" s="659"/>
      <c r="E48" s="663">
        <v>0</v>
      </c>
      <c r="F48" s="659">
        <v>3496.1239999999998</v>
      </c>
      <c r="G48" s="565" t="str">
        <f>IF(E48=0, "    ---- ", IF(ABS(ROUND(100/E48*F48-100,1))&lt;999,ROUND(100/E48*F48-100,1),IF(ROUND(100/E48*F48-100,1)&gt;999,999,-999)))</f>
        <v xml:space="preserve">    ---- </v>
      </c>
      <c r="H48" s="663">
        <v>10.63</v>
      </c>
      <c r="I48" s="664">
        <v>5.1189999999999998</v>
      </c>
      <c r="J48" s="565">
        <f>IF(H48=0, "    ---- ", IF(ABS(ROUND(100/H48*I48-100,1))&lt;999,ROUND(100/H48*I48-100,1),IF(ROUND(100/H48*I48-100,1)&gt;999,999,-999)))</f>
        <v>-51.8</v>
      </c>
      <c r="K48" s="663">
        <v>8.3940000000000001</v>
      </c>
      <c r="L48" s="659">
        <v>2.8079999999999998</v>
      </c>
      <c r="M48" s="659">
        <f>IF(K48=0, "    ---- ", IF(ABS(ROUND(100/K48*L48-100,1))&lt;999,ROUND(100/K48*L48-100,1),IF(ROUND(100/K48*L48-100,1)&gt;999,999,-999)))</f>
        <v>-66.5</v>
      </c>
      <c r="N48" s="663"/>
      <c r="O48" s="659"/>
      <c r="P48" s="565"/>
      <c r="Q48" s="663"/>
      <c r="R48" s="659"/>
      <c r="S48" s="565"/>
      <c r="T48" s="663"/>
      <c r="U48" s="664"/>
      <c r="V48" s="565"/>
      <c r="W48" s="663"/>
      <c r="X48" s="664"/>
      <c r="Y48" s="565"/>
      <c r="Z48" s="663"/>
      <c r="AA48" s="659"/>
      <c r="AB48" s="565"/>
      <c r="AC48" s="663"/>
      <c r="AD48" s="659"/>
      <c r="AE48" s="565"/>
      <c r="AF48" s="663"/>
      <c r="AG48" s="659"/>
      <c r="AH48" s="565"/>
      <c r="AI48" s="663">
        <v>1.9830000000000001</v>
      </c>
      <c r="AJ48" s="659">
        <v>8.5120000000000005</v>
      </c>
      <c r="AK48" s="565">
        <f>IF(AI48=0, "    ---- ", IF(ABS(ROUND(100/AI48*AJ48-100,1))&lt;999,ROUND(100/AI48*AJ48-100,1),IF(ROUND(100/AI48*AJ48-100,1)&gt;999,999,-999)))</f>
        <v>329.2</v>
      </c>
      <c r="AL48" s="663">
        <v>-4</v>
      </c>
      <c r="AM48" s="659">
        <v>-4.5</v>
      </c>
      <c r="AN48" s="565">
        <f>IF(AL48=0, "    ---- ", IF(ABS(ROUND(100/AL48*AM48-100,1))&lt;999,ROUND(100/AL48*AM48-100,1),IF(ROUND(100/AL48*AM48-100,1)&gt;999,999,-999)))</f>
        <v>12.5</v>
      </c>
      <c r="AO48" s="659">
        <f t="shared" si="6"/>
        <v>17.007000000000001</v>
      </c>
      <c r="AP48" s="659">
        <f t="shared" si="6"/>
        <v>3508.0630000000001</v>
      </c>
      <c r="AQ48" s="565">
        <f t="shared" si="9"/>
        <v>999</v>
      </c>
      <c r="AR48" s="659">
        <f t="shared" si="7"/>
        <v>17.007000000000001</v>
      </c>
      <c r="AS48" s="659">
        <f t="shared" si="7"/>
        <v>3508.0630000000001</v>
      </c>
      <c r="AT48" s="565">
        <f t="shared" si="10"/>
        <v>999</v>
      </c>
      <c r="AU48" s="638"/>
      <c r="AV48" s="638"/>
      <c r="AW48" s="633"/>
      <c r="AX48" s="633"/>
    </row>
    <row r="49" spans="1:50" s="660" customFormat="1" ht="18.75" customHeight="1" x14ac:dyDescent="0.3">
      <c r="A49" s="509" t="s">
        <v>433</v>
      </c>
      <c r="B49" s="663"/>
      <c r="C49" s="659"/>
      <c r="D49" s="659"/>
      <c r="E49" s="663"/>
      <c r="F49" s="659"/>
      <c r="G49" s="565"/>
      <c r="H49" s="663"/>
      <c r="I49" s="664"/>
      <c r="J49" s="565"/>
      <c r="K49" s="663"/>
      <c r="L49" s="659"/>
      <c r="M49" s="659"/>
      <c r="N49" s="663"/>
      <c r="O49" s="659"/>
      <c r="P49" s="565"/>
      <c r="Q49" s="663"/>
      <c r="R49" s="659"/>
      <c r="S49" s="565"/>
      <c r="T49" s="663"/>
      <c r="U49" s="664"/>
      <c r="V49" s="565"/>
      <c r="W49" s="663"/>
      <c r="X49" s="664"/>
      <c r="Y49" s="565"/>
      <c r="Z49" s="663"/>
      <c r="AA49" s="659"/>
      <c r="AB49" s="565"/>
      <c r="AC49" s="663"/>
      <c r="AD49" s="659"/>
      <c r="AE49" s="565"/>
      <c r="AF49" s="663"/>
      <c r="AG49" s="659"/>
      <c r="AH49" s="565"/>
      <c r="AI49" s="663"/>
      <c r="AJ49" s="659"/>
      <c r="AK49" s="565"/>
      <c r="AL49" s="663"/>
      <c r="AM49" s="659"/>
      <c r="AN49" s="565"/>
      <c r="AO49" s="659">
        <f t="shared" si="6"/>
        <v>0</v>
      </c>
      <c r="AP49" s="659">
        <f t="shared" si="6"/>
        <v>0</v>
      </c>
      <c r="AQ49" s="565" t="str">
        <f t="shared" si="9"/>
        <v xml:space="preserve">    ---- </v>
      </c>
      <c r="AR49" s="561">
        <f t="shared" si="7"/>
        <v>0</v>
      </c>
      <c r="AS49" s="561">
        <f t="shared" si="7"/>
        <v>0</v>
      </c>
      <c r="AT49" s="565" t="str">
        <f t="shared" si="10"/>
        <v xml:space="preserve">    ---- </v>
      </c>
      <c r="AU49" s="638"/>
      <c r="AV49" s="638"/>
      <c r="AW49" s="633"/>
      <c r="AX49" s="633"/>
    </row>
    <row r="50" spans="1:50" s="660" customFormat="1" ht="18.75" customHeight="1" x14ac:dyDescent="0.3">
      <c r="A50" s="509" t="s">
        <v>434</v>
      </c>
      <c r="B50" s="663">
        <v>-3.4290000000000003</v>
      </c>
      <c r="C50" s="659">
        <v>13.385999999999999</v>
      </c>
      <c r="D50" s="659">
        <f>IF(B50=0, "    ---- ", IF(ABS(ROUND(100/B50*C50-100,1))&lt;999,ROUND(100/B50*C50-100,1),IF(ROUND(100/B50*C50-100,1)&gt;999,999,-999)))</f>
        <v>-490.4</v>
      </c>
      <c r="E50" s="663">
        <v>139.584</v>
      </c>
      <c r="F50" s="659">
        <v>131.19</v>
      </c>
      <c r="G50" s="565">
        <f>IF(E50=0, "    ---- ", IF(ABS(ROUND(100/E50*F50-100,1))&lt;999,ROUND(100/E50*F50-100,1),IF(ROUND(100/E50*F50-100,1)&gt;999,999,-999)))</f>
        <v>-6</v>
      </c>
      <c r="H50" s="663">
        <v>-16.024999999999999</v>
      </c>
      <c r="I50" s="664">
        <v>1.6E-2</v>
      </c>
      <c r="J50" s="565">
        <f>IF(H50=0, "    ---- ", IF(ABS(ROUND(100/H50*I50-100,1))&lt;999,ROUND(100/H50*I50-100,1),IF(ROUND(100/H50*I50-100,1)&gt;999,999,-999)))</f>
        <v>-100.1</v>
      </c>
      <c r="K50" s="663">
        <v>-67.188000000000002</v>
      </c>
      <c r="L50" s="659">
        <v>-39.768000000000001</v>
      </c>
      <c r="M50" s="659">
        <f>IF(K50=0, "    ---- ", IF(ABS(ROUND(100/K50*L50-100,1))&lt;999,ROUND(100/K50*L50-100,1),IF(ROUND(100/K50*L50-100,1)&gt;999,999,-999)))</f>
        <v>-40.799999999999997</v>
      </c>
      <c r="N50" s="663">
        <v>1</v>
      </c>
      <c r="O50" s="659"/>
      <c r="P50" s="565">
        <f>IF(N50=0, "    ---- ", IF(ABS(ROUND(100/N50*O50-100,1))&lt;999,ROUND(100/N50*O50-100,1),IF(ROUND(100/N50*O50-100,1)&gt;999,999,-999)))</f>
        <v>-100</v>
      </c>
      <c r="Q50" s="663"/>
      <c r="R50" s="659"/>
      <c r="S50" s="565"/>
      <c r="T50" s="663">
        <v>-21</v>
      </c>
      <c r="U50" s="664">
        <v>-26</v>
      </c>
      <c r="V50" s="565">
        <f>IF(T50=0, "    ---- ", IF(ABS(ROUND(100/T50*U50-100,1))&lt;999,ROUND(100/T50*U50-100,1),IF(ROUND(100/T50*U50-100,1)&gt;999,999,-999)))</f>
        <v>23.8</v>
      </c>
      <c r="W50" s="663">
        <v>124</v>
      </c>
      <c r="X50" s="664"/>
      <c r="Y50" s="565">
        <f>IF(W50=0, "    ---- ", IF(ABS(ROUND(100/W50*X50-100,1))&lt;999,ROUND(100/W50*X50-100,1),IF(ROUND(100/W50*X50-100,1)&gt;999,999,-999)))</f>
        <v>-100</v>
      </c>
      <c r="Z50" s="663"/>
      <c r="AA50" s="659"/>
      <c r="AB50" s="565"/>
      <c r="AC50" s="663"/>
      <c r="AD50" s="659"/>
      <c r="AE50" s="565"/>
      <c r="AF50" s="663"/>
      <c r="AG50" s="659"/>
      <c r="AH50" s="565"/>
      <c r="AI50" s="663">
        <v>2.8719999999999999</v>
      </c>
      <c r="AJ50" s="659">
        <f>-24.698+47.154</f>
        <v>22.456000000000003</v>
      </c>
      <c r="AK50" s="565">
        <f>IF(AI50=0, "    ---- ", IF(ABS(ROUND(100/AI50*AJ50-100,1))&lt;999,ROUND(100/AI50*AJ50-100,1),IF(ROUND(100/AI50*AJ50-100,1)&gt;999,999,-999)))</f>
        <v>681.9</v>
      </c>
      <c r="AL50" s="663">
        <v>173</v>
      </c>
      <c r="AM50" s="659">
        <v>203.4</v>
      </c>
      <c r="AN50" s="565">
        <f>IF(AL50=0, "    ---- ", IF(ABS(ROUND(100/AL50*AM50-100,1))&lt;999,ROUND(100/AL50*AM50-100,1),IF(ROUND(100/AL50*AM50-100,1)&gt;999,999,-999)))</f>
        <v>17.600000000000001</v>
      </c>
      <c r="AO50" s="659">
        <f t="shared" si="6"/>
        <v>331.81400000000002</v>
      </c>
      <c r="AP50" s="659">
        <f t="shared" si="6"/>
        <v>304.68</v>
      </c>
      <c r="AQ50" s="565">
        <f t="shared" si="9"/>
        <v>-8.1999999999999993</v>
      </c>
      <c r="AR50" s="659">
        <f t="shared" si="7"/>
        <v>332.81400000000002</v>
      </c>
      <c r="AS50" s="659">
        <f t="shared" si="7"/>
        <v>304.68</v>
      </c>
      <c r="AT50" s="565">
        <f t="shared" si="10"/>
        <v>-8.5</v>
      </c>
      <c r="AU50" s="638"/>
      <c r="AV50" s="638"/>
      <c r="AW50" s="633"/>
      <c r="AX50" s="633"/>
    </row>
    <row r="51" spans="1:50" s="660" customFormat="1" ht="18.75" customHeight="1" x14ac:dyDescent="0.3">
      <c r="A51" s="509" t="s">
        <v>435</v>
      </c>
      <c r="B51" s="663"/>
      <c r="C51" s="659"/>
      <c r="D51" s="659"/>
      <c r="E51" s="663"/>
      <c r="F51" s="659"/>
      <c r="G51" s="565"/>
      <c r="H51" s="663"/>
      <c r="I51" s="664"/>
      <c r="J51" s="565"/>
      <c r="K51" s="663"/>
      <c r="L51" s="659"/>
      <c r="M51" s="659"/>
      <c r="N51" s="663"/>
      <c r="O51" s="659"/>
      <c r="P51" s="565"/>
      <c r="Q51" s="663"/>
      <c r="R51" s="659"/>
      <c r="S51" s="565"/>
      <c r="T51" s="663"/>
      <c r="U51" s="664"/>
      <c r="V51" s="565"/>
      <c r="W51" s="663"/>
      <c r="X51" s="664"/>
      <c r="Y51" s="565"/>
      <c r="Z51" s="663"/>
      <c r="AA51" s="659"/>
      <c r="AB51" s="565"/>
      <c r="AC51" s="663"/>
      <c r="AD51" s="659"/>
      <c r="AE51" s="565"/>
      <c r="AF51" s="663"/>
      <c r="AG51" s="659"/>
      <c r="AH51" s="565"/>
      <c r="AI51" s="663"/>
      <c r="AJ51" s="659"/>
      <c r="AK51" s="565"/>
      <c r="AL51" s="663"/>
      <c r="AM51" s="659"/>
      <c r="AN51" s="565"/>
      <c r="AO51" s="659">
        <f t="shared" si="6"/>
        <v>0</v>
      </c>
      <c r="AP51" s="659">
        <f t="shared" si="6"/>
        <v>0</v>
      </c>
      <c r="AQ51" s="565" t="str">
        <f t="shared" si="9"/>
        <v xml:space="preserve">    ---- </v>
      </c>
      <c r="AR51" s="659">
        <f t="shared" si="7"/>
        <v>0</v>
      </c>
      <c r="AS51" s="659">
        <f t="shared" si="7"/>
        <v>0</v>
      </c>
      <c r="AT51" s="565" t="str">
        <f t="shared" si="10"/>
        <v xml:space="preserve">    ---- </v>
      </c>
      <c r="AU51" s="638"/>
      <c r="AV51" s="638"/>
      <c r="AW51" s="633"/>
      <c r="AX51" s="633"/>
    </row>
    <row r="52" spans="1:50" s="660" customFormat="1" ht="18.75" customHeight="1" x14ac:dyDescent="0.3">
      <c r="A52" s="509" t="s">
        <v>436</v>
      </c>
      <c r="B52" s="663"/>
      <c r="C52" s="659"/>
      <c r="D52" s="659"/>
      <c r="E52" s="663"/>
      <c r="F52" s="659"/>
      <c r="G52" s="565"/>
      <c r="H52" s="663"/>
      <c r="I52" s="664"/>
      <c r="J52" s="565"/>
      <c r="K52" s="663"/>
      <c r="L52" s="659"/>
      <c r="M52" s="659"/>
      <c r="N52" s="663"/>
      <c r="O52" s="659"/>
      <c r="P52" s="565"/>
      <c r="Q52" s="663"/>
      <c r="R52" s="659"/>
      <c r="S52" s="565"/>
      <c r="T52" s="663"/>
      <c r="U52" s="664"/>
      <c r="V52" s="565"/>
      <c r="W52" s="663"/>
      <c r="X52" s="664"/>
      <c r="Y52" s="565"/>
      <c r="Z52" s="663"/>
      <c r="AA52" s="659"/>
      <c r="AB52" s="565"/>
      <c r="AC52" s="663"/>
      <c r="AD52" s="659"/>
      <c r="AE52" s="565"/>
      <c r="AF52" s="663"/>
      <c r="AG52" s="659"/>
      <c r="AH52" s="565"/>
      <c r="AI52" s="663"/>
      <c r="AJ52" s="659"/>
      <c r="AK52" s="565"/>
      <c r="AL52" s="663"/>
      <c r="AM52" s="659"/>
      <c r="AN52" s="565"/>
      <c r="AO52" s="659">
        <f t="shared" si="6"/>
        <v>0</v>
      </c>
      <c r="AP52" s="659">
        <f t="shared" si="6"/>
        <v>0</v>
      </c>
      <c r="AQ52" s="565" t="str">
        <f t="shared" si="9"/>
        <v xml:space="preserve">    ---- </v>
      </c>
      <c r="AR52" s="561">
        <f t="shared" si="7"/>
        <v>0</v>
      </c>
      <c r="AS52" s="561">
        <f t="shared" si="7"/>
        <v>0</v>
      </c>
      <c r="AT52" s="565" t="str">
        <f t="shared" si="10"/>
        <v xml:space="preserve">    ---- </v>
      </c>
      <c r="AU52" s="638"/>
      <c r="AV52" s="638"/>
      <c r="AW52" s="633"/>
      <c r="AX52" s="633"/>
    </row>
    <row r="53" spans="1:50" s="660" customFormat="1" ht="18.75" customHeight="1" x14ac:dyDescent="0.3">
      <c r="A53" s="509" t="s">
        <v>437</v>
      </c>
      <c r="B53" s="663">
        <v>-0.38500000000000001</v>
      </c>
      <c r="C53" s="659">
        <v>-0.33700000000000002</v>
      </c>
      <c r="D53" s="659">
        <f>IF(B53=0, "    ---- ", IF(ABS(ROUND(100/B53*C53-100,1))&lt;999,ROUND(100/B53*C53-100,1),IF(ROUND(100/B53*C53-100,1)&gt;999,999,-999)))</f>
        <v>-12.5</v>
      </c>
      <c r="E53" s="663">
        <v>-0.36599999999999999</v>
      </c>
      <c r="F53" s="659">
        <v>-0.66</v>
      </c>
      <c r="G53" s="565">
        <f>IF(E53=0, "    ---- ", IF(ABS(ROUND(100/E53*F53-100,1))&lt;999,ROUND(100/E53*F53-100,1),IF(ROUND(100/E53*F53-100,1)&gt;999,999,-999)))</f>
        <v>80.3</v>
      </c>
      <c r="H53" s="663">
        <v>0.224</v>
      </c>
      <c r="I53" s="664">
        <v>4.7140000000000004</v>
      </c>
      <c r="J53" s="565">
        <f>IF(H53=0, "    ---- ", IF(ABS(ROUND(100/H53*I53-100,1))&lt;999,ROUND(100/H53*I53-100,1),IF(ROUND(100/H53*I53-100,1)&gt;999,999,-999)))</f>
        <v>999</v>
      </c>
      <c r="K53" s="663">
        <v>-2.7250000000000001</v>
      </c>
      <c r="L53" s="659">
        <v>-1.6719999999999999</v>
      </c>
      <c r="M53" s="659">
        <f>IF(K53=0, "    ---- ", IF(ABS(ROUND(100/K53*L53-100,1))&lt;999,ROUND(100/K53*L53-100,1),IF(ROUND(100/K53*L53-100,1)&gt;999,999,-999)))</f>
        <v>-38.6</v>
      </c>
      <c r="N53" s="663"/>
      <c r="O53" s="659"/>
      <c r="P53" s="565"/>
      <c r="Q53" s="663"/>
      <c r="R53" s="659"/>
      <c r="S53" s="565"/>
      <c r="T53" s="663"/>
      <c r="U53" s="664"/>
      <c r="V53" s="565"/>
      <c r="W53" s="663">
        <v>-2</v>
      </c>
      <c r="X53" s="664"/>
      <c r="Y53" s="565">
        <f>IF(W53=0, "    ---- ", IF(ABS(ROUND(100/W53*X53-100,1))&lt;999,ROUND(100/W53*X53-100,1),IF(ROUND(100/W53*X53-100,1)&gt;999,999,-999)))</f>
        <v>-100</v>
      </c>
      <c r="Z53" s="663"/>
      <c r="AA53" s="659"/>
      <c r="AB53" s="565"/>
      <c r="AC53" s="663"/>
      <c r="AD53" s="659"/>
      <c r="AE53" s="565"/>
      <c r="AF53" s="663"/>
      <c r="AG53" s="659"/>
      <c r="AH53" s="565"/>
      <c r="AI53" s="663">
        <v>-0.01</v>
      </c>
      <c r="AJ53" s="659">
        <f>-0.002-0.402</f>
        <v>-0.40400000000000003</v>
      </c>
      <c r="AK53" s="565">
        <f>IF(AI53=0, "    ---- ", IF(ABS(ROUND(100/AI53*AJ53-100,1))&lt;999,ROUND(100/AI53*AJ53-100,1),IF(ROUND(100/AI53*AJ53-100,1)&gt;999,999,-999)))</f>
        <v>999</v>
      </c>
      <c r="AL53" s="663">
        <v>-3</v>
      </c>
      <c r="AM53" s="659"/>
      <c r="AN53" s="565">
        <f>IF(AL53=0, "    ---- ", IF(ABS(ROUND(100/AL53*AM53-100,1))&lt;999,ROUND(100/AL53*AM53-100,1),IF(ROUND(100/AL53*AM53-100,1)&gt;999,999,-999)))</f>
        <v>-100</v>
      </c>
      <c r="AO53" s="659">
        <f t="shared" si="6"/>
        <v>-8.2620000000000005</v>
      </c>
      <c r="AP53" s="659">
        <f t="shared" si="6"/>
        <v>1.6410000000000009</v>
      </c>
      <c r="AQ53" s="565">
        <f t="shared" si="9"/>
        <v>-119.9</v>
      </c>
      <c r="AR53" s="561">
        <f t="shared" si="7"/>
        <v>-8.2620000000000005</v>
      </c>
      <c r="AS53" s="561">
        <f t="shared" si="7"/>
        <v>1.6410000000000009</v>
      </c>
      <c r="AT53" s="565">
        <f t="shared" si="10"/>
        <v>-119.9</v>
      </c>
      <c r="AU53" s="638"/>
      <c r="AV53" s="638"/>
      <c r="AW53" s="633"/>
      <c r="AX53" s="633"/>
    </row>
    <row r="54" spans="1:50" s="660" customFormat="1" ht="18.75" customHeight="1" x14ac:dyDescent="0.3">
      <c r="A54" s="509" t="s">
        <v>438</v>
      </c>
      <c r="B54" s="663"/>
      <c r="C54" s="659"/>
      <c r="D54" s="659"/>
      <c r="E54" s="663"/>
      <c r="F54" s="659"/>
      <c r="G54" s="565"/>
      <c r="H54" s="663"/>
      <c r="I54" s="664"/>
      <c r="J54" s="565"/>
      <c r="K54" s="663"/>
      <c r="L54" s="659"/>
      <c r="M54" s="659"/>
      <c r="N54" s="663"/>
      <c r="O54" s="659"/>
      <c r="P54" s="565"/>
      <c r="Q54" s="663"/>
      <c r="R54" s="659"/>
      <c r="S54" s="565"/>
      <c r="T54" s="663"/>
      <c r="U54" s="664"/>
      <c r="V54" s="565"/>
      <c r="W54" s="663"/>
      <c r="X54" s="664"/>
      <c r="Y54" s="565"/>
      <c r="Z54" s="663"/>
      <c r="AA54" s="659"/>
      <c r="AB54" s="565"/>
      <c r="AC54" s="663"/>
      <c r="AD54" s="659"/>
      <c r="AE54" s="565"/>
      <c r="AF54" s="663"/>
      <c r="AG54" s="659"/>
      <c r="AH54" s="565"/>
      <c r="AI54" s="663"/>
      <c r="AJ54" s="659"/>
      <c r="AK54" s="565"/>
      <c r="AL54" s="663"/>
      <c r="AM54" s="659"/>
      <c r="AN54" s="565"/>
      <c r="AO54" s="659">
        <f t="shared" si="6"/>
        <v>0</v>
      </c>
      <c r="AP54" s="659">
        <f t="shared" si="6"/>
        <v>0</v>
      </c>
      <c r="AQ54" s="565" t="str">
        <f t="shared" si="9"/>
        <v xml:space="preserve">    ---- </v>
      </c>
      <c r="AR54" s="561">
        <f t="shared" si="7"/>
        <v>0</v>
      </c>
      <c r="AS54" s="561">
        <f t="shared" si="7"/>
        <v>0</v>
      </c>
      <c r="AT54" s="565" t="str">
        <f t="shared" si="10"/>
        <v xml:space="preserve">    ---- </v>
      </c>
      <c r="AU54" s="638"/>
      <c r="AV54" s="638"/>
      <c r="AW54" s="633"/>
      <c r="AX54" s="633"/>
    </row>
    <row r="55" spans="1:50" s="660" customFormat="1" ht="18.75" customHeight="1" x14ac:dyDescent="0.3">
      <c r="A55" s="509" t="s">
        <v>439</v>
      </c>
      <c r="B55" s="663"/>
      <c r="C55" s="659"/>
      <c r="D55" s="659"/>
      <c r="E55" s="663"/>
      <c r="F55" s="659"/>
      <c r="G55" s="565"/>
      <c r="H55" s="663">
        <v>-8.3000000000000004E-2</v>
      </c>
      <c r="I55" s="664">
        <v>3.4000000000000002E-2</v>
      </c>
      <c r="J55" s="565">
        <f>IF(H55=0, "    ---- ", IF(ABS(ROUND(100/H55*I55-100,1))&lt;999,ROUND(100/H55*I55-100,1),IF(ROUND(100/H55*I55-100,1)&gt;999,999,-999)))</f>
        <v>-141</v>
      </c>
      <c r="K55" s="663"/>
      <c r="L55" s="659"/>
      <c r="M55" s="659"/>
      <c r="N55" s="663"/>
      <c r="O55" s="659"/>
      <c r="P55" s="565"/>
      <c r="Q55" s="663"/>
      <c r="R55" s="659"/>
      <c r="S55" s="565"/>
      <c r="T55" s="663"/>
      <c r="U55" s="664"/>
      <c r="V55" s="565"/>
      <c r="W55" s="663">
        <v>-10</v>
      </c>
      <c r="X55" s="664"/>
      <c r="Y55" s="565">
        <f>IF(W55=0, "    ---- ", IF(ABS(ROUND(100/W55*X55-100,1))&lt;999,ROUND(100/W55*X55-100,1),IF(ROUND(100/W55*X55-100,1)&gt;999,999,-999)))</f>
        <v>-100</v>
      </c>
      <c r="Z55" s="663"/>
      <c r="AA55" s="659"/>
      <c r="AB55" s="565"/>
      <c r="AC55" s="663"/>
      <c r="AD55" s="659"/>
      <c r="AE55" s="565"/>
      <c r="AF55" s="663"/>
      <c r="AG55" s="659"/>
      <c r="AH55" s="565"/>
      <c r="AI55" s="663"/>
      <c r="AJ55" s="659"/>
      <c r="AK55" s="565"/>
      <c r="AL55" s="663"/>
      <c r="AM55" s="659"/>
      <c r="AN55" s="565"/>
      <c r="AO55" s="659">
        <f t="shared" si="6"/>
        <v>-10.083</v>
      </c>
      <c r="AP55" s="659">
        <f t="shared" si="6"/>
        <v>3.4000000000000002E-2</v>
      </c>
      <c r="AQ55" s="565">
        <f t="shared" si="9"/>
        <v>-100.3</v>
      </c>
      <c r="AR55" s="561">
        <f t="shared" si="7"/>
        <v>-10.083</v>
      </c>
      <c r="AS55" s="561">
        <f t="shared" si="7"/>
        <v>3.4000000000000002E-2</v>
      </c>
      <c r="AT55" s="565">
        <f t="shared" si="10"/>
        <v>-100.3</v>
      </c>
      <c r="AU55" s="638"/>
      <c r="AV55" s="638"/>
      <c r="AW55" s="633"/>
      <c r="AX55" s="633"/>
    </row>
    <row r="56" spans="1:50" s="662" customFormat="1" ht="18.75" customHeight="1" x14ac:dyDescent="0.3">
      <c r="A56" s="507" t="s">
        <v>440</v>
      </c>
      <c r="B56" s="665">
        <v>-3.8140000000000001</v>
      </c>
      <c r="C56" s="657">
        <f>SUM(C48:C53)+C55</f>
        <v>13.048999999999999</v>
      </c>
      <c r="D56" s="657">
        <f>IF(B56=0, "    ---- ", IF(ABS(ROUND(100/B56*C56-100,1))&lt;999,ROUND(100/B56*C56-100,1),IF(ROUND(100/B56*C56-100,1)&gt;999,999,-999)))</f>
        <v>-442.1</v>
      </c>
      <c r="E56" s="665">
        <v>139.21799999999999</v>
      </c>
      <c r="F56" s="657">
        <f>SUM(F48:F53)+F55</f>
        <v>3626.654</v>
      </c>
      <c r="G56" s="658">
        <f>IF(E56=0, "    ---- ", IF(ABS(ROUND(100/E56*F56-100,1))&lt;999,ROUND(100/E56*F56-100,1),IF(ROUND(100/E56*F56-100,1)&gt;999,999,-999)))</f>
        <v>999</v>
      </c>
      <c r="H56" s="665">
        <v>-5.2539999999999978</v>
      </c>
      <c r="I56" s="666">
        <f>SUM(I48:I53)+I55</f>
        <v>9.8830000000000009</v>
      </c>
      <c r="J56" s="658">
        <f>IF(H56=0, "    ---- ", IF(ABS(ROUND(100/H56*I56-100,1))&lt;999,ROUND(100/H56*I56-100,1),IF(ROUND(100/H56*I56-100,1)&gt;999,999,-999)))</f>
        <v>-288.10000000000002</v>
      </c>
      <c r="K56" s="665">
        <v>-61.519000000000005</v>
      </c>
      <c r="L56" s="657">
        <f>SUM(L48:L53)+L55</f>
        <v>-38.631999999999998</v>
      </c>
      <c r="M56" s="657">
        <f>IF(K56=0, "    ---- ", IF(ABS(ROUND(100/K56*L56-100,1))&lt;999,ROUND(100/K56*L56-100,1),IF(ROUND(100/K56*L56-100,1)&gt;999,999,-999)))</f>
        <v>-37.200000000000003</v>
      </c>
      <c r="N56" s="665">
        <v>1</v>
      </c>
      <c r="O56" s="657">
        <f>SUM(O48:O53)+O55</f>
        <v>0</v>
      </c>
      <c r="P56" s="565">
        <f>IF(N56=0, "    ---- ", IF(ABS(ROUND(100/N56*O56-100,1))&lt;999,ROUND(100/N56*O56-100,1),IF(ROUND(100/N56*O56-100,1)&gt;999,999,-999)))</f>
        <v>-100</v>
      </c>
      <c r="Q56" s="665"/>
      <c r="R56" s="657"/>
      <c r="S56" s="658"/>
      <c r="T56" s="665">
        <v>-21</v>
      </c>
      <c r="U56" s="666">
        <f>SUM(U48:U53)+U55</f>
        <v>-26</v>
      </c>
      <c r="V56" s="658">
        <f>IF(T56=0, "    ---- ", IF(ABS(ROUND(100/T56*U56-100,1))&lt;999,ROUND(100/T56*U56-100,1),IF(ROUND(100/T56*U56-100,1)&gt;999,999,-999)))</f>
        <v>23.8</v>
      </c>
      <c r="W56" s="665">
        <v>112</v>
      </c>
      <c r="X56" s="666">
        <f>SUM(X48:X53)+X55</f>
        <v>0</v>
      </c>
      <c r="Y56" s="658">
        <f>IF(W56=0, "    ---- ", IF(ABS(ROUND(100/W56*X56-100,1))&lt;999,ROUND(100/W56*X56-100,1),IF(ROUND(100/W56*X56-100,1)&gt;999,999,-999)))</f>
        <v>-100</v>
      </c>
      <c r="Z56" s="665"/>
      <c r="AA56" s="657"/>
      <c r="AB56" s="658"/>
      <c r="AC56" s="665"/>
      <c r="AD56" s="657"/>
      <c r="AE56" s="658"/>
      <c r="AF56" s="665"/>
      <c r="AG56" s="657"/>
      <c r="AH56" s="658"/>
      <c r="AI56" s="665">
        <v>4.8450000000000006</v>
      </c>
      <c r="AJ56" s="657">
        <f>SUM(AJ48:AJ53)+AJ55</f>
        <v>30.564000000000004</v>
      </c>
      <c r="AK56" s="658">
        <f>IF(AI56=0, "    ---- ", IF(ABS(ROUND(100/AI56*AJ56-100,1))&lt;999,ROUND(100/AI56*AJ56-100,1),IF(ROUND(100/AI56*AJ56-100,1)&gt;999,999,-999)))</f>
        <v>530.79999999999995</v>
      </c>
      <c r="AL56" s="665">
        <v>166</v>
      </c>
      <c r="AM56" s="657">
        <f>SUM(AM48:AM53)+AM55</f>
        <v>198.9</v>
      </c>
      <c r="AN56" s="658">
        <f>IF(AL56=0, "    ---- ", IF(ABS(ROUND(100/AL56*AM56-100,1))&lt;999,ROUND(100/AL56*AM56-100,1),IF(ROUND(100/AL56*AM56-100,1)&gt;999,999,-999)))</f>
        <v>19.8</v>
      </c>
      <c r="AO56" s="657">
        <f t="shared" si="6"/>
        <v>330.476</v>
      </c>
      <c r="AP56" s="657">
        <f t="shared" si="6"/>
        <v>3814.4179999999997</v>
      </c>
      <c r="AQ56" s="658">
        <f t="shared" si="9"/>
        <v>999</v>
      </c>
      <c r="AR56" s="657">
        <f t="shared" si="7"/>
        <v>331.476</v>
      </c>
      <c r="AS56" s="657">
        <f t="shared" si="7"/>
        <v>3814.4179999999997</v>
      </c>
      <c r="AT56" s="658">
        <f t="shared" si="10"/>
        <v>999</v>
      </c>
      <c r="AU56" s="636"/>
      <c r="AV56" s="636"/>
      <c r="AW56" s="661"/>
      <c r="AX56" s="661"/>
    </row>
    <row r="57" spans="1:50" s="660" customFormat="1" ht="18.75" customHeight="1" x14ac:dyDescent="0.3">
      <c r="A57" s="509" t="s">
        <v>441</v>
      </c>
      <c r="B57" s="663"/>
      <c r="C57" s="659"/>
      <c r="D57" s="659"/>
      <c r="E57" s="663"/>
      <c r="F57" s="659">
        <v>3497.9290000000001</v>
      </c>
      <c r="G57" s="659" t="str">
        <f>IF(E57=0, "    ---- ", IF(ABS(ROUND(100/E57*F57-100,1))&lt;999,ROUND(100/E57*F57-100,1),IF(ROUND(100/E57*F57-100,1)&gt;999,999,-999)))</f>
        <v xml:space="preserve">    ---- </v>
      </c>
      <c r="H57" s="663"/>
      <c r="I57" s="664"/>
      <c r="J57" s="565"/>
      <c r="K57" s="663">
        <v>2.2320000000000002</v>
      </c>
      <c r="L57" s="659">
        <v>2.8079999999999998</v>
      </c>
      <c r="M57" s="659">
        <f>IF(K57=0, "    ---- ", IF(ABS(ROUND(100/K57*L57-100,1))&lt;999,ROUND(100/K57*L57-100,1),IF(ROUND(100/K57*L57-100,1)&gt;999,999,-999)))</f>
        <v>25.8</v>
      </c>
      <c r="N57" s="663"/>
      <c r="O57" s="659"/>
      <c r="P57" s="565"/>
      <c r="Q57" s="663"/>
      <c r="R57" s="659"/>
      <c r="S57" s="565"/>
      <c r="T57" s="663"/>
      <c r="U57" s="664"/>
      <c r="V57" s="565"/>
      <c r="W57" s="663"/>
      <c r="X57" s="664"/>
      <c r="Y57" s="565"/>
      <c r="Z57" s="663"/>
      <c r="AA57" s="659"/>
      <c r="AB57" s="565"/>
      <c r="AC57" s="663"/>
      <c r="AD57" s="659"/>
      <c r="AE57" s="565"/>
      <c r="AF57" s="663"/>
      <c r="AG57" s="659"/>
      <c r="AH57" s="565"/>
      <c r="AI57" s="663"/>
      <c r="AJ57" s="659"/>
      <c r="AK57" s="565"/>
      <c r="AL57" s="663"/>
      <c r="AM57" s="659"/>
      <c r="AN57" s="565"/>
      <c r="AO57" s="659">
        <f t="shared" si="6"/>
        <v>2.2320000000000002</v>
      </c>
      <c r="AP57" s="659">
        <f t="shared" si="6"/>
        <v>3500.7370000000001</v>
      </c>
      <c r="AQ57" s="565">
        <f t="shared" si="9"/>
        <v>999</v>
      </c>
      <c r="AR57" s="561">
        <f t="shared" si="7"/>
        <v>2.2320000000000002</v>
      </c>
      <c r="AS57" s="561">
        <f t="shared" si="7"/>
        <v>3500.7370000000001</v>
      </c>
      <c r="AT57" s="565">
        <f t="shared" si="10"/>
        <v>999</v>
      </c>
      <c r="AU57" s="638"/>
      <c r="AV57" s="638"/>
      <c r="AW57" s="633"/>
      <c r="AX57" s="633"/>
    </row>
    <row r="58" spans="1:50" s="660" customFormat="1" ht="18.75" customHeight="1" x14ac:dyDescent="0.3">
      <c r="A58" s="509" t="s">
        <v>442</v>
      </c>
      <c r="B58" s="663">
        <v>-3.8140000000000018</v>
      </c>
      <c r="C58" s="659">
        <v>13.048999999999999</v>
      </c>
      <c r="D58" s="659">
        <f>IF(B58=0, "    ---- ", IF(ABS(ROUND(100/B58*C58-100,1))&lt;999,ROUND(100/B58*C58-100,1),IF(ROUND(100/B58*C58-100,1)&gt;999,999,-999)))</f>
        <v>-442.1</v>
      </c>
      <c r="E58" s="663">
        <v>139.21799999999999</v>
      </c>
      <c r="F58" s="659">
        <v>129.31899999999999</v>
      </c>
      <c r="G58" s="565">
        <f>IF(E58=0, "    ---- ", IF(ABS(ROUND(100/E58*F58-100,1))&lt;999,ROUND(100/E58*F58-100,1),IF(ROUND(100/E58*F58-100,1)&gt;999,999,-999)))</f>
        <v>-7.1</v>
      </c>
      <c r="H58" s="663">
        <v>-5.2539999999999996</v>
      </c>
      <c r="I58" s="664">
        <v>9.8149999999999995</v>
      </c>
      <c r="J58" s="565">
        <f>IF(H58=0, "    ---- ", IF(ABS(ROUND(100/H58*I58-100,1))&lt;999,ROUND(100/H58*I58-100,1),IF(ROUND(100/H58*I58-100,1)&gt;999,999,-999)))</f>
        <v>-286.8</v>
      </c>
      <c r="K58" s="663">
        <v>-63.75</v>
      </c>
      <c r="L58" s="659">
        <v>-41.44</v>
      </c>
      <c r="M58" s="659">
        <f>IF(K58=0, "    ---- ", IF(ABS(ROUND(100/K58*L58-100,1))&lt;999,ROUND(100/K58*L58-100,1),IF(ROUND(100/K58*L58-100,1)&gt;999,999,-999)))</f>
        <v>-35</v>
      </c>
      <c r="N58" s="663">
        <v>1</v>
      </c>
      <c r="O58" s="659">
        <f>IF(M58=0, "    ---- ", IF(ABS(ROUND(100/M58*N58-100,1))&lt;999,ROUND(100/M58*N58-100,1),IF(ROUND(100/M58*N58-100,1)&gt;999,999,-999)))</f>
        <v>-102.9</v>
      </c>
      <c r="P58" s="565">
        <f>IF(N58=0, "    ---- ", IF(ABS(ROUND(100/N58*O58-100,1))&lt;999,ROUND(100/N58*O58-100,1),IF(ROUND(100/N58*O58-100,1)&gt;999,999,-999)))</f>
        <v>-999</v>
      </c>
      <c r="Q58" s="663"/>
      <c r="R58" s="659"/>
      <c r="S58" s="565"/>
      <c r="T58" s="663">
        <v>-21</v>
      </c>
      <c r="U58" s="664">
        <v>-26</v>
      </c>
      <c r="V58" s="565">
        <f>IF(T58=0, "    ---- ", IF(ABS(ROUND(100/T58*U58-100,1))&lt;999,ROUND(100/T58*U58-100,1),IF(ROUND(100/T58*U58-100,1)&gt;999,999,-999)))</f>
        <v>23.8</v>
      </c>
      <c r="W58" s="663">
        <v>112</v>
      </c>
      <c r="X58" s="664"/>
      <c r="Y58" s="565">
        <f>IF(W58=0, "    ---- ", IF(ABS(ROUND(100/W58*X58-100,1))&lt;999,ROUND(100/W58*X58-100,1),IF(ROUND(100/W58*X58-100,1)&gt;999,999,-999)))</f>
        <v>-100</v>
      </c>
      <c r="Z58" s="663"/>
      <c r="AA58" s="659"/>
      <c r="AB58" s="565"/>
      <c r="AC58" s="663"/>
      <c r="AD58" s="659"/>
      <c r="AE58" s="565"/>
      <c r="AF58" s="663"/>
      <c r="AG58" s="659"/>
      <c r="AH58" s="565"/>
      <c r="AI58" s="663">
        <v>4.8449999999999998</v>
      </c>
      <c r="AJ58" s="659">
        <f>-16.188+46.752</f>
        <v>30.564000000000004</v>
      </c>
      <c r="AK58" s="565">
        <f>IF(AI58=0, "    ---- ", IF(ABS(ROUND(100/AI58*AJ58-100,1))&lt;999,ROUND(100/AI58*AJ58-100,1),IF(ROUND(100/AI58*AJ58-100,1)&gt;999,999,-999)))</f>
        <v>530.79999999999995</v>
      </c>
      <c r="AL58" s="663">
        <v>166</v>
      </c>
      <c r="AM58" s="659">
        <v>198.9</v>
      </c>
      <c r="AN58" s="565">
        <f>IF(AL58=0, "    ---- ", IF(ABS(ROUND(100/AL58*AM58-100,1))&lt;999,ROUND(100/AL58*AM58-100,1),IF(ROUND(100/AL58*AM58-100,1)&gt;999,999,-999)))</f>
        <v>19.8</v>
      </c>
      <c r="AO58" s="659">
        <f t="shared" si="6"/>
        <v>328.245</v>
      </c>
      <c r="AP58" s="659">
        <f t="shared" si="6"/>
        <v>314.20699999999999</v>
      </c>
      <c r="AQ58" s="565">
        <f t="shared" si="9"/>
        <v>-4.3</v>
      </c>
      <c r="AR58" s="561">
        <f t="shared" si="7"/>
        <v>329.245</v>
      </c>
      <c r="AS58" s="561">
        <f t="shared" si="7"/>
        <v>211.30699999999999</v>
      </c>
      <c r="AT58" s="565">
        <f t="shared" si="10"/>
        <v>-35.799999999999997</v>
      </c>
      <c r="AU58" s="638"/>
      <c r="AV58" s="638"/>
      <c r="AW58" s="633"/>
      <c r="AX58" s="633"/>
    </row>
    <row r="59" spans="1:50" s="660" customFormat="1" ht="18.75" customHeight="1" x14ac:dyDescent="0.3">
      <c r="A59" s="667" t="s">
        <v>456</v>
      </c>
      <c r="B59" s="663"/>
      <c r="C59" s="659"/>
      <c r="D59" s="659"/>
      <c r="E59" s="663"/>
      <c r="F59" s="659"/>
      <c r="G59" s="565"/>
      <c r="H59" s="663"/>
      <c r="I59" s="664"/>
      <c r="J59" s="565"/>
      <c r="K59" s="663"/>
      <c r="L59" s="659"/>
      <c r="M59" s="659"/>
      <c r="N59" s="663"/>
      <c r="O59" s="659"/>
      <c r="P59" s="565"/>
      <c r="Q59" s="663"/>
      <c r="R59" s="659"/>
      <c r="S59" s="565"/>
      <c r="T59" s="663"/>
      <c r="U59" s="664"/>
      <c r="V59" s="565"/>
      <c r="W59" s="663"/>
      <c r="X59" s="664"/>
      <c r="Y59" s="565"/>
      <c r="Z59" s="663"/>
      <c r="AA59" s="659"/>
      <c r="AB59" s="565"/>
      <c r="AC59" s="663"/>
      <c r="AD59" s="659"/>
      <c r="AE59" s="565"/>
      <c r="AF59" s="663"/>
      <c r="AG59" s="659"/>
      <c r="AH59" s="565"/>
      <c r="AI59" s="663"/>
      <c r="AJ59" s="659"/>
      <c r="AK59" s="565"/>
      <c r="AL59" s="663"/>
      <c r="AM59" s="659"/>
      <c r="AN59" s="565"/>
      <c r="AO59" s="659"/>
      <c r="AP59" s="659"/>
      <c r="AQ59" s="565"/>
      <c r="AR59" s="561">
        <f t="shared" si="7"/>
        <v>0</v>
      </c>
      <c r="AS59" s="561">
        <f t="shared" si="7"/>
        <v>0</v>
      </c>
      <c r="AT59" s="565" t="str">
        <f t="shared" si="10"/>
        <v xml:space="preserve">    ---- </v>
      </c>
      <c r="AU59" s="638"/>
      <c r="AV59" s="638"/>
      <c r="AW59" s="633"/>
      <c r="AX59" s="633"/>
    </row>
    <row r="60" spans="1:50" s="660" customFormat="1" ht="18.75" customHeight="1" x14ac:dyDescent="0.3">
      <c r="A60" s="668" t="s">
        <v>432</v>
      </c>
      <c r="B60" s="663"/>
      <c r="C60" s="659"/>
      <c r="D60" s="659"/>
      <c r="E60" s="663"/>
      <c r="F60" s="659"/>
      <c r="G60" s="565"/>
      <c r="H60" s="663"/>
      <c r="I60" s="664"/>
      <c r="J60" s="565"/>
      <c r="K60" s="663"/>
      <c r="L60" s="659"/>
      <c r="M60" s="659"/>
      <c r="N60" s="663"/>
      <c r="O60" s="659"/>
      <c r="P60" s="565"/>
      <c r="Q60" s="663"/>
      <c r="R60" s="659"/>
      <c r="S60" s="565"/>
      <c r="T60" s="663"/>
      <c r="U60" s="664"/>
      <c r="V60" s="565"/>
      <c r="W60" s="663"/>
      <c r="X60" s="664"/>
      <c r="Y60" s="565"/>
      <c r="Z60" s="663"/>
      <c r="AA60" s="659"/>
      <c r="AB60" s="565"/>
      <c r="AC60" s="663"/>
      <c r="AD60" s="659"/>
      <c r="AE60" s="565"/>
      <c r="AF60" s="663"/>
      <c r="AG60" s="659"/>
      <c r="AH60" s="565"/>
      <c r="AI60" s="663">
        <v>0.13400000000000001</v>
      </c>
      <c r="AJ60" s="659">
        <v>1.966</v>
      </c>
      <c r="AK60" s="565">
        <f t="shared" ref="AK60:AK70" si="11">IF(AI60=0, "    ---- ", IF(ABS(ROUND(100/AI60*AJ60-100,1))&lt;999,ROUND(100/AI60*AJ60-100,1),IF(ROUND(100/AI60*AJ60-100,1)&gt;999,999,-999)))</f>
        <v>999</v>
      </c>
      <c r="AL60" s="663"/>
      <c r="AM60" s="659"/>
      <c r="AN60" s="565"/>
      <c r="AO60" s="659"/>
      <c r="AP60" s="659"/>
      <c r="AQ60" s="565"/>
      <c r="AR60" s="561">
        <f t="shared" si="7"/>
        <v>0.13400000000000001</v>
      </c>
      <c r="AS60" s="561">
        <f t="shared" si="7"/>
        <v>1.966</v>
      </c>
      <c r="AT60" s="565">
        <f t="shared" si="10"/>
        <v>999</v>
      </c>
      <c r="AU60" s="638"/>
      <c r="AV60" s="638"/>
      <c r="AW60" s="633"/>
      <c r="AX60" s="633"/>
    </row>
    <row r="61" spans="1:50" s="660" customFormat="1" ht="18.75" customHeight="1" x14ac:dyDescent="0.3">
      <c r="A61" s="668" t="s">
        <v>433</v>
      </c>
      <c r="B61" s="663"/>
      <c r="C61" s="659"/>
      <c r="D61" s="659"/>
      <c r="E61" s="663"/>
      <c r="F61" s="659"/>
      <c r="G61" s="565"/>
      <c r="H61" s="663"/>
      <c r="I61" s="664"/>
      <c r="J61" s="565"/>
      <c r="K61" s="663"/>
      <c r="L61" s="659"/>
      <c r="M61" s="659"/>
      <c r="N61" s="663"/>
      <c r="O61" s="659"/>
      <c r="P61" s="565"/>
      <c r="Q61" s="663"/>
      <c r="R61" s="659"/>
      <c r="S61" s="565"/>
      <c r="T61" s="663"/>
      <c r="U61" s="664"/>
      <c r="V61" s="565"/>
      <c r="W61" s="663"/>
      <c r="X61" s="664"/>
      <c r="Y61" s="565"/>
      <c r="Z61" s="663"/>
      <c r="AA61" s="659"/>
      <c r="AB61" s="565"/>
      <c r="AC61" s="663"/>
      <c r="AD61" s="659"/>
      <c r="AE61" s="565"/>
      <c r="AF61" s="663"/>
      <c r="AG61" s="659"/>
      <c r="AH61" s="565"/>
      <c r="AI61" s="663"/>
      <c r="AJ61" s="659">
        <v>-1.966</v>
      </c>
      <c r="AK61" s="565" t="str">
        <f t="shared" si="11"/>
        <v xml:space="preserve">    ---- </v>
      </c>
      <c r="AL61" s="663"/>
      <c r="AM61" s="659"/>
      <c r="AN61" s="565"/>
      <c r="AO61" s="659"/>
      <c r="AP61" s="659"/>
      <c r="AQ61" s="565"/>
      <c r="AR61" s="561">
        <f t="shared" si="7"/>
        <v>0</v>
      </c>
      <c r="AS61" s="561">
        <f t="shared" si="7"/>
        <v>-1.966</v>
      </c>
      <c r="AT61" s="565" t="str">
        <f t="shared" si="10"/>
        <v xml:space="preserve">    ---- </v>
      </c>
      <c r="AU61" s="638"/>
      <c r="AV61" s="638"/>
      <c r="AW61" s="633"/>
      <c r="AX61" s="633"/>
    </row>
    <row r="62" spans="1:50" s="660" customFormat="1" ht="18.75" customHeight="1" x14ac:dyDescent="0.3">
      <c r="A62" s="668" t="s">
        <v>434</v>
      </c>
      <c r="B62" s="663"/>
      <c r="C62" s="659"/>
      <c r="D62" s="659"/>
      <c r="E62" s="663"/>
      <c r="F62" s="659"/>
      <c r="G62" s="565"/>
      <c r="H62" s="663"/>
      <c r="I62" s="664"/>
      <c r="J62" s="565"/>
      <c r="K62" s="663"/>
      <c r="L62" s="659"/>
      <c r="M62" s="659"/>
      <c r="N62" s="663"/>
      <c r="O62" s="659"/>
      <c r="P62" s="565"/>
      <c r="Q62" s="663"/>
      <c r="R62" s="659"/>
      <c r="S62" s="565"/>
      <c r="T62" s="663"/>
      <c r="U62" s="664"/>
      <c r="V62" s="565"/>
      <c r="W62" s="663"/>
      <c r="X62" s="664"/>
      <c r="Y62" s="565"/>
      <c r="Z62" s="663"/>
      <c r="AA62" s="659"/>
      <c r="AB62" s="565"/>
      <c r="AC62" s="663"/>
      <c r="AD62" s="659"/>
      <c r="AE62" s="565"/>
      <c r="AF62" s="663"/>
      <c r="AG62" s="659"/>
      <c r="AH62" s="565"/>
      <c r="AI62" s="663">
        <v>-7.0620000000000003</v>
      </c>
      <c r="AJ62" s="659">
        <v>-17.632999999999999</v>
      </c>
      <c r="AK62" s="565">
        <f t="shared" si="11"/>
        <v>149.69999999999999</v>
      </c>
      <c r="AL62" s="663"/>
      <c r="AM62" s="659"/>
      <c r="AN62" s="565"/>
      <c r="AO62" s="659"/>
      <c r="AP62" s="659"/>
      <c r="AQ62" s="565"/>
      <c r="AR62" s="561">
        <f t="shared" si="7"/>
        <v>-7.0620000000000003</v>
      </c>
      <c r="AS62" s="561">
        <f t="shared" si="7"/>
        <v>-17.632999999999999</v>
      </c>
      <c r="AT62" s="565">
        <f t="shared" si="10"/>
        <v>149.69999999999999</v>
      </c>
      <c r="AU62" s="638"/>
      <c r="AV62" s="638"/>
      <c r="AW62" s="633"/>
      <c r="AX62" s="633"/>
    </row>
    <row r="63" spans="1:50" s="660" customFormat="1" ht="18.75" customHeight="1" x14ac:dyDescent="0.3">
      <c r="A63" s="668" t="s">
        <v>435</v>
      </c>
      <c r="B63" s="663"/>
      <c r="C63" s="659"/>
      <c r="D63" s="659"/>
      <c r="E63" s="663"/>
      <c r="F63" s="659"/>
      <c r="G63" s="565"/>
      <c r="H63" s="663"/>
      <c r="I63" s="664"/>
      <c r="J63" s="565"/>
      <c r="K63" s="663"/>
      <c r="L63" s="659"/>
      <c r="M63" s="659"/>
      <c r="N63" s="663"/>
      <c r="O63" s="659"/>
      <c r="P63" s="565"/>
      <c r="Q63" s="663"/>
      <c r="R63" s="659"/>
      <c r="S63" s="565"/>
      <c r="T63" s="663"/>
      <c r="U63" s="664"/>
      <c r="V63" s="565"/>
      <c r="W63" s="663"/>
      <c r="X63" s="664"/>
      <c r="Y63" s="565"/>
      <c r="Z63" s="663"/>
      <c r="AA63" s="659"/>
      <c r="AB63" s="565"/>
      <c r="AC63" s="663"/>
      <c r="AD63" s="659"/>
      <c r="AE63" s="565"/>
      <c r="AF63" s="663"/>
      <c r="AG63" s="659"/>
      <c r="AH63" s="565"/>
      <c r="AI63" s="663"/>
      <c r="AJ63" s="659"/>
      <c r="AK63" s="565"/>
      <c r="AL63" s="663"/>
      <c r="AM63" s="659"/>
      <c r="AN63" s="565"/>
      <c r="AO63" s="659"/>
      <c r="AP63" s="659"/>
      <c r="AQ63" s="565"/>
      <c r="AR63" s="561">
        <f t="shared" si="7"/>
        <v>0</v>
      </c>
      <c r="AS63" s="561">
        <f t="shared" si="7"/>
        <v>0</v>
      </c>
      <c r="AT63" s="565" t="str">
        <f t="shared" si="10"/>
        <v xml:space="preserve">    ---- </v>
      </c>
      <c r="AU63" s="638"/>
      <c r="AV63" s="638"/>
      <c r="AW63" s="633"/>
      <c r="AX63" s="633"/>
    </row>
    <row r="64" spans="1:50" s="660" customFormat="1" ht="18.75" customHeight="1" x14ac:dyDescent="0.3">
      <c r="A64" s="668" t="s">
        <v>436</v>
      </c>
      <c r="B64" s="663"/>
      <c r="C64" s="659"/>
      <c r="D64" s="659"/>
      <c r="E64" s="663"/>
      <c r="F64" s="659"/>
      <c r="G64" s="565"/>
      <c r="H64" s="663"/>
      <c r="I64" s="664"/>
      <c r="J64" s="565"/>
      <c r="K64" s="663"/>
      <c r="L64" s="659"/>
      <c r="M64" s="659"/>
      <c r="N64" s="663"/>
      <c r="O64" s="659"/>
      <c r="P64" s="565"/>
      <c r="Q64" s="663"/>
      <c r="R64" s="659"/>
      <c r="S64" s="565"/>
      <c r="T64" s="663"/>
      <c r="U64" s="664"/>
      <c r="V64" s="565"/>
      <c r="W64" s="663"/>
      <c r="X64" s="664"/>
      <c r="Y64" s="565"/>
      <c r="Z64" s="663"/>
      <c r="AA64" s="659"/>
      <c r="AB64" s="565"/>
      <c r="AC64" s="663"/>
      <c r="AD64" s="659"/>
      <c r="AE64" s="565"/>
      <c r="AF64" s="663"/>
      <c r="AG64" s="659"/>
      <c r="AH64" s="565"/>
      <c r="AI64" s="663">
        <v>3.7999999999999999E-2</v>
      </c>
      <c r="AJ64" s="659">
        <v>0.17599999999999999</v>
      </c>
      <c r="AK64" s="565">
        <f t="shared" si="11"/>
        <v>363.2</v>
      </c>
      <c r="AL64" s="663"/>
      <c r="AM64" s="659"/>
      <c r="AN64" s="565"/>
      <c r="AO64" s="659"/>
      <c r="AP64" s="659"/>
      <c r="AQ64" s="565"/>
      <c r="AR64" s="561">
        <f t="shared" si="7"/>
        <v>3.7999999999999999E-2</v>
      </c>
      <c r="AS64" s="561">
        <f t="shared" si="7"/>
        <v>0.17599999999999999</v>
      </c>
      <c r="AT64" s="565">
        <f t="shared" si="10"/>
        <v>363.2</v>
      </c>
      <c r="AU64" s="638"/>
      <c r="AV64" s="638"/>
      <c r="AW64" s="633"/>
      <c r="AX64" s="633"/>
    </row>
    <row r="65" spans="1:50" s="660" customFormat="1" ht="18.75" customHeight="1" x14ac:dyDescent="0.3">
      <c r="A65" s="668" t="s">
        <v>437</v>
      </c>
      <c r="B65" s="663"/>
      <c r="C65" s="659"/>
      <c r="D65" s="659"/>
      <c r="E65" s="663"/>
      <c r="F65" s="659"/>
      <c r="G65" s="565"/>
      <c r="H65" s="663"/>
      <c r="I65" s="664"/>
      <c r="J65" s="565"/>
      <c r="K65" s="663"/>
      <c r="L65" s="659"/>
      <c r="M65" s="659"/>
      <c r="N65" s="663"/>
      <c r="O65" s="659"/>
      <c r="P65" s="565"/>
      <c r="Q65" s="663"/>
      <c r="R65" s="659"/>
      <c r="S65" s="565"/>
      <c r="T65" s="663"/>
      <c r="U65" s="664"/>
      <c r="V65" s="565"/>
      <c r="W65" s="663"/>
      <c r="X65" s="664"/>
      <c r="Y65" s="565"/>
      <c r="Z65" s="663"/>
      <c r="AA65" s="659"/>
      <c r="AB65" s="565"/>
      <c r="AC65" s="663"/>
      <c r="AD65" s="659"/>
      <c r="AE65" s="565"/>
      <c r="AF65" s="663"/>
      <c r="AG65" s="659"/>
      <c r="AH65" s="565"/>
      <c r="AI65" s="663">
        <v>-0.36199999999999999</v>
      </c>
      <c r="AJ65" s="659">
        <v>-1.2E-2</v>
      </c>
      <c r="AK65" s="565">
        <f t="shared" si="11"/>
        <v>-96.7</v>
      </c>
      <c r="AL65" s="663"/>
      <c r="AM65" s="659"/>
      <c r="AN65" s="565"/>
      <c r="AO65" s="659"/>
      <c r="AP65" s="659"/>
      <c r="AQ65" s="565"/>
      <c r="AR65" s="561">
        <f t="shared" si="7"/>
        <v>-0.36199999999999999</v>
      </c>
      <c r="AS65" s="561">
        <f t="shared" si="7"/>
        <v>-1.2E-2</v>
      </c>
      <c r="AT65" s="565">
        <f t="shared" si="10"/>
        <v>-96.7</v>
      </c>
      <c r="AU65" s="638"/>
      <c r="AV65" s="638"/>
      <c r="AW65" s="633"/>
      <c r="AX65" s="633"/>
    </row>
    <row r="66" spans="1:50" s="660" customFormat="1" ht="18.75" customHeight="1" x14ac:dyDescent="0.3">
      <c r="A66" s="668" t="s">
        <v>438</v>
      </c>
      <c r="B66" s="663"/>
      <c r="C66" s="659"/>
      <c r="D66" s="659"/>
      <c r="E66" s="663"/>
      <c r="F66" s="659"/>
      <c r="G66" s="565"/>
      <c r="H66" s="663"/>
      <c r="I66" s="664"/>
      <c r="J66" s="565"/>
      <c r="K66" s="663"/>
      <c r="L66" s="659"/>
      <c r="M66" s="659"/>
      <c r="N66" s="663"/>
      <c r="O66" s="659"/>
      <c r="P66" s="565"/>
      <c r="Q66" s="663"/>
      <c r="R66" s="659"/>
      <c r="S66" s="565"/>
      <c r="T66" s="663"/>
      <c r="U66" s="664"/>
      <c r="V66" s="565"/>
      <c r="W66" s="663"/>
      <c r="X66" s="664"/>
      <c r="Y66" s="565"/>
      <c r="Z66" s="663"/>
      <c r="AA66" s="659"/>
      <c r="AB66" s="565"/>
      <c r="AC66" s="663"/>
      <c r="AD66" s="659"/>
      <c r="AE66" s="565"/>
      <c r="AF66" s="663"/>
      <c r="AG66" s="659"/>
      <c r="AH66" s="565"/>
      <c r="AI66" s="663"/>
      <c r="AJ66" s="659"/>
      <c r="AK66" s="565"/>
      <c r="AL66" s="663"/>
      <c r="AM66" s="659"/>
      <c r="AN66" s="565"/>
      <c r="AO66" s="659"/>
      <c r="AP66" s="659"/>
      <c r="AQ66" s="565"/>
      <c r="AR66" s="561">
        <f t="shared" si="7"/>
        <v>0</v>
      </c>
      <c r="AS66" s="561">
        <f t="shared" si="7"/>
        <v>0</v>
      </c>
      <c r="AT66" s="565" t="str">
        <f t="shared" si="10"/>
        <v xml:space="preserve">    ---- </v>
      </c>
      <c r="AU66" s="638"/>
      <c r="AV66" s="638"/>
      <c r="AW66" s="633"/>
      <c r="AX66" s="633"/>
    </row>
    <row r="67" spans="1:50" s="660" customFormat="1" ht="18.75" customHeight="1" x14ac:dyDescent="0.3">
      <c r="A67" s="668" t="s">
        <v>439</v>
      </c>
      <c r="B67" s="663"/>
      <c r="C67" s="659"/>
      <c r="D67" s="659"/>
      <c r="E67" s="663"/>
      <c r="F67" s="659"/>
      <c r="G67" s="565"/>
      <c r="H67" s="663"/>
      <c r="I67" s="664"/>
      <c r="J67" s="565"/>
      <c r="K67" s="663"/>
      <c r="L67" s="659"/>
      <c r="M67" s="659"/>
      <c r="N67" s="663"/>
      <c r="O67" s="659"/>
      <c r="P67" s="565"/>
      <c r="Q67" s="663"/>
      <c r="R67" s="659"/>
      <c r="S67" s="565"/>
      <c r="T67" s="663"/>
      <c r="U67" s="664"/>
      <c r="V67" s="565"/>
      <c r="W67" s="663"/>
      <c r="X67" s="664"/>
      <c r="Y67" s="565"/>
      <c r="Z67" s="663"/>
      <c r="AA67" s="659"/>
      <c r="AB67" s="565"/>
      <c r="AC67" s="663"/>
      <c r="AD67" s="659"/>
      <c r="AE67" s="565"/>
      <c r="AF67" s="663"/>
      <c r="AG67" s="659"/>
      <c r="AH67" s="565"/>
      <c r="AI67" s="663"/>
      <c r="AJ67" s="659"/>
      <c r="AK67" s="565"/>
      <c r="AL67" s="663"/>
      <c r="AM67" s="659"/>
      <c r="AN67" s="565"/>
      <c r="AO67" s="659"/>
      <c r="AP67" s="659"/>
      <c r="AQ67" s="565"/>
      <c r="AR67" s="561">
        <f t="shared" si="7"/>
        <v>0</v>
      </c>
      <c r="AS67" s="561">
        <f t="shared" si="7"/>
        <v>0</v>
      </c>
      <c r="AT67" s="565" t="str">
        <f t="shared" si="10"/>
        <v xml:space="preserve">    ---- </v>
      </c>
      <c r="AU67" s="638"/>
      <c r="AV67" s="638"/>
      <c r="AW67" s="633"/>
      <c r="AX67" s="633"/>
    </row>
    <row r="68" spans="1:50" s="662" customFormat="1" ht="18.75" customHeight="1" x14ac:dyDescent="0.3">
      <c r="A68" s="667" t="s">
        <v>440</v>
      </c>
      <c r="B68" s="665"/>
      <c r="C68" s="657"/>
      <c r="D68" s="657"/>
      <c r="E68" s="665"/>
      <c r="F68" s="657"/>
      <c r="G68" s="658"/>
      <c r="H68" s="665"/>
      <c r="I68" s="666"/>
      <c r="J68" s="658"/>
      <c r="K68" s="665"/>
      <c r="L68" s="657"/>
      <c r="M68" s="657"/>
      <c r="N68" s="665"/>
      <c r="O68" s="657"/>
      <c r="P68" s="658"/>
      <c r="Q68" s="665"/>
      <c r="R68" s="657"/>
      <c r="S68" s="658"/>
      <c r="T68" s="665"/>
      <c r="U68" s="666"/>
      <c r="V68" s="658"/>
      <c r="W68" s="665"/>
      <c r="X68" s="666"/>
      <c r="Y68" s="658"/>
      <c r="Z68" s="665"/>
      <c r="AA68" s="657"/>
      <c r="AB68" s="658"/>
      <c r="AC68" s="665"/>
      <c r="AD68" s="657"/>
      <c r="AE68" s="658"/>
      <c r="AF68" s="665"/>
      <c r="AG68" s="657"/>
      <c r="AH68" s="658"/>
      <c r="AI68" s="665">
        <v>-7.2519999999999998</v>
      </c>
      <c r="AJ68" s="657">
        <f>SUM(AJ60:AJ65)+AJ67</f>
        <v>-17.469000000000001</v>
      </c>
      <c r="AK68" s="658">
        <f t="shared" si="11"/>
        <v>140.9</v>
      </c>
      <c r="AL68" s="665"/>
      <c r="AM68" s="657"/>
      <c r="AN68" s="658"/>
      <c r="AO68" s="657">
        <f>B68+E68+H68+K68+Q68+T68+W68+Z68+AF68+AI68+AL68</f>
        <v>-7.2519999999999998</v>
      </c>
      <c r="AP68" s="657">
        <f>C68+F68+I68+L68+R68+U68+X68+AA68+AG68+AJ68+AM68</f>
        <v>-17.469000000000001</v>
      </c>
      <c r="AQ68" s="658">
        <f>IF(AO68=0, "    ---- ", IF(ABS(ROUND(100/AO68*AP68-100,1))&lt;999,ROUND(100/AO68*AP68-100,1),IF(ROUND(100/AO68*AP68-100,1)&gt;999,999,-999)))</f>
        <v>140.9</v>
      </c>
      <c r="AR68" s="574">
        <f t="shared" si="7"/>
        <v>-7.2519999999999998</v>
      </c>
      <c r="AS68" s="574">
        <f t="shared" si="7"/>
        <v>-17.469000000000001</v>
      </c>
      <c r="AT68" s="658">
        <f t="shared" si="10"/>
        <v>140.9</v>
      </c>
      <c r="AU68" s="636"/>
      <c r="AV68" s="636"/>
      <c r="AW68" s="661"/>
      <c r="AX68" s="661"/>
    </row>
    <row r="69" spans="1:50" s="660" customFormat="1" ht="18.75" customHeight="1" x14ac:dyDescent="0.3">
      <c r="A69" s="668" t="s">
        <v>441</v>
      </c>
      <c r="B69" s="663"/>
      <c r="C69" s="659"/>
      <c r="D69" s="659"/>
      <c r="E69" s="663"/>
      <c r="F69" s="659"/>
      <c r="G69" s="565"/>
      <c r="H69" s="663"/>
      <c r="I69" s="664"/>
      <c r="J69" s="565"/>
      <c r="K69" s="663"/>
      <c r="L69" s="659"/>
      <c r="M69" s="659"/>
      <c r="N69" s="663"/>
      <c r="O69" s="659"/>
      <c r="P69" s="565"/>
      <c r="Q69" s="663"/>
      <c r="R69" s="659"/>
      <c r="S69" s="565"/>
      <c r="T69" s="663"/>
      <c r="U69" s="664"/>
      <c r="V69" s="565"/>
      <c r="W69" s="663"/>
      <c r="X69" s="664"/>
      <c r="Y69" s="565"/>
      <c r="Z69" s="663"/>
      <c r="AA69" s="659"/>
      <c r="AB69" s="565"/>
      <c r="AC69" s="663"/>
      <c r="AD69" s="659"/>
      <c r="AE69" s="565"/>
      <c r="AF69" s="663"/>
      <c r="AG69" s="659"/>
      <c r="AH69" s="565"/>
      <c r="AI69" s="663">
        <v>0.13400000000000001</v>
      </c>
      <c r="AJ69" s="659"/>
      <c r="AK69" s="565">
        <f t="shared" si="11"/>
        <v>-100</v>
      </c>
      <c r="AL69" s="663"/>
      <c r="AM69" s="659"/>
      <c r="AN69" s="565"/>
      <c r="AO69" s="659"/>
      <c r="AP69" s="659"/>
      <c r="AQ69" s="565"/>
      <c r="AR69" s="561">
        <f t="shared" si="7"/>
        <v>0.13400000000000001</v>
      </c>
      <c r="AS69" s="561">
        <f t="shared" si="7"/>
        <v>0</v>
      </c>
      <c r="AT69" s="565">
        <f t="shared" si="10"/>
        <v>-100</v>
      </c>
      <c r="AU69" s="638"/>
      <c r="AV69" s="638"/>
      <c r="AW69" s="633"/>
      <c r="AX69" s="633"/>
    </row>
    <row r="70" spans="1:50" s="660" customFormat="1" ht="18.75" customHeight="1" x14ac:dyDescent="0.3">
      <c r="A70" s="668" t="s">
        <v>442</v>
      </c>
      <c r="B70" s="663"/>
      <c r="C70" s="659"/>
      <c r="D70" s="659"/>
      <c r="E70" s="663"/>
      <c r="F70" s="659"/>
      <c r="G70" s="565"/>
      <c r="H70" s="663"/>
      <c r="I70" s="664"/>
      <c r="J70" s="565"/>
      <c r="K70" s="663"/>
      <c r="L70" s="659"/>
      <c r="M70" s="659"/>
      <c r="N70" s="663"/>
      <c r="O70" s="659"/>
      <c r="P70" s="565"/>
      <c r="Q70" s="663"/>
      <c r="R70" s="659"/>
      <c r="S70" s="565"/>
      <c r="T70" s="663"/>
      <c r="U70" s="664"/>
      <c r="V70" s="565"/>
      <c r="W70" s="663"/>
      <c r="X70" s="664"/>
      <c r="Y70" s="565"/>
      <c r="Z70" s="663"/>
      <c r="AA70" s="659"/>
      <c r="AB70" s="565"/>
      <c r="AC70" s="663"/>
      <c r="AD70" s="659"/>
      <c r="AE70" s="565"/>
      <c r="AF70" s="663"/>
      <c r="AG70" s="659"/>
      <c r="AH70" s="565"/>
      <c r="AI70" s="663">
        <v>-7.3860000000000001</v>
      </c>
      <c r="AJ70" s="659">
        <v>-17.469000000000001</v>
      </c>
      <c r="AK70" s="565">
        <f t="shared" si="11"/>
        <v>136.5</v>
      </c>
      <c r="AL70" s="663"/>
      <c r="AM70" s="659"/>
      <c r="AN70" s="565"/>
      <c r="AO70" s="659"/>
      <c r="AP70" s="659"/>
      <c r="AQ70" s="565"/>
      <c r="AR70" s="561">
        <f t="shared" si="7"/>
        <v>-7.3860000000000001</v>
      </c>
      <c r="AS70" s="561">
        <f t="shared" si="7"/>
        <v>-17.469000000000001</v>
      </c>
      <c r="AT70" s="565">
        <f t="shared" si="10"/>
        <v>136.5</v>
      </c>
      <c r="AU70" s="638"/>
      <c r="AV70" s="638"/>
      <c r="AW70" s="633"/>
      <c r="AX70" s="633"/>
    </row>
    <row r="71" spans="1:50" s="660" customFormat="1" ht="18.75" customHeight="1" x14ac:dyDescent="0.3">
      <c r="A71" s="667" t="s">
        <v>457</v>
      </c>
      <c r="B71" s="663"/>
      <c r="C71" s="659"/>
      <c r="D71" s="659"/>
      <c r="E71" s="663"/>
      <c r="F71" s="659"/>
      <c r="G71" s="565"/>
      <c r="H71" s="663"/>
      <c r="I71" s="664"/>
      <c r="J71" s="565"/>
      <c r="K71" s="663"/>
      <c r="L71" s="659"/>
      <c r="M71" s="659"/>
      <c r="N71" s="663"/>
      <c r="O71" s="659"/>
      <c r="P71" s="565"/>
      <c r="Q71" s="663"/>
      <c r="R71" s="659"/>
      <c r="S71" s="565"/>
      <c r="T71" s="663"/>
      <c r="U71" s="664"/>
      <c r="V71" s="565"/>
      <c r="W71" s="663"/>
      <c r="X71" s="664"/>
      <c r="Y71" s="565"/>
      <c r="Z71" s="663"/>
      <c r="AA71" s="659"/>
      <c r="AB71" s="565"/>
      <c r="AC71" s="663"/>
      <c r="AD71" s="659"/>
      <c r="AE71" s="565"/>
      <c r="AF71" s="663"/>
      <c r="AG71" s="659"/>
      <c r="AH71" s="565"/>
      <c r="AI71" s="663"/>
      <c r="AJ71" s="659"/>
      <c r="AK71" s="565"/>
      <c r="AL71" s="663"/>
      <c r="AM71" s="659"/>
      <c r="AN71" s="565"/>
      <c r="AO71" s="659"/>
      <c r="AP71" s="659"/>
      <c r="AQ71" s="565"/>
      <c r="AR71" s="561"/>
      <c r="AS71" s="561"/>
      <c r="AT71" s="565"/>
      <c r="AU71" s="638"/>
      <c r="AV71" s="638"/>
      <c r="AW71" s="633"/>
      <c r="AX71" s="633"/>
    </row>
    <row r="72" spans="1:50" s="660" customFormat="1" ht="18.75" customHeight="1" x14ac:dyDescent="0.3">
      <c r="A72" s="668" t="s">
        <v>432</v>
      </c>
      <c r="B72" s="663"/>
      <c r="C72" s="659"/>
      <c r="D72" s="659"/>
      <c r="E72" s="663"/>
      <c r="F72" s="659"/>
      <c r="G72" s="565"/>
      <c r="H72" s="663"/>
      <c r="I72" s="664"/>
      <c r="J72" s="565"/>
      <c r="K72" s="663"/>
      <c r="L72" s="659"/>
      <c r="M72" s="659"/>
      <c r="N72" s="663"/>
      <c r="O72" s="659"/>
      <c r="P72" s="565"/>
      <c r="Q72" s="663"/>
      <c r="R72" s="659"/>
      <c r="S72" s="565"/>
      <c r="T72" s="663"/>
      <c r="U72" s="664"/>
      <c r="V72" s="565"/>
      <c r="W72" s="663"/>
      <c r="X72" s="664"/>
      <c r="Y72" s="565"/>
      <c r="Z72" s="663"/>
      <c r="AA72" s="659"/>
      <c r="AB72" s="565"/>
      <c r="AC72" s="663"/>
      <c r="AD72" s="659"/>
      <c r="AE72" s="565"/>
      <c r="AF72" s="663"/>
      <c r="AG72" s="659"/>
      <c r="AH72" s="565"/>
      <c r="AI72" s="663"/>
      <c r="AJ72" s="659">
        <v>2.1000000000000001E-2</v>
      </c>
      <c r="AK72" s="565" t="str">
        <f t="shared" ref="AK72:AK82" si="12">IF(AI72=0, "    ---- ", IF(ABS(ROUND(100/AI72*AJ72-100,1))&lt;999,ROUND(100/AI72*AJ72-100,1),IF(ROUND(100/AI72*AJ72-100,1)&gt;999,999,-999)))</f>
        <v xml:space="preserve">    ---- </v>
      </c>
      <c r="AL72" s="663"/>
      <c r="AM72" s="659"/>
      <c r="AN72" s="565"/>
      <c r="AO72" s="659"/>
      <c r="AP72" s="659"/>
      <c r="AQ72" s="565"/>
      <c r="AR72" s="561">
        <f t="shared" ref="AR72:AS82" si="13">+B72+E72+H72+K72+N72+Q72+T72+W72+Z72+AC72+AF72+AI72+AL72</f>
        <v>0</v>
      </c>
      <c r="AS72" s="561">
        <f t="shared" si="13"/>
        <v>2.1000000000000001E-2</v>
      </c>
      <c r="AT72" s="565" t="str">
        <f t="shared" si="10"/>
        <v xml:space="preserve">    ---- </v>
      </c>
      <c r="AU72" s="638"/>
      <c r="AV72" s="638"/>
      <c r="AW72" s="633"/>
      <c r="AX72" s="633"/>
    </row>
    <row r="73" spans="1:50" s="660" customFormat="1" ht="18.75" customHeight="1" x14ac:dyDescent="0.3">
      <c r="A73" s="668" t="s">
        <v>433</v>
      </c>
      <c r="B73" s="663"/>
      <c r="C73" s="659"/>
      <c r="D73" s="659"/>
      <c r="E73" s="663"/>
      <c r="F73" s="659"/>
      <c r="G73" s="565"/>
      <c r="H73" s="663"/>
      <c r="I73" s="664"/>
      <c r="J73" s="565"/>
      <c r="K73" s="663"/>
      <c r="L73" s="659"/>
      <c r="M73" s="659"/>
      <c r="N73" s="663"/>
      <c r="O73" s="659"/>
      <c r="P73" s="565"/>
      <c r="Q73" s="663"/>
      <c r="R73" s="659"/>
      <c r="S73" s="565"/>
      <c r="T73" s="663"/>
      <c r="U73" s="664"/>
      <c r="V73" s="565"/>
      <c r="W73" s="663"/>
      <c r="X73" s="664"/>
      <c r="Y73" s="565"/>
      <c r="Z73" s="663"/>
      <c r="AA73" s="659"/>
      <c r="AB73" s="565"/>
      <c r="AC73" s="663"/>
      <c r="AD73" s="659"/>
      <c r="AE73" s="565"/>
      <c r="AF73" s="663"/>
      <c r="AG73" s="659"/>
      <c r="AH73" s="565"/>
      <c r="AI73" s="663"/>
      <c r="AJ73" s="659"/>
      <c r="AK73" s="565"/>
      <c r="AL73" s="663"/>
      <c r="AM73" s="659"/>
      <c r="AN73" s="565"/>
      <c r="AO73" s="659"/>
      <c r="AP73" s="659"/>
      <c r="AQ73" s="565"/>
      <c r="AR73" s="561">
        <f t="shared" si="13"/>
        <v>0</v>
      </c>
      <c r="AS73" s="561">
        <f t="shared" si="13"/>
        <v>0</v>
      </c>
      <c r="AT73" s="565" t="str">
        <f t="shared" si="10"/>
        <v xml:space="preserve">    ---- </v>
      </c>
      <c r="AU73" s="638"/>
      <c r="AV73" s="638"/>
      <c r="AW73" s="633"/>
      <c r="AX73" s="633"/>
    </row>
    <row r="74" spans="1:50" s="660" customFormat="1" ht="18.75" customHeight="1" x14ac:dyDescent="0.3">
      <c r="A74" s="668" t="s">
        <v>434</v>
      </c>
      <c r="B74" s="663"/>
      <c r="C74" s="659"/>
      <c r="D74" s="659"/>
      <c r="E74" s="663"/>
      <c r="F74" s="659"/>
      <c r="G74" s="565"/>
      <c r="H74" s="663"/>
      <c r="I74" s="664"/>
      <c r="J74" s="565"/>
      <c r="K74" s="663"/>
      <c r="L74" s="659"/>
      <c r="M74" s="659"/>
      <c r="N74" s="663"/>
      <c r="O74" s="659"/>
      <c r="P74" s="565"/>
      <c r="Q74" s="663"/>
      <c r="R74" s="659"/>
      <c r="S74" s="565"/>
      <c r="T74" s="663"/>
      <c r="U74" s="664"/>
      <c r="V74" s="565"/>
      <c r="W74" s="663"/>
      <c r="X74" s="664"/>
      <c r="Y74" s="565"/>
      <c r="Z74" s="663"/>
      <c r="AA74" s="659"/>
      <c r="AB74" s="565"/>
      <c r="AC74" s="663"/>
      <c r="AD74" s="659"/>
      <c r="AE74" s="565"/>
      <c r="AF74" s="663"/>
      <c r="AG74" s="659"/>
      <c r="AH74" s="565"/>
      <c r="AI74" s="663"/>
      <c r="AJ74" s="659">
        <v>-19.387</v>
      </c>
      <c r="AK74" s="565" t="str">
        <f t="shared" si="12"/>
        <v xml:space="preserve">    ---- </v>
      </c>
      <c r="AL74" s="663"/>
      <c r="AM74" s="659"/>
      <c r="AN74" s="565"/>
      <c r="AO74" s="659"/>
      <c r="AP74" s="659"/>
      <c r="AQ74" s="565"/>
      <c r="AR74" s="561">
        <f t="shared" si="13"/>
        <v>0</v>
      </c>
      <c r="AS74" s="561">
        <f t="shared" si="13"/>
        <v>-19.387</v>
      </c>
      <c r="AT74" s="565" t="str">
        <f t="shared" si="10"/>
        <v xml:space="preserve">    ---- </v>
      </c>
      <c r="AU74" s="638"/>
      <c r="AV74" s="638"/>
      <c r="AW74" s="633"/>
      <c r="AX74" s="633"/>
    </row>
    <row r="75" spans="1:50" s="660" customFormat="1" ht="18.75" customHeight="1" x14ac:dyDescent="0.3">
      <c r="A75" s="668" t="s">
        <v>435</v>
      </c>
      <c r="B75" s="663"/>
      <c r="C75" s="659"/>
      <c r="D75" s="659"/>
      <c r="E75" s="663"/>
      <c r="F75" s="659"/>
      <c r="G75" s="565"/>
      <c r="H75" s="663"/>
      <c r="I75" s="664"/>
      <c r="J75" s="565"/>
      <c r="K75" s="663"/>
      <c r="L75" s="659"/>
      <c r="M75" s="659"/>
      <c r="N75" s="663"/>
      <c r="O75" s="659"/>
      <c r="P75" s="565"/>
      <c r="Q75" s="663"/>
      <c r="R75" s="659"/>
      <c r="S75" s="565"/>
      <c r="T75" s="663"/>
      <c r="U75" s="664"/>
      <c r="V75" s="565"/>
      <c r="W75" s="663"/>
      <c r="X75" s="664"/>
      <c r="Y75" s="565"/>
      <c r="Z75" s="663"/>
      <c r="AA75" s="659"/>
      <c r="AB75" s="565"/>
      <c r="AC75" s="663"/>
      <c r="AD75" s="659"/>
      <c r="AE75" s="565"/>
      <c r="AF75" s="663"/>
      <c r="AG75" s="659"/>
      <c r="AH75" s="565"/>
      <c r="AI75" s="663"/>
      <c r="AJ75" s="659"/>
      <c r="AK75" s="565"/>
      <c r="AL75" s="663"/>
      <c r="AM75" s="659"/>
      <c r="AN75" s="565"/>
      <c r="AO75" s="659"/>
      <c r="AP75" s="659"/>
      <c r="AQ75" s="565"/>
      <c r="AR75" s="561">
        <f t="shared" si="13"/>
        <v>0</v>
      </c>
      <c r="AS75" s="561">
        <f t="shared" si="13"/>
        <v>0</v>
      </c>
      <c r="AT75" s="565" t="str">
        <f t="shared" si="10"/>
        <v xml:space="preserve">    ---- </v>
      </c>
      <c r="AU75" s="638"/>
      <c r="AV75" s="638"/>
      <c r="AW75" s="633"/>
      <c r="AX75" s="633"/>
    </row>
    <row r="76" spans="1:50" s="660" customFormat="1" ht="18.75" customHeight="1" x14ac:dyDescent="0.3">
      <c r="A76" s="668" t="s">
        <v>436</v>
      </c>
      <c r="B76" s="663"/>
      <c r="C76" s="659"/>
      <c r="D76" s="659"/>
      <c r="E76" s="663"/>
      <c r="F76" s="659"/>
      <c r="G76" s="565"/>
      <c r="H76" s="663"/>
      <c r="I76" s="664"/>
      <c r="J76" s="565"/>
      <c r="K76" s="663"/>
      <c r="L76" s="659"/>
      <c r="M76" s="659"/>
      <c r="N76" s="663"/>
      <c r="O76" s="659"/>
      <c r="P76" s="565"/>
      <c r="Q76" s="663"/>
      <c r="R76" s="659"/>
      <c r="S76" s="565"/>
      <c r="T76" s="663"/>
      <c r="U76" s="664"/>
      <c r="V76" s="565"/>
      <c r="W76" s="663"/>
      <c r="X76" s="664"/>
      <c r="Y76" s="565"/>
      <c r="Z76" s="663"/>
      <c r="AA76" s="659"/>
      <c r="AB76" s="565"/>
      <c r="AC76" s="663"/>
      <c r="AD76" s="659"/>
      <c r="AE76" s="565"/>
      <c r="AF76" s="663"/>
      <c r="AG76" s="659"/>
      <c r="AH76" s="565"/>
      <c r="AI76" s="663"/>
      <c r="AJ76" s="659"/>
      <c r="AK76" s="565"/>
      <c r="AL76" s="663"/>
      <c r="AM76" s="659"/>
      <c r="AN76" s="565"/>
      <c r="AO76" s="659"/>
      <c r="AP76" s="659"/>
      <c r="AQ76" s="565"/>
      <c r="AR76" s="561">
        <f t="shared" si="13"/>
        <v>0</v>
      </c>
      <c r="AS76" s="561">
        <f t="shared" si="13"/>
        <v>0</v>
      </c>
      <c r="AT76" s="565" t="str">
        <f t="shared" si="10"/>
        <v xml:space="preserve">    ---- </v>
      </c>
      <c r="AU76" s="638"/>
      <c r="AV76" s="638"/>
      <c r="AW76" s="633"/>
      <c r="AX76" s="633"/>
    </row>
    <row r="77" spans="1:50" s="660" customFormat="1" ht="18.75" customHeight="1" x14ac:dyDescent="0.3">
      <c r="A77" s="668" t="s">
        <v>437</v>
      </c>
      <c r="B77" s="663"/>
      <c r="C77" s="659"/>
      <c r="D77" s="659"/>
      <c r="E77" s="663"/>
      <c r="F77" s="659"/>
      <c r="G77" s="565"/>
      <c r="H77" s="663"/>
      <c r="I77" s="664"/>
      <c r="J77" s="565"/>
      <c r="K77" s="663"/>
      <c r="L77" s="659"/>
      <c r="M77" s="659"/>
      <c r="N77" s="663"/>
      <c r="O77" s="659"/>
      <c r="P77" s="565"/>
      <c r="Q77" s="663"/>
      <c r="R77" s="659"/>
      <c r="S77" s="565"/>
      <c r="T77" s="663"/>
      <c r="U77" s="664"/>
      <c r="V77" s="565"/>
      <c r="W77" s="663"/>
      <c r="X77" s="664"/>
      <c r="Y77" s="565"/>
      <c r="Z77" s="663"/>
      <c r="AA77" s="659"/>
      <c r="AB77" s="565"/>
      <c r="AC77" s="663"/>
      <c r="AD77" s="659"/>
      <c r="AE77" s="565"/>
      <c r="AF77" s="663"/>
      <c r="AG77" s="659"/>
      <c r="AH77" s="565"/>
      <c r="AI77" s="663"/>
      <c r="AJ77" s="659">
        <v>-8.1000000000000003E-2</v>
      </c>
      <c r="AK77" s="565" t="str">
        <f t="shared" si="12"/>
        <v xml:space="preserve">    ---- </v>
      </c>
      <c r="AL77" s="663"/>
      <c r="AM77" s="659"/>
      <c r="AN77" s="565"/>
      <c r="AO77" s="659"/>
      <c r="AP77" s="659"/>
      <c r="AQ77" s="565"/>
      <c r="AR77" s="561">
        <f t="shared" si="13"/>
        <v>0</v>
      </c>
      <c r="AS77" s="561">
        <f t="shared" si="13"/>
        <v>-8.1000000000000003E-2</v>
      </c>
      <c r="AT77" s="565" t="str">
        <f t="shared" si="10"/>
        <v xml:space="preserve">    ---- </v>
      </c>
      <c r="AU77" s="638"/>
      <c r="AV77" s="638"/>
      <c r="AW77" s="633"/>
      <c r="AX77" s="633"/>
    </row>
    <row r="78" spans="1:50" s="660" customFormat="1" ht="18.75" customHeight="1" x14ac:dyDescent="0.3">
      <c r="A78" s="668" t="s">
        <v>438</v>
      </c>
      <c r="B78" s="663"/>
      <c r="C78" s="659"/>
      <c r="D78" s="659"/>
      <c r="E78" s="663"/>
      <c r="F78" s="659"/>
      <c r="G78" s="565"/>
      <c r="H78" s="663"/>
      <c r="I78" s="664"/>
      <c r="J78" s="565"/>
      <c r="K78" s="663"/>
      <c r="L78" s="659"/>
      <c r="M78" s="659"/>
      <c r="N78" s="663"/>
      <c r="O78" s="659"/>
      <c r="P78" s="565"/>
      <c r="Q78" s="663"/>
      <c r="R78" s="659"/>
      <c r="S78" s="565"/>
      <c r="T78" s="663"/>
      <c r="U78" s="664"/>
      <c r="V78" s="565"/>
      <c r="W78" s="663"/>
      <c r="X78" s="664"/>
      <c r="Y78" s="565"/>
      <c r="Z78" s="663"/>
      <c r="AA78" s="659"/>
      <c r="AB78" s="565"/>
      <c r="AC78" s="663"/>
      <c r="AD78" s="659"/>
      <c r="AE78" s="565"/>
      <c r="AF78" s="663"/>
      <c r="AG78" s="659"/>
      <c r="AH78" s="565"/>
      <c r="AI78" s="663"/>
      <c r="AJ78" s="659"/>
      <c r="AK78" s="565"/>
      <c r="AL78" s="663"/>
      <c r="AM78" s="659"/>
      <c r="AN78" s="565"/>
      <c r="AO78" s="659"/>
      <c r="AP78" s="659"/>
      <c r="AQ78" s="565"/>
      <c r="AR78" s="561">
        <f t="shared" si="13"/>
        <v>0</v>
      </c>
      <c r="AS78" s="561">
        <f t="shared" si="13"/>
        <v>0</v>
      </c>
      <c r="AT78" s="565" t="str">
        <f t="shared" si="10"/>
        <v xml:space="preserve">    ---- </v>
      </c>
      <c r="AU78" s="638"/>
      <c r="AV78" s="638"/>
      <c r="AW78" s="633"/>
      <c r="AX78" s="633"/>
    </row>
    <row r="79" spans="1:50" s="660" customFormat="1" ht="18.75" customHeight="1" x14ac:dyDescent="0.3">
      <c r="A79" s="668" t="s">
        <v>439</v>
      </c>
      <c r="B79" s="663"/>
      <c r="C79" s="659"/>
      <c r="D79" s="659"/>
      <c r="E79" s="663"/>
      <c r="F79" s="659"/>
      <c r="G79" s="565"/>
      <c r="H79" s="663"/>
      <c r="I79" s="664"/>
      <c r="J79" s="565"/>
      <c r="K79" s="663"/>
      <c r="L79" s="659"/>
      <c r="M79" s="659"/>
      <c r="N79" s="663"/>
      <c r="O79" s="659"/>
      <c r="P79" s="565"/>
      <c r="Q79" s="663"/>
      <c r="R79" s="659"/>
      <c r="S79" s="565"/>
      <c r="T79" s="663"/>
      <c r="U79" s="664"/>
      <c r="V79" s="565"/>
      <c r="W79" s="663"/>
      <c r="X79" s="664"/>
      <c r="Y79" s="565"/>
      <c r="Z79" s="663"/>
      <c r="AA79" s="659"/>
      <c r="AB79" s="565"/>
      <c r="AC79" s="663"/>
      <c r="AD79" s="659"/>
      <c r="AE79" s="565"/>
      <c r="AF79" s="663"/>
      <c r="AG79" s="659"/>
      <c r="AH79" s="565"/>
      <c r="AI79" s="663"/>
      <c r="AJ79" s="659"/>
      <c r="AK79" s="565"/>
      <c r="AL79" s="663"/>
      <c r="AM79" s="659"/>
      <c r="AN79" s="565"/>
      <c r="AO79" s="659"/>
      <c r="AP79" s="659"/>
      <c r="AQ79" s="565"/>
      <c r="AR79" s="561">
        <f t="shared" si="13"/>
        <v>0</v>
      </c>
      <c r="AS79" s="561">
        <f t="shared" si="13"/>
        <v>0</v>
      </c>
      <c r="AT79" s="565" t="str">
        <f t="shared" si="10"/>
        <v xml:space="preserve">    ---- </v>
      </c>
      <c r="AU79" s="638"/>
      <c r="AV79" s="638"/>
      <c r="AW79" s="633"/>
      <c r="AX79" s="633"/>
    </row>
    <row r="80" spans="1:50" s="660" customFormat="1" ht="18.75" customHeight="1" x14ac:dyDescent="0.3">
      <c r="A80" s="667" t="s">
        <v>440</v>
      </c>
      <c r="B80" s="665"/>
      <c r="C80" s="657"/>
      <c r="D80" s="657"/>
      <c r="E80" s="665"/>
      <c r="F80" s="657"/>
      <c r="G80" s="658"/>
      <c r="H80" s="665"/>
      <c r="I80" s="666"/>
      <c r="J80" s="658"/>
      <c r="K80" s="665"/>
      <c r="L80" s="657"/>
      <c r="M80" s="657"/>
      <c r="N80" s="665"/>
      <c r="O80" s="657"/>
      <c r="P80" s="658"/>
      <c r="Q80" s="665"/>
      <c r="R80" s="657"/>
      <c r="S80" s="658"/>
      <c r="T80" s="665"/>
      <c r="U80" s="666"/>
      <c r="V80" s="658"/>
      <c r="W80" s="665"/>
      <c r="X80" s="666"/>
      <c r="Y80" s="658"/>
      <c r="Z80" s="665"/>
      <c r="AA80" s="657"/>
      <c r="AB80" s="658"/>
      <c r="AC80" s="665"/>
      <c r="AD80" s="657"/>
      <c r="AE80" s="658"/>
      <c r="AF80" s="665"/>
      <c r="AG80" s="657"/>
      <c r="AH80" s="658"/>
      <c r="AI80" s="665"/>
      <c r="AJ80" s="657">
        <f>SUM(AJ72:AJ77)+AJ79</f>
        <v>-19.446999999999999</v>
      </c>
      <c r="AK80" s="658" t="str">
        <f t="shared" si="12"/>
        <v xml:space="preserve">    ---- </v>
      </c>
      <c r="AL80" s="665"/>
      <c r="AM80" s="657"/>
      <c r="AN80" s="658"/>
      <c r="AO80" s="657">
        <f>B80+E80+H80+K80+Q80+T80+W80+Z80+AF80+AI80+AL80</f>
        <v>0</v>
      </c>
      <c r="AP80" s="657">
        <f>C80+F80+I80+L80+R80+U80+X80+AA80+AG80+AJ80+AM80</f>
        <v>-19.446999999999999</v>
      </c>
      <c r="AQ80" s="658" t="str">
        <f>IF(AO80=0, "    ---- ", IF(ABS(ROUND(100/AO80*AP80-100,1))&lt;999,ROUND(100/AO80*AP80-100,1),IF(ROUND(100/AO80*AP80-100,1)&gt;999,999,-999)))</f>
        <v xml:space="preserve">    ---- </v>
      </c>
      <c r="AR80" s="574">
        <f t="shared" si="13"/>
        <v>0</v>
      </c>
      <c r="AS80" s="574">
        <f t="shared" si="13"/>
        <v>-19.446999999999999</v>
      </c>
      <c r="AT80" s="658" t="str">
        <f t="shared" si="10"/>
        <v xml:space="preserve">    ---- </v>
      </c>
      <c r="AU80" s="638"/>
      <c r="AV80" s="638"/>
      <c r="AW80" s="633"/>
      <c r="AX80" s="633"/>
    </row>
    <row r="81" spans="1:50" s="660" customFormat="1" ht="18.75" customHeight="1" x14ac:dyDescent="0.3">
      <c r="A81" s="668" t="s">
        <v>441</v>
      </c>
      <c r="B81" s="663"/>
      <c r="C81" s="659"/>
      <c r="D81" s="659"/>
      <c r="E81" s="663"/>
      <c r="F81" s="659"/>
      <c r="G81" s="565"/>
      <c r="H81" s="663"/>
      <c r="I81" s="664"/>
      <c r="J81" s="565"/>
      <c r="K81" s="663"/>
      <c r="L81" s="659"/>
      <c r="M81" s="659"/>
      <c r="N81" s="663"/>
      <c r="O81" s="659"/>
      <c r="P81" s="565"/>
      <c r="Q81" s="663"/>
      <c r="R81" s="659"/>
      <c r="S81" s="565"/>
      <c r="T81" s="663"/>
      <c r="U81" s="664"/>
      <c r="V81" s="565"/>
      <c r="W81" s="663"/>
      <c r="X81" s="664"/>
      <c r="Y81" s="565"/>
      <c r="Z81" s="663"/>
      <c r="AA81" s="659"/>
      <c r="AB81" s="565"/>
      <c r="AC81" s="663"/>
      <c r="AD81" s="659"/>
      <c r="AE81" s="565"/>
      <c r="AF81" s="663"/>
      <c r="AG81" s="659"/>
      <c r="AH81" s="565"/>
      <c r="AI81" s="663"/>
      <c r="AJ81" s="659"/>
      <c r="AK81" s="565"/>
      <c r="AL81" s="663"/>
      <c r="AM81" s="659"/>
      <c r="AN81" s="565"/>
      <c r="AO81" s="659"/>
      <c r="AP81" s="659"/>
      <c r="AQ81" s="565"/>
      <c r="AR81" s="561">
        <f t="shared" si="13"/>
        <v>0</v>
      </c>
      <c r="AS81" s="561">
        <f t="shared" si="13"/>
        <v>0</v>
      </c>
      <c r="AT81" s="565" t="str">
        <f t="shared" si="10"/>
        <v xml:space="preserve">    ---- </v>
      </c>
      <c r="AU81" s="638"/>
      <c r="AV81" s="638"/>
      <c r="AW81" s="633"/>
      <c r="AX81" s="633"/>
    </row>
    <row r="82" spans="1:50" s="660" customFormat="1" ht="18.75" customHeight="1" x14ac:dyDescent="0.3">
      <c r="A82" s="668" t="s">
        <v>442</v>
      </c>
      <c r="B82" s="663"/>
      <c r="C82" s="659"/>
      <c r="D82" s="659"/>
      <c r="E82" s="663"/>
      <c r="F82" s="659"/>
      <c r="G82" s="565"/>
      <c r="H82" s="663"/>
      <c r="I82" s="664"/>
      <c r="J82" s="565"/>
      <c r="K82" s="663"/>
      <c r="L82" s="659"/>
      <c r="M82" s="659"/>
      <c r="N82" s="663"/>
      <c r="O82" s="659"/>
      <c r="P82" s="565"/>
      <c r="Q82" s="663"/>
      <c r="R82" s="659"/>
      <c r="S82" s="565"/>
      <c r="T82" s="663"/>
      <c r="U82" s="664"/>
      <c r="V82" s="565"/>
      <c r="W82" s="663"/>
      <c r="X82" s="664"/>
      <c r="Y82" s="565"/>
      <c r="Z82" s="663"/>
      <c r="AA82" s="659"/>
      <c r="AB82" s="565"/>
      <c r="AC82" s="663"/>
      <c r="AD82" s="659"/>
      <c r="AE82" s="565"/>
      <c r="AF82" s="663"/>
      <c r="AG82" s="659"/>
      <c r="AH82" s="565"/>
      <c r="AI82" s="663"/>
      <c r="AJ82" s="659">
        <v>-19.446999999999999</v>
      </c>
      <c r="AK82" s="565" t="str">
        <f t="shared" si="12"/>
        <v xml:space="preserve">    ---- </v>
      </c>
      <c r="AL82" s="663"/>
      <c r="AM82" s="659"/>
      <c r="AN82" s="565"/>
      <c r="AO82" s="659"/>
      <c r="AP82" s="659"/>
      <c r="AQ82" s="565"/>
      <c r="AR82" s="561">
        <f t="shared" si="13"/>
        <v>0</v>
      </c>
      <c r="AS82" s="561">
        <f t="shared" si="13"/>
        <v>-19.446999999999999</v>
      </c>
      <c r="AT82" s="565" t="str">
        <f t="shared" si="10"/>
        <v xml:space="preserve">    ---- </v>
      </c>
      <c r="AU82" s="638"/>
      <c r="AV82" s="638"/>
      <c r="AW82" s="633"/>
      <c r="AX82" s="633"/>
    </row>
    <row r="83" spans="1:50" s="660" customFormat="1" ht="18.75" customHeight="1" x14ac:dyDescent="0.3">
      <c r="A83" s="507" t="s">
        <v>458</v>
      </c>
      <c r="B83" s="663"/>
      <c r="C83" s="659"/>
      <c r="D83" s="659"/>
      <c r="E83" s="663"/>
      <c r="F83" s="659"/>
      <c r="G83" s="565"/>
      <c r="H83" s="663"/>
      <c r="I83" s="664"/>
      <c r="J83" s="565"/>
      <c r="K83" s="663"/>
      <c r="L83" s="659"/>
      <c r="M83" s="659"/>
      <c r="N83" s="663"/>
      <c r="O83" s="659"/>
      <c r="P83" s="565"/>
      <c r="Q83" s="663"/>
      <c r="R83" s="659"/>
      <c r="S83" s="565"/>
      <c r="T83" s="663"/>
      <c r="U83" s="664"/>
      <c r="V83" s="565"/>
      <c r="W83" s="663"/>
      <c r="X83" s="664"/>
      <c r="Y83" s="565"/>
      <c r="Z83" s="663"/>
      <c r="AA83" s="659"/>
      <c r="AB83" s="565"/>
      <c r="AC83" s="663"/>
      <c r="AD83" s="659"/>
      <c r="AE83" s="565"/>
      <c r="AF83" s="663"/>
      <c r="AG83" s="659"/>
      <c r="AH83" s="565"/>
      <c r="AI83" s="663"/>
      <c r="AJ83" s="659"/>
      <c r="AK83" s="565"/>
      <c r="AL83" s="663"/>
      <c r="AM83" s="659"/>
      <c r="AN83" s="565"/>
      <c r="AO83" s="659"/>
      <c r="AP83" s="659"/>
      <c r="AQ83" s="565"/>
      <c r="AR83" s="561"/>
      <c r="AS83" s="561"/>
      <c r="AT83" s="565"/>
      <c r="AU83" s="638"/>
      <c r="AV83" s="638"/>
      <c r="AW83" s="633"/>
      <c r="AX83" s="633"/>
    </row>
    <row r="84" spans="1:50" s="660" customFormat="1" ht="18.75" customHeight="1" x14ac:dyDescent="0.3">
      <c r="A84" s="509" t="s">
        <v>432</v>
      </c>
      <c r="B84" s="663"/>
      <c r="C84" s="659"/>
      <c r="D84" s="659"/>
      <c r="E84" s="663">
        <v>1347.624</v>
      </c>
      <c r="F84" s="659">
        <v>1165.32</v>
      </c>
      <c r="G84" s="565">
        <f>IF(E84=0, "    ---- ", IF(ABS(ROUND(100/E84*F84-100,1))&lt;999,ROUND(100/E84*F84-100,1),IF(ROUND(100/E84*F84-100,1)&gt;999,999,-999)))</f>
        <v>-13.5</v>
      </c>
      <c r="H84" s="663"/>
      <c r="I84" s="664"/>
      <c r="J84" s="565"/>
      <c r="K84" s="663">
        <v>61.832999999999998</v>
      </c>
      <c r="L84" s="659">
        <v>30.452999999999999</v>
      </c>
      <c r="M84" s="659">
        <f>IF(K84=0, "    ---- ", IF(ABS(ROUND(100/K84*L84-100,1))&lt;999,ROUND(100/K84*L84-100,1),IF(ROUND(100/K84*L84-100,1)&gt;999,999,-999)))</f>
        <v>-50.7</v>
      </c>
      <c r="N84" s="663"/>
      <c r="O84" s="659"/>
      <c r="P84" s="565"/>
      <c r="Q84" s="663"/>
      <c r="R84" s="659"/>
      <c r="S84" s="565"/>
      <c r="T84" s="663">
        <v>5</v>
      </c>
      <c r="U84" s="664">
        <v>14</v>
      </c>
      <c r="V84" s="565"/>
      <c r="W84" s="663">
        <v>220</v>
      </c>
      <c r="X84" s="664">
        <v>267.79804356099999</v>
      </c>
      <c r="Y84" s="565">
        <f>IF(W84=0, "    ---- ", IF(ABS(ROUND(100/W84*X84-100,1))&lt;999,ROUND(100/W84*X84-100,1),IF(ROUND(100/W84*X84-100,1)&gt;999,999,-999)))</f>
        <v>21.7</v>
      </c>
      <c r="Z84" s="663"/>
      <c r="AA84" s="659"/>
      <c r="AB84" s="565"/>
      <c r="AC84" s="663"/>
      <c r="AD84" s="659"/>
      <c r="AE84" s="565"/>
      <c r="AF84" s="663">
        <v>169.971</v>
      </c>
      <c r="AG84" s="659"/>
      <c r="AH84" s="565">
        <f>IF(AF84=0, "    ---- ", IF(ABS(ROUND(100/AF84*AG84-100,1))&lt;999,ROUND(100/AF84*AG84-100,1),IF(ROUND(100/AF84*AG84-100,1)&gt;999,999,-999)))</f>
        <v>-100</v>
      </c>
      <c r="AI84" s="663">
        <v>-33.475000000000001</v>
      </c>
      <c r="AJ84" s="659">
        <v>54.863999999999997</v>
      </c>
      <c r="AK84" s="565">
        <f>IF(AI84=0, "    ---- ", IF(ABS(ROUND(100/AI84*AJ84-100,1))&lt;999,ROUND(100/AI84*AJ84-100,1),IF(ROUND(100/AI84*AJ84-100,1)&gt;999,999,-999)))</f>
        <v>-263.89999999999998</v>
      </c>
      <c r="AL84" s="663">
        <v>1480</v>
      </c>
      <c r="AM84" s="659">
        <v>2365.4</v>
      </c>
      <c r="AN84" s="565">
        <f>IF(AL84=0, "    ---- ", IF(ABS(ROUND(100/AL84*AM84-100,1))&lt;999,ROUND(100/AL84*AM84-100,1),IF(ROUND(100/AL84*AM84-100,1)&gt;999,999,-999)))</f>
        <v>59.8</v>
      </c>
      <c r="AO84" s="659">
        <f t="shared" si="6"/>
        <v>3250.9530000000004</v>
      </c>
      <c r="AP84" s="659">
        <f t="shared" si="6"/>
        <v>3897.835043561</v>
      </c>
      <c r="AQ84" s="565">
        <f t="shared" si="9"/>
        <v>19.899999999999999</v>
      </c>
      <c r="AR84" s="659">
        <f t="shared" si="7"/>
        <v>3250.9530000000004</v>
      </c>
      <c r="AS84" s="659">
        <f t="shared" si="7"/>
        <v>3897.835043561</v>
      </c>
      <c r="AT84" s="565">
        <f t="shared" si="10"/>
        <v>19.899999999999999</v>
      </c>
      <c r="AU84" s="638"/>
      <c r="AV84" s="638"/>
      <c r="AW84" s="633"/>
      <c r="AX84" s="633"/>
    </row>
    <row r="85" spans="1:50" s="660" customFormat="1" ht="18.75" customHeight="1" x14ac:dyDescent="0.3">
      <c r="A85" s="509" t="s">
        <v>433</v>
      </c>
      <c r="B85" s="663"/>
      <c r="C85" s="659"/>
      <c r="D85" s="659"/>
      <c r="E85" s="663">
        <v>-275.57</v>
      </c>
      <c r="F85" s="659">
        <v>-363.952</v>
      </c>
      <c r="G85" s="565"/>
      <c r="H85" s="663"/>
      <c r="I85" s="664"/>
      <c r="J85" s="565"/>
      <c r="K85" s="663"/>
      <c r="L85" s="659"/>
      <c r="M85" s="659"/>
      <c r="N85" s="663"/>
      <c r="O85" s="659"/>
      <c r="P85" s="565"/>
      <c r="Q85" s="663"/>
      <c r="R85" s="659"/>
      <c r="S85" s="565"/>
      <c r="T85" s="663">
        <v>-1</v>
      </c>
      <c r="U85" s="664">
        <v>-5</v>
      </c>
      <c r="V85" s="565"/>
      <c r="W85" s="663">
        <v>-38</v>
      </c>
      <c r="X85" s="664">
        <v>-78.026010999999997</v>
      </c>
      <c r="Y85" s="565">
        <f>IF(W85=0, "    ---- ", IF(ABS(ROUND(100/W85*X85-100,1))&lt;999,ROUND(100/W85*X85-100,1),IF(ROUND(100/W85*X85-100,1)&gt;999,999,-999)))</f>
        <v>105.3</v>
      </c>
      <c r="Z85" s="663"/>
      <c r="AA85" s="659"/>
      <c r="AB85" s="565"/>
      <c r="AC85" s="663"/>
      <c r="AD85" s="659"/>
      <c r="AE85" s="565"/>
      <c r="AF85" s="663"/>
      <c r="AG85" s="659"/>
      <c r="AH85" s="565"/>
      <c r="AI85" s="663">
        <v>29.64</v>
      </c>
      <c r="AJ85" s="659">
        <v>-22.068999999999999</v>
      </c>
      <c r="AK85" s="565">
        <f>IF(AI85=0, "    ---- ", IF(ABS(ROUND(100/AI85*AJ85-100,1))&lt;999,ROUND(100/AI85*AJ85-100,1),IF(ROUND(100/AI85*AJ85-100,1)&gt;999,999,-999)))</f>
        <v>-174.5</v>
      </c>
      <c r="AL85" s="663">
        <v>30</v>
      </c>
      <c r="AM85" s="659"/>
      <c r="AN85" s="565">
        <f>IF(AL85=0, "    ---- ", IF(ABS(ROUND(100/AL85*AM85-100,1))&lt;999,ROUND(100/AL85*AM85-100,1),IF(ROUND(100/AL85*AM85-100,1)&gt;999,999,-999)))</f>
        <v>-100</v>
      </c>
      <c r="AO85" s="659">
        <f t="shared" si="6"/>
        <v>-254.93</v>
      </c>
      <c r="AP85" s="659">
        <f t="shared" si="6"/>
        <v>-469.047011</v>
      </c>
      <c r="AQ85" s="565">
        <f t="shared" si="9"/>
        <v>84</v>
      </c>
      <c r="AR85" s="659">
        <f t="shared" si="7"/>
        <v>-254.93</v>
      </c>
      <c r="AS85" s="659">
        <f t="shared" si="7"/>
        <v>-469.047011</v>
      </c>
      <c r="AT85" s="565">
        <f t="shared" si="10"/>
        <v>84</v>
      </c>
      <c r="AU85" s="638"/>
      <c r="AV85" s="638"/>
      <c r="AW85" s="633"/>
      <c r="AX85" s="633"/>
    </row>
    <row r="86" spans="1:50" s="660" customFormat="1" ht="18.75" customHeight="1" x14ac:dyDescent="0.3">
      <c r="A86" s="509" t="s">
        <v>434</v>
      </c>
      <c r="B86" s="663"/>
      <c r="C86" s="659"/>
      <c r="D86" s="659"/>
      <c r="E86" s="663">
        <v>123.27500000000001</v>
      </c>
      <c r="F86" s="659">
        <v>133.846</v>
      </c>
      <c r="G86" s="565">
        <f>IF(E86=0, "    ---- ", IF(ABS(ROUND(100/E86*F86-100,1))&lt;999,ROUND(100/E86*F86-100,1),IF(ROUND(100/E86*F86-100,1)&gt;999,999,-999)))</f>
        <v>8.6</v>
      </c>
      <c r="H86" s="663"/>
      <c r="I86" s="664"/>
      <c r="J86" s="565"/>
      <c r="K86" s="663">
        <v>-17.253</v>
      </c>
      <c r="L86" s="659">
        <v>-8.3870000000000005</v>
      </c>
      <c r="M86" s="659">
        <f>IF(K86=0, "    ---- ", IF(ABS(ROUND(100/K86*L86-100,1))&lt;999,ROUND(100/K86*L86-100,1),IF(ROUND(100/K86*L86-100,1)&gt;999,999,-999)))</f>
        <v>-51.4</v>
      </c>
      <c r="N86" s="663"/>
      <c r="O86" s="659"/>
      <c r="P86" s="565"/>
      <c r="Q86" s="663"/>
      <c r="R86" s="659"/>
      <c r="S86" s="565"/>
      <c r="T86" s="663">
        <v>-2</v>
      </c>
      <c r="U86" s="664">
        <v>-7</v>
      </c>
      <c r="V86" s="565"/>
      <c r="W86" s="663">
        <v>16</v>
      </c>
      <c r="X86" s="664">
        <v>3.8090719609999999</v>
      </c>
      <c r="Y86" s="565">
        <f>IF(W86=0, "    ---- ", IF(ABS(ROUND(100/W86*X86-100,1))&lt;999,ROUND(100/W86*X86-100,1),IF(ROUND(100/W86*X86-100,1)&gt;999,999,-999)))</f>
        <v>-76.2</v>
      </c>
      <c r="Z86" s="663"/>
      <c r="AA86" s="659"/>
      <c r="AB86" s="565"/>
      <c r="AC86" s="663"/>
      <c r="AD86" s="659"/>
      <c r="AE86" s="565"/>
      <c r="AF86" s="663">
        <v>-9.9290000000000003</v>
      </c>
      <c r="AG86" s="659"/>
      <c r="AH86" s="565">
        <f>IF(AF86=0, "    ---- ", IF(ABS(ROUND(100/AF86*AG86-100,1))&lt;999,ROUND(100/AF86*AG86-100,1),IF(ROUND(100/AF86*AG86-100,1)&gt;999,999,-999)))</f>
        <v>-100</v>
      </c>
      <c r="AI86" s="663">
        <v>-4.7750000000000004</v>
      </c>
      <c r="AJ86" s="659">
        <v>-2.3340000000000001</v>
      </c>
      <c r="AK86" s="565">
        <f>IF(AI86=0, "    ---- ", IF(ABS(ROUND(100/AI86*AJ86-100,1))&lt;999,ROUND(100/AI86*AJ86-100,1),IF(ROUND(100/AI86*AJ86-100,1)&gt;999,999,-999)))</f>
        <v>-51.1</v>
      </c>
      <c r="AL86" s="663">
        <v>-47</v>
      </c>
      <c r="AM86" s="659">
        <v>48.9</v>
      </c>
      <c r="AN86" s="565">
        <f>IF(AL86=0, "    ---- ", IF(ABS(ROUND(100/AL86*AM86-100,1))&lt;999,ROUND(100/AL86*AM86-100,1),IF(ROUND(100/AL86*AM86-100,1)&gt;999,999,-999)))</f>
        <v>-204</v>
      </c>
      <c r="AO86" s="659">
        <f t="shared" si="6"/>
        <v>58.317999999999998</v>
      </c>
      <c r="AP86" s="659">
        <f t="shared" si="6"/>
        <v>168.83407196100001</v>
      </c>
      <c r="AQ86" s="565">
        <f t="shared" si="9"/>
        <v>189.5</v>
      </c>
      <c r="AR86" s="659">
        <f t="shared" si="7"/>
        <v>58.317999999999998</v>
      </c>
      <c r="AS86" s="659">
        <f t="shared" si="7"/>
        <v>168.83407196100001</v>
      </c>
      <c r="AT86" s="565">
        <f t="shared" si="10"/>
        <v>189.5</v>
      </c>
      <c r="AU86" s="638"/>
      <c r="AV86" s="638"/>
      <c r="AW86" s="633"/>
      <c r="AX86" s="633"/>
    </row>
    <row r="87" spans="1:50" s="660" customFormat="1" ht="18.75" customHeight="1" x14ac:dyDescent="0.3">
      <c r="A87" s="509" t="s">
        <v>435</v>
      </c>
      <c r="B87" s="663"/>
      <c r="C87" s="659"/>
      <c r="D87" s="659"/>
      <c r="E87" s="663"/>
      <c r="F87" s="659"/>
      <c r="G87" s="565"/>
      <c r="H87" s="663"/>
      <c r="I87" s="664"/>
      <c r="J87" s="565"/>
      <c r="K87" s="663"/>
      <c r="L87" s="659"/>
      <c r="M87" s="659"/>
      <c r="N87" s="663"/>
      <c r="O87" s="659"/>
      <c r="P87" s="565"/>
      <c r="Q87" s="663"/>
      <c r="R87" s="659"/>
      <c r="S87" s="565"/>
      <c r="T87" s="663"/>
      <c r="U87" s="664"/>
      <c r="V87" s="565"/>
      <c r="W87" s="663"/>
      <c r="X87" s="664"/>
      <c r="Y87" s="565"/>
      <c r="Z87" s="663"/>
      <c r="AA87" s="659"/>
      <c r="AB87" s="565"/>
      <c r="AC87" s="663"/>
      <c r="AD87" s="659"/>
      <c r="AE87" s="565"/>
      <c r="AF87" s="663"/>
      <c r="AG87" s="659"/>
      <c r="AH87" s="565"/>
      <c r="AI87" s="663"/>
      <c r="AJ87" s="659"/>
      <c r="AK87" s="565"/>
      <c r="AL87" s="663"/>
      <c r="AM87" s="659"/>
      <c r="AN87" s="565"/>
      <c r="AO87" s="659">
        <f t="shared" si="6"/>
        <v>0</v>
      </c>
      <c r="AP87" s="659">
        <f t="shared" si="6"/>
        <v>0</v>
      </c>
      <c r="AQ87" s="565" t="str">
        <f t="shared" si="9"/>
        <v xml:space="preserve">    ---- </v>
      </c>
      <c r="AR87" s="659">
        <f t="shared" si="7"/>
        <v>0</v>
      </c>
      <c r="AS87" s="659">
        <f t="shared" si="7"/>
        <v>0</v>
      </c>
      <c r="AT87" s="565" t="str">
        <f t="shared" si="10"/>
        <v xml:space="preserve">    ---- </v>
      </c>
      <c r="AU87" s="638"/>
      <c r="AV87" s="638"/>
      <c r="AW87" s="633"/>
      <c r="AX87" s="633"/>
    </row>
    <row r="88" spans="1:50" s="660" customFormat="1" ht="18.75" customHeight="1" x14ac:dyDescent="0.3">
      <c r="A88" s="509" t="s">
        <v>436</v>
      </c>
      <c r="B88" s="663"/>
      <c r="C88" s="659"/>
      <c r="D88" s="659"/>
      <c r="E88" s="663"/>
      <c r="F88" s="659"/>
      <c r="G88" s="565"/>
      <c r="H88" s="663"/>
      <c r="I88" s="664"/>
      <c r="J88" s="565"/>
      <c r="K88" s="663"/>
      <c r="L88" s="659"/>
      <c r="M88" s="659"/>
      <c r="N88" s="663"/>
      <c r="O88" s="659"/>
      <c r="P88" s="565"/>
      <c r="Q88" s="663"/>
      <c r="R88" s="659"/>
      <c r="S88" s="565"/>
      <c r="T88" s="663"/>
      <c r="U88" s="664"/>
      <c r="V88" s="565"/>
      <c r="W88" s="663"/>
      <c r="X88" s="664"/>
      <c r="Y88" s="565"/>
      <c r="Z88" s="663"/>
      <c r="AA88" s="659"/>
      <c r="AB88" s="565"/>
      <c r="AC88" s="663"/>
      <c r="AD88" s="659"/>
      <c r="AE88" s="565"/>
      <c r="AF88" s="663"/>
      <c r="AG88" s="659"/>
      <c r="AH88" s="565"/>
      <c r="AI88" s="663"/>
      <c r="AJ88" s="659"/>
      <c r="AK88" s="565"/>
      <c r="AL88" s="663"/>
      <c r="AM88" s="659"/>
      <c r="AN88" s="565"/>
      <c r="AO88" s="659">
        <f t="shared" si="6"/>
        <v>0</v>
      </c>
      <c r="AP88" s="659">
        <f t="shared" si="6"/>
        <v>0</v>
      </c>
      <c r="AQ88" s="565" t="str">
        <f t="shared" si="9"/>
        <v xml:space="preserve">    ---- </v>
      </c>
      <c r="AR88" s="659">
        <f t="shared" si="7"/>
        <v>0</v>
      </c>
      <c r="AS88" s="659">
        <f t="shared" si="7"/>
        <v>0</v>
      </c>
      <c r="AT88" s="565" t="str">
        <f t="shared" si="10"/>
        <v xml:space="preserve">    ---- </v>
      </c>
      <c r="AU88" s="638"/>
      <c r="AV88" s="638"/>
      <c r="AW88" s="633"/>
      <c r="AX88" s="633"/>
    </row>
    <row r="89" spans="1:50" s="660" customFormat="1" ht="18.75" customHeight="1" x14ac:dyDescent="0.3">
      <c r="A89" s="509" t="s">
        <v>437</v>
      </c>
      <c r="B89" s="663"/>
      <c r="C89" s="659"/>
      <c r="D89" s="659"/>
      <c r="E89" s="663">
        <v>-0.96899999999999997</v>
      </c>
      <c r="F89" s="659">
        <v>159.12200000000001</v>
      </c>
      <c r="G89" s="565">
        <f t="shared" ref="G89:G94" si="14">IF(E89=0, "    ---- ", IF(ABS(ROUND(100/E89*F89-100,1))&lt;999,ROUND(100/E89*F89-100,1),IF(ROUND(100/E89*F89-100,1)&gt;999,999,-999)))</f>
        <v>-999</v>
      </c>
      <c r="H89" s="663"/>
      <c r="I89" s="664"/>
      <c r="J89" s="565"/>
      <c r="K89" s="663">
        <v>14.744</v>
      </c>
      <c r="L89" s="659">
        <v>5.0019999999999998</v>
      </c>
      <c r="M89" s="659">
        <f>IF(K89=0, "    ---- ", IF(ABS(ROUND(100/K89*L89-100,1))&lt;999,ROUND(100/K89*L89-100,1),IF(ROUND(100/K89*L89-100,1)&gt;999,999,-999)))</f>
        <v>-66.099999999999994</v>
      </c>
      <c r="N89" s="663"/>
      <c r="O89" s="659"/>
      <c r="P89" s="565"/>
      <c r="Q89" s="663"/>
      <c r="R89" s="659"/>
      <c r="S89" s="565"/>
      <c r="T89" s="663"/>
      <c r="U89" s="664"/>
      <c r="V89" s="565"/>
      <c r="W89" s="663">
        <v>48</v>
      </c>
      <c r="X89" s="664">
        <v>38.7525233</v>
      </c>
      <c r="Y89" s="565">
        <f t="shared" ref="Y89:Y94" si="15">IF(W89=0, "    ---- ", IF(ABS(ROUND(100/W89*X89-100,1))&lt;999,ROUND(100/W89*X89-100,1),IF(ROUND(100/W89*X89-100,1)&gt;999,999,-999)))</f>
        <v>-19.3</v>
      </c>
      <c r="Z89" s="663"/>
      <c r="AA89" s="659"/>
      <c r="AB89" s="565"/>
      <c r="AC89" s="663"/>
      <c r="AD89" s="659"/>
      <c r="AE89" s="565"/>
      <c r="AF89" s="663">
        <v>1.367</v>
      </c>
      <c r="AG89" s="659"/>
      <c r="AH89" s="565">
        <f>IF(AF89=0, "    ---- ", IF(ABS(ROUND(100/AF89*AG89-100,1))&lt;999,ROUND(100/AF89*AG89-100,1),IF(ROUND(100/AF89*AG89-100,1)&gt;999,999,-999)))</f>
        <v>-100</v>
      </c>
      <c r="AI89" s="663">
        <v>5.266</v>
      </c>
      <c r="AJ89" s="659">
        <v>25.789000000000001</v>
      </c>
      <c r="AK89" s="565">
        <f>IF(AI89=0, "    ---- ", IF(ABS(ROUND(100/AI89*AJ89-100,1))&lt;999,ROUND(100/AI89*AJ89-100,1),IF(ROUND(100/AI89*AJ89-100,1)&gt;999,999,-999)))</f>
        <v>389.7</v>
      </c>
      <c r="AL89" s="663">
        <v>49</v>
      </c>
      <c r="AM89" s="659">
        <v>0.9</v>
      </c>
      <c r="AN89" s="565">
        <f t="shared" ref="AN89:AN94" si="16">IF(AL89=0, "    ---- ", IF(ABS(ROUND(100/AL89*AM89-100,1))&lt;999,ROUND(100/AL89*AM89-100,1),IF(ROUND(100/AL89*AM89-100,1)&gt;999,999,-999)))</f>
        <v>-98.2</v>
      </c>
      <c r="AO89" s="659">
        <f t="shared" si="6"/>
        <v>117.408</v>
      </c>
      <c r="AP89" s="659">
        <f t="shared" si="6"/>
        <v>229.56552330000002</v>
      </c>
      <c r="AQ89" s="565">
        <f t="shared" si="9"/>
        <v>95.5</v>
      </c>
      <c r="AR89" s="659">
        <f t="shared" si="7"/>
        <v>117.408</v>
      </c>
      <c r="AS89" s="659">
        <f t="shared" si="7"/>
        <v>229.56552330000002</v>
      </c>
      <c r="AT89" s="565">
        <f t="shared" si="10"/>
        <v>95.5</v>
      </c>
      <c r="AU89" s="638"/>
      <c r="AV89" s="638"/>
      <c r="AW89" s="633"/>
      <c r="AX89" s="633"/>
    </row>
    <row r="90" spans="1:50" s="660" customFormat="1" ht="18.75" customHeight="1" x14ac:dyDescent="0.3">
      <c r="A90" s="509" t="s">
        <v>438</v>
      </c>
      <c r="B90" s="663"/>
      <c r="C90" s="659"/>
      <c r="D90" s="659"/>
      <c r="E90" s="663"/>
      <c r="F90" s="659"/>
      <c r="G90" s="565"/>
      <c r="H90" s="663"/>
      <c r="I90" s="664"/>
      <c r="J90" s="565"/>
      <c r="K90" s="663"/>
      <c r="L90" s="659"/>
      <c r="M90" s="659"/>
      <c r="N90" s="663"/>
      <c r="O90" s="659"/>
      <c r="P90" s="565"/>
      <c r="Q90" s="663"/>
      <c r="R90" s="659"/>
      <c r="S90" s="565"/>
      <c r="T90" s="663"/>
      <c r="U90" s="664"/>
      <c r="V90" s="565"/>
      <c r="W90" s="663">
        <v>97</v>
      </c>
      <c r="X90" s="664">
        <v>58</v>
      </c>
      <c r="Y90" s="565">
        <f t="shared" si="15"/>
        <v>-40.200000000000003</v>
      </c>
      <c r="Z90" s="663"/>
      <c r="AA90" s="659"/>
      <c r="AB90" s="565"/>
      <c r="AC90" s="663"/>
      <c r="AD90" s="659"/>
      <c r="AE90" s="565"/>
      <c r="AF90" s="663"/>
      <c r="AG90" s="659"/>
      <c r="AH90" s="565"/>
      <c r="AI90" s="663"/>
      <c r="AJ90" s="659"/>
      <c r="AK90" s="565"/>
      <c r="AL90" s="663">
        <v>51</v>
      </c>
      <c r="AM90" s="659"/>
      <c r="AN90" s="565">
        <f t="shared" si="16"/>
        <v>-100</v>
      </c>
      <c r="AO90" s="659">
        <f t="shared" si="6"/>
        <v>148</v>
      </c>
      <c r="AP90" s="659">
        <f t="shared" si="6"/>
        <v>58</v>
      </c>
      <c r="AQ90" s="565">
        <f t="shared" si="9"/>
        <v>-60.8</v>
      </c>
      <c r="AR90" s="659">
        <f t="shared" si="7"/>
        <v>148</v>
      </c>
      <c r="AS90" s="659">
        <f t="shared" si="7"/>
        <v>58</v>
      </c>
      <c r="AT90" s="565">
        <f t="shared" si="10"/>
        <v>-60.8</v>
      </c>
      <c r="AU90" s="638"/>
      <c r="AV90" s="638"/>
      <c r="AW90" s="633"/>
      <c r="AX90" s="633"/>
    </row>
    <row r="91" spans="1:50" s="660" customFormat="1" ht="18.75" customHeight="1" x14ac:dyDescent="0.3">
      <c r="A91" s="509" t="s">
        <v>439</v>
      </c>
      <c r="B91" s="663"/>
      <c r="C91" s="659"/>
      <c r="D91" s="659"/>
      <c r="E91" s="663"/>
      <c r="F91" s="659"/>
      <c r="G91" s="565"/>
      <c r="H91" s="663"/>
      <c r="I91" s="664"/>
      <c r="J91" s="565"/>
      <c r="K91" s="663"/>
      <c r="L91" s="659"/>
      <c r="M91" s="659"/>
      <c r="N91" s="663"/>
      <c r="O91" s="659"/>
      <c r="P91" s="565"/>
      <c r="Q91" s="663"/>
      <c r="R91" s="659"/>
      <c r="S91" s="565"/>
      <c r="T91" s="663">
        <v>-3</v>
      </c>
      <c r="U91" s="664">
        <v>-4</v>
      </c>
      <c r="V91" s="565"/>
      <c r="W91" s="663">
        <v>-302</v>
      </c>
      <c r="X91" s="664">
        <v>-286.77682700000003</v>
      </c>
      <c r="Y91" s="565">
        <f t="shared" si="15"/>
        <v>-5</v>
      </c>
      <c r="Z91" s="663"/>
      <c r="AA91" s="659"/>
      <c r="AB91" s="565"/>
      <c r="AC91" s="663"/>
      <c r="AD91" s="659"/>
      <c r="AE91" s="565"/>
      <c r="AF91" s="663">
        <v>13.728</v>
      </c>
      <c r="AG91" s="659"/>
      <c r="AH91" s="565">
        <f>IF(AF91=0, "    ---- ", IF(ABS(ROUND(100/AF91*AG91-100,1))&lt;999,ROUND(100/AF91*AG91-100,1),IF(ROUND(100/AF91*AG91-100,1)&gt;999,999,-999)))</f>
        <v>-100</v>
      </c>
      <c r="AI91" s="663">
        <v>-28.375</v>
      </c>
      <c r="AJ91" s="659">
        <f>-44.35-82.708</f>
        <v>-127.05799999999999</v>
      </c>
      <c r="AK91" s="565">
        <f>IF(AI91=0, "    ---- ", IF(ABS(ROUND(100/AI91*AJ91-100,1))&lt;999,ROUND(100/AI91*AJ91-100,1),IF(ROUND(100/AI91*AJ91-100,1)&gt;999,999,-999)))</f>
        <v>347.8</v>
      </c>
      <c r="AL91" s="663">
        <v>-2276</v>
      </c>
      <c r="AM91" s="659">
        <v>-28.2</v>
      </c>
      <c r="AN91" s="565">
        <f t="shared" si="16"/>
        <v>-98.8</v>
      </c>
      <c r="AO91" s="659">
        <f t="shared" si="6"/>
        <v>-2595.6469999999999</v>
      </c>
      <c r="AP91" s="659">
        <f t="shared" si="6"/>
        <v>-446.03482700000001</v>
      </c>
      <c r="AQ91" s="565">
        <f t="shared" si="9"/>
        <v>-82.8</v>
      </c>
      <c r="AR91" s="659">
        <f t="shared" si="7"/>
        <v>-2595.6469999999999</v>
      </c>
      <c r="AS91" s="659">
        <f t="shared" si="7"/>
        <v>-446.03482700000001</v>
      </c>
      <c r="AT91" s="565">
        <f t="shared" si="10"/>
        <v>-82.8</v>
      </c>
      <c r="AU91" s="638"/>
      <c r="AV91" s="638"/>
      <c r="AW91" s="633"/>
      <c r="AX91" s="633"/>
    </row>
    <row r="92" spans="1:50" s="662" customFormat="1" ht="18.75" customHeight="1" x14ac:dyDescent="0.3">
      <c r="A92" s="507" t="s">
        <v>440</v>
      </c>
      <c r="B92" s="665"/>
      <c r="C92" s="657"/>
      <c r="D92" s="657"/>
      <c r="E92" s="665">
        <v>1194.3600000000001</v>
      </c>
      <c r="F92" s="657">
        <f>SUM(F84:F89)+F91</f>
        <v>1094.336</v>
      </c>
      <c r="G92" s="658">
        <f t="shared" si="14"/>
        <v>-8.4</v>
      </c>
      <c r="H92" s="665"/>
      <c r="I92" s="666"/>
      <c r="J92" s="658"/>
      <c r="K92" s="665">
        <v>59.323999999999998</v>
      </c>
      <c r="L92" s="657">
        <f>SUM(L84:L89)+L91</f>
        <v>27.067999999999998</v>
      </c>
      <c r="M92" s="657">
        <f>IF(K92=0, "    ---- ", IF(ABS(ROUND(100/K92*L92-100,1))&lt;999,ROUND(100/K92*L92-100,1),IF(ROUND(100/K92*L92-100,1)&gt;999,999,-999)))</f>
        <v>-54.4</v>
      </c>
      <c r="N92" s="665"/>
      <c r="O92" s="657"/>
      <c r="P92" s="658"/>
      <c r="Q92" s="665"/>
      <c r="R92" s="657"/>
      <c r="S92" s="658"/>
      <c r="T92" s="665">
        <v>-1</v>
      </c>
      <c r="U92" s="666">
        <f>SUM(U84:U89)+U91</f>
        <v>-2</v>
      </c>
      <c r="V92" s="658"/>
      <c r="W92" s="665">
        <v>-56</v>
      </c>
      <c r="X92" s="666">
        <f>SUM(X84:X89)+X91</f>
        <v>-54.443199178000015</v>
      </c>
      <c r="Y92" s="658">
        <f t="shared" si="15"/>
        <v>-2.8</v>
      </c>
      <c r="Z92" s="665"/>
      <c r="AA92" s="657"/>
      <c r="AB92" s="658"/>
      <c r="AC92" s="665"/>
      <c r="AD92" s="657"/>
      <c r="AE92" s="658"/>
      <c r="AF92" s="665">
        <v>175.137</v>
      </c>
      <c r="AG92" s="657"/>
      <c r="AH92" s="658">
        <f>IF(AF92=0, "    ---- ", IF(ABS(ROUND(100/AF92*AG92-100,1))&lt;999,ROUND(100/AF92*AG92-100,1),IF(ROUND(100/AF92*AG92-100,1)&gt;999,999,-999)))</f>
        <v>-100</v>
      </c>
      <c r="AI92" s="665">
        <v>-31.719000000000001</v>
      </c>
      <c r="AJ92" s="657">
        <f>SUM(AJ84:AJ89)+AJ91</f>
        <v>-70.807999999999993</v>
      </c>
      <c r="AK92" s="658">
        <f>IF(AI92=0, "    ---- ", IF(ABS(ROUND(100/AI92*AJ92-100,1))&lt;999,ROUND(100/AI92*AJ92-100,1),IF(ROUND(100/AI92*AJ92-100,1)&gt;999,999,-999)))</f>
        <v>123.2</v>
      </c>
      <c r="AL92" s="665">
        <v>-764</v>
      </c>
      <c r="AM92" s="657">
        <f>SUM(AM84:AM89)+AM91</f>
        <v>2387.0000000000005</v>
      </c>
      <c r="AN92" s="658">
        <f t="shared" si="16"/>
        <v>-412.4</v>
      </c>
      <c r="AO92" s="657">
        <f t="shared" si="6"/>
        <v>576.10200000000009</v>
      </c>
      <c r="AP92" s="657">
        <f t="shared" si="6"/>
        <v>3381.1528008220002</v>
      </c>
      <c r="AQ92" s="658">
        <f t="shared" si="9"/>
        <v>486.9</v>
      </c>
      <c r="AR92" s="657">
        <f t="shared" si="7"/>
        <v>576.10200000000009</v>
      </c>
      <c r="AS92" s="657">
        <f t="shared" si="7"/>
        <v>3381.1528008220002</v>
      </c>
      <c r="AT92" s="658">
        <f t="shared" si="10"/>
        <v>486.9</v>
      </c>
      <c r="AU92" s="636"/>
      <c r="AV92" s="636"/>
      <c r="AW92" s="661"/>
      <c r="AX92" s="661"/>
    </row>
    <row r="93" spans="1:50" s="660" customFormat="1" ht="18.75" customHeight="1" x14ac:dyDescent="0.3">
      <c r="A93" s="509" t="s">
        <v>441</v>
      </c>
      <c r="B93" s="663"/>
      <c r="C93" s="659"/>
      <c r="D93" s="659"/>
      <c r="E93" s="663">
        <v>2425.5</v>
      </c>
      <c r="F93" s="659">
        <f>1134.426+32.312</f>
        <v>1166.7379999999998</v>
      </c>
      <c r="G93" s="565">
        <f t="shared" si="14"/>
        <v>-51.9</v>
      </c>
      <c r="H93" s="663"/>
      <c r="I93" s="664"/>
      <c r="J93" s="565"/>
      <c r="K93" s="663">
        <v>76.519000000000005</v>
      </c>
      <c r="L93" s="659">
        <v>36.1</v>
      </c>
      <c r="M93" s="659">
        <f>IF(K93=0, "    ---- ", IF(ABS(ROUND(100/K93*L93-100,1))&lt;999,ROUND(100/K93*L93-100,1),IF(ROUND(100/K93*L93-100,1)&gt;999,999,-999)))</f>
        <v>-52.8</v>
      </c>
      <c r="N93" s="663"/>
      <c r="O93" s="659"/>
      <c r="P93" s="565"/>
      <c r="Q93" s="663"/>
      <c r="R93" s="659"/>
      <c r="S93" s="565"/>
      <c r="T93" s="663">
        <v>1</v>
      </c>
      <c r="U93" s="664">
        <v>4</v>
      </c>
      <c r="V93" s="565"/>
      <c r="W93" s="663">
        <v>12</v>
      </c>
      <c r="X93" s="664">
        <v>7.9703174360000002</v>
      </c>
      <c r="Y93" s="565">
        <f t="shared" si="15"/>
        <v>-33.6</v>
      </c>
      <c r="Z93" s="663"/>
      <c r="AA93" s="659"/>
      <c r="AB93" s="565"/>
      <c r="AC93" s="663"/>
      <c r="AD93" s="659"/>
      <c r="AE93" s="565"/>
      <c r="AF93" s="663">
        <v>155.61699999999999</v>
      </c>
      <c r="AG93" s="659"/>
      <c r="AH93" s="565">
        <f>IF(AF93=0, "    ---- ", IF(ABS(ROUND(100/AF93*AG93-100,1))&lt;999,ROUND(100/AF93*AG93-100,1),IF(ROUND(100/AF93*AG93-100,1)&gt;999,999,-999)))</f>
        <v>-100</v>
      </c>
      <c r="AI93" s="663">
        <v>1.06</v>
      </c>
      <c r="AJ93" s="659">
        <v>7.7</v>
      </c>
      <c r="AK93" s="565">
        <f>IF(AI93=0, "    ---- ", IF(ABS(ROUND(100/AI93*AJ93-100,1))&lt;999,ROUND(100/AI93*AJ93-100,1),IF(ROUND(100/AI93*AJ93-100,1)&gt;999,999,-999)))</f>
        <v>626.4</v>
      </c>
      <c r="AL93" s="663">
        <v>166</v>
      </c>
      <c r="AM93" s="659">
        <v>2341</v>
      </c>
      <c r="AN93" s="565">
        <f t="shared" si="16"/>
        <v>999</v>
      </c>
      <c r="AO93" s="659">
        <f t="shared" si="6"/>
        <v>2837.6960000000004</v>
      </c>
      <c r="AP93" s="659">
        <f t="shared" si="6"/>
        <v>3563.5083174359997</v>
      </c>
      <c r="AQ93" s="565">
        <f t="shared" si="9"/>
        <v>25.6</v>
      </c>
      <c r="AR93" s="659">
        <f t="shared" si="7"/>
        <v>2837.6960000000004</v>
      </c>
      <c r="AS93" s="659">
        <f t="shared" si="7"/>
        <v>3563.5083174359997</v>
      </c>
      <c r="AT93" s="565">
        <f t="shared" si="10"/>
        <v>25.6</v>
      </c>
      <c r="AU93" s="638"/>
      <c r="AV93" s="638"/>
      <c r="AW93" s="633"/>
      <c r="AX93" s="633"/>
    </row>
    <row r="94" spans="1:50" s="660" customFormat="1" ht="18.75" customHeight="1" x14ac:dyDescent="0.3">
      <c r="A94" s="509" t="s">
        <v>442</v>
      </c>
      <c r="B94" s="663"/>
      <c r="C94" s="659"/>
      <c r="D94" s="659"/>
      <c r="E94" s="663">
        <v>-1231.1399999999999</v>
      </c>
      <c r="F94" s="659">
        <v>-72.402000000000001</v>
      </c>
      <c r="G94" s="565">
        <f t="shared" si="14"/>
        <v>-94.1</v>
      </c>
      <c r="H94" s="663"/>
      <c r="I94" s="664"/>
      <c r="J94" s="565"/>
      <c r="K94" s="663">
        <v>-17.195</v>
      </c>
      <c r="L94" s="659">
        <v>-9.0299999999999994</v>
      </c>
      <c r="M94" s="659">
        <f>IF(K94=0, "    ---- ", IF(ABS(ROUND(100/K94*L94-100,1))&lt;999,ROUND(100/K94*L94-100,1),IF(ROUND(100/K94*L94-100,1)&gt;999,999,-999)))</f>
        <v>-47.5</v>
      </c>
      <c r="N94" s="663"/>
      <c r="O94" s="659"/>
      <c r="P94" s="565"/>
      <c r="Q94" s="663"/>
      <c r="R94" s="659"/>
      <c r="S94" s="565"/>
      <c r="T94" s="663">
        <v>-2</v>
      </c>
      <c r="U94" s="664">
        <v>-6</v>
      </c>
      <c r="V94" s="565"/>
      <c r="W94" s="663">
        <v>-68</v>
      </c>
      <c r="X94" s="664">
        <v>-62.413516614000017</v>
      </c>
      <c r="Y94" s="565">
        <f t="shared" si="15"/>
        <v>-8.1999999999999993</v>
      </c>
      <c r="Z94" s="663"/>
      <c r="AA94" s="659"/>
      <c r="AB94" s="565"/>
      <c r="AC94" s="663"/>
      <c r="AD94" s="659"/>
      <c r="AE94" s="565"/>
      <c r="AF94" s="663">
        <v>19.52</v>
      </c>
      <c r="AG94" s="659"/>
      <c r="AH94" s="565">
        <f>IF(AF94=0, "    ---- ", IF(ABS(ROUND(100/AF94*AG94-100,1))&lt;999,ROUND(100/AF94*AG94-100,1),IF(ROUND(100/AF94*AG94-100,1)&gt;999,999,-999)))</f>
        <v>-100</v>
      </c>
      <c r="AI94" s="663">
        <v>-32.779000000000003</v>
      </c>
      <c r="AJ94" s="659">
        <v>-78.507999999999996</v>
      </c>
      <c r="AK94" s="565">
        <f>IF(AI94=0, "    ---- ", IF(ABS(ROUND(100/AI94*AJ94-100,1))&lt;999,ROUND(100/AI94*AJ94-100,1),IF(ROUND(100/AI94*AJ94-100,1)&gt;999,999,-999)))</f>
        <v>139.5</v>
      </c>
      <c r="AL94" s="663">
        <v>-930</v>
      </c>
      <c r="AM94" s="659">
        <v>46</v>
      </c>
      <c r="AN94" s="565">
        <f t="shared" si="16"/>
        <v>-104.9</v>
      </c>
      <c r="AO94" s="659">
        <f t="shared" si="6"/>
        <v>-2261.5940000000001</v>
      </c>
      <c r="AP94" s="659">
        <f t="shared" si="6"/>
        <v>-182.353516614</v>
      </c>
      <c r="AQ94" s="565">
        <f t="shared" si="9"/>
        <v>-91.9</v>
      </c>
      <c r="AR94" s="561">
        <f t="shared" si="7"/>
        <v>-2261.5940000000001</v>
      </c>
      <c r="AS94" s="561">
        <f t="shared" si="7"/>
        <v>-182.353516614</v>
      </c>
      <c r="AT94" s="565">
        <f t="shared" si="10"/>
        <v>-91.9</v>
      </c>
      <c r="AU94" s="638"/>
      <c r="AV94" s="638"/>
      <c r="AW94" s="633"/>
      <c r="AX94" s="633"/>
    </row>
    <row r="95" spans="1:50" s="660" customFormat="1" ht="18.75" customHeight="1" x14ac:dyDescent="0.3">
      <c r="A95" s="507" t="s">
        <v>459</v>
      </c>
      <c r="B95" s="663"/>
      <c r="C95" s="659"/>
      <c r="D95" s="659"/>
      <c r="E95" s="663"/>
      <c r="F95" s="659"/>
      <c r="G95" s="565"/>
      <c r="H95" s="663"/>
      <c r="I95" s="664"/>
      <c r="J95" s="565"/>
      <c r="K95" s="663"/>
      <c r="L95" s="659"/>
      <c r="M95" s="659"/>
      <c r="N95" s="663"/>
      <c r="O95" s="659"/>
      <c r="P95" s="565"/>
      <c r="Q95" s="663"/>
      <c r="R95" s="659"/>
      <c r="S95" s="565"/>
      <c r="T95" s="663"/>
      <c r="U95" s="664"/>
      <c r="V95" s="565"/>
      <c r="W95" s="663"/>
      <c r="X95" s="664"/>
      <c r="Y95" s="565"/>
      <c r="Z95" s="663"/>
      <c r="AA95" s="659"/>
      <c r="AB95" s="565"/>
      <c r="AC95" s="663"/>
      <c r="AD95" s="659"/>
      <c r="AE95" s="565"/>
      <c r="AF95" s="663"/>
      <c r="AG95" s="659"/>
      <c r="AH95" s="565"/>
      <c r="AI95" s="663"/>
      <c r="AJ95" s="659"/>
      <c r="AK95" s="565"/>
      <c r="AL95" s="663"/>
      <c r="AM95" s="659"/>
      <c r="AN95" s="565"/>
      <c r="AO95" s="659"/>
      <c r="AP95" s="659"/>
      <c r="AQ95" s="565"/>
      <c r="AR95" s="561"/>
      <c r="AS95" s="561"/>
      <c r="AT95" s="565"/>
      <c r="AU95" s="638"/>
      <c r="AV95" s="638"/>
      <c r="AW95" s="633"/>
      <c r="AX95" s="633"/>
    </row>
    <row r="96" spans="1:50" s="660" customFormat="1" ht="18.75" customHeight="1" x14ac:dyDescent="0.3">
      <c r="A96" s="509" t="s">
        <v>432</v>
      </c>
      <c r="B96" s="663"/>
      <c r="C96" s="659"/>
      <c r="D96" s="659"/>
      <c r="E96" s="663">
        <v>120</v>
      </c>
      <c r="F96" s="659">
        <v>82.775999999999996</v>
      </c>
      <c r="G96" s="565">
        <f>IF(E96=0, "    ---- ", IF(ABS(ROUND(100/E96*F96-100,1))&lt;999,ROUND(100/E96*F96-100,1),IF(ROUND(100/E96*F96-100,1)&gt;999,999,-999)))</f>
        <v>-31</v>
      </c>
      <c r="H96" s="663"/>
      <c r="I96" s="664"/>
      <c r="J96" s="565"/>
      <c r="K96" s="663"/>
      <c r="L96" s="659"/>
      <c r="M96" s="659"/>
      <c r="N96" s="663"/>
      <c r="O96" s="659"/>
      <c r="P96" s="565"/>
      <c r="Q96" s="663"/>
      <c r="R96" s="659"/>
      <c r="S96" s="565"/>
      <c r="T96" s="663">
        <v>2</v>
      </c>
      <c r="U96" s="664">
        <v>3</v>
      </c>
      <c r="V96" s="565"/>
      <c r="W96" s="663">
        <v>19</v>
      </c>
      <c r="X96" s="664">
        <v>26.692166474</v>
      </c>
      <c r="Y96" s="565">
        <f>IF(W96=0, "    ---- ", IF(ABS(ROUND(100/W96*X96-100,1))&lt;999,ROUND(100/W96*X96-100,1),IF(ROUND(100/W96*X96-100,1)&gt;999,999,-999)))</f>
        <v>40.5</v>
      </c>
      <c r="Z96" s="663"/>
      <c r="AA96" s="659"/>
      <c r="AB96" s="565"/>
      <c r="AC96" s="663"/>
      <c r="AD96" s="659"/>
      <c r="AE96" s="565"/>
      <c r="AF96" s="663"/>
      <c r="AG96" s="659"/>
      <c r="AH96" s="565"/>
      <c r="AI96" s="663">
        <v>2.1909999999999998</v>
      </c>
      <c r="AJ96" s="659">
        <f>1.104+11.034</f>
        <v>12.138000000000002</v>
      </c>
      <c r="AK96" s="565">
        <f>IF(AI96=0, "    ---- ", IF(ABS(ROUND(100/AI96*AJ96-100,1))&lt;999,ROUND(100/AI96*AJ96-100,1),IF(ROUND(100/AI96*AJ96-100,1)&gt;999,999,-999)))</f>
        <v>454</v>
      </c>
      <c r="AL96" s="663">
        <v>70</v>
      </c>
      <c r="AM96" s="659">
        <v>63</v>
      </c>
      <c r="AN96" s="565">
        <f>IF(AL96=0, "    ---- ", IF(ABS(ROUND(100/AL96*AM96-100,1))&lt;999,ROUND(100/AL96*AM96-100,1),IF(ROUND(100/AL96*AM96-100,1)&gt;999,999,-999)))</f>
        <v>-10</v>
      </c>
      <c r="AO96" s="659">
        <f t="shared" si="6"/>
        <v>213.191</v>
      </c>
      <c r="AP96" s="659">
        <f t="shared" si="6"/>
        <v>187.60616647400002</v>
      </c>
      <c r="AQ96" s="565">
        <f t="shared" si="9"/>
        <v>-12</v>
      </c>
      <c r="AR96" s="561">
        <f t="shared" si="7"/>
        <v>213.191</v>
      </c>
      <c r="AS96" s="561">
        <f t="shared" si="7"/>
        <v>187.60616647400002</v>
      </c>
      <c r="AT96" s="565">
        <f t="shared" si="10"/>
        <v>-12</v>
      </c>
      <c r="AU96" s="638"/>
      <c r="AV96" s="638"/>
      <c r="AW96" s="633"/>
      <c r="AX96" s="633"/>
    </row>
    <row r="97" spans="1:50" s="660" customFormat="1" ht="18.75" customHeight="1" x14ac:dyDescent="0.3">
      <c r="A97" s="509" t="s">
        <v>433</v>
      </c>
      <c r="B97" s="663"/>
      <c r="C97" s="659"/>
      <c r="D97" s="659"/>
      <c r="E97" s="663">
        <v>-15</v>
      </c>
      <c r="F97" s="659">
        <v>-6.6</v>
      </c>
      <c r="G97" s="565">
        <f>IF(E97=0, "    ---- ", IF(ABS(ROUND(100/E97*F97-100,1))&lt;999,ROUND(100/E97*F97-100,1),IF(ROUND(100/E97*F97-100,1)&gt;999,999,-999)))</f>
        <v>-56</v>
      </c>
      <c r="H97" s="663"/>
      <c r="I97" s="664"/>
      <c r="J97" s="565"/>
      <c r="K97" s="663"/>
      <c r="L97" s="659"/>
      <c r="M97" s="659"/>
      <c r="N97" s="663"/>
      <c r="O97" s="659"/>
      <c r="P97" s="565"/>
      <c r="Q97" s="663"/>
      <c r="R97" s="659"/>
      <c r="S97" s="565"/>
      <c r="T97" s="663">
        <v>-2</v>
      </c>
      <c r="U97" s="664">
        <v>-7</v>
      </c>
      <c r="V97" s="565"/>
      <c r="W97" s="663"/>
      <c r="X97" s="664"/>
      <c r="Y97" s="565"/>
      <c r="Z97" s="663"/>
      <c r="AA97" s="659"/>
      <c r="AB97" s="565"/>
      <c r="AC97" s="663"/>
      <c r="AD97" s="659"/>
      <c r="AE97" s="565"/>
      <c r="AF97" s="663"/>
      <c r="AG97" s="659"/>
      <c r="AH97" s="565"/>
      <c r="AI97" s="663"/>
      <c r="AJ97" s="659"/>
      <c r="AK97" s="565"/>
      <c r="AL97" s="663"/>
      <c r="AM97" s="659"/>
      <c r="AN97" s="565"/>
      <c r="AO97" s="659">
        <f t="shared" si="6"/>
        <v>-17</v>
      </c>
      <c r="AP97" s="659">
        <f t="shared" si="6"/>
        <v>-13.6</v>
      </c>
      <c r="AQ97" s="565">
        <f t="shared" si="9"/>
        <v>-20</v>
      </c>
      <c r="AR97" s="561">
        <f t="shared" si="7"/>
        <v>-17</v>
      </c>
      <c r="AS97" s="561">
        <f t="shared" si="7"/>
        <v>-13.6</v>
      </c>
      <c r="AT97" s="565">
        <f t="shared" si="10"/>
        <v>-20</v>
      </c>
      <c r="AU97" s="638"/>
      <c r="AV97" s="638"/>
      <c r="AW97" s="633"/>
      <c r="AX97" s="633"/>
    </row>
    <row r="98" spans="1:50" s="660" customFormat="1" ht="18.75" customHeight="1" x14ac:dyDescent="0.3">
      <c r="A98" s="509" t="s">
        <v>434</v>
      </c>
      <c r="B98" s="663">
        <v>-4.4260000000000002</v>
      </c>
      <c r="C98" s="659">
        <v>-8.7629999999999999</v>
      </c>
      <c r="D98" s="565">
        <f>IF(B98=0, "    ---- ", IF(ABS(ROUND(100/B98*C98-100,1))&lt;999,ROUND(100/B98*C98-100,1),IF(ROUND(100/B98*C98-100,1)&gt;999,999,-999)))</f>
        <v>98</v>
      </c>
      <c r="E98" s="663">
        <v>-15.515000000000001</v>
      </c>
      <c r="F98" s="659">
        <v>8.5833999999999993</v>
      </c>
      <c r="G98" s="565">
        <f>IF(E98=0, "    ---- ", IF(ABS(ROUND(100/E98*F98-100,1))&lt;999,ROUND(100/E98*F98-100,1),IF(ROUND(100/E98*F98-100,1)&gt;999,999,-999)))</f>
        <v>-155.30000000000001</v>
      </c>
      <c r="H98" s="663"/>
      <c r="I98" s="664"/>
      <c r="J98" s="565"/>
      <c r="K98" s="663"/>
      <c r="L98" s="659"/>
      <c r="M98" s="659"/>
      <c r="N98" s="663"/>
      <c r="O98" s="659"/>
      <c r="P98" s="565"/>
      <c r="Q98" s="663"/>
      <c r="R98" s="659"/>
      <c r="S98" s="565"/>
      <c r="T98" s="663">
        <v>-1</v>
      </c>
      <c r="U98" s="664">
        <v>1</v>
      </c>
      <c r="V98" s="565"/>
      <c r="W98" s="663">
        <v>9</v>
      </c>
      <c r="X98" s="664">
        <v>3.0915953460000001</v>
      </c>
      <c r="Y98" s="565">
        <f>IF(W98=0, "    ---- ", IF(ABS(ROUND(100/W98*X98-100,1))&lt;999,ROUND(100/W98*X98-100,1),IF(ROUND(100/W98*X98-100,1)&gt;999,999,-999)))</f>
        <v>-65.599999999999994</v>
      </c>
      <c r="Z98" s="663"/>
      <c r="AA98" s="659"/>
      <c r="AB98" s="565"/>
      <c r="AC98" s="663"/>
      <c r="AD98" s="659"/>
      <c r="AE98" s="565"/>
      <c r="AF98" s="663"/>
      <c r="AG98" s="659"/>
      <c r="AH98" s="565"/>
      <c r="AI98" s="663">
        <v>-18.023</v>
      </c>
      <c r="AJ98" s="659">
        <f>-0.047-36.191</f>
        <v>-36.238</v>
      </c>
      <c r="AK98" s="565">
        <f>IF(AI98=0, "    ---- ", IF(ABS(ROUND(100/AI98*AJ98-100,1))&lt;999,ROUND(100/AI98*AJ98-100,1),IF(ROUND(100/AI98*AJ98-100,1)&gt;999,999,-999)))</f>
        <v>101.1</v>
      </c>
      <c r="AL98" s="663">
        <v>7</v>
      </c>
      <c r="AM98" s="659">
        <v>21</v>
      </c>
      <c r="AN98" s="565">
        <f>IF(AL98=0, "    ---- ", IF(ABS(ROUND(100/AL98*AM98-100,1))&lt;999,ROUND(100/AL98*AM98-100,1),IF(ROUND(100/AL98*AM98-100,1)&gt;999,999,-999)))</f>
        <v>200</v>
      </c>
      <c r="AO98" s="659">
        <f t="shared" si="6"/>
        <v>-22.964000000000002</v>
      </c>
      <c r="AP98" s="659">
        <f t="shared" si="6"/>
        <v>-11.326004654000002</v>
      </c>
      <c r="AQ98" s="565">
        <f t="shared" si="9"/>
        <v>-50.7</v>
      </c>
      <c r="AR98" s="561">
        <f t="shared" si="7"/>
        <v>-22.964000000000002</v>
      </c>
      <c r="AS98" s="561">
        <f t="shared" si="7"/>
        <v>-11.326004654000002</v>
      </c>
      <c r="AT98" s="565">
        <f t="shared" si="10"/>
        <v>-50.7</v>
      </c>
      <c r="AU98" s="638"/>
      <c r="AV98" s="638"/>
      <c r="AW98" s="633"/>
      <c r="AX98" s="633"/>
    </row>
    <row r="99" spans="1:50" s="660" customFormat="1" ht="18.75" customHeight="1" x14ac:dyDescent="0.3">
      <c r="A99" s="509" t="s">
        <v>435</v>
      </c>
      <c r="B99" s="663"/>
      <c r="C99" s="659"/>
      <c r="D99" s="659"/>
      <c r="E99" s="663">
        <v>7.2409999999999997</v>
      </c>
      <c r="F99" s="659">
        <v>3.2130000000000001</v>
      </c>
      <c r="G99" s="565">
        <f>IF(E99=0, "    ---- ", IF(ABS(ROUND(100/E99*F99-100,1))&lt;999,ROUND(100/E99*F99-100,1),IF(ROUND(100/E99*F99-100,1)&gt;999,999,-999)))</f>
        <v>-55.6</v>
      </c>
      <c r="H99" s="663"/>
      <c r="I99" s="664"/>
      <c r="J99" s="565"/>
      <c r="K99" s="663"/>
      <c r="L99" s="659"/>
      <c r="M99" s="659"/>
      <c r="N99" s="663"/>
      <c r="O99" s="659"/>
      <c r="P99" s="565"/>
      <c r="Q99" s="663"/>
      <c r="R99" s="659"/>
      <c r="S99" s="565"/>
      <c r="T99" s="663"/>
      <c r="U99" s="664">
        <v>2</v>
      </c>
      <c r="V99" s="565"/>
      <c r="W99" s="663"/>
      <c r="X99" s="664"/>
      <c r="Y99" s="565"/>
      <c r="Z99" s="663"/>
      <c r="AA99" s="659"/>
      <c r="AB99" s="565"/>
      <c r="AC99" s="663"/>
      <c r="AD99" s="659"/>
      <c r="AE99" s="565"/>
      <c r="AF99" s="663"/>
      <c r="AG99" s="659"/>
      <c r="AH99" s="565"/>
      <c r="AI99" s="663"/>
      <c r="AJ99" s="659"/>
      <c r="AK99" s="565"/>
      <c r="AL99" s="663">
        <v>27</v>
      </c>
      <c r="AM99" s="659">
        <v>24.5</v>
      </c>
      <c r="AN99" s="565">
        <f>IF(AL99=0, "    ---- ", IF(ABS(ROUND(100/AL99*AM99-100,1))&lt;999,ROUND(100/AL99*AM99-100,1),IF(ROUND(100/AL99*AM99-100,1)&gt;999,999,-999)))</f>
        <v>-9.3000000000000007</v>
      </c>
      <c r="AO99" s="659">
        <f t="shared" si="6"/>
        <v>34.241</v>
      </c>
      <c r="AP99" s="659">
        <f t="shared" si="6"/>
        <v>29.713000000000001</v>
      </c>
      <c r="AQ99" s="565">
        <f t="shared" si="9"/>
        <v>-13.2</v>
      </c>
      <c r="AR99" s="561">
        <f t="shared" si="7"/>
        <v>34.241</v>
      </c>
      <c r="AS99" s="561">
        <f t="shared" si="7"/>
        <v>29.713000000000001</v>
      </c>
      <c r="AT99" s="565">
        <f t="shared" si="10"/>
        <v>-13.2</v>
      </c>
      <c r="AU99" s="638"/>
      <c r="AV99" s="638"/>
      <c r="AW99" s="633"/>
      <c r="AX99" s="633"/>
    </row>
    <row r="100" spans="1:50" s="660" customFormat="1" ht="18.75" customHeight="1" x14ac:dyDescent="0.3">
      <c r="A100" s="509" t="s">
        <v>436</v>
      </c>
      <c r="B100" s="663"/>
      <c r="C100" s="659"/>
      <c r="D100" s="659"/>
      <c r="E100" s="663">
        <v>20.812999999999999</v>
      </c>
      <c r="F100" s="659">
        <v>22.14</v>
      </c>
      <c r="G100" s="565">
        <f t="shared" ref="G100:G106" si="17">IF(E100=0, "    ---- ", IF(ABS(ROUND(100/E100*F100-100,1))&lt;999,ROUND(100/E100*F100-100,1),IF(ROUND(100/E100*F100-100,1)&gt;999,999,-999)))</f>
        <v>6.4</v>
      </c>
      <c r="H100" s="663"/>
      <c r="I100" s="664"/>
      <c r="J100" s="565"/>
      <c r="K100" s="663"/>
      <c r="L100" s="659"/>
      <c r="M100" s="659"/>
      <c r="N100" s="663"/>
      <c r="O100" s="659"/>
      <c r="P100" s="565"/>
      <c r="Q100" s="663"/>
      <c r="R100" s="659"/>
      <c r="S100" s="565"/>
      <c r="T100" s="663"/>
      <c r="U100" s="664"/>
      <c r="V100" s="565"/>
      <c r="W100" s="663"/>
      <c r="X100" s="664"/>
      <c r="Y100" s="565"/>
      <c r="Z100" s="663"/>
      <c r="AA100" s="659"/>
      <c r="AB100" s="565"/>
      <c r="AC100" s="663"/>
      <c r="AD100" s="659"/>
      <c r="AE100" s="565"/>
      <c r="AF100" s="663"/>
      <c r="AG100" s="659"/>
      <c r="AH100" s="565"/>
      <c r="AI100" s="663"/>
      <c r="AJ100" s="659"/>
      <c r="AK100" s="565"/>
      <c r="AL100" s="663"/>
      <c r="AM100" s="659"/>
      <c r="AN100" s="565"/>
      <c r="AO100" s="659">
        <f t="shared" si="6"/>
        <v>20.812999999999999</v>
      </c>
      <c r="AP100" s="659">
        <f t="shared" si="6"/>
        <v>22.14</v>
      </c>
      <c r="AQ100" s="565">
        <f t="shared" si="9"/>
        <v>6.4</v>
      </c>
      <c r="AR100" s="659">
        <f t="shared" si="7"/>
        <v>20.812999999999999</v>
      </c>
      <c r="AS100" s="659">
        <f t="shared" si="7"/>
        <v>22.14</v>
      </c>
      <c r="AT100" s="565">
        <f t="shared" si="10"/>
        <v>6.4</v>
      </c>
      <c r="AU100" s="638"/>
      <c r="AV100" s="638"/>
      <c r="AW100" s="633"/>
      <c r="AX100" s="633"/>
    </row>
    <row r="101" spans="1:50" s="660" customFormat="1" ht="18.75" customHeight="1" x14ac:dyDescent="0.3">
      <c r="A101" s="509" t="s">
        <v>437</v>
      </c>
      <c r="B101" s="560">
        <v>24.314999999999998</v>
      </c>
      <c r="C101" s="561">
        <f>27.358-15.862</f>
        <v>11.496</v>
      </c>
      <c r="D101" s="565">
        <f>IF(B101=0, "    ---- ", IF(ABS(ROUND(100/B101*C101-100,1))&lt;999,ROUND(100/B101*C101-100,1),IF(ROUND(100/B101*C101-100,1)&gt;999,999,-999)))</f>
        <v>-52.7</v>
      </c>
      <c r="E101" s="560">
        <v>265.17</v>
      </c>
      <c r="F101" s="561">
        <v>122.8</v>
      </c>
      <c r="G101" s="565">
        <f t="shared" si="17"/>
        <v>-53.7</v>
      </c>
      <c r="H101" s="560"/>
      <c r="I101" s="561"/>
      <c r="J101" s="565"/>
      <c r="K101" s="560"/>
      <c r="L101" s="561"/>
      <c r="M101" s="659"/>
      <c r="N101" s="560"/>
      <c r="O101" s="561"/>
      <c r="P101" s="565"/>
      <c r="Q101" s="560"/>
      <c r="R101" s="561"/>
      <c r="S101" s="565"/>
      <c r="T101" s="560">
        <v>-1</v>
      </c>
      <c r="U101" s="561">
        <v>2</v>
      </c>
      <c r="V101" s="565"/>
      <c r="W101" s="560">
        <v>65</v>
      </c>
      <c r="X101" s="561">
        <v>-65.305108618999995</v>
      </c>
      <c r="Y101" s="565">
        <f t="shared" ref="Y101:Y106" si="18">IF(W101=0, "    ---- ", IF(ABS(ROUND(100/W101*X101-100,1))&lt;999,ROUND(100/W101*X101-100,1),IF(ROUND(100/W101*X101-100,1)&gt;999,999,-999)))</f>
        <v>-200.5</v>
      </c>
      <c r="Z101" s="560"/>
      <c r="AA101" s="561"/>
      <c r="AB101" s="565"/>
      <c r="AC101" s="560"/>
      <c r="AD101" s="561"/>
      <c r="AE101" s="565"/>
      <c r="AF101" s="560"/>
      <c r="AG101" s="561"/>
      <c r="AH101" s="565"/>
      <c r="AI101" s="560">
        <v>9.9429999999999996</v>
      </c>
      <c r="AJ101" s="561">
        <f>-3.259-2.256</f>
        <v>-5.5149999999999997</v>
      </c>
      <c r="AK101" s="565">
        <f t="shared" ref="AK101:AK106" si="19">IF(AI101=0, "    ---- ", IF(ABS(ROUND(100/AI101*AJ101-100,1))&lt;999,ROUND(100/AI101*AJ101-100,1),IF(ROUND(100/AI101*AJ101-100,1)&gt;999,999,-999)))</f>
        <v>-155.5</v>
      </c>
      <c r="AL101" s="560">
        <v>-194</v>
      </c>
      <c r="AM101" s="561">
        <v>-74.400000000000006</v>
      </c>
      <c r="AN101" s="565">
        <f t="shared" ref="AN101:AN106" si="20">IF(AL101=0, "    ---- ", IF(ABS(ROUND(100/AL101*AM101-100,1))&lt;999,ROUND(100/AL101*AM101-100,1),IF(ROUND(100/AL101*AM101-100,1)&gt;999,999,-999)))</f>
        <v>-61.6</v>
      </c>
      <c r="AO101" s="659">
        <f t="shared" ref="AO101:AP144" si="21">B101+E101+H101+K101+Q101+T101+W101+Z101+AF101+AI101+AL101</f>
        <v>169.428</v>
      </c>
      <c r="AP101" s="659">
        <f t="shared" si="21"/>
        <v>-8.924108619000009</v>
      </c>
      <c r="AQ101" s="565">
        <f t="shared" si="9"/>
        <v>-105.3</v>
      </c>
      <c r="AR101" s="659">
        <f t="shared" ref="AR101:AS144" si="22">+B101+E101+H101+K101+N101+Q101+T101+W101+Z101+AC101+AF101+AI101+AL101</f>
        <v>169.428</v>
      </c>
      <c r="AS101" s="659">
        <f t="shared" si="22"/>
        <v>-8.924108619000009</v>
      </c>
      <c r="AT101" s="565">
        <f t="shared" si="10"/>
        <v>-105.3</v>
      </c>
      <c r="AU101" s="638"/>
      <c r="AV101" s="638"/>
      <c r="AW101" s="633"/>
      <c r="AX101" s="633"/>
    </row>
    <row r="102" spans="1:50" s="660" customFormat="1" ht="18.75" customHeight="1" x14ac:dyDescent="0.3">
      <c r="A102" s="509" t="s">
        <v>438</v>
      </c>
      <c r="B102" s="663"/>
      <c r="C102" s="659"/>
      <c r="D102" s="659"/>
      <c r="E102" s="663"/>
      <c r="F102" s="659"/>
      <c r="G102" s="565"/>
      <c r="H102" s="663"/>
      <c r="I102" s="664"/>
      <c r="J102" s="565"/>
      <c r="K102" s="663"/>
      <c r="L102" s="659"/>
      <c r="M102" s="659"/>
      <c r="N102" s="663"/>
      <c r="O102" s="659"/>
      <c r="P102" s="565"/>
      <c r="Q102" s="663"/>
      <c r="R102" s="659"/>
      <c r="S102" s="565"/>
      <c r="T102" s="663"/>
      <c r="U102" s="664"/>
      <c r="V102" s="565"/>
      <c r="W102" s="663"/>
      <c r="X102" s="664"/>
      <c r="Y102" s="565"/>
      <c r="Z102" s="663"/>
      <c r="AA102" s="659"/>
      <c r="AB102" s="565"/>
      <c r="AC102" s="663"/>
      <c r="AD102" s="659"/>
      <c r="AE102" s="565"/>
      <c r="AF102" s="663"/>
      <c r="AG102" s="659"/>
      <c r="AH102" s="565"/>
      <c r="AI102" s="663"/>
      <c r="AJ102" s="659"/>
      <c r="AK102" s="565"/>
      <c r="AL102" s="663"/>
      <c r="AM102" s="659"/>
      <c r="AN102" s="565"/>
      <c r="AO102" s="659">
        <f t="shared" si="21"/>
        <v>0</v>
      </c>
      <c r="AP102" s="659">
        <f t="shared" si="21"/>
        <v>0</v>
      </c>
      <c r="AQ102" s="565" t="str">
        <f t="shared" si="9"/>
        <v xml:space="preserve">    ---- </v>
      </c>
      <c r="AR102" s="561">
        <f t="shared" si="22"/>
        <v>0</v>
      </c>
      <c r="AS102" s="561">
        <f t="shared" si="22"/>
        <v>0</v>
      </c>
      <c r="AT102" s="565" t="str">
        <f t="shared" si="10"/>
        <v xml:space="preserve">    ---- </v>
      </c>
      <c r="AU102" s="638"/>
      <c r="AV102" s="638"/>
      <c r="AW102" s="633"/>
      <c r="AX102" s="633"/>
    </row>
    <row r="103" spans="1:50" s="660" customFormat="1" ht="18.75" customHeight="1" x14ac:dyDescent="0.3">
      <c r="A103" s="509" t="s">
        <v>439</v>
      </c>
      <c r="B103" s="663"/>
      <c r="C103" s="659"/>
      <c r="D103" s="659"/>
      <c r="E103" s="663"/>
      <c r="F103" s="659"/>
      <c r="G103" s="565"/>
      <c r="H103" s="663"/>
      <c r="I103" s="664"/>
      <c r="J103" s="565"/>
      <c r="K103" s="663"/>
      <c r="L103" s="659"/>
      <c r="M103" s="659"/>
      <c r="N103" s="663"/>
      <c r="O103" s="659"/>
      <c r="P103" s="565"/>
      <c r="Q103" s="663"/>
      <c r="R103" s="659"/>
      <c r="S103" s="565"/>
      <c r="T103" s="663"/>
      <c r="U103" s="664"/>
      <c r="V103" s="565"/>
      <c r="W103" s="663"/>
      <c r="X103" s="664"/>
      <c r="Y103" s="565"/>
      <c r="Z103" s="663"/>
      <c r="AA103" s="659"/>
      <c r="AB103" s="565"/>
      <c r="AC103" s="663"/>
      <c r="AD103" s="659"/>
      <c r="AE103" s="565"/>
      <c r="AF103" s="663"/>
      <c r="AG103" s="659"/>
      <c r="AH103" s="565"/>
      <c r="AI103" s="663"/>
      <c r="AJ103" s="659"/>
      <c r="AK103" s="565"/>
      <c r="AL103" s="663"/>
      <c r="AM103" s="659"/>
      <c r="AN103" s="565"/>
      <c r="AO103" s="659">
        <f t="shared" si="21"/>
        <v>0</v>
      </c>
      <c r="AP103" s="659">
        <f t="shared" si="21"/>
        <v>0</v>
      </c>
      <c r="AQ103" s="565" t="str">
        <f t="shared" si="9"/>
        <v xml:space="preserve">    ---- </v>
      </c>
      <c r="AR103" s="561">
        <f t="shared" si="22"/>
        <v>0</v>
      </c>
      <c r="AS103" s="561">
        <f t="shared" si="22"/>
        <v>0</v>
      </c>
      <c r="AT103" s="565" t="str">
        <f t="shared" si="10"/>
        <v xml:space="preserve">    ---- </v>
      </c>
      <c r="AU103" s="638"/>
      <c r="AV103" s="638"/>
      <c r="AW103" s="633"/>
      <c r="AX103" s="633"/>
    </row>
    <row r="104" spans="1:50" s="662" customFormat="1" ht="18.75" customHeight="1" x14ac:dyDescent="0.3">
      <c r="A104" s="507" t="s">
        <v>440</v>
      </c>
      <c r="B104" s="665">
        <v>19.888999999999996</v>
      </c>
      <c r="C104" s="657">
        <f>SUM(C96:C101)+C103</f>
        <v>2.7330000000000005</v>
      </c>
      <c r="D104" s="565">
        <f>IF(B104=0, "    ---- ", IF(ABS(ROUND(100/B104*C104-100,1))&lt;999,ROUND(100/B104*C104-100,1),IF(ROUND(100/B104*C104-100,1)&gt;999,999,-999)))</f>
        <v>-86.3</v>
      </c>
      <c r="E104" s="657">
        <f>SUM(E96:E101)+E103</f>
        <v>382.709</v>
      </c>
      <c r="F104" s="657">
        <f>SUM(F96:F101)+F103</f>
        <v>232.91239999999999</v>
      </c>
      <c r="G104" s="658">
        <f t="shared" si="17"/>
        <v>-39.1</v>
      </c>
      <c r="H104" s="665"/>
      <c r="I104" s="666"/>
      <c r="J104" s="658"/>
      <c r="K104" s="665"/>
      <c r="L104" s="657"/>
      <c r="M104" s="657"/>
      <c r="N104" s="665"/>
      <c r="O104" s="657"/>
      <c r="P104" s="658"/>
      <c r="Q104" s="665"/>
      <c r="R104" s="657"/>
      <c r="S104" s="658"/>
      <c r="T104" s="665">
        <v>-2</v>
      </c>
      <c r="U104" s="666">
        <f>SUM(U96:U101)+U103</f>
        <v>1</v>
      </c>
      <c r="V104" s="658"/>
      <c r="W104" s="665">
        <v>93</v>
      </c>
      <c r="X104" s="666">
        <f>SUM(X96:X101)+X103</f>
        <v>-35.521346798999993</v>
      </c>
      <c r="Y104" s="658">
        <f t="shared" si="18"/>
        <v>-138.19999999999999</v>
      </c>
      <c r="Z104" s="665"/>
      <c r="AA104" s="657"/>
      <c r="AB104" s="658"/>
      <c r="AC104" s="665"/>
      <c r="AD104" s="657"/>
      <c r="AE104" s="658"/>
      <c r="AF104" s="665"/>
      <c r="AG104" s="657"/>
      <c r="AH104" s="658"/>
      <c r="AI104" s="665">
        <v>-5.8890000000000011</v>
      </c>
      <c r="AJ104" s="657">
        <f>SUM(AJ96:AJ101)+AJ103</f>
        <v>-29.614999999999998</v>
      </c>
      <c r="AK104" s="658">
        <f t="shared" si="19"/>
        <v>402.9</v>
      </c>
      <c r="AL104" s="665">
        <v>-90</v>
      </c>
      <c r="AM104" s="657">
        <f>SUM(AM96:AM101)+AM103</f>
        <v>34.099999999999994</v>
      </c>
      <c r="AN104" s="658">
        <f t="shared" si="20"/>
        <v>-137.9</v>
      </c>
      <c r="AO104" s="657">
        <f t="shared" si="21"/>
        <v>397.709</v>
      </c>
      <c r="AP104" s="657">
        <f t="shared" si="21"/>
        <v>205.60905320099999</v>
      </c>
      <c r="AQ104" s="658">
        <f t="shared" si="9"/>
        <v>-48.3</v>
      </c>
      <c r="AR104" s="574">
        <f t="shared" si="22"/>
        <v>397.709</v>
      </c>
      <c r="AS104" s="574">
        <f t="shared" si="22"/>
        <v>205.60905320099999</v>
      </c>
      <c r="AT104" s="658">
        <f t="shared" si="10"/>
        <v>-48.3</v>
      </c>
      <c r="AU104" s="636"/>
      <c r="AV104" s="636"/>
      <c r="AW104" s="661"/>
      <c r="AX104" s="661"/>
    </row>
    <row r="105" spans="1:50" s="660" customFormat="1" ht="18.75" customHeight="1" x14ac:dyDescent="0.3">
      <c r="A105" s="509" t="s">
        <v>441</v>
      </c>
      <c r="B105" s="663"/>
      <c r="C105" s="659"/>
      <c r="D105" s="659"/>
      <c r="E105" s="663">
        <v>58.664000000000001</v>
      </c>
      <c r="F105" s="659">
        <v>35.28</v>
      </c>
      <c r="G105" s="565">
        <f t="shared" si="17"/>
        <v>-39.9</v>
      </c>
      <c r="H105" s="663"/>
      <c r="I105" s="664"/>
      <c r="J105" s="565"/>
      <c r="K105" s="663"/>
      <c r="L105" s="659"/>
      <c r="M105" s="659"/>
      <c r="N105" s="663"/>
      <c r="O105" s="659"/>
      <c r="P105" s="565"/>
      <c r="Q105" s="663"/>
      <c r="R105" s="659"/>
      <c r="S105" s="565"/>
      <c r="T105" s="663"/>
      <c r="U105" s="664"/>
      <c r="V105" s="565"/>
      <c r="W105" s="663"/>
      <c r="X105" s="664"/>
      <c r="Y105" s="565"/>
      <c r="Z105" s="663"/>
      <c r="AA105" s="659"/>
      <c r="AB105" s="565"/>
      <c r="AC105" s="663"/>
      <c r="AD105" s="659"/>
      <c r="AE105" s="565"/>
      <c r="AF105" s="663"/>
      <c r="AG105" s="659"/>
      <c r="AH105" s="565"/>
      <c r="AI105" s="663"/>
      <c r="AJ105" s="659">
        <f>0.274+2.49</f>
        <v>2.7640000000000002</v>
      </c>
      <c r="AK105" s="565" t="str">
        <f t="shared" si="19"/>
        <v xml:space="preserve">    ---- </v>
      </c>
      <c r="AL105" s="663">
        <v>0</v>
      </c>
      <c r="AM105" s="659"/>
      <c r="AN105" s="565"/>
      <c r="AO105" s="659">
        <f t="shared" si="21"/>
        <v>58.664000000000001</v>
      </c>
      <c r="AP105" s="659">
        <f t="shared" si="21"/>
        <v>38.044000000000004</v>
      </c>
      <c r="AQ105" s="565">
        <f t="shared" si="9"/>
        <v>-35.1</v>
      </c>
      <c r="AR105" s="561">
        <f t="shared" si="22"/>
        <v>58.664000000000001</v>
      </c>
      <c r="AS105" s="561">
        <f t="shared" si="22"/>
        <v>38.044000000000004</v>
      </c>
      <c r="AT105" s="565">
        <f t="shared" si="10"/>
        <v>-35.1</v>
      </c>
      <c r="AU105" s="638"/>
      <c r="AV105" s="638"/>
      <c r="AW105" s="633"/>
      <c r="AX105" s="633"/>
    </row>
    <row r="106" spans="1:50" s="660" customFormat="1" ht="18.75" customHeight="1" x14ac:dyDescent="0.3">
      <c r="A106" s="509" t="s">
        <v>442</v>
      </c>
      <c r="B106" s="663">
        <v>19.888999999999999</v>
      </c>
      <c r="C106" s="659">
        <v>2.7330000000000001</v>
      </c>
      <c r="D106" s="565">
        <f>IF(B106=0, "    ---- ", IF(ABS(ROUND(100/B106*C106-100,1))&lt;999,ROUND(100/B106*C106-100,1),IF(ROUND(100/B106*C106-100,1)&gt;999,999,-999)))</f>
        <v>-86.3</v>
      </c>
      <c r="E106" s="663">
        <v>324.07900000000001</v>
      </c>
      <c r="F106" s="659">
        <v>197.63200000000001</v>
      </c>
      <c r="G106" s="565">
        <f t="shared" si="17"/>
        <v>-39</v>
      </c>
      <c r="H106" s="663"/>
      <c r="I106" s="664"/>
      <c r="J106" s="565"/>
      <c r="K106" s="663"/>
      <c r="L106" s="659"/>
      <c r="M106" s="659"/>
      <c r="N106" s="663"/>
      <c r="O106" s="659"/>
      <c r="P106" s="565"/>
      <c r="Q106" s="663"/>
      <c r="R106" s="659"/>
      <c r="S106" s="565"/>
      <c r="T106" s="663">
        <v>-2</v>
      </c>
      <c r="U106" s="664">
        <v>1</v>
      </c>
      <c r="V106" s="565"/>
      <c r="W106" s="663">
        <v>93</v>
      </c>
      <c r="X106" s="664">
        <v>-35.521346798999993</v>
      </c>
      <c r="Y106" s="565">
        <f t="shared" si="18"/>
        <v>-138.19999999999999</v>
      </c>
      <c r="Z106" s="663"/>
      <c r="AA106" s="659"/>
      <c r="AB106" s="565"/>
      <c r="AC106" s="663"/>
      <c r="AD106" s="659"/>
      <c r="AE106" s="565"/>
      <c r="AF106" s="663"/>
      <c r="AG106" s="659"/>
      <c r="AH106" s="565"/>
      <c r="AI106" s="663">
        <v>-5.8890000000000002</v>
      </c>
      <c r="AJ106" s="659">
        <f>-2.476-29.903</f>
        <v>-32.378999999999998</v>
      </c>
      <c r="AK106" s="565">
        <f t="shared" si="19"/>
        <v>449.8</v>
      </c>
      <c r="AL106" s="663">
        <v>-90</v>
      </c>
      <c r="AM106" s="659">
        <v>34.1</v>
      </c>
      <c r="AN106" s="565">
        <f t="shared" si="20"/>
        <v>-137.9</v>
      </c>
      <c r="AO106" s="659">
        <f t="shared" si="21"/>
        <v>339.07900000000001</v>
      </c>
      <c r="AP106" s="659">
        <f t="shared" si="21"/>
        <v>167.56465320100003</v>
      </c>
      <c r="AQ106" s="565">
        <f t="shared" si="9"/>
        <v>-50.6</v>
      </c>
      <c r="AR106" s="561">
        <f t="shared" si="22"/>
        <v>339.07900000000001</v>
      </c>
      <c r="AS106" s="561">
        <f t="shared" si="22"/>
        <v>167.56465320100003</v>
      </c>
      <c r="AT106" s="565">
        <f t="shared" si="10"/>
        <v>-50.6</v>
      </c>
      <c r="AU106" s="638"/>
      <c r="AV106" s="638"/>
      <c r="AW106" s="633"/>
      <c r="AX106" s="633"/>
    </row>
    <row r="107" spans="1:50" s="671" customFormat="1" ht="18.75" customHeight="1" x14ac:dyDescent="0.3">
      <c r="A107" s="667" t="s">
        <v>460</v>
      </c>
      <c r="B107" s="663"/>
      <c r="C107" s="659"/>
      <c r="D107" s="659"/>
      <c r="E107" s="663"/>
      <c r="F107" s="659"/>
      <c r="G107" s="565"/>
      <c r="H107" s="663"/>
      <c r="I107" s="664"/>
      <c r="J107" s="565"/>
      <c r="K107" s="663"/>
      <c r="L107" s="659"/>
      <c r="M107" s="659"/>
      <c r="N107" s="663"/>
      <c r="O107" s="659"/>
      <c r="P107" s="565"/>
      <c r="Q107" s="663"/>
      <c r="R107" s="659"/>
      <c r="S107" s="565"/>
      <c r="T107" s="663"/>
      <c r="U107" s="664"/>
      <c r="V107" s="565"/>
      <c r="W107" s="663"/>
      <c r="X107" s="664"/>
      <c r="Y107" s="565"/>
      <c r="Z107" s="663"/>
      <c r="AA107" s="659"/>
      <c r="AB107" s="565"/>
      <c r="AC107" s="663"/>
      <c r="AD107" s="659"/>
      <c r="AE107" s="565"/>
      <c r="AF107" s="663"/>
      <c r="AG107" s="659"/>
      <c r="AH107" s="565"/>
      <c r="AI107" s="663"/>
      <c r="AJ107" s="659"/>
      <c r="AK107" s="565"/>
      <c r="AL107" s="663"/>
      <c r="AM107" s="659"/>
      <c r="AN107" s="565"/>
      <c r="AO107" s="659"/>
      <c r="AP107" s="659"/>
      <c r="AQ107" s="565"/>
      <c r="AR107" s="561"/>
      <c r="AS107" s="561"/>
      <c r="AT107" s="565"/>
      <c r="AU107" s="669"/>
      <c r="AV107" s="669"/>
      <c r="AW107" s="670"/>
      <c r="AX107" s="670"/>
    </row>
    <row r="108" spans="1:50" s="671" customFormat="1" ht="18.75" customHeight="1" x14ac:dyDescent="0.3">
      <c r="A108" s="668" t="s">
        <v>432</v>
      </c>
      <c r="B108" s="663"/>
      <c r="C108" s="659"/>
      <c r="D108" s="659"/>
      <c r="E108" s="663"/>
      <c r="F108" s="659"/>
      <c r="G108" s="565"/>
      <c r="H108" s="663"/>
      <c r="I108" s="664"/>
      <c r="J108" s="565"/>
      <c r="K108" s="663"/>
      <c r="L108" s="659"/>
      <c r="M108" s="659"/>
      <c r="N108" s="663"/>
      <c r="O108" s="659"/>
      <c r="P108" s="565"/>
      <c r="Q108" s="663"/>
      <c r="R108" s="659"/>
      <c r="S108" s="565"/>
      <c r="T108" s="663"/>
      <c r="U108" s="664"/>
      <c r="V108" s="565"/>
      <c r="W108" s="663"/>
      <c r="X108" s="664"/>
      <c r="Y108" s="565"/>
      <c r="Z108" s="663"/>
      <c r="AA108" s="659"/>
      <c r="AB108" s="565"/>
      <c r="AC108" s="663"/>
      <c r="AD108" s="659"/>
      <c r="AE108" s="565"/>
      <c r="AF108" s="663"/>
      <c r="AG108" s="659"/>
      <c r="AH108" s="565"/>
      <c r="AI108" s="663"/>
      <c r="AJ108" s="659">
        <v>1E-3</v>
      </c>
      <c r="AK108" s="565" t="str">
        <f t="shared" ref="AK108:AK117" si="23">IF(AI108=0, "    ---- ", IF(ABS(ROUND(100/AI108*AJ108-100,1))&lt;999,ROUND(100/AI108*AJ108-100,1),IF(ROUND(100/AI108*AJ108-100,1)&gt;999,999,-999)))</f>
        <v xml:space="preserve">    ---- </v>
      </c>
      <c r="AL108" s="663"/>
      <c r="AM108" s="659">
        <v>2</v>
      </c>
      <c r="AN108" s="565" t="str">
        <f t="shared" ref="AN108:AN118" si="24">IF(AL108=0, "    ---- ", IF(ABS(ROUND(100/AL108*AM108-100,1))&lt;999,ROUND(100/AL108*AM108-100,1),IF(ROUND(100/AL108*AM108-100,1)&gt;999,999,-999)))</f>
        <v xml:space="preserve">    ---- </v>
      </c>
      <c r="AO108" s="659">
        <f t="shared" ref="AO108:AP118" si="25">B108+E108+H108+K108+Q108+T108+W108+Z108+AF108+AI108+AL108</f>
        <v>0</v>
      </c>
      <c r="AP108" s="659">
        <f t="shared" si="25"/>
        <v>2.0009999999999999</v>
      </c>
      <c r="AQ108" s="565" t="str">
        <f t="shared" ref="AQ108:AQ118" si="26">IF(AO108=0, "    ---- ", IF(ABS(ROUND(100/AO108*AP108-100,1))&lt;999,ROUND(100/AO108*AP108-100,1),IF(ROUND(100/AO108*AP108-100,1)&gt;999,999,-999)))</f>
        <v xml:space="preserve">    ---- </v>
      </c>
      <c r="AR108" s="659">
        <f t="shared" ref="AR108:AS118" si="27">+B108+E108+H108+K108+N108+Q108+T108+W108+Z108+AC108+AF108+AI108+AL108</f>
        <v>0</v>
      </c>
      <c r="AS108" s="659">
        <f t="shared" si="27"/>
        <v>2.0009999999999999</v>
      </c>
      <c r="AT108" s="565" t="str">
        <f t="shared" ref="AT108:AT118" si="28">IF(AR108=0, "    ---- ", IF(ABS(ROUND(100/AR108*AS108-100,1))&lt;999,ROUND(100/AR108*AS108-100,1),IF(ROUND(100/AR108*AS108-100,1)&gt;999,999,-999)))</f>
        <v xml:space="preserve">    ---- </v>
      </c>
      <c r="AU108" s="669"/>
      <c r="AV108" s="669"/>
      <c r="AW108" s="670"/>
      <c r="AX108" s="670"/>
    </row>
    <row r="109" spans="1:50" s="671" customFormat="1" ht="18.75" customHeight="1" x14ac:dyDescent="0.3">
      <c r="A109" s="668" t="s">
        <v>433</v>
      </c>
      <c r="B109" s="663"/>
      <c r="C109" s="659"/>
      <c r="D109" s="659"/>
      <c r="E109" s="663"/>
      <c r="F109" s="659"/>
      <c r="G109" s="565"/>
      <c r="H109" s="663"/>
      <c r="I109" s="664"/>
      <c r="J109" s="565"/>
      <c r="K109" s="663"/>
      <c r="L109" s="659"/>
      <c r="M109" s="659"/>
      <c r="N109" s="663"/>
      <c r="O109" s="659"/>
      <c r="P109" s="565"/>
      <c r="Q109" s="663"/>
      <c r="R109" s="659"/>
      <c r="S109" s="565"/>
      <c r="T109" s="663"/>
      <c r="U109" s="664"/>
      <c r="V109" s="565"/>
      <c r="W109" s="663"/>
      <c r="X109" s="664"/>
      <c r="Y109" s="565"/>
      <c r="Z109" s="663"/>
      <c r="AA109" s="659"/>
      <c r="AB109" s="565"/>
      <c r="AC109" s="663"/>
      <c r="AD109" s="659"/>
      <c r="AE109" s="565"/>
      <c r="AF109" s="663"/>
      <c r="AG109" s="659"/>
      <c r="AH109" s="565"/>
      <c r="AI109" s="663"/>
      <c r="AJ109" s="659"/>
      <c r="AK109" s="565"/>
      <c r="AL109" s="663"/>
      <c r="AM109" s="659"/>
      <c r="AN109" s="565"/>
      <c r="AO109" s="659">
        <f t="shared" si="25"/>
        <v>0</v>
      </c>
      <c r="AP109" s="659">
        <f t="shared" si="25"/>
        <v>0</v>
      </c>
      <c r="AQ109" s="565" t="str">
        <f t="shared" si="26"/>
        <v xml:space="preserve">    ---- </v>
      </c>
      <c r="AR109" s="659">
        <f t="shared" si="27"/>
        <v>0</v>
      </c>
      <c r="AS109" s="659">
        <f t="shared" si="27"/>
        <v>0</v>
      </c>
      <c r="AT109" s="565" t="str">
        <f t="shared" si="28"/>
        <v xml:space="preserve">    ---- </v>
      </c>
      <c r="AU109" s="669"/>
      <c r="AV109" s="669"/>
      <c r="AW109" s="670"/>
      <c r="AX109" s="670"/>
    </row>
    <row r="110" spans="1:50" s="671" customFormat="1" ht="18.75" customHeight="1" x14ac:dyDescent="0.3">
      <c r="A110" s="668" t="s">
        <v>434</v>
      </c>
      <c r="B110" s="663"/>
      <c r="C110" s="659"/>
      <c r="D110" s="659"/>
      <c r="E110" s="663"/>
      <c r="F110" s="659"/>
      <c r="G110" s="565"/>
      <c r="H110" s="663"/>
      <c r="I110" s="664"/>
      <c r="J110" s="565"/>
      <c r="K110" s="663"/>
      <c r="L110" s="659"/>
      <c r="M110" s="659"/>
      <c r="N110" s="663"/>
      <c r="O110" s="659"/>
      <c r="P110" s="565"/>
      <c r="Q110" s="663"/>
      <c r="R110" s="659"/>
      <c r="S110" s="565"/>
      <c r="T110" s="663"/>
      <c r="U110" s="664"/>
      <c r="V110" s="565"/>
      <c r="W110" s="663"/>
      <c r="X110" s="664"/>
      <c r="Y110" s="565"/>
      <c r="Z110" s="663"/>
      <c r="AA110" s="659"/>
      <c r="AB110" s="565"/>
      <c r="AC110" s="663"/>
      <c r="AD110" s="659"/>
      <c r="AE110" s="565"/>
      <c r="AF110" s="663"/>
      <c r="AG110" s="659"/>
      <c r="AH110" s="565"/>
      <c r="AI110" s="663"/>
      <c r="AJ110" s="659"/>
      <c r="AK110" s="565"/>
      <c r="AL110" s="663"/>
      <c r="AM110" s="659">
        <v>1</v>
      </c>
      <c r="AN110" s="565" t="str">
        <f t="shared" si="24"/>
        <v xml:space="preserve">    ---- </v>
      </c>
      <c r="AO110" s="659">
        <f t="shared" si="25"/>
        <v>0</v>
      </c>
      <c r="AP110" s="659">
        <f t="shared" si="25"/>
        <v>1</v>
      </c>
      <c r="AQ110" s="565" t="str">
        <f t="shared" si="26"/>
        <v xml:space="preserve">    ---- </v>
      </c>
      <c r="AR110" s="659">
        <f t="shared" si="27"/>
        <v>0</v>
      </c>
      <c r="AS110" s="659">
        <f t="shared" si="27"/>
        <v>1</v>
      </c>
      <c r="AT110" s="565" t="str">
        <f t="shared" si="28"/>
        <v xml:space="preserve">    ---- </v>
      </c>
      <c r="AU110" s="669"/>
      <c r="AV110" s="669"/>
      <c r="AW110" s="670"/>
      <c r="AX110" s="670"/>
    </row>
    <row r="111" spans="1:50" s="671" customFormat="1" ht="18.75" customHeight="1" x14ac:dyDescent="0.3">
      <c r="A111" s="668" t="s">
        <v>435</v>
      </c>
      <c r="B111" s="663"/>
      <c r="C111" s="659"/>
      <c r="D111" s="659"/>
      <c r="E111" s="663"/>
      <c r="F111" s="659"/>
      <c r="G111" s="565"/>
      <c r="H111" s="663"/>
      <c r="I111" s="664"/>
      <c r="J111" s="565"/>
      <c r="K111" s="663"/>
      <c r="L111" s="659"/>
      <c r="M111" s="659"/>
      <c r="N111" s="663"/>
      <c r="O111" s="659"/>
      <c r="P111" s="565"/>
      <c r="Q111" s="663"/>
      <c r="R111" s="659"/>
      <c r="S111" s="565"/>
      <c r="T111" s="663"/>
      <c r="U111" s="664"/>
      <c r="V111" s="565"/>
      <c r="W111" s="663"/>
      <c r="X111" s="664"/>
      <c r="Y111" s="565"/>
      <c r="Z111" s="663"/>
      <c r="AA111" s="659"/>
      <c r="AB111" s="565"/>
      <c r="AC111" s="663"/>
      <c r="AD111" s="659"/>
      <c r="AE111" s="565"/>
      <c r="AF111" s="663"/>
      <c r="AG111" s="659"/>
      <c r="AH111" s="565"/>
      <c r="AI111" s="663"/>
      <c r="AJ111" s="659"/>
      <c r="AK111" s="565"/>
      <c r="AL111" s="663"/>
      <c r="AM111" s="659"/>
      <c r="AN111" s="565"/>
      <c r="AO111" s="659">
        <f t="shared" si="25"/>
        <v>0</v>
      </c>
      <c r="AP111" s="659">
        <f t="shared" si="25"/>
        <v>0</v>
      </c>
      <c r="AQ111" s="565" t="str">
        <f t="shared" si="26"/>
        <v xml:space="preserve">    ---- </v>
      </c>
      <c r="AR111" s="659">
        <f t="shared" si="27"/>
        <v>0</v>
      </c>
      <c r="AS111" s="659">
        <f t="shared" si="27"/>
        <v>0</v>
      </c>
      <c r="AT111" s="565" t="str">
        <f t="shared" si="28"/>
        <v xml:space="preserve">    ---- </v>
      </c>
      <c r="AU111" s="669"/>
      <c r="AV111" s="669"/>
      <c r="AW111" s="670"/>
      <c r="AX111" s="670"/>
    </row>
    <row r="112" spans="1:50" s="671" customFormat="1" ht="18.75" customHeight="1" x14ac:dyDescent="0.3">
      <c r="A112" s="668" t="s">
        <v>436</v>
      </c>
      <c r="B112" s="663"/>
      <c r="C112" s="659"/>
      <c r="D112" s="659"/>
      <c r="E112" s="663"/>
      <c r="F112" s="659"/>
      <c r="G112" s="565"/>
      <c r="H112" s="663"/>
      <c r="I112" s="664"/>
      <c r="J112" s="565"/>
      <c r="K112" s="663"/>
      <c r="L112" s="659"/>
      <c r="M112" s="659"/>
      <c r="N112" s="663"/>
      <c r="O112" s="659"/>
      <c r="P112" s="565"/>
      <c r="Q112" s="663"/>
      <c r="R112" s="659"/>
      <c r="S112" s="565"/>
      <c r="T112" s="663"/>
      <c r="U112" s="664"/>
      <c r="V112" s="565"/>
      <c r="W112" s="663"/>
      <c r="X112" s="664"/>
      <c r="Y112" s="565"/>
      <c r="Z112" s="663"/>
      <c r="AA112" s="659"/>
      <c r="AB112" s="565"/>
      <c r="AC112" s="663"/>
      <c r="AD112" s="659"/>
      <c r="AE112" s="565"/>
      <c r="AF112" s="663"/>
      <c r="AG112" s="659"/>
      <c r="AH112" s="565"/>
      <c r="AI112" s="663"/>
      <c r="AJ112" s="659"/>
      <c r="AK112" s="565"/>
      <c r="AL112" s="663"/>
      <c r="AM112" s="659"/>
      <c r="AN112" s="565"/>
      <c r="AO112" s="659">
        <f t="shared" si="25"/>
        <v>0</v>
      </c>
      <c r="AP112" s="659">
        <f t="shared" si="25"/>
        <v>0</v>
      </c>
      <c r="AQ112" s="565" t="str">
        <f t="shared" si="26"/>
        <v xml:space="preserve">    ---- </v>
      </c>
      <c r="AR112" s="659">
        <f t="shared" si="27"/>
        <v>0</v>
      </c>
      <c r="AS112" s="659">
        <f t="shared" si="27"/>
        <v>0</v>
      </c>
      <c r="AT112" s="565" t="str">
        <f t="shared" si="28"/>
        <v xml:space="preserve">    ---- </v>
      </c>
      <c r="AU112" s="669"/>
      <c r="AV112" s="669"/>
      <c r="AW112" s="670"/>
      <c r="AX112" s="670"/>
    </row>
    <row r="113" spans="1:50" s="671" customFormat="1" ht="18.75" customHeight="1" x14ac:dyDescent="0.3">
      <c r="A113" s="668" t="s">
        <v>437</v>
      </c>
      <c r="B113" s="663"/>
      <c r="C113" s="659"/>
      <c r="D113" s="659"/>
      <c r="E113" s="663"/>
      <c r="F113" s="659"/>
      <c r="G113" s="565"/>
      <c r="H113" s="663"/>
      <c r="I113" s="664"/>
      <c r="J113" s="565"/>
      <c r="K113" s="663"/>
      <c r="L113" s="659"/>
      <c r="M113" s="659"/>
      <c r="N113" s="663"/>
      <c r="O113" s="659"/>
      <c r="P113" s="565"/>
      <c r="Q113" s="663"/>
      <c r="R113" s="659"/>
      <c r="S113" s="565"/>
      <c r="T113" s="663"/>
      <c r="U113" s="664"/>
      <c r="V113" s="565"/>
      <c r="W113" s="663"/>
      <c r="X113" s="664"/>
      <c r="Y113" s="565"/>
      <c r="Z113" s="663"/>
      <c r="AA113" s="659"/>
      <c r="AB113" s="565"/>
      <c r="AC113" s="663"/>
      <c r="AD113" s="659"/>
      <c r="AE113" s="565"/>
      <c r="AF113" s="663"/>
      <c r="AG113" s="659"/>
      <c r="AH113" s="565"/>
      <c r="AI113" s="663"/>
      <c r="AJ113" s="659"/>
      <c r="AK113" s="565"/>
      <c r="AL113" s="663"/>
      <c r="AM113" s="659"/>
      <c r="AN113" s="565"/>
      <c r="AO113" s="659">
        <f t="shared" si="25"/>
        <v>0</v>
      </c>
      <c r="AP113" s="659">
        <f t="shared" si="25"/>
        <v>0</v>
      </c>
      <c r="AQ113" s="565" t="str">
        <f t="shared" si="26"/>
        <v xml:space="preserve">    ---- </v>
      </c>
      <c r="AR113" s="659">
        <f t="shared" si="27"/>
        <v>0</v>
      </c>
      <c r="AS113" s="659">
        <f t="shared" si="27"/>
        <v>0</v>
      </c>
      <c r="AT113" s="565" t="str">
        <f t="shared" si="28"/>
        <v xml:space="preserve">    ---- </v>
      </c>
      <c r="AU113" s="669"/>
      <c r="AV113" s="669"/>
      <c r="AW113" s="670"/>
      <c r="AX113" s="670"/>
    </row>
    <row r="114" spans="1:50" s="671" customFormat="1" ht="18.75" customHeight="1" x14ac:dyDescent="0.3">
      <c r="A114" s="668" t="s">
        <v>438</v>
      </c>
      <c r="B114" s="663"/>
      <c r="C114" s="659"/>
      <c r="D114" s="659"/>
      <c r="E114" s="663"/>
      <c r="F114" s="659"/>
      <c r="G114" s="565"/>
      <c r="H114" s="663"/>
      <c r="I114" s="664"/>
      <c r="J114" s="565"/>
      <c r="K114" s="663"/>
      <c r="L114" s="659"/>
      <c r="M114" s="659"/>
      <c r="N114" s="663"/>
      <c r="O114" s="659"/>
      <c r="P114" s="565"/>
      <c r="Q114" s="663"/>
      <c r="R114" s="659"/>
      <c r="S114" s="565"/>
      <c r="T114" s="663"/>
      <c r="U114" s="664"/>
      <c r="V114" s="565"/>
      <c r="W114" s="663"/>
      <c r="X114" s="664"/>
      <c r="Y114" s="565"/>
      <c r="Z114" s="663"/>
      <c r="AA114" s="659"/>
      <c r="AB114" s="565"/>
      <c r="AC114" s="663"/>
      <c r="AD114" s="659"/>
      <c r="AE114" s="565"/>
      <c r="AF114" s="663"/>
      <c r="AG114" s="659"/>
      <c r="AH114" s="565"/>
      <c r="AI114" s="663"/>
      <c r="AJ114" s="659"/>
      <c r="AK114" s="565"/>
      <c r="AL114" s="663"/>
      <c r="AM114" s="659"/>
      <c r="AN114" s="565"/>
      <c r="AO114" s="659">
        <f t="shared" si="25"/>
        <v>0</v>
      </c>
      <c r="AP114" s="659">
        <f t="shared" si="25"/>
        <v>0</v>
      </c>
      <c r="AQ114" s="565" t="str">
        <f t="shared" si="26"/>
        <v xml:space="preserve">    ---- </v>
      </c>
      <c r="AR114" s="659">
        <f t="shared" si="27"/>
        <v>0</v>
      </c>
      <c r="AS114" s="659">
        <f t="shared" si="27"/>
        <v>0</v>
      </c>
      <c r="AT114" s="565" t="str">
        <f t="shared" si="28"/>
        <v xml:space="preserve">    ---- </v>
      </c>
      <c r="AU114" s="669"/>
      <c r="AV114" s="669"/>
      <c r="AW114" s="670"/>
      <c r="AX114" s="670"/>
    </row>
    <row r="115" spans="1:50" s="671" customFormat="1" ht="18.75" customHeight="1" x14ac:dyDescent="0.3">
      <c r="A115" s="668" t="s">
        <v>439</v>
      </c>
      <c r="B115" s="663"/>
      <c r="C115" s="659"/>
      <c r="D115" s="659"/>
      <c r="E115" s="663"/>
      <c r="F115" s="659"/>
      <c r="G115" s="565"/>
      <c r="H115" s="663"/>
      <c r="I115" s="664"/>
      <c r="J115" s="565"/>
      <c r="K115" s="663"/>
      <c r="L115" s="659"/>
      <c r="M115" s="659"/>
      <c r="N115" s="663"/>
      <c r="O115" s="659"/>
      <c r="P115" s="565"/>
      <c r="Q115" s="663"/>
      <c r="R115" s="659"/>
      <c r="S115" s="565"/>
      <c r="T115" s="663"/>
      <c r="U115" s="664"/>
      <c r="V115" s="565"/>
      <c r="W115" s="663"/>
      <c r="X115" s="664"/>
      <c r="Y115" s="565"/>
      <c r="Z115" s="663"/>
      <c r="AA115" s="659"/>
      <c r="AB115" s="565"/>
      <c r="AC115" s="663"/>
      <c r="AD115" s="659"/>
      <c r="AE115" s="565"/>
      <c r="AF115" s="663"/>
      <c r="AG115" s="659"/>
      <c r="AH115" s="565"/>
      <c r="AI115" s="663"/>
      <c r="AJ115" s="659"/>
      <c r="AK115" s="565"/>
      <c r="AL115" s="663"/>
      <c r="AM115" s="659"/>
      <c r="AN115" s="565"/>
      <c r="AO115" s="659">
        <f t="shared" si="25"/>
        <v>0</v>
      </c>
      <c r="AP115" s="659">
        <f t="shared" si="25"/>
        <v>0</v>
      </c>
      <c r="AQ115" s="565" t="str">
        <f t="shared" si="26"/>
        <v xml:space="preserve">    ---- </v>
      </c>
      <c r="AR115" s="659">
        <f t="shared" si="27"/>
        <v>0</v>
      </c>
      <c r="AS115" s="659">
        <f t="shared" si="27"/>
        <v>0</v>
      </c>
      <c r="AT115" s="565" t="str">
        <f t="shared" si="28"/>
        <v xml:space="preserve">    ---- </v>
      </c>
      <c r="AU115" s="669"/>
      <c r="AV115" s="669"/>
      <c r="AW115" s="670"/>
      <c r="AX115" s="670"/>
    </row>
    <row r="116" spans="1:50" s="674" customFormat="1" ht="18.75" customHeight="1" x14ac:dyDescent="0.3">
      <c r="A116" s="667" t="s">
        <v>440</v>
      </c>
      <c r="B116" s="665"/>
      <c r="C116" s="657"/>
      <c r="D116" s="657"/>
      <c r="E116" s="665"/>
      <c r="F116" s="657"/>
      <c r="G116" s="658"/>
      <c r="H116" s="665"/>
      <c r="I116" s="666"/>
      <c r="J116" s="658"/>
      <c r="K116" s="665"/>
      <c r="L116" s="657"/>
      <c r="M116" s="657"/>
      <c r="N116" s="665"/>
      <c r="O116" s="657"/>
      <c r="P116" s="658"/>
      <c r="Q116" s="665"/>
      <c r="R116" s="657"/>
      <c r="S116" s="658"/>
      <c r="T116" s="665"/>
      <c r="U116" s="666"/>
      <c r="V116" s="658"/>
      <c r="W116" s="665"/>
      <c r="X116" s="666"/>
      <c r="Y116" s="658"/>
      <c r="Z116" s="665"/>
      <c r="AA116" s="657"/>
      <c r="AB116" s="658"/>
      <c r="AC116" s="665"/>
      <c r="AD116" s="657"/>
      <c r="AE116" s="658"/>
      <c r="AF116" s="665"/>
      <c r="AG116" s="657"/>
      <c r="AH116" s="658"/>
      <c r="AI116" s="665"/>
      <c r="AJ116" s="657">
        <v>1E-3</v>
      </c>
      <c r="AK116" s="658" t="str">
        <f t="shared" si="23"/>
        <v xml:space="preserve">    ---- </v>
      </c>
      <c r="AL116" s="665"/>
      <c r="AM116" s="657">
        <f>SUM(AM108:AM113)+AM115</f>
        <v>3</v>
      </c>
      <c r="AN116" s="658" t="str">
        <f t="shared" si="24"/>
        <v xml:space="preserve">    ---- </v>
      </c>
      <c r="AO116" s="657">
        <f t="shared" si="25"/>
        <v>0</v>
      </c>
      <c r="AP116" s="657">
        <f t="shared" si="25"/>
        <v>3.0009999999999999</v>
      </c>
      <c r="AQ116" s="658" t="str">
        <f t="shared" si="26"/>
        <v xml:space="preserve">    ---- </v>
      </c>
      <c r="AR116" s="657">
        <f t="shared" si="27"/>
        <v>0</v>
      </c>
      <c r="AS116" s="657">
        <f t="shared" si="27"/>
        <v>3.0009999999999999</v>
      </c>
      <c r="AT116" s="658" t="str">
        <f t="shared" si="28"/>
        <v xml:space="preserve">    ---- </v>
      </c>
      <c r="AU116" s="672"/>
      <c r="AV116" s="672"/>
      <c r="AW116" s="673"/>
      <c r="AX116" s="673"/>
    </row>
    <row r="117" spans="1:50" s="671" customFormat="1" ht="18.75" customHeight="1" x14ac:dyDescent="0.3">
      <c r="A117" s="668" t="s">
        <v>441</v>
      </c>
      <c r="B117" s="663"/>
      <c r="C117" s="659"/>
      <c r="D117" s="659"/>
      <c r="E117" s="663"/>
      <c r="F117" s="659"/>
      <c r="G117" s="565"/>
      <c r="H117" s="663"/>
      <c r="I117" s="664"/>
      <c r="J117" s="565"/>
      <c r="K117" s="663"/>
      <c r="L117" s="659"/>
      <c r="M117" s="659"/>
      <c r="N117" s="663"/>
      <c r="O117" s="659"/>
      <c r="P117" s="565"/>
      <c r="Q117" s="663"/>
      <c r="R117" s="659"/>
      <c r="S117" s="565"/>
      <c r="T117" s="663"/>
      <c r="U117" s="664"/>
      <c r="V117" s="565"/>
      <c r="W117" s="663"/>
      <c r="X117" s="664"/>
      <c r="Y117" s="565"/>
      <c r="Z117" s="663"/>
      <c r="AA117" s="659"/>
      <c r="AB117" s="565"/>
      <c r="AC117" s="663"/>
      <c r="AD117" s="659"/>
      <c r="AE117" s="565"/>
      <c r="AF117" s="663"/>
      <c r="AG117" s="659"/>
      <c r="AH117" s="565"/>
      <c r="AI117" s="663"/>
      <c r="AJ117" s="659">
        <v>1E-3</v>
      </c>
      <c r="AK117" s="565" t="str">
        <f t="shared" si="23"/>
        <v xml:space="preserve">    ---- </v>
      </c>
      <c r="AL117" s="663"/>
      <c r="AM117" s="659">
        <v>2</v>
      </c>
      <c r="AN117" s="565" t="str">
        <f t="shared" si="24"/>
        <v xml:space="preserve">    ---- </v>
      </c>
      <c r="AO117" s="659">
        <f t="shared" si="25"/>
        <v>0</v>
      </c>
      <c r="AP117" s="659">
        <f t="shared" si="25"/>
        <v>2.0009999999999999</v>
      </c>
      <c r="AQ117" s="565" t="str">
        <f t="shared" si="26"/>
        <v xml:space="preserve">    ---- </v>
      </c>
      <c r="AR117" s="659">
        <f t="shared" si="27"/>
        <v>0</v>
      </c>
      <c r="AS117" s="659">
        <f t="shared" si="27"/>
        <v>2.0009999999999999</v>
      </c>
      <c r="AT117" s="565" t="str">
        <f t="shared" si="28"/>
        <v xml:space="preserve">    ---- </v>
      </c>
      <c r="AU117" s="669"/>
      <c r="AV117" s="669"/>
      <c r="AW117" s="670"/>
      <c r="AX117" s="670"/>
    </row>
    <row r="118" spans="1:50" s="671" customFormat="1" ht="18.75" customHeight="1" x14ac:dyDescent="0.3">
      <c r="A118" s="668" t="s">
        <v>442</v>
      </c>
      <c r="B118" s="663"/>
      <c r="C118" s="659"/>
      <c r="D118" s="659"/>
      <c r="E118" s="663"/>
      <c r="F118" s="659"/>
      <c r="G118" s="565"/>
      <c r="H118" s="663"/>
      <c r="I118" s="664"/>
      <c r="J118" s="565"/>
      <c r="K118" s="663"/>
      <c r="L118" s="659"/>
      <c r="M118" s="659"/>
      <c r="N118" s="663"/>
      <c r="O118" s="659"/>
      <c r="P118" s="565"/>
      <c r="Q118" s="663"/>
      <c r="R118" s="659"/>
      <c r="S118" s="565"/>
      <c r="T118" s="663"/>
      <c r="U118" s="664"/>
      <c r="V118" s="565"/>
      <c r="W118" s="663"/>
      <c r="X118" s="664"/>
      <c r="Y118" s="565"/>
      <c r="Z118" s="663"/>
      <c r="AA118" s="659"/>
      <c r="AB118" s="565"/>
      <c r="AC118" s="663"/>
      <c r="AD118" s="659"/>
      <c r="AE118" s="565"/>
      <c r="AF118" s="663"/>
      <c r="AG118" s="659"/>
      <c r="AH118" s="565"/>
      <c r="AI118" s="663"/>
      <c r="AJ118" s="659"/>
      <c r="AK118" s="565"/>
      <c r="AL118" s="663"/>
      <c r="AM118" s="659">
        <v>1</v>
      </c>
      <c r="AN118" s="565" t="str">
        <f t="shared" si="24"/>
        <v xml:space="preserve">    ---- </v>
      </c>
      <c r="AO118" s="659">
        <f t="shared" si="25"/>
        <v>0</v>
      </c>
      <c r="AP118" s="659">
        <f t="shared" si="25"/>
        <v>1</v>
      </c>
      <c r="AQ118" s="565" t="str">
        <f t="shared" si="26"/>
        <v xml:space="preserve">    ---- </v>
      </c>
      <c r="AR118" s="561">
        <f t="shared" si="27"/>
        <v>0</v>
      </c>
      <c r="AS118" s="561">
        <f t="shared" si="27"/>
        <v>1</v>
      </c>
      <c r="AT118" s="565" t="str">
        <f t="shared" si="28"/>
        <v xml:space="preserve">    ---- </v>
      </c>
      <c r="AU118" s="669"/>
      <c r="AV118" s="669"/>
      <c r="AW118" s="670"/>
      <c r="AX118" s="670"/>
    </row>
    <row r="119" spans="1:50" s="660" customFormat="1" ht="18.75" customHeight="1" x14ac:dyDescent="0.3">
      <c r="A119" s="520"/>
      <c r="B119" s="675"/>
      <c r="C119" s="676"/>
      <c r="D119" s="676"/>
      <c r="E119" s="675"/>
      <c r="F119" s="676"/>
      <c r="G119" s="677"/>
      <c r="H119" s="675"/>
      <c r="I119" s="678"/>
      <c r="J119" s="677"/>
      <c r="K119" s="675"/>
      <c r="L119" s="676"/>
      <c r="M119" s="676"/>
      <c r="N119" s="675"/>
      <c r="O119" s="676"/>
      <c r="P119" s="677"/>
      <c r="Q119" s="675"/>
      <c r="R119" s="676"/>
      <c r="S119" s="677"/>
      <c r="T119" s="675"/>
      <c r="U119" s="678"/>
      <c r="V119" s="677"/>
      <c r="W119" s="675"/>
      <c r="X119" s="678"/>
      <c r="Y119" s="677"/>
      <c r="Z119" s="675"/>
      <c r="AA119" s="676"/>
      <c r="AB119" s="677"/>
      <c r="AC119" s="675"/>
      <c r="AD119" s="676"/>
      <c r="AE119" s="677"/>
      <c r="AF119" s="675"/>
      <c r="AG119" s="676"/>
      <c r="AH119" s="677"/>
      <c r="AI119" s="675"/>
      <c r="AJ119" s="676"/>
      <c r="AK119" s="677"/>
      <c r="AL119" s="675"/>
      <c r="AM119" s="676"/>
      <c r="AN119" s="677"/>
      <c r="AO119" s="676"/>
      <c r="AP119" s="676"/>
      <c r="AQ119" s="677"/>
      <c r="AR119" s="619"/>
      <c r="AS119" s="619"/>
      <c r="AT119" s="677"/>
      <c r="AU119" s="638"/>
      <c r="AV119" s="638"/>
      <c r="AW119" s="633"/>
      <c r="AX119" s="633"/>
    </row>
    <row r="120" spans="1:50" s="660" customFormat="1" ht="18.75" customHeight="1" x14ac:dyDescent="0.3">
      <c r="A120" s="509"/>
      <c r="B120" s="663"/>
      <c r="C120" s="659"/>
      <c r="D120" s="659"/>
      <c r="E120" s="663"/>
      <c r="F120" s="659"/>
      <c r="G120" s="565"/>
      <c r="H120" s="663"/>
      <c r="I120" s="659"/>
      <c r="J120" s="565"/>
      <c r="K120" s="663"/>
      <c r="L120" s="659"/>
      <c r="M120" s="659"/>
      <c r="N120" s="663"/>
      <c r="O120" s="659"/>
      <c r="P120" s="565"/>
      <c r="Q120" s="663"/>
      <c r="R120" s="659"/>
      <c r="S120" s="565"/>
      <c r="T120" s="663"/>
      <c r="U120" s="664"/>
      <c r="V120" s="565"/>
      <c r="W120" s="663"/>
      <c r="X120" s="664"/>
      <c r="Y120" s="565"/>
      <c r="Z120" s="679"/>
      <c r="AA120" s="664"/>
      <c r="AB120" s="565"/>
      <c r="AC120" s="663"/>
      <c r="AD120" s="659"/>
      <c r="AE120" s="565"/>
      <c r="AF120" s="663"/>
      <c r="AG120" s="659"/>
      <c r="AH120" s="565"/>
      <c r="AI120" s="663"/>
      <c r="AJ120" s="659"/>
      <c r="AK120" s="565"/>
      <c r="AL120" s="663"/>
      <c r="AM120" s="659"/>
      <c r="AN120" s="565"/>
      <c r="AO120" s="659"/>
      <c r="AP120" s="659"/>
      <c r="AQ120" s="565"/>
      <c r="AR120" s="561"/>
      <c r="AS120" s="561"/>
      <c r="AT120" s="565"/>
      <c r="AU120" s="638"/>
      <c r="AV120" s="638"/>
      <c r="AW120" s="633"/>
      <c r="AX120" s="633"/>
    </row>
    <row r="121" spans="1:50" s="660" customFormat="1" ht="18.75" customHeight="1" x14ac:dyDescent="0.3">
      <c r="A121" s="507" t="s">
        <v>461</v>
      </c>
      <c r="B121" s="663"/>
      <c r="C121" s="659"/>
      <c r="D121" s="659"/>
      <c r="E121" s="663"/>
      <c r="F121" s="659"/>
      <c r="G121" s="565"/>
      <c r="H121" s="663"/>
      <c r="I121" s="659"/>
      <c r="J121" s="565"/>
      <c r="K121" s="663"/>
      <c r="L121" s="659"/>
      <c r="M121" s="659"/>
      <c r="N121" s="663"/>
      <c r="O121" s="659"/>
      <c r="P121" s="565"/>
      <c r="Q121" s="663"/>
      <c r="R121" s="659"/>
      <c r="S121" s="565"/>
      <c r="T121" s="663"/>
      <c r="U121" s="664"/>
      <c r="V121" s="565"/>
      <c r="W121" s="663"/>
      <c r="X121" s="664"/>
      <c r="Y121" s="565"/>
      <c r="Z121" s="679"/>
      <c r="AA121" s="664"/>
      <c r="AB121" s="565"/>
      <c r="AC121" s="663"/>
      <c r="AD121" s="659"/>
      <c r="AE121" s="565"/>
      <c r="AF121" s="663"/>
      <c r="AG121" s="659"/>
      <c r="AH121" s="565"/>
      <c r="AI121" s="663"/>
      <c r="AJ121" s="659"/>
      <c r="AK121" s="565"/>
      <c r="AL121" s="663"/>
      <c r="AM121" s="659"/>
      <c r="AN121" s="565"/>
      <c r="AO121" s="659"/>
      <c r="AP121" s="659"/>
      <c r="AQ121" s="565"/>
      <c r="AR121" s="561"/>
      <c r="AS121" s="561"/>
      <c r="AT121" s="565"/>
      <c r="AU121" s="638"/>
      <c r="AV121" s="638"/>
      <c r="AW121" s="633"/>
      <c r="AX121" s="633"/>
    </row>
    <row r="122" spans="1:50" s="660" customFormat="1" ht="18.75" customHeight="1" x14ac:dyDescent="0.3">
      <c r="A122" s="509" t="s">
        <v>432</v>
      </c>
      <c r="B122" s="663"/>
      <c r="C122" s="659"/>
      <c r="D122" s="659"/>
      <c r="E122" s="663">
        <v>65.59</v>
      </c>
      <c r="F122" s="659">
        <v>0</v>
      </c>
      <c r="G122" s="565">
        <f t="shared" ref="G122:G132" si="29">IF(E122=0, "    ---- ", IF(ABS(ROUND(100/E122*F122-100,1))&lt;999,ROUND(100/E122*F122-100,1),IF(ROUND(100/E122*F122-100,1)&gt;999,999,-999)))</f>
        <v>-100</v>
      </c>
      <c r="H122" s="663"/>
      <c r="I122" s="659"/>
      <c r="J122" s="565"/>
      <c r="K122" s="663"/>
      <c r="L122" s="659"/>
      <c r="M122" s="659"/>
      <c r="N122" s="663"/>
      <c r="O122" s="659"/>
      <c r="P122" s="565"/>
      <c r="Q122" s="663">
        <v>3396.1176925297091</v>
      </c>
      <c r="R122" s="659">
        <v>8021.1680385597992</v>
      </c>
      <c r="S122" s="565">
        <f t="shared" ref="S122:S144" si="30">IF(Q122=0, "    ---- ", IF(ABS(ROUND(100/Q122*R122-100,1))&lt;999,ROUND(100/Q122*R122-100,1),IF(ROUND(100/Q122*R122-100,1)&gt;999,999,-999)))</f>
        <v>136.19999999999999</v>
      </c>
      <c r="T122" s="663"/>
      <c r="U122" s="664"/>
      <c r="V122" s="565"/>
      <c r="W122" s="663"/>
      <c r="X122" s="664"/>
      <c r="Y122" s="565"/>
      <c r="Z122" s="679">
        <v>422</v>
      </c>
      <c r="AA122" s="664">
        <f>2083+278+53+48+1</f>
        <v>2463</v>
      </c>
      <c r="AB122" s="565"/>
      <c r="AC122" s="663"/>
      <c r="AD122" s="659"/>
      <c r="AE122" s="565"/>
      <c r="AF122" s="663"/>
      <c r="AG122" s="659"/>
      <c r="AH122" s="565"/>
      <c r="AI122" s="663"/>
      <c r="AJ122" s="659"/>
      <c r="AK122" s="565"/>
      <c r="AL122" s="663">
        <v>2</v>
      </c>
      <c r="AM122" s="659">
        <v>83.9</v>
      </c>
      <c r="AN122" s="565">
        <f t="shared" ref="AN122:AN132" si="31">IF(AL122=0, "    ---- ", IF(ABS(ROUND(100/AL122*AM122-100,1))&lt;999,ROUND(100/AL122*AM122-100,1),IF(ROUND(100/AL122*AM122-100,1)&gt;999,999,-999)))</f>
        <v>999</v>
      </c>
      <c r="AO122" s="659">
        <f t="shared" si="21"/>
        <v>3885.7076925297092</v>
      </c>
      <c r="AP122" s="659">
        <f t="shared" si="21"/>
        <v>10568.068038559799</v>
      </c>
      <c r="AQ122" s="565">
        <f t="shared" si="9"/>
        <v>172</v>
      </c>
      <c r="AR122" s="561">
        <f t="shared" si="22"/>
        <v>3885.7076925297092</v>
      </c>
      <c r="AS122" s="561">
        <f t="shared" si="22"/>
        <v>10568.068038559799</v>
      </c>
      <c r="AT122" s="565">
        <f t="shared" si="10"/>
        <v>172</v>
      </c>
      <c r="AU122" s="638"/>
      <c r="AV122" s="638"/>
      <c r="AW122" s="633"/>
      <c r="AX122" s="633"/>
    </row>
    <row r="123" spans="1:50" s="660" customFormat="1" ht="18.75" customHeight="1" x14ac:dyDescent="0.3">
      <c r="A123" s="509" t="s">
        <v>433</v>
      </c>
      <c r="B123" s="663"/>
      <c r="C123" s="659"/>
      <c r="D123" s="659"/>
      <c r="E123" s="663">
        <v>-65.366</v>
      </c>
      <c r="F123" s="659">
        <v>0</v>
      </c>
      <c r="G123" s="565">
        <f t="shared" si="29"/>
        <v>-100</v>
      </c>
      <c r="H123" s="663"/>
      <c r="I123" s="659"/>
      <c r="J123" s="565"/>
      <c r="K123" s="663"/>
      <c r="L123" s="659"/>
      <c r="M123" s="659"/>
      <c r="N123" s="663"/>
      <c r="O123" s="659"/>
      <c r="P123" s="565"/>
      <c r="Q123" s="663">
        <v>51.054248511983396</v>
      </c>
      <c r="R123" s="659">
        <v>4.3610605525112156</v>
      </c>
      <c r="S123" s="565">
        <f t="shared" si="30"/>
        <v>-91.5</v>
      </c>
      <c r="T123" s="663"/>
      <c r="U123" s="664"/>
      <c r="V123" s="565"/>
      <c r="W123" s="663"/>
      <c r="X123" s="664"/>
      <c r="Y123" s="565"/>
      <c r="Z123" s="679">
        <v>-86</v>
      </c>
      <c r="AA123" s="664">
        <v>-1975</v>
      </c>
      <c r="AB123" s="565">
        <f t="shared" ref="AB123:AB132" si="32">IF(Z123=0, "    ---- ", IF(ABS(ROUND(100/Z123*AA123-100,1))&lt;999,ROUND(100/Z123*AA123-100,1),IF(ROUND(100/Z123*AA123-100,1)&gt;999,999,-999)))</f>
        <v>999</v>
      </c>
      <c r="AC123" s="663"/>
      <c r="AD123" s="659"/>
      <c r="AE123" s="565"/>
      <c r="AF123" s="663"/>
      <c r="AG123" s="659"/>
      <c r="AH123" s="565"/>
      <c r="AI123" s="663"/>
      <c r="AJ123" s="659"/>
      <c r="AK123" s="565"/>
      <c r="AL123" s="663">
        <v>-2</v>
      </c>
      <c r="AM123" s="659"/>
      <c r="AN123" s="565">
        <f t="shared" si="31"/>
        <v>-100</v>
      </c>
      <c r="AO123" s="659">
        <f t="shared" si="21"/>
        <v>-102.3117514880166</v>
      </c>
      <c r="AP123" s="659">
        <f t="shared" si="21"/>
        <v>-1970.6389394474888</v>
      </c>
      <c r="AQ123" s="565">
        <f t="shared" si="9"/>
        <v>999</v>
      </c>
      <c r="AR123" s="561">
        <f t="shared" si="22"/>
        <v>-102.3117514880166</v>
      </c>
      <c r="AS123" s="561">
        <f t="shared" si="22"/>
        <v>-1970.6389394474888</v>
      </c>
      <c r="AT123" s="565">
        <f t="shared" si="10"/>
        <v>999</v>
      </c>
      <c r="AU123" s="638"/>
      <c r="AV123" s="638"/>
      <c r="AW123" s="633"/>
      <c r="AX123" s="633"/>
    </row>
    <row r="124" spans="1:50" s="660" customFormat="1" ht="18.75" customHeight="1" x14ac:dyDescent="0.3">
      <c r="A124" s="509" t="s">
        <v>434</v>
      </c>
      <c r="B124" s="663"/>
      <c r="C124" s="659"/>
      <c r="D124" s="659"/>
      <c r="E124" s="663">
        <v>-62.633000000000003</v>
      </c>
      <c r="F124" s="659">
        <v>-10.638999999999999</v>
      </c>
      <c r="G124" s="565">
        <f t="shared" si="29"/>
        <v>-83</v>
      </c>
      <c r="H124" s="663"/>
      <c r="I124" s="659"/>
      <c r="J124" s="565"/>
      <c r="K124" s="663"/>
      <c r="L124" s="659"/>
      <c r="M124" s="659"/>
      <c r="N124" s="663"/>
      <c r="O124" s="659"/>
      <c r="P124" s="565"/>
      <c r="Q124" s="663">
        <v>262.95303037160028</v>
      </c>
      <c r="R124" s="659">
        <v>-49.179410697877408</v>
      </c>
      <c r="S124" s="565">
        <f t="shared" si="30"/>
        <v>-118.7</v>
      </c>
      <c r="T124" s="663"/>
      <c r="U124" s="664"/>
      <c r="V124" s="565"/>
      <c r="W124" s="663"/>
      <c r="X124" s="664"/>
      <c r="Y124" s="565"/>
      <c r="Z124" s="679">
        <v>30</v>
      </c>
      <c r="AA124" s="664">
        <v>16</v>
      </c>
      <c r="AB124" s="565">
        <f t="shared" si="32"/>
        <v>-46.7</v>
      </c>
      <c r="AC124" s="663"/>
      <c r="AD124" s="659"/>
      <c r="AE124" s="565"/>
      <c r="AF124" s="663"/>
      <c r="AG124" s="659"/>
      <c r="AH124" s="565"/>
      <c r="AI124" s="663"/>
      <c r="AJ124" s="659"/>
      <c r="AK124" s="565"/>
      <c r="AL124" s="663">
        <v>-48</v>
      </c>
      <c r="AM124" s="659">
        <v>-66.400000000000006</v>
      </c>
      <c r="AN124" s="565">
        <f t="shared" si="31"/>
        <v>38.299999999999997</v>
      </c>
      <c r="AO124" s="659">
        <f t="shared" si="21"/>
        <v>182.32003037160027</v>
      </c>
      <c r="AP124" s="659">
        <f t="shared" si="21"/>
        <v>-110.21841069787742</v>
      </c>
      <c r="AQ124" s="565">
        <f t="shared" si="9"/>
        <v>-160.5</v>
      </c>
      <c r="AR124" s="561">
        <f t="shared" si="22"/>
        <v>182.32003037160027</v>
      </c>
      <c r="AS124" s="561">
        <f t="shared" si="22"/>
        <v>-110.21841069787742</v>
      </c>
      <c r="AT124" s="565">
        <f t="shared" si="10"/>
        <v>-160.5</v>
      </c>
      <c r="AU124" s="638"/>
      <c r="AV124" s="638"/>
      <c r="AW124" s="633"/>
      <c r="AX124" s="633"/>
    </row>
    <row r="125" spans="1:50" s="660" customFormat="1" ht="18.75" customHeight="1" x14ac:dyDescent="0.3">
      <c r="A125" s="509" t="s">
        <v>435</v>
      </c>
      <c r="B125" s="663"/>
      <c r="C125" s="659"/>
      <c r="D125" s="659"/>
      <c r="E125" s="663">
        <v>3.3650000000000002</v>
      </c>
      <c r="F125" s="659">
        <v>0.87009999999999998</v>
      </c>
      <c r="G125" s="565">
        <f t="shared" si="29"/>
        <v>-74.099999999999994</v>
      </c>
      <c r="H125" s="663"/>
      <c r="I125" s="659"/>
      <c r="J125" s="565"/>
      <c r="K125" s="663"/>
      <c r="L125" s="659"/>
      <c r="M125" s="659"/>
      <c r="N125" s="663"/>
      <c r="O125" s="659"/>
      <c r="P125" s="565"/>
      <c r="Q125" s="663"/>
      <c r="R125" s="659"/>
      <c r="S125" s="565"/>
      <c r="T125" s="663"/>
      <c r="U125" s="664"/>
      <c r="V125" s="565"/>
      <c r="W125" s="663"/>
      <c r="X125" s="664"/>
      <c r="Y125" s="565"/>
      <c r="Z125" s="679"/>
      <c r="AA125" s="664"/>
      <c r="AB125" s="565"/>
      <c r="AC125" s="663"/>
      <c r="AD125" s="659"/>
      <c r="AE125" s="565"/>
      <c r="AF125" s="663"/>
      <c r="AG125" s="659"/>
      <c r="AH125" s="565"/>
      <c r="AI125" s="663"/>
      <c r="AJ125" s="659"/>
      <c r="AK125" s="565"/>
      <c r="AL125" s="663">
        <v>9</v>
      </c>
      <c r="AM125" s="659">
        <v>5</v>
      </c>
      <c r="AN125" s="565">
        <f t="shared" si="31"/>
        <v>-44.4</v>
      </c>
      <c r="AO125" s="659">
        <f t="shared" si="21"/>
        <v>12.365</v>
      </c>
      <c r="AP125" s="659">
        <f t="shared" si="21"/>
        <v>5.8700999999999999</v>
      </c>
      <c r="AQ125" s="565">
        <f t="shared" si="9"/>
        <v>-52.5</v>
      </c>
      <c r="AR125" s="561">
        <f t="shared" si="22"/>
        <v>12.365</v>
      </c>
      <c r="AS125" s="561">
        <f t="shared" si="22"/>
        <v>5.8700999999999999</v>
      </c>
      <c r="AT125" s="565">
        <f t="shared" si="10"/>
        <v>-52.5</v>
      </c>
      <c r="AU125" s="638"/>
      <c r="AV125" s="638"/>
      <c r="AW125" s="633"/>
      <c r="AX125" s="633"/>
    </row>
    <row r="126" spans="1:50" s="660" customFormat="1" ht="18.75" customHeight="1" x14ac:dyDescent="0.3">
      <c r="A126" s="509" t="s">
        <v>436</v>
      </c>
      <c r="B126" s="663"/>
      <c r="C126" s="659"/>
      <c r="D126" s="659"/>
      <c r="E126" s="663">
        <v>5.9720000000000004</v>
      </c>
      <c r="F126" s="659">
        <v>4.2350000000000003</v>
      </c>
      <c r="G126" s="565">
        <f t="shared" si="29"/>
        <v>-29.1</v>
      </c>
      <c r="H126" s="663"/>
      <c r="I126" s="659"/>
      <c r="J126" s="565"/>
      <c r="K126" s="663"/>
      <c r="L126" s="659"/>
      <c r="M126" s="659"/>
      <c r="N126" s="663"/>
      <c r="O126" s="659"/>
      <c r="P126" s="565"/>
      <c r="Q126" s="663">
        <v>824.42103299999997</v>
      </c>
      <c r="R126" s="659">
        <v>683.36542899999995</v>
      </c>
      <c r="S126" s="565">
        <f t="shared" si="30"/>
        <v>-17.100000000000001</v>
      </c>
      <c r="T126" s="663"/>
      <c r="U126" s="664"/>
      <c r="V126" s="565"/>
      <c r="W126" s="663"/>
      <c r="X126" s="664"/>
      <c r="Y126" s="565"/>
      <c r="Z126" s="679">
        <v>267</v>
      </c>
      <c r="AA126" s="664">
        <v>267</v>
      </c>
      <c r="AB126" s="565"/>
      <c r="AC126" s="663"/>
      <c r="AD126" s="659"/>
      <c r="AE126" s="565"/>
      <c r="AF126" s="663"/>
      <c r="AG126" s="659"/>
      <c r="AH126" s="565"/>
      <c r="AI126" s="663"/>
      <c r="AJ126" s="659"/>
      <c r="AK126" s="565"/>
      <c r="AL126" s="663">
        <v>26</v>
      </c>
      <c r="AM126" s="659">
        <v>16.5</v>
      </c>
      <c r="AN126" s="565">
        <f t="shared" si="31"/>
        <v>-36.5</v>
      </c>
      <c r="AO126" s="659">
        <f t="shared" si="21"/>
        <v>1123.3930329999998</v>
      </c>
      <c r="AP126" s="659">
        <f t="shared" si="21"/>
        <v>971.10042899999996</v>
      </c>
      <c r="AQ126" s="565">
        <f t="shared" si="9"/>
        <v>-13.6</v>
      </c>
      <c r="AR126" s="561">
        <f t="shared" si="22"/>
        <v>1123.3930329999998</v>
      </c>
      <c r="AS126" s="561">
        <f t="shared" si="22"/>
        <v>971.10042899999996</v>
      </c>
      <c r="AT126" s="565">
        <f t="shared" si="10"/>
        <v>-13.6</v>
      </c>
      <c r="AU126" s="638"/>
      <c r="AV126" s="638"/>
      <c r="AW126" s="633"/>
      <c r="AX126" s="633"/>
    </row>
    <row r="127" spans="1:50" s="660" customFormat="1" ht="18.75" customHeight="1" x14ac:dyDescent="0.3">
      <c r="A127" s="509" t="s">
        <v>437</v>
      </c>
      <c r="B127" s="663"/>
      <c r="C127" s="659"/>
      <c r="D127" s="659"/>
      <c r="E127" s="663">
        <v>142.84299999999999</v>
      </c>
      <c r="F127" s="659">
        <v>27.494</v>
      </c>
      <c r="G127" s="565">
        <f t="shared" si="29"/>
        <v>-80.8</v>
      </c>
      <c r="H127" s="663"/>
      <c r="I127" s="659"/>
      <c r="J127" s="565"/>
      <c r="K127" s="663"/>
      <c r="L127" s="659"/>
      <c r="M127" s="659"/>
      <c r="N127" s="663"/>
      <c r="O127" s="659"/>
      <c r="P127" s="565"/>
      <c r="Q127" s="663">
        <v>20041.680433253219</v>
      </c>
      <c r="R127" s="659">
        <v>784.80863243128704</v>
      </c>
      <c r="S127" s="565">
        <f t="shared" si="30"/>
        <v>-96.1</v>
      </c>
      <c r="T127" s="663"/>
      <c r="U127" s="664"/>
      <c r="V127" s="565"/>
      <c r="W127" s="663"/>
      <c r="X127" s="664"/>
      <c r="Y127" s="565"/>
      <c r="Z127" s="679">
        <v>1074</v>
      </c>
      <c r="AA127" s="664">
        <v>303</v>
      </c>
      <c r="AB127" s="565">
        <f t="shared" si="32"/>
        <v>-71.8</v>
      </c>
      <c r="AC127" s="663"/>
      <c r="AD127" s="659"/>
      <c r="AE127" s="565"/>
      <c r="AF127" s="663"/>
      <c r="AG127" s="659"/>
      <c r="AH127" s="565"/>
      <c r="AI127" s="663"/>
      <c r="AJ127" s="659"/>
      <c r="AK127" s="565"/>
      <c r="AL127" s="663">
        <v>1</v>
      </c>
      <c r="AM127" s="659"/>
      <c r="AN127" s="565">
        <f t="shared" si="31"/>
        <v>-100</v>
      </c>
      <c r="AO127" s="659">
        <f t="shared" si="21"/>
        <v>21259.52343325322</v>
      </c>
      <c r="AP127" s="659">
        <f t="shared" si="21"/>
        <v>1115.3026324312871</v>
      </c>
      <c r="AQ127" s="565">
        <f t="shared" si="9"/>
        <v>-94.8</v>
      </c>
      <c r="AR127" s="561">
        <f t="shared" si="22"/>
        <v>21259.52343325322</v>
      </c>
      <c r="AS127" s="561">
        <f t="shared" si="22"/>
        <v>1115.3026324312871</v>
      </c>
      <c r="AT127" s="565">
        <f t="shared" si="10"/>
        <v>-94.8</v>
      </c>
      <c r="AU127" s="638"/>
      <c r="AV127" s="638"/>
      <c r="AW127" s="633"/>
      <c r="AX127" s="633"/>
    </row>
    <row r="128" spans="1:50" s="660" customFormat="1" ht="18.75" customHeight="1" x14ac:dyDescent="0.3">
      <c r="A128" s="509" t="s">
        <v>438</v>
      </c>
      <c r="B128" s="663"/>
      <c r="C128" s="659"/>
      <c r="D128" s="659"/>
      <c r="E128" s="663"/>
      <c r="F128" s="659"/>
      <c r="G128" s="565"/>
      <c r="H128" s="663"/>
      <c r="I128" s="659"/>
      <c r="J128" s="565"/>
      <c r="K128" s="663"/>
      <c r="L128" s="659"/>
      <c r="M128" s="659"/>
      <c r="N128" s="663"/>
      <c r="O128" s="659"/>
      <c r="P128" s="565"/>
      <c r="Q128" s="663">
        <v>2799.48511225322</v>
      </c>
      <c r="R128" s="659">
        <v>392.40431699999999</v>
      </c>
      <c r="S128" s="565">
        <f t="shared" si="30"/>
        <v>-86</v>
      </c>
      <c r="T128" s="663"/>
      <c r="U128" s="664"/>
      <c r="V128" s="565"/>
      <c r="W128" s="663"/>
      <c r="X128" s="664"/>
      <c r="Y128" s="565"/>
      <c r="Z128" s="679">
        <v>-536</v>
      </c>
      <c r="AA128" s="664">
        <v>-151</v>
      </c>
      <c r="AB128" s="565">
        <f t="shared" si="32"/>
        <v>-71.8</v>
      </c>
      <c r="AC128" s="663"/>
      <c r="AD128" s="659"/>
      <c r="AE128" s="565"/>
      <c r="AF128" s="663"/>
      <c r="AG128" s="659"/>
      <c r="AH128" s="565"/>
      <c r="AI128" s="663"/>
      <c r="AJ128" s="659"/>
      <c r="AK128" s="565"/>
      <c r="AL128" s="663">
        <v>0.5</v>
      </c>
      <c r="AM128" s="659"/>
      <c r="AN128" s="565">
        <f t="shared" si="31"/>
        <v>-100</v>
      </c>
      <c r="AO128" s="659">
        <f t="shared" si="21"/>
        <v>2263.98511225322</v>
      </c>
      <c r="AP128" s="659">
        <f t="shared" si="21"/>
        <v>241.40431699999999</v>
      </c>
      <c r="AQ128" s="565">
        <f t="shared" si="9"/>
        <v>-89.3</v>
      </c>
      <c r="AR128" s="561">
        <f t="shared" si="22"/>
        <v>2263.98511225322</v>
      </c>
      <c r="AS128" s="561">
        <f t="shared" si="22"/>
        <v>241.40431699999999</v>
      </c>
      <c r="AT128" s="565">
        <f t="shared" si="10"/>
        <v>-89.3</v>
      </c>
      <c r="AU128" s="638"/>
      <c r="AV128" s="638"/>
      <c r="AW128" s="633"/>
      <c r="AX128" s="633"/>
    </row>
    <row r="129" spans="1:50" s="660" customFormat="1" ht="18.75" customHeight="1" x14ac:dyDescent="0.3">
      <c r="A129" s="509" t="s">
        <v>439</v>
      </c>
      <c r="B129" s="663"/>
      <c r="C129" s="659"/>
      <c r="D129" s="659"/>
      <c r="E129" s="663"/>
      <c r="F129" s="659"/>
      <c r="G129" s="565"/>
      <c r="H129" s="663"/>
      <c r="I129" s="659"/>
      <c r="J129" s="565"/>
      <c r="K129" s="663"/>
      <c r="L129" s="659"/>
      <c r="M129" s="659"/>
      <c r="N129" s="663"/>
      <c r="O129" s="659"/>
      <c r="P129" s="565"/>
      <c r="Q129" s="663"/>
      <c r="R129" s="659"/>
      <c r="S129" s="565"/>
      <c r="T129" s="663"/>
      <c r="U129" s="664"/>
      <c r="V129" s="565"/>
      <c r="W129" s="663"/>
      <c r="X129" s="664"/>
      <c r="Y129" s="565"/>
      <c r="Z129" s="679"/>
      <c r="AA129" s="664"/>
      <c r="AB129" s="565"/>
      <c r="AC129" s="663"/>
      <c r="AD129" s="659"/>
      <c r="AE129" s="565"/>
      <c r="AF129" s="663"/>
      <c r="AG129" s="659"/>
      <c r="AH129" s="565"/>
      <c r="AI129" s="663"/>
      <c r="AJ129" s="659"/>
      <c r="AK129" s="565"/>
      <c r="AL129" s="663"/>
      <c r="AM129" s="659">
        <v>-11</v>
      </c>
      <c r="AN129" s="565" t="str">
        <f t="shared" si="31"/>
        <v xml:space="preserve">    ---- </v>
      </c>
      <c r="AO129" s="659">
        <f t="shared" si="21"/>
        <v>0</v>
      </c>
      <c r="AP129" s="659">
        <f t="shared" si="21"/>
        <v>-11</v>
      </c>
      <c r="AQ129" s="565" t="str">
        <f t="shared" si="9"/>
        <v xml:space="preserve">    ---- </v>
      </c>
      <c r="AR129" s="561">
        <f t="shared" si="22"/>
        <v>0</v>
      </c>
      <c r="AS129" s="561">
        <f t="shared" si="22"/>
        <v>-11</v>
      </c>
      <c r="AT129" s="565" t="str">
        <f t="shared" si="10"/>
        <v xml:space="preserve">    ---- </v>
      </c>
      <c r="AU129" s="638"/>
      <c r="AV129" s="638"/>
      <c r="AW129" s="633"/>
      <c r="AX129" s="633"/>
    </row>
    <row r="130" spans="1:50" s="662" customFormat="1" ht="18.75" customHeight="1" x14ac:dyDescent="0.3">
      <c r="A130" s="507" t="s">
        <v>440</v>
      </c>
      <c r="B130" s="665"/>
      <c r="C130" s="657"/>
      <c r="D130" s="657"/>
      <c r="E130" s="657">
        <f>SUM(E122:E127)+E129</f>
        <v>89.770999999999987</v>
      </c>
      <c r="F130" s="657">
        <f>SUM(F122:F127)+F129</f>
        <v>21.960100000000001</v>
      </c>
      <c r="G130" s="658">
        <f t="shared" si="29"/>
        <v>-75.5</v>
      </c>
      <c r="H130" s="665"/>
      <c r="I130" s="657"/>
      <c r="J130" s="658"/>
      <c r="K130" s="665"/>
      <c r="L130" s="657"/>
      <c r="M130" s="657"/>
      <c r="N130" s="665"/>
      <c r="O130" s="657"/>
      <c r="P130" s="658"/>
      <c r="Q130" s="665">
        <v>24576.226437666512</v>
      </c>
      <c r="R130" s="657">
        <f>SUM(R122:R127)+R129</f>
        <v>9444.5237498457191</v>
      </c>
      <c r="S130" s="658">
        <f t="shared" si="30"/>
        <v>-61.6</v>
      </c>
      <c r="T130" s="665"/>
      <c r="U130" s="666"/>
      <c r="V130" s="658"/>
      <c r="W130" s="665"/>
      <c r="X130" s="666"/>
      <c r="Y130" s="658"/>
      <c r="Z130" s="680">
        <v>1707</v>
      </c>
      <c r="AA130" s="666">
        <f>SUM(AA122:AA127)+AA129</f>
        <v>1074</v>
      </c>
      <c r="AB130" s="565">
        <f t="shared" si="32"/>
        <v>-37.1</v>
      </c>
      <c r="AC130" s="665"/>
      <c r="AD130" s="657"/>
      <c r="AE130" s="658"/>
      <c r="AF130" s="665"/>
      <c r="AG130" s="657"/>
      <c r="AH130" s="658"/>
      <c r="AI130" s="665"/>
      <c r="AJ130" s="657"/>
      <c r="AK130" s="658"/>
      <c r="AL130" s="665">
        <v>-12</v>
      </c>
      <c r="AM130" s="657">
        <f>SUM(AM122:AM127)+AM129</f>
        <v>28</v>
      </c>
      <c r="AN130" s="658">
        <f t="shared" si="31"/>
        <v>-333.3</v>
      </c>
      <c r="AO130" s="657">
        <f t="shared" si="21"/>
        <v>26360.997437666512</v>
      </c>
      <c r="AP130" s="657">
        <f t="shared" si="21"/>
        <v>10568.483849845719</v>
      </c>
      <c r="AQ130" s="658">
        <f t="shared" si="9"/>
        <v>-59.9</v>
      </c>
      <c r="AR130" s="574">
        <f t="shared" si="22"/>
        <v>26360.997437666512</v>
      </c>
      <c r="AS130" s="574">
        <f t="shared" si="22"/>
        <v>10568.483849845719</v>
      </c>
      <c r="AT130" s="658">
        <f t="shared" si="10"/>
        <v>-59.9</v>
      </c>
      <c r="AU130" s="636"/>
      <c r="AV130" s="636"/>
      <c r="AW130" s="661"/>
      <c r="AX130" s="661"/>
    </row>
    <row r="131" spans="1:50" s="660" customFormat="1" ht="18.75" customHeight="1" x14ac:dyDescent="0.3">
      <c r="A131" s="509" t="s">
        <v>441</v>
      </c>
      <c r="B131" s="663"/>
      <c r="C131" s="659"/>
      <c r="D131" s="659"/>
      <c r="E131" s="663">
        <v>137.315</v>
      </c>
      <c r="F131" s="659">
        <v>13.747</v>
      </c>
      <c r="G131" s="565">
        <f t="shared" si="29"/>
        <v>-90</v>
      </c>
      <c r="H131" s="663"/>
      <c r="I131" s="659"/>
      <c r="J131" s="565"/>
      <c r="K131" s="663"/>
      <c r="L131" s="659"/>
      <c r="M131" s="659"/>
      <c r="N131" s="663"/>
      <c r="O131" s="659"/>
      <c r="P131" s="565"/>
      <c r="Q131" s="663">
        <v>20537.262693057542</v>
      </c>
      <c r="R131" s="659">
        <v>8266.1340353077503</v>
      </c>
      <c r="S131" s="565">
        <f t="shared" si="30"/>
        <v>-59.8</v>
      </c>
      <c r="T131" s="663"/>
      <c r="U131" s="664"/>
      <c r="V131" s="565"/>
      <c r="W131" s="663"/>
      <c r="X131" s="664"/>
      <c r="Y131" s="565"/>
      <c r="Z131" s="679">
        <v>619</v>
      </c>
      <c r="AA131" s="664">
        <v>342</v>
      </c>
      <c r="AB131" s="565">
        <f t="shared" si="32"/>
        <v>-44.7</v>
      </c>
      <c r="AC131" s="663"/>
      <c r="AD131" s="659"/>
      <c r="AE131" s="565"/>
      <c r="AF131" s="663"/>
      <c r="AG131" s="659"/>
      <c r="AH131" s="565"/>
      <c r="AI131" s="663"/>
      <c r="AJ131" s="659"/>
      <c r="AK131" s="565"/>
      <c r="AL131" s="663">
        <v>50</v>
      </c>
      <c r="AM131" s="659">
        <v>73</v>
      </c>
      <c r="AN131" s="565">
        <f t="shared" si="31"/>
        <v>46</v>
      </c>
      <c r="AO131" s="659">
        <f t="shared" si="21"/>
        <v>21343.577693057541</v>
      </c>
      <c r="AP131" s="659">
        <f t="shared" si="21"/>
        <v>8694.8810353077497</v>
      </c>
      <c r="AQ131" s="565">
        <f t="shared" si="9"/>
        <v>-59.3</v>
      </c>
      <c r="AR131" s="561">
        <f t="shared" si="22"/>
        <v>21343.577693057541</v>
      </c>
      <c r="AS131" s="561">
        <f t="shared" si="22"/>
        <v>8694.8810353077497</v>
      </c>
      <c r="AT131" s="565">
        <f t="shared" si="10"/>
        <v>-59.3</v>
      </c>
      <c r="AU131" s="638"/>
      <c r="AV131" s="638"/>
      <c r="AW131" s="633"/>
      <c r="AX131" s="633"/>
    </row>
    <row r="132" spans="1:50" s="660" customFormat="1" ht="18.75" customHeight="1" x14ac:dyDescent="0.3">
      <c r="A132" s="509" t="s">
        <v>442</v>
      </c>
      <c r="B132" s="663"/>
      <c r="C132" s="659"/>
      <c r="D132" s="659"/>
      <c r="E132" s="663">
        <v>-47.544000000000011</v>
      </c>
      <c r="F132" s="659">
        <v>8.2140000000000004</v>
      </c>
      <c r="G132" s="565">
        <f t="shared" si="29"/>
        <v>-117.3</v>
      </c>
      <c r="H132" s="663"/>
      <c r="I132" s="659"/>
      <c r="J132" s="565"/>
      <c r="K132" s="663"/>
      <c r="L132" s="659"/>
      <c r="M132" s="659"/>
      <c r="N132" s="663"/>
      <c r="O132" s="659"/>
      <c r="P132" s="565"/>
      <c r="Q132" s="663">
        <v>4038.9637446089705</v>
      </c>
      <c r="R132" s="659">
        <v>1178.3897145379706</v>
      </c>
      <c r="S132" s="565">
        <f t="shared" si="30"/>
        <v>-70.8</v>
      </c>
      <c r="T132" s="663"/>
      <c r="U132" s="664"/>
      <c r="V132" s="565"/>
      <c r="W132" s="663"/>
      <c r="X132" s="664"/>
      <c r="Y132" s="565"/>
      <c r="Z132" s="679">
        <v>1088</v>
      </c>
      <c r="AA132" s="664">
        <v>732</v>
      </c>
      <c r="AB132" s="565">
        <f t="shared" si="32"/>
        <v>-32.700000000000003</v>
      </c>
      <c r="AC132" s="663"/>
      <c r="AD132" s="659"/>
      <c r="AE132" s="565"/>
      <c r="AF132" s="663"/>
      <c r="AG132" s="659"/>
      <c r="AH132" s="565"/>
      <c r="AI132" s="663"/>
      <c r="AJ132" s="659"/>
      <c r="AK132" s="565"/>
      <c r="AL132" s="663">
        <v>-62</v>
      </c>
      <c r="AM132" s="659">
        <v>-45</v>
      </c>
      <c r="AN132" s="565">
        <f t="shared" si="31"/>
        <v>-27.4</v>
      </c>
      <c r="AO132" s="659">
        <f t="shared" si="21"/>
        <v>5017.4197446089711</v>
      </c>
      <c r="AP132" s="659">
        <f t="shared" si="21"/>
        <v>1873.6037145379705</v>
      </c>
      <c r="AQ132" s="565">
        <f t="shared" si="9"/>
        <v>-62.7</v>
      </c>
      <c r="AR132" s="659">
        <f t="shared" si="22"/>
        <v>5017.4197446089711</v>
      </c>
      <c r="AS132" s="659">
        <f t="shared" si="22"/>
        <v>1873.6037145379705</v>
      </c>
      <c r="AT132" s="565">
        <f t="shared" si="10"/>
        <v>-62.7</v>
      </c>
      <c r="AU132" s="638"/>
      <c r="AV132" s="638"/>
      <c r="AW132" s="633"/>
      <c r="AX132" s="633"/>
    </row>
    <row r="133" spans="1:50" s="660" customFormat="1" ht="18.75" customHeight="1" x14ac:dyDescent="0.3">
      <c r="A133" s="507" t="s">
        <v>462</v>
      </c>
      <c r="B133" s="663"/>
      <c r="C133" s="659"/>
      <c r="D133" s="659"/>
      <c r="E133" s="663"/>
      <c r="F133" s="659"/>
      <c r="G133" s="565"/>
      <c r="H133" s="663"/>
      <c r="I133" s="659"/>
      <c r="J133" s="565"/>
      <c r="K133" s="663"/>
      <c r="L133" s="659"/>
      <c r="M133" s="659"/>
      <c r="N133" s="663"/>
      <c r="O133" s="659"/>
      <c r="P133" s="565"/>
      <c r="Q133" s="663"/>
      <c r="R133" s="659"/>
      <c r="S133" s="565"/>
      <c r="T133" s="663"/>
      <c r="U133" s="664"/>
      <c r="V133" s="565"/>
      <c r="W133" s="663"/>
      <c r="X133" s="664"/>
      <c r="Y133" s="565"/>
      <c r="Z133" s="679"/>
      <c r="AA133" s="664"/>
      <c r="AB133" s="565"/>
      <c r="AC133" s="663"/>
      <c r="AD133" s="659"/>
      <c r="AE133" s="565"/>
      <c r="AF133" s="663"/>
      <c r="AG133" s="659"/>
      <c r="AH133" s="565"/>
      <c r="AI133" s="663"/>
      <c r="AJ133" s="659"/>
      <c r="AK133" s="565"/>
      <c r="AL133" s="663"/>
      <c r="AM133" s="659"/>
      <c r="AN133" s="565"/>
      <c r="AO133" s="659"/>
      <c r="AP133" s="659"/>
      <c r="AQ133" s="565"/>
      <c r="AR133" s="659"/>
      <c r="AS133" s="659"/>
      <c r="AT133" s="565"/>
      <c r="AU133" s="638"/>
      <c r="AV133" s="638"/>
      <c r="AW133" s="633"/>
      <c r="AX133" s="633"/>
    </row>
    <row r="134" spans="1:50" s="660" customFormat="1" ht="18.75" customHeight="1" x14ac:dyDescent="0.3">
      <c r="A134" s="509" t="s">
        <v>432</v>
      </c>
      <c r="B134" s="663"/>
      <c r="C134" s="659"/>
      <c r="D134" s="659"/>
      <c r="E134" s="663"/>
      <c r="F134" s="659"/>
      <c r="G134" s="565"/>
      <c r="H134" s="663"/>
      <c r="I134" s="659"/>
      <c r="J134" s="565"/>
      <c r="K134" s="663"/>
      <c r="L134" s="659"/>
      <c r="M134" s="659"/>
      <c r="N134" s="663"/>
      <c r="O134" s="659"/>
      <c r="P134" s="565"/>
      <c r="Q134" s="663">
        <v>26.651703950000002</v>
      </c>
      <c r="R134" s="659">
        <v>75.069982449999998</v>
      </c>
      <c r="S134" s="565">
        <f t="shared" si="30"/>
        <v>181.7</v>
      </c>
      <c r="T134" s="663"/>
      <c r="U134" s="664"/>
      <c r="V134" s="565"/>
      <c r="W134" s="663"/>
      <c r="X134" s="664"/>
      <c r="Y134" s="565"/>
      <c r="Z134" s="679"/>
      <c r="AA134" s="664"/>
      <c r="AB134" s="565"/>
      <c r="AC134" s="663"/>
      <c r="AD134" s="659"/>
      <c r="AE134" s="565"/>
      <c r="AF134" s="663"/>
      <c r="AG134" s="659"/>
      <c r="AH134" s="565"/>
      <c r="AI134" s="663"/>
      <c r="AJ134" s="659"/>
      <c r="AK134" s="565"/>
      <c r="AL134" s="663"/>
      <c r="AM134" s="659"/>
      <c r="AN134" s="565"/>
      <c r="AO134" s="659">
        <f t="shared" si="21"/>
        <v>26.651703950000002</v>
      </c>
      <c r="AP134" s="659">
        <f t="shared" si="21"/>
        <v>75.069982449999998</v>
      </c>
      <c r="AQ134" s="565">
        <f t="shared" si="9"/>
        <v>181.7</v>
      </c>
      <c r="AR134" s="659">
        <f t="shared" si="22"/>
        <v>26.651703950000002</v>
      </c>
      <c r="AS134" s="659">
        <f t="shared" si="22"/>
        <v>75.069982449999998</v>
      </c>
      <c r="AT134" s="565">
        <f t="shared" si="10"/>
        <v>181.7</v>
      </c>
      <c r="AU134" s="638"/>
      <c r="AV134" s="638"/>
      <c r="AW134" s="633"/>
      <c r="AX134" s="633"/>
    </row>
    <row r="135" spans="1:50" s="660" customFormat="1" ht="18.75" customHeight="1" x14ac:dyDescent="0.3">
      <c r="A135" s="509" t="s">
        <v>433</v>
      </c>
      <c r="B135" s="663"/>
      <c r="C135" s="659"/>
      <c r="D135" s="659"/>
      <c r="E135" s="663"/>
      <c r="F135" s="659"/>
      <c r="G135" s="565"/>
      <c r="H135" s="663"/>
      <c r="I135" s="659"/>
      <c r="J135" s="565"/>
      <c r="K135" s="663"/>
      <c r="L135" s="659"/>
      <c r="M135" s="659"/>
      <c r="N135" s="663"/>
      <c r="O135" s="659"/>
      <c r="P135" s="565"/>
      <c r="Q135" s="663">
        <v>-1.4590840500000044</v>
      </c>
      <c r="R135" s="659">
        <v>-5.1040498539805413E-7</v>
      </c>
      <c r="S135" s="565"/>
      <c r="T135" s="663"/>
      <c r="U135" s="664"/>
      <c r="V135" s="565"/>
      <c r="W135" s="663"/>
      <c r="X135" s="664"/>
      <c r="Y135" s="565"/>
      <c r="Z135" s="679"/>
      <c r="AA135" s="664"/>
      <c r="AB135" s="565"/>
      <c r="AC135" s="663"/>
      <c r="AD135" s="659"/>
      <c r="AE135" s="565"/>
      <c r="AF135" s="663"/>
      <c r="AG135" s="659"/>
      <c r="AH135" s="565"/>
      <c r="AI135" s="663"/>
      <c r="AJ135" s="659"/>
      <c r="AK135" s="565"/>
      <c r="AL135" s="663"/>
      <c r="AM135" s="659"/>
      <c r="AN135" s="565"/>
      <c r="AO135" s="659">
        <f t="shared" si="21"/>
        <v>-1.4590840500000044</v>
      </c>
      <c r="AP135" s="659">
        <f t="shared" si="21"/>
        <v>-5.1040498539805413E-7</v>
      </c>
      <c r="AQ135" s="565">
        <f t="shared" si="9"/>
        <v>-100</v>
      </c>
      <c r="AR135" s="659">
        <f t="shared" si="22"/>
        <v>-1.4590840500000044</v>
      </c>
      <c r="AS135" s="659">
        <f t="shared" si="22"/>
        <v>-5.1040498539805413E-7</v>
      </c>
      <c r="AT135" s="565">
        <f t="shared" si="10"/>
        <v>-100</v>
      </c>
      <c r="AU135" s="638"/>
      <c r="AV135" s="638"/>
      <c r="AW135" s="633"/>
      <c r="AX135" s="633"/>
    </row>
    <row r="136" spans="1:50" s="660" customFormat="1" ht="18.75" customHeight="1" x14ac:dyDescent="0.3">
      <c r="A136" s="509" t="s">
        <v>434</v>
      </c>
      <c r="B136" s="663"/>
      <c r="C136" s="659"/>
      <c r="D136" s="659"/>
      <c r="E136" s="663"/>
      <c r="F136" s="659"/>
      <c r="G136" s="565"/>
      <c r="H136" s="663"/>
      <c r="I136" s="659"/>
      <c r="J136" s="565"/>
      <c r="K136" s="663"/>
      <c r="L136" s="659"/>
      <c r="M136" s="659"/>
      <c r="N136" s="663"/>
      <c r="O136" s="659"/>
      <c r="P136" s="565"/>
      <c r="Q136" s="663">
        <v>1.2556679595999718</v>
      </c>
      <c r="R136" s="659">
        <v>0.52398130088905714</v>
      </c>
      <c r="S136" s="565">
        <f t="shared" si="30"/>
        <v>-58.3</v>
      </c>
      <c r="T136" s="663"/>
      <c r="U136" s="664"/>
      <c r="V136" s="565"/>
      <c r="W136" s="663"/>
      <c r="X136" s="664"/>
      <c r="Y136" s="565"/>
      <c r="Z136" s="679"/>
      <c r="AA136" s="664"/>
      <c r="AB136" s="565"/>
      <c r="AC136" s="663"/>
      <c r="AD136" s="659"/>
      <c r="AE136" s="565"/>
      <c r="AF136" s="663"/>
      <c r="AG136" s="659"/>
      <c r="AH136" s="565"/>
      <c r="AI136" s="663"/>
      <c r="AJ136" s="659"/>
      <c r="AK136" s="565"/>
      <c r="AL136" s="663"/>
      <c r="AM136" s="659"/>
      <c r="AN136" s="565"/>
      <c r="AO136" s="659">
        <f t="shared" si="21"/>
        <v>1.2556679595999718</v>
      </c>
      <c r="AP136" s="659">
        <f t="shared" si="21"/>
        <v>0.52398130088905714</v>
      </c>
      <c r="AQ136" s="565">
        <f t="shared" si="9"/>
        <v>-58.3</v>
      </c>
      <c r="AR136" s="659">
        <f t="shared" si="22"/>
        <v>1.2556679595999718</v>
      </c>
      <c r="AS136" s="659">
        <f t="shared" si="22"/>
        <v>0.52398130088905714</v>
      </c>
      <c r="AT136" s="565">
        <f t="shared" si="10"/>
        <v>-58.3</v>
      </c>
      <c r="AU136" s="638"/>
      <c r="AV136" s="638"/>
      <c r="AW136" s="633"/>
      <c r="AX136" s="633"/>
    </row>
    <row r="137" spans="1:50" s="660" customFormat="1" ht="18.75" customHeight="1" x14ac:dyDescent="0.3">
      <c r="A137" s="509" t="s">
        <v>435</v>
      </c>
      <c r="B137" s="663"/>
      <c r="C137" s="659"/>
      <c r="D137" s="659"/>
      <c r="E137" s="663"/>
      <c r="F137" s="659"/>
      <c r="G137" s="565"/>
      <c r="H137" s="663"/>
      <c r="I137" s="659"/>
      <c r="J137" s="565"/>
      <c r="K137" s="663"/>
      <c r="L137" s="659"/>
      <c r="M137" s="659"/>
      <c r="N137" s="663"/>
      <c r="O137" s="659"/>
      <c r="P137" s="565"/>
      <c r="Q137" s="663"/>
      <c r="R137" s="659"/>
      <c r="S137" s="565"/>
      <c r="T137" s="663"/>
      <c r="U137" s="664"/>
      <c r="V137" s="565"/>
      <c r="W137" s="663"/>
      <c r="X137" s="664"/>
      <c r="Y137" s="565"/>
      <c r="Z137" s="679"/>
      <c r="AA137" s="664"/>
      <c r="AB137" s="565"/>
      <c r="AC137" s="663"/>
      <c r="AD137" s="659"/>
      <c r="AE137" s="565"/>
      <c r="AF137" s="663"/>
      <c r="AG137" s="659"/>
      <c r="AH137" s="565"/>
      <c r="AI137" s="663"/>
      <c r="AJ137" s="659"/>
      <c r="AK137" s="565"/>
      <c r="AL137" s="663"/>
      <c r="AM137" s="659"/>
      <c r="AN137" s="565"/>
      <c r="AO137" s="659">
        <f t="shared" si="21"/>
        <v>0</v>
      </c>
      <c r="AP137" s="659">
        <f t="shared" si="21"/>
        <v>0</v>
      </c>
      <c r="AQ137" s="565" t="str">
        <f t="shared" si="9"/>
        <v xml:space="preserve">    ---- </v>
      </c>
      <c r="AR137" s="659">
        <f t="shared" si="22"/>
        <v>0</v>
      </c>
      <c r="AS137" s="659">
        <f t="shared" si="22"/>
        <v>0</v>
      </c>
      <c r="AT137" s="565" t="str">
        <f t="shared" si="10"/>
        <v xml:space="preserve">    ---- </v>
      </c>
      <c r="AU137" s="638"/>
      <c r="AV137" s="638"/>
      <c r="AW137" s="633"/>
      <c r="AX137" s="633"/>
    </row>
    <row r="138" spans="1:50" s="660" customFormat="1" ht="18.75" customHeight="1" x14ac:dyDescent="0.3">
      <c r="A138" s="509" t="s">
        <v>436</v>
      </c>
      <c r="B138" s="663"/>
      <c r="C138" s="659"/>
      <c r="D138" s="659"/>
      <c r="E138" s="663"/>
      <c r="F138" s="659"/>
      <c r="G138" s="565"/>
      <c r="H138" s="663"/>
      <c r="I138" s="659"/>
      <c r="J138" s="565"/>
      <c r="K138" s="663"/>
      <c r="L138" s="659"/>
      <c r="M138" s="659"/>
      <c r="N138" s="663"/>
      <c r="O138" s="659"/>
      <c r="P138" s="565"/>
      <c r="Q138" s="663">
        <v>1.8856189999999999</v>
      </c>
      <c r="R138" s="659">
        <v>6.8000999999999996</v>
      </c>
      <c r="S138" s="565">
        <f t="shared" si="30"/>
        <v>260.60000000000002</v>
      </c>
      <c r="T138" s="663"/>
      <c r="U138" s="664"/>
      <c r="V138" s="565"/>
      <c r="W138" s="663"/>
      <c r="X138" s="664"/>
      <c r="Y138" s="565"/>
      <c r="Z138" s="679"/>
      <c r="AA138" s="664"/>
      <c r="AB138" s="565"/>
      <c r="AC138" s="663"/>
      <c r="AD138" s="659"/>
      <c r="AE138" s="565"/>
      <c r="AF138" s="663"/>
      <c r="AG138" s="659"/>
      <c r="AH138" s="565"/>
      <c r="AI138" s="663"/>
      <c r="AJ138" s="659"/>
      <c r="AK138" s="565"/>
      <c r="AL138" s="663"/>
      <c r="AM138" s="659"/>
      <c r="AN138" s="565"/>
      <c r="AO138" s="659">
        <f t="shared" si="21"/>
        <v>1.8856189999999999</v>
      </c>
      <c r="AP138" s="659">
        <f t="shared" si="21"/>
        <v>6.8000999999999996</v>
      </c>
      <c r="AQ138" s="565">
        <f t="shared" si="9"/>
        <v>260.60000000000002</v>
      </c>
      <c r="AR138" s="659">
        <f t="shared" si="22"/>
        <v>1.8856189999999999</v>
      </c>
      <c r="AS138" s="659">
        <f t="shared" si="22"/>
        <v>6.8000999999999996</v>
      </c>
      <c r="AT138" s="565">
        <f t="shared" si="10"/>
        <v>260.60000000000002</v>
      </c>
      <c r="AU138" s="638"/>
      <c r="AV138" s="638"/>
      <c r="AW138" s="633"/>
      <c r="AX138" s="633"/>
    </row>
    <row r="139" spans="1:50" s="660" customFormat="1" ht="18.75" customHeight="1" x14ac:dyDescent="0.3">
      <c r="A139" s="509" t="s">
        <v>437</v>
      </c>
      <c r="B139" s="663"/>
      <c r="C139" s="659"/>
      <c r="D139" s="659"/>
      <c r="E139" s="663"/>
      <c r="F139" s="659"/>
      <c r="G139" s="565"/>
      <c r="H139" s="663"/>
      <c r="I139" s="659"/>
      <c r="J139" s="565"/>
      <c r="K139" s="663"/>
      <c r="L139" s="659"/>
      <c r="M139" s="659"/>
      <c r="N139" s="663"/>
      <c r="O139" s="659"/>
      <c r="P139" s="565"/>
      <c r="Q139" s="663">
        <v>101.32281641344524</v>
      </c>
      <c r="R139" s="659">
        <v>3.4650685687130585</v>
      </c>
      <c r="S139" s="565">
        <f t="shared" si="30"/>
        <v>-96.6</v>
      </c>
      <c r="T139" s="663"/>
      <c r="U139" s="664"/>
      <c r="V139" s="565"/>
      <c r="W139" s="663"/>
      <c r="X139" s="664"/>
      <c r="Y139" s="565"/>
      <c r="Z139" s="679"/>
      <c r="AA139" s="664"/>
      <c r="AB139" s="565"/>
      <c r="AC139" s="663"/>
      <c r="AD139" s="659"/>
      <c r="AE139" s="565"/>
      <c r="AF139" s="663"/>
      <c r="AG139" s="659"/>
      <c r="AH139" s="565"/>
      <c r="AI139" s="663"/>
      <c r="AJ139" s="659"/>
      <c r="AK139" s="565"/>
      <c r="AL139" s="663"/>
      <c r="AM139" s="659"/>
      <c r="AN139" s="565"/>
      <c r="AO139" s="659">
        <f t="shared" si="21"/>
        <v>101.32281641344524</v>
      </c>
      <c r="AP139" s="659">
        <f t="shared" si="21"/>
        <v>3.4650685687130585</v>
      </c>
      <c r="AQ139" s="565">
        <f t="shared" si="9"/>
        <v>-96.6</v>
      </c>
      <c r="AR139" s="659">
        <f t="shared" si="22"/>
        <v>101.32281641344524</v>
      </c>
      <c r="AS139" s="659">
        <f t="shared" si="22"/>
        <v>3.4650685687130585</v>
      </c>
      <c r="AT139" s="565">
        <f t="shared" si="10"/>
        <v>-96.6</v>
      </c>
      <c r="AU139" s="638"/>
      <c r="AV139" s="638"/>
      <c r="AW139" s="633"/>
      <c r="AX139" s="633"/>
    </row>
    <row r="140" spans="1:50" s="660" customFormat="1" ht="18.75" customHeight="1" x14ac:dyDescent="0.3">
      <c r="A140" s="509" t="s">
        <v>438</v>
      </c>
      <c r="B140" s="663"/>
      <c r="C140" s="659"/>
      <c r="D140" s="659"/>
      <c r="E140" s="663"/>
      <c r="F140" s="659"/>
      <c r="G140" s="565"/>
      <c r="H140" s="663"/>
      <c r="I140" s="659"/>
      <c r="J140" s="565"/>
      <c r="K140" s="663"/>
      <c r="L140" s="659"/>
      <c r="M140" s="659"/>
      <c r="N140" s="663"/>
      <c r="O140" s="659"/>
      <c r="P140" s="565"/>
      <c r="Q140" s="663">
        <v>17.669161331722609</v>
      </c>
      <c r="R140" s="659">
        <v>1.732534</v>
      </c>
      <c r="S140" s="565"/>
      <c r="T140" s="663"/>
      <c r="U140" s="664"/>
      <c r="V140" s="565"/>
      <c r="W140" s="663"/>
      <c r="X140" s="664"/>
      <c r="Y140" s="565"/>
      <c r="Z140" s="679"/>
      <c r="AA140" s="664"/>
      <c r="AB140" s="565"/>
      <c r="AC140" s="663"/>
      <c r="AD140" s="659"/>
      <c r="AE140" s="565"/>
      <c r="AF140" s="663"/>
      <c r="AG140" s="659"/>
      <c r="AH140" s="565"/>
      <c r="AI140" s="663"/>
      <c r="AJ140" s="659"/>
      <c r="AK140" s="565"/>
      <c r="AL140" s="663"/>
      <c r="AM140" s="659"/>
      <c r="AN140" s="565"/>
      <c r="AO140" s="659">
        <f t="shared" si="21"/>
        <v>17.669161331722609</v>
      </c>
      <c r="AP140" s="659">
        <f t="shared" si="21"/>
        <v>1.732534</v>
      </c>
      <c r="AQ140" s="565">
        <f t="shared" si="9"/>
        <v>-90.2</v>
      </c>
      <c r="AR140" s="659">
        <f t="shared" si="22"/>
        <v>17.669161331722609</v>
      </c>
      <c r="AS140" s="659">
        <f t="shared" si="22"/>
        <v>1.732534</v>
      </c>
      <c r="AT140" s="565">
        <f t="shared" si="10"/>
        <v>-90.2</v>
      </c>
      <c r="AU140" s="638"/>
      <c r="AV140" s="638"/>
      <c r="AW140" s="633"/>
      <c r="AX140" s="633"/>
    </row>
    <row r="141" spans="1:50" s="660" customFormat="1" ht="18.75" customHeight="1" x14ac:dyDescent="0.3">
      <c r="A141" s="509" t="s">
        <v>439</v>
      </c>
      <c r="B141" s="663"/>
      <c r="C141" s="659"/>
      <c r="D141" s="659"/>
      <c r="E141" s="663"/>
      <c r="F141" s="659"/>
      <c r="G141" s="565"/>
      <c r="H141" s="663"/>
      <c r="I141" s="659"/>
      <c r="J141" s="565"/>
      <c r="K141" s="663"/>
      <c r="L141" s="659"/>
      <c r="M141" s="659"/>
      <c r="N141" s="663"/>
      <c r="O141" s="659"/>
      <c r="P141" s="565"/>
      <c r="Q141" s="663"/>
      <c r="R141" s="659"/>
      <c r="S141" s="565"/>
      <c r="T141" s="663"/>
      <c r="U141" s="664"/>
      <c r="V141" s="565"/>
      <c r="W141" s="663"/>
      <c r="X141" s="664"/>
      <c r="Y141" s="565"/>
      <c r="Z141" s="679"/>
      <c r="AA141" s="664"/>
      <c r="AB141" s="565"/>
      <c r="AC141" s="663"/>
      <c r="AD141" s="659"/>
      <c r="AE141" s="565"/>
      <c r="AF141" s="663"/>
      <c r="AG141" s="659"/>
      <c r="AH141" s="565"/>
      <c r="AI141" s="663"/>
      <c r="AJ141" s="659"/>
      <c r="AK141" s="565"/>
      <c r="AL141" s="663"/>
      <c r="AM141" s="659"/>
      <c r="AN141" s="565"/>
      <c r="AO141" s="659">
        <f t="shared" si="21"/>
        <v>0</v>
      </c>
      <c r="AP141" s="659">
        <f t="shared" si="21"/>
        <v>0</v>
      </c>
      <c r="AQ141" s="565" t="str">
        <f t="shared" si="9"/>
        <v xml:space="preserve">    ---- </v>
      </c>
      <c r="AR141" s="659">
        <f t="shared" si="22"/>
        <v>0</v>
      </c>
      <c r="AS141" s="659">
        <f t="shared" si="22"/>
        <v>0</v>
      </c>
      <c r="AT141" s="565" t="str">
        <f t="shared" si="10"/>
        <v xml:space="preserve">    ---- </v>
      </c>
      <c r="AU141" s="638"/>
      <c r="AV141" s="638"/>
      <c r="AW141" s="633"/>
      <c r="AX141" s="633"/>
    </row>
    <row r="142" spans="1:50" s="662" customFormat="1" ht="18.75" customHeight="1" x14ac:dyDescent="0.3">
      <c r="A142" s="507" t="s">
        <v>440</v>
      </c>
      <c r="B142" s="665"/>
      <c r="C142" s="657"/>
      <c r="D142" s="657"/>
      <c r="E142" s="665"/>
      <c r="F142" s="657"/>
      <c r="G142" s="658"/>
      <c r="H142" s="665"/>
      <c r="I142" s="657"/>
      <c r="J142" s="658"/>
      <c r="K142" s="665"/>
      <c r="L142" s="657"/>
      <c r="M142" s="657"/>
      <c r="N142" s="665"/>
      <c r="O142" s="657"/>
      <c r="P142" s="658"/>
      <c r="Q142" s="665">
        <v>129.6567232730452</v>
      </c>
      <c r="R142" s="657">
        <f>SUM(R134:R139)+R141</f>
        <v>85.859131809197137</v>
      </c>
      <c r="S142" s="658">
        <f t="shared" si="30"/>
        <v>-33.799999999999997</v>
      </c>
      <c r="T142" s="665"/>
      <c r="U142" s="666"/>
      <c r="V142" s="658"/>
      <c r="W142" s="665"/>
      <c r="X142" s="666"/>
      <c r="Y142" s="658"/>
      <c r="Z142" s="680"/>
      <c r="AA142" s="666"/>
      <c r="AB142" s="658"/>
      <c r="AC142" s="665"/>
      <c r="AD142" s="657"/>
      <c r="AE142" s="658"/>
      <c r="AF142" s="665"/>
      <c r="AG142" s="657"/>
      <c r="AH142" s="658"/>
      <c r="AI142" s="665"/>
      <c r="AJ142" s="657"/>
      <c r="AK142" s="658"/>
      <c r="AL142" s="665"/>
      <c r="AM142" s="657"/>
      <c r="AN142" s="658"/>
      <c r="AO142" s="657">
        <f t="shared" si="21"/>
        <v>129.6567232730452</v>
      </c>
      <c r="AP142" s="657">
        <f t="shared" si="21"/>
        <v>85.859131809197137</v>
      </c>
      <c r="AQ142" s="658">
        <f t="shared" si="9"/>
        <v>-33.799999999999997</v>
      </c>
      <c r="AR142" s="657">
        <f t="shared" si="22"/>
        <v>129.6567232730452</v>
      </c>
      <c r="AS142" s="657">
        <f t="shared" si="22"/>
        <v>85.859131809197137</v>
      </c>
      <c r="AT142" s="658">
        <f t="shared" si="10"/>
        <v>-33.799999999999997</v>
      </c>
      <c r="AU142" s="636"/>
      <c r="AV142" s="636"/>
      <c r="AW142" s="661"/>
      <c r="AX142" s="661"/>
    </row>
    <row r="143" spans="1:50" s="660" customFormat="1" ht="18.75" customHeight="1" x14ac:dyDescent="0.3">
      <c r="A143" s="509" t="s">
        <v>441</v>
      </c>
      <c r="B143" s="663"/>
      <c r="C143" s="659"/>
      <c r="D143" s="659"/>
      <c r="E143" s="663"/>
      <c r="F143" s="659"/>
      <c r="G143" s="565"/>
      <c r="H143" s="663"/>
      <c r="I143" s="659"/>
      <c r="J143" s="565"/>
      <c r="K143" s="663"/>
      <c r="L143" s="659"/>
      <c r="M143" s="659"/>
      <c r="N143" s="663"/>
      <c r="O143" s="659"/>
      <c r="P143" s="565"/>
      <c r="Q143" s="663">
        <v>112.4211804044416</v>
      </c>
      <c r="R143" s="659">
        <v>76.802516734356502</v>
      </c>
      <c r="S143" s="565">
        <f t="shared" si="30"/>
        <v>-31.7</v>
      </c>
      <c r="T143" s="663"/>
      <c r="U143" s="664"/>
      <c r="V143" s="565"/>
      <c r="W143" s="663"/>
      <c r="X143" s="664"/>
      <c r="Y143" s="565"/>
      <c r="Z143" s="679"/>
      <c r="AA143" s="664"/>
      <c r="AB143" s="565"/>
      <c r="AC143" s="663"/>
      <c r="AD143" s="659"/>
      <c r="AE143" s="565"/>
      <c r="AF143" s="663"/>
      <c r="AG143" s="659"/>
      <c r="AH143" s="565"/>
      <c r="AI143" s="663"/>
      <c r="AJ143" s="659"/>
      <c r="AK143" s="565"/>
      <c r="AL143" s="663"/>
      <c r="AM143" s="659"/>
      <c r="AN143" s="565"/>
      <c r="AO143" s="659">
        <f t="shared" si="21"/>
        <v>112.4211804044416</v>
      </c>
      <c r="AP143" s="659">
        <f t="shared" si="21"/>
        <v>76.802516734356502</v>
      </c>
      <c r="AQ143" s="565">
        <f t="shared" si="9"/>
        <v>-31.7</v>
      </c>
      <c r="AR143" s="659">
        <f t="shared" si="22"/>
        <v>112.4211804044416</v>
      </c>
      <c r="AS143" s="659">
        <f t="shared" si="22"/>
        <v>76.802516734356502</v>
      </c>
      <c r="AT143" s="565">
        <f t="shared" si="10"/>
        <v>-31.7</v>
      </c>
      <c r="AU143" s="638"/>
      <c r="AV143" s="638"/>
      <c r="AW143" s="633"/>
      <c r="AX143" s="633"/>
    </row>
    <row r="144" spans="1:50" s="633" customFormat="1" ht="18.75" customHeight="1" x14ac:dyDescent="0.3">
      <c r="A144" s="520" t="s">
        <v>442</v>
      </c>
      <c r="B144" s="675"/>
      <c r="C144" s="676"/>
      <c r="D144" s="676"/>
      <c r="E144" s="675"/>
      <c r="F144" s="676"/>
      <c r="G144" s="677"/>
      <c r="H144" s="675"/>
      <c r="I144" s="676"/>
      <c r="J144" s="677"/>
      <c r="K144" s="675"/>
      <c r="L144" s="676"/>
      <c r="M144" s="676"/>
      <c r="N144" s="675"/>
      <c r="O144" s="676"/>
      <c r="P144" s="677"/>
      <c r="Q144" s="675">
        <v>17.235542868603623</v>
      </c>
      <c r="R144" s="676">
        <v>9.0566150748406198</v>
      </c>
      <c r="S144" s="677">
        <f t="shared" si="30"/>
        <v>-47.5</v>
      </c>
      <c r="T144" s="675"/>
      <c r="U144" s="678"/>
      <c r="V144" s="677"/>
      <c r="W144" s="675"/>
      <c r="X144" s="678"/>
      <c r="Y144" s="677"/>
      <c r="Z144" s="681"/>
      <c r="AA144" s="678"/>
      <c r="AB144" s="677"/>
      <c r="AC144" s="675"/>
      <c r="AD144" s="676"/>
      <c r="AE144" s="677"/>
      <c r="AF144" s="675"/>
      <c r="AG144" s="676"/>
      <c r="AH144" s="677"/>
      <c r="AI144" s="675"/>
      <c r="AJ144" s="676"/>
      <c r="AK144" s="677"/>
      <c r="AL144" s="675"/>
      <c r="AM144" s="676"/>
      <c r="AN144" s="677"/>
      <c r="AO144" s="676">
        <f t="shared" si="21"/>
        <v>17.235542868603623</v>
      </c>
      <c r="AP144" s="676">
        <f t="shared" si="21"/>
        <v>9.0566150748406198</v>
      </c>
      <c r="AQ144" s="677">
        <f t="shared" si="9"/>
        <v>-47.5</v>
      </c>
      <c r="AR144" s="676">
        <f t="shared" si="22"/>
        <v>17.235542868603623</v>
      </c>
      <c r="AS144" s="676">
        <f t="shared" si="22"/>
        <v>9.0566150748406198</v>
      </c>
      <c r="AT144" s="677">
        <f t="shared" si="10"/>
        <v>-47.5</v>
      </c>
      <c r="AU144" s="638"/>
      <c r="AV144" s="638"/>
    </row>
    <row r="145" spans="1:50" s="683" customFormat="1" ht="18.75" customHeight="1" x14ac:dyDescent="0.3">
      <c r="A145" s="633" t="s">
        <v>286</v>
      </c>
      <c r="B145" s="515"/>
      <c r="C145" s="682"/>
      <c r="D145" s="682"/>
      <c r="E145" s="682"/>
      <c r="F145" s="682"/>
      <c r="G145" s="682"/>
      <c r="H145" s="638"/>
      <c r="I145" s="633"/>
      <c r="J145" s="633"/>
      <c r="K145" s="633"/>
      <c r="L145" s="633"/>
      <c r="M145" s="633"/>
      <c r="N145" s="633"/>
      <c r="O145" s="633"/>
      <c r="P145" s="633"/>
      <c r="Q145" s="633"/>
      <c r="R145" s="633"/>
      <c r="S145" s="633"/>
      <c r="T145" s="633"/>
      <c r="U145" s="633"/>
      <c r="V145" s="633"/>
      <c r="X145" s="633"/>
      <c r="Y145" s="633"/>
      <c r="Z145" s="633"/>
      <c r="AA145" s="633"/>
      <c r="AB145" s="633"/>
      <c r="AD145" s="633"/>
      <c r="AE145" s="633"/>
      <c r="AF145" s="633"/>
      <c r="AG145" s="633"/>
      <c r="AH145" s="633"/>
      <c r="AI145" s="633"/>
      <c r="AJ145" s="633"/>
      <c r="AK145" s="633"/>
      <c r="AM145" s="633"/>
      <c r="AN145" s="633"/>
      <c r="AO145" s="633"/>
      <c r="AP145" s="633"/>
      <c r="AQ145" s="633"/>
      <c r="AR145" s="638"/>
      <c r="AS145" s="638"/>
      <c r="AT145" s="638"/>
      <c r="AU145" s="684"/>
      <c r="AV145" s="685"/>
      <c r="AW145" s="684"/>
      <c r="AX145" s="684"/>
    </row>
    <row r="146" spans="1:50" s="683" customFormat="1" ht="18.75" customHeight="1" x14ac:dyDescent="0.3">
      <c r="A146" s="633"/>
      <c r="D146" s="682"/>
      <c r="G146" s="682"/>
      <c r="J146" s="682"/>
      <c r="M146" s="682"/>
      <c r="P146" s="682"/>
      <c r="S146" s="682"/>
      <c r="V146" s="682"/>
      <c r="Y146" s="682"/>
      <c r="AB146" s="682"/>
      <c r="AE146" s="682"/>
      <c r="AH146" s="682"/>
      <c r="AK146" s="682"/>
      <c r="AN146" s="682"/>
      <c r="AQ146" s="682"/>
      <c r="AT146" s="682"/>
      <c r="AU146" s="684"/>
      <c r="AV146" s="685"/>
      <c r="AW146" s="684"/>
      <c r="AX146" s="684"/>
    </row>
    <row r="147" spans="1:50" s="683" customFormat="1" ht="18.75" customHeight="1" x14ac:dyDescent="0.3">
      <c r="A147" s="633"/>
      <c r="B147" s="684"/>
      <c r="C147" s="684"/>
      <c r="D147" s="682"/>
      <c r="E147" s="684"/>
      <c r="F147" s="684"/>
      <c r="G147" s="682"/>
      <c r="H147" s="684"/>
      <c r="I147" s="684"/>
      <c r="J147" s="682"/>
      <c r="K147" s="684"/>
      <c r="L147" s="684"/>
      <c r="M147" s="682"/>
      <c r="N147" s="684"/>
      <c r="O147" s="684"/>
      <c r="P147" s="682"/>
      <c r="Q147" s="684"/>
      <c r="R147" s="684"/>
      <c r="S147" s="682"/>
      <c r="T147" s="684"/>
      <c r="U147" s="684"/>
      <c r="V147" s="682"/>
      <c r="W147" s="684"/>
      <c r="X147" s="684"/>
      <c r="Y147" s="682"/>
      <c r="Z147" s="684"/>
      <c r="AA147" s="684"/>
      <c r="AB147" s="682"/>
      <c r="AC147" s="684"/>
      <c r="AD147" s="684"/>
      <c r="AE147" s="682"/>
      <c r="AF147" s="684"/>
      <c r="AG147" s="684"/>
      <c r="AH147" s="682"/>
      <c r="AI147" s="684"/>
      <c r="AJ147" s="684"/>
      <c r="AK147" s="682"/>
      <c r="AL147" s="684"/>
      <c r="AM147" s="684"/>
      <c r="AN147" s="682"/>
      <c r="AO147" s="684"/>
      <c r="AP147" s="684"/>
      <c r="AQ147" s="682"/>
      <c r="AR147" s="684"/>
      <c r="AS147" s="684"/>
      <c r="AT147" s="682"/>
      <c r="AU147" s="684"/>
      <c r="AV147" s="685"/>
      <c r="AW147" s="684"/>
      <c r="AX147" s="684"/>
    </row>
    <row r="148" spans="1:50" s="683" customFormat="1" ht="18.75" x14ac:dyDescent="0.3">
      <c r="A148" s="684"/>
      <c r="B148" s="682"/>
      <c r="C148" s="682"/>
      <c r="D148" s="682"/>
      <c r="E148" s="682"/>
      <c r="F148" s="682"/>
      <c r="G148" s="682"/>
      <c r="H148" s="685"/>
      <c r="I148" s="684"/>
      <c r="J148" s="684"/>
      <c r="K148" s="684"/>
      <c r="L148" s="684"/>
      <c r="M148" s="684"/>
      <c r="N148" s="684"/>
      <c r="O148" s="684"/>
      <c r="P148" s="684"/>
      <c r="Q148" s="684"/>
      <c r="R148" s="684"/>
      <c r="S148" s="684"/>
      <c r="T148" s="684"/>
      <c r="U148" s="684"/>
      <c r="V148" s="684"/>
      <c r="W148" s="684"/>
      <c r="X148" s="684"/>
      <c r="Y148" s="684"/>
      <c r="Z148" s="684"/>
      <c r="AA148" s="684"/>
      <c r="AB148" s="684"/>
      <c r="AC148" s="684"/>
      <c r="AD148" s="684"/>
      <c r="AE148" s="684"/>
      <c r="AF148" s="684"/>
      <c r="AG148" s="684"/>
      <c r="AH148" s="684"/>
      <c r="AI148" s="684"/>
      <c r="AJ148" s="684"/>
      <c r="AK148" s="684"/>
      <c r="AL148" s="684"/>
      <c r="AM148" s="684"/>
      <c r="AN148" s="684"/>
      <c r="AO148" s="684"/>
      <c r="AP148" s="684"/>
      <c r="AQ148" s="684"/>
      <c r="AR148" s="684"/>
      <c r="AS148" s="684"/>
      <c r="AT148" s="684"/>
      <c r="AU148" s="684"/>
      <c r="AV148" s="685"/>
      <c r="AW148" s="684"/>
      <c r="AX148" s="684"/>
    </row>
    <row r="149" spans="1:50" s="683" customFormat="1" ht="18.75" x14ac:dyDescent="0.3">
      <c r="A149" s="684"/>
      <c r="B149" s="682"/>
      <c r="C149" s="682"/>
      <c r="D149" s="682"/>
      <c r="E149" s="682"/>
      <c r="F149" s="682"/>
      <c r="G149" s="682"/>
      <c r="H149" s="685"/>
      <c r="I149" s="684"/>
      <c r="J149" s="684"/>
      <c r="K149" s="684"/>
      <c r="L149" s="684"/>
      <c r="M149" s="684"/>
      <c r="N149" s="684"/>
      <c r="O149" s="684"/>
      <c r="P149" s="684"/>
      <c r="Q149" s="684"/>
      <c r="R149" s="684"/>
      <c r="S149" s="684"/>
      <c r="T149" s="684"/>
      <c r="U149" s="684"/>
      <c r="V149" s="684"/>
      <c r="W149" s="684"/>
      <c r="X149" s="684"/>
      <c r="Y149" s="684"/>
      <c r="Z149" s="684"/>
      <c r="AA149" s="684"/>
      <c r="AB149" s="684"/>
      <c r="AC149" s="684"/>
      <c r="AD149" s="684"/>
      <c r="AE149" s="684"/>
      <c r="AF149" s="684"/>
      <c r="AG149" s="684"/>
      <c r="AH149" s="684"/>
      <c r="AI149" s="684"/>
      <c r="AJ149" s="684"/>
      <c r="AK149" s="684"/>
      <c r="AL149" s="684"/>
      <c r="AM149" s="684"/>
      <c r="AN149" s="684"/>
      <c r="AO149" s="684"/>
      <c r="AP149" s="684"/>
      <c r="AQ149" s="684"/>
      <c r="AR149" s="684"/>
      <c r="AS149" s="684"/>
      <c r="AT149" s="684"/>
      <c r="AU149" s="684"/>
      <c r="AV149" s="685"/>
      <c r="AW149" s="684"/>
      <c r="AX149" s="684"/>
    </row>
    <row r="150" spans="1:50" s="683" customFormat="1" ht="18.75" x14ac:dyDescent="0.3">
      <c r="A150" s="684"/>
      <c r="B150" s="682"/>
      <c r="C150" s="682"/>
      <c r="D150" s="682"/>
      <c r="E150" s="682"/>
      <c r="F150" s="682"/>
      <c r="G150" s="682"/>
      <c r="H150" s="685"/>
      <c r="I150" s="684"/>
      <c r="J150" s="684"/>
      <c r="K150" s="684"/>
      <c r="L150" s="684"/>
      <c r="M150" s="684"/>
      <c r="N150" s="684"/>
      <c r="O150" s="684"/>
      <c r="P150" s="684"/>
      <c r="Q150" s="684"/>
      <c r="R150" s="684"/>
      <c r="S150" s="684"/>
      <c r="T150" s="684"/>
      <c r="U150" s="684"/>
      <c r="V150" s="684"/>
      <c r="W150" s="684"/>
      <c r="X150" s="684"/>
      <c r="Y150" s="684"/>
      <c r="Z150" s="684"/>
      <c r="AA150" s="684"/>
      <c r="AB150" s="684"/>
      <c r="AC150" s="684"/>
      <c r="AD150" s="684"/>
      <c r="AE150" s="684"/>
      <c r="AF150" s="684"/>
      <c r="AG150" s="684"/>
      <c r="AH150" s="684"/>
      <c r="AI150" s="684"/>
      <c r="AJ150" s="684"/>
      <c r="AK150" s="684"/>
      <c r="AL150" s="684"/>
      <c r="AM150" s="684"/>
      <c r="AN150" s="684"/>
      <c r="AO150" s="684"/>
      <c r="AP150" s="684"/>
      <c r="AQ150" s="684"/>
      <c r="AR150" s="684"/>
      <c r="AS150" s="684"/>
      <c r="AT150" s="684"/>
      <c r="AU150" s="684"/>
      <c r="AV150" s="685"/>
      <c r="AW150" s="684"/>
      <c r="AX150" s="684"/>
    </row>
    <row r="151" spans="1:50" s="683" customFormat="1" ht="18.75" x14ac:dyDescent="0.3">
      <c r="A151" s="684"/>
      <c r="B151" s="682"/>
      <c r="C151" s="682"/>
      <c r="D151" s="682"/>
      <c r="E151" s="682"/>
      <c r="F151" s="682"/>
      <c r="G151" s="682"/>
      <c r="H151" s="689"/>
      <c r="AV151" s="689"/>
    </row>
    <row r="152" spans="1:50" s="683" customFormat="1" ht="18.75" x14ac:dyDescent="0.3">
      <c r="A152" s="684"/>
      <c r="B152" s="690"/>
      <c r="C152" s="690"/>
      <c r="D152" s="682"/>
      <c r="E152" s="682"/>
      <c r="F152" s="682"/>
      <c r="G152" s="682"/>
      <c r="H152" s="689"/>
      <c r="AV152" s="689"/>
    </row>
    <row r="153" spans="1:50" s="683" customFormat="1" ht="18.75" x14ac:dyDescent="0.3">
      <c r="A153" s="684"/>
      <c r="B153" s="682"/>
      <c r="C153" s="682"/>
      <c r="D153" s="682"/>
      <c r="E153" s="682"/>
      <c r="F153" s="682"/>
      <c r="G153" s="682"/>
      <c r="H153" s="689"/>
      <c r="AV153" s="689"/>
    </row>
    <row r="154" spans="1:50" s="683" customFormat="1" ht="18.75" x14ac:dyDescent="0.3">
      <c r="A154" s="684"/>
      <c r="B154" s="682"/>
      <c r="C154" s="682"/>
      <c r="D154" s="682"/>
      <c r="E154" s="682"/>
      <c r="F154" s="682"/>
      <c r="G154" s="682"/>
      <c r="H154" s="689"/>
      <c r="AV154" s="689"/>
    </row>
    <row r="155" spans="1:50" s="683" customFormat="1" ht="18.75" x14ac:dyDescent="0.3">
      <c r="A155" s="684"/>
      <c r="B155" s="682"/>
      <c r="C155" s="682"/>
      <c r="D155" s="682"/>
      <c r="E155" s="682"/>
      <c r="F155" s="682"/>
      <c r="G155" s="682"/>
      <c r="H155" s="689"/>
      <c r="AV155" s="689"/>
    </row>
    <row r="156" spans="1:50" s="683" customFormat="1" ht="18.75" x14ac:dyDescent="0.3">
      <c r="A156" s="684"/>
      <c r="B156" s="682"/>
      <c r="C156" s="682"/>
      <c r="D156" s="682"/>
      <c r="E156" s="682"/>
      <c r="F156" s="682"/>
      <c r="G156" s="682"/>
      <c r="H156" s="689"/>
      <c r="AV156" s="689"/>
    </row>
    <row r="157" spans="1:50" s="683" customFormat="1" ht="18.75" x14ac:dyDescent="0.3">
      <c r="A157" s="684"/>
      <c r="B157" s="682"/>
      <c r="C157" s="682"/>
      <c r="D157" s="682"/>
      <c r="E157" s="682"/>
      <c r="F157" s="682"/>
      <c r="G157" s="682"/>
      <c r="H157" s="689"/>
      <c r="AV157" s="689"/>
    </row>
    <row r="158" spans="1:50" s="683" customFormat="1" ht="18.75" x14ac:dyDescent="0.3">
      <c r="A158" s="684"/>
      <c r="B158" s="638"/>
      <c r="C158" s="638"/>
      <c r="D158" s="682"/>
      <c r="E158" s="682"/>
      <c r="F158" s="682"/>
      <c r="G158" s="682"/>
      <c r="H158" s="689"/>
      <c r="AV158" s="689"/>
    </row>
    <row r="159" spans="1:50" s="683" customFormat="1" ht="18.75" x14ac:dyDescent="0.3">
      <c r="A159" s="684"/>
      <c r="B159" s="682"/>
      <c r="C159" s="682"/>
      <c r="D159" s="682"/>
      <c r="E159" s="682"/>
      <c r="F159" s="682"/>
      <c r="G159" s="682"/>
      <c r="H159" s="689"/>
      <c r="AV159" s="689"/>
    </row>
    <row r="160" spans="1:50" s="683" customFormat="1" ht="18.75" x14ac:dyDescent="0.3">
      <c r="A160" s="684"/>
      <c r="B160" s="682"/>
      <c r="C160" s="682"/>
      <c r="D160" s="682"/>
      <c r="E160" s="682"/>
      <c r="F160" s="682"/>
      <c r="G160" s="682"/>
      <c r="H160" s="689"/>
      <c r="AV160" s="689"/>
    </row>
    <row r="161" spans="1:48" s="683" customFormat="1" ht="18.75" x14ac:dyDescent="0.3">
      <c r="A161" s="684"/>
      <c r="B161" s="682"/>
      <c r="C161" s="682"/>
      <c r="D161" s="682"/>
      <c r="E161" s="682"/>
      <c r="F161" s="682"/>
      <c r="G161" s="682"/>
      <c r="H161" s="689"/>
      <c r="AV161" s="689"/>
    </row>
    <row r="162" spans="1:48" s="683" customFormat="1" ht="18.75" x14ac:dyDescent="0.3">
      <c r="A162" s="684"/>
      <c r="B162" s="682"/>
      <c r="C162" s="682"/>
      <c r="D162" s="682"/>
      <c r="E162" s="682"/>
      <c r="F162" s="682"/>
      <c r="G162" s="682"/>
      <c r="H162" s="689"/>
      <c r="AV162" s="689"/>
    </row>
    <row r="163" spans="1:48" s="683" customFormat="1" ht="18.75" x14ac:dyDescent="0.3">
      <c r="A163" s="684"/>
      <c r="B163" s="638"/>
      <c r="C163" s="638"/>
      <c r="D163" s="682"/>
      <c r="E163" s="682"/>
      <c r="F163" s="682"/>
      <c r="G163" s="682"/>
      <c r="H163" s="689"/>
      <c r="AV163" s="689"/>
    </row>
    <row r="164" spans="1:48" s="683" customFormat="1" ht="18.75" x14ac:dyDescent="0.3">
      <c r="A164" s="684"/>
      <c r="B164" s="690"/>
      <c r="C164" s="690"/>
      <c r="D164" s="682"/>
      <c r="E164" s="682"/>
      <c r="F164" s="682"/>
      <c r="G164" s="682"/>
      <c r="H164" s="689"/>
      <c r="AV164" s="689"/>
    </row>
    <row r="165" spans="1:48" s="683" customFormat="1" ht="18.75" x14ac:dyDescent="0.3">
      <c r="A165" s="684"/>
      <c r="B165" s="689"/>
      <c r="C165" s="689"/>
      <c r="D165" s="689"/>
      <c r="E165" s="689"/>
      <c r="F165" s="689"/>
      <c r="G165" s="689"/>
      <c r="H165" s="689"/>
      <c r="AV165" s="689"/>
    </row>
    <row r="166" spans="1:48" s="683" customFormat="1" ht="18.75" x14ac:dyDescent="0.3">
      <c r="A166" s="684"/>
      <c r="B166" s="689"/>
      <c r="C166" s="689"/>
      <c r="D166" s="689"/>
      <c r="E166" s="689"/>
      <c r="F166" s="689"/>
      <c r="G166" s="689"/>
      <c r="H166" s="689"/>
      <c r="AV166" s="689"/>
    </row>
    <row r="167" spans="1:48" s="683" customFormat="1" ht="18.75" x14ac:dyDescent="0.3">
      <c r="A167" s="684"/>
      <c r="B167" s="689"/>
      <c r="C167" s="689"/>
      <c r="D167" s="689"/>
      <c r="E167" s="689"/>
      <c r="F167" s="689"/>
      <c r="G167" s="689"/>
      <c r="H167" s="689"/>
      <c r="AV167" s="689"/>
    </row>
    <row r="168" spans="1:48" s="683" customFormat="1" ht="18.75" x14ac:dyDescent="0.3">
      <c r="A168" s="684"/>
      <c r="AV168" s="689"/>
    </row>
    <row r="169" spans="1:48" s="683" customFormat="1" ht="18.75" x14ac:dyDescent="0.3">
      <c r="A169" s="684"/>
      <c r="AV169" s="689"/>
    </row>
    <row r="170" spans="1:48" s="683" customFormat="1" ht="18.75" x14ac:dyDescent="0.3">
      <c r="A170" s="684"/>
      <c r="AV170" s="689"/>
    </row>
    <row r="171" spans="1:48" s="683" customFormat="1" ht="18.75" x14ac:dyDescent="0.3">
      <c r="A171" s="684"/>
      <c r="AV171" s="689"/>
    </row>
    <row r="172" spans="1:48" s="683" customFormat="1" ht="18.75" x14ac:dyDescent="0.3">
      <c r="A172" s="684"/>
      <c r="AV172" s="689"/>
    </row>
    <row r="173" spans="1:48" s="683" customFormat="1" ht="18.75" x14ac:dyDescent="0.3">
      <c r="A173" s="684"/>
      <c r="AV173" s="689"/>
    </row>
    <row r="174" spans="1:48" ht="18.75" x14ac:dyDescent="0.3">
      <c r="A174" s="633"/>
      <c r="AV174" s="691"/>
    </row>
    <row r="175" spans="1:48" ht="18.75" x14ac:dyDescent="0.3">
      <c r="A175" s="633"/>
      <c r="AV175" s="691"/>
    </row>
    <row r="176" spans="1:48" ht="18.75" x14ac:dyDescent="0.3">
      <c r="A176" s="633"/>
      <c r="AV176" s="691"/>
    </row>
    <row r="177" spans="1:48" ht="18.75" x14ac:dyDescent="0.3">
      <c r="A177" s="633"/>
      <c r="AV177" s="691"/>
    </row>
    <row r="178" spans="1:48" ht="18.75" x14ac:dyDescent="0.3">
      <c r="A178" s="633"/>
      <c r="AV178" s="691"/>
    </row>
    <row r="179" spans="1:48" ht="18.75" x14ac:dyDescent="0.3">
      <c r="A179" s="633"/>
      <c r="AV179" s="691"/>
    </row>
    <row r="180" spans="1:48" ht="18.75" x14ac:dyDescent="0.3">
      <c r="A180" s="633"/>
      <c r="AV180" s="691"/>
    </row>
    <row r="181" spans="1:48" ht="18.75" x14ac:dyDescent="0.3">
      <c r="A181" s="633"/>
      <c r="AV181" s="691"/>
    </row>
    <row r="182" spans="1:48" ht="18.75" x14ac:dyDescent="0.3">
      <c r="A182" s="633"/>
      <c r="AV182" s="691"/>
    </row>
    <row r="183" spans="1:48" ht="18.75" x14ac:dyDescent="0.3">
      <c r="A183" s="633"/>
      <c r="AV183" s="691"/>
    </row>
    <row r="184" spans="1:48" ht="18.75" x14ac:dyDescent="0.3">
      <c r="A184" s="633"/>
      <c r="AV184" s="691"/>
    </row>
    <row r="185" spans="1:48" ht="18.75" x14ac:dyDescent="0.3">
      <c r="A185" s="633"/>
      <c r="AV185" s="691"/>
    </row>
    <row r="186" spans="1:48" ht="18.75" x14ac:dyDescent="0.3">
      <c r="A186" s="633"/>
      <c r="AV186" s="691"/>
    </row>
    <row r="187" spans="1:48" ht="18.75" x14ac:dyDescent="0.3">
      <c r="A187" s="633"/>
      <c r="AV187" s="691"/>
    </row>
    <row r="188" spans="1:48" ht="18.75" x14ac:dyDescent="0.3">
      <c r="A188" s="633"/>
      <c r="AV188" s="691"/>
    </row>
    <row r="189" spans="1:48" ht="18.75" x14ac:dyDescent="0.3">
      <c r="A189" s="633"/>
      <c r="AV189" s="691"/>
    </row>
    <row r="190" spans="1:48" ht="18.75" x14ac:dyDescent="0.3">
      <c r="A190" s="633"/>
      <c r="AV190" s="691"/>
    </row>
    <row r="191" spans="1:48" ht="18.75" x14ac:dyDescent="0.3">
      <c r="A191" s="633"/>
      <c r="AV191" s="691"/>
    </row>
    <row r="192" spans="1:48" ht="18.75" x14ac:dyDescent="0.3">
      <c r="A192" s="633"/>
      <c r="AV192" s="691"/>
    </row>
    <row r="193" spans="1:48" ht="18.75" x14ac:dyDescent="0.3">
      <c r="A193" s="633"/>
      <c r="AV193" s="691"/>
    </row>
    <row r="194" spans="1:48" ht="18.75" x14ac:dyDescent="0.3">
      <c r="A194" s="633"/>
      <c r="AV194" s="691"/>
    </row>
    <row r="195" spans="1:48" ht="18.75" x14ac:dyDescent="0.3">
      <c r="A195" s="633"/>
      <c r="AV195" s="691"/>
    </row>
    <row r="196" spans="1:48" ht="18.75" x14ac:dyDescent="0.3">
      <c r="A196" s="633"/>
      <c r="AV196" s="691"/>
    </row>
    <row r="197" spans="1:48" ht="18.75" x14ac:dyDescent="0.3">
      <c r="A197" s="633"/>
      <c r="AV197" s="691"/>
    </row>
    <row r="198" spans="1:48" ht="18.75" x14ac:dyDescent="0.3">
      <c r="A198" s="633"/>
      <c r="AV198" s="691"/>
    </row>
    <row r="199" spans="1:48" ht="18.75" x14ac:dyDescent="0.3">
      <c r="A199" s="633"/>
      <c r="AV199" s="691"/>
    </row>
    <row r="200" spans="1:48" ht="18.75" x14ac:dyDescent="0.3">
      <c r="A200" s="633"/>
      <c r="AV200" s="691"/>
    </row>
    <row r="201" spans="1:48" ht="18.75" x14ac:dyDescent="0.3">
      <c r="A201" s="633"/>
      <c r="AV201" s="691"/>
    </row>
    <row r="202" spans="1:48" ht="18.75" x14ac:dyDescent="0.3">
      <c r="A202" s="633"/>
      <c r="AV202" s="691"/>
    </row>
    <row r="203" spans="1:48" ht="18.75" x14ac:dyDescent="0.3">
      <c r="A203" s="633"/>
      <c r="AV203" s="691"/>
    </row>
    <row r="204" spans="1:48" ht="18.75" x14ac:dyDescent="0.3">
      <c r="A204" s="633"/>
      <c r="AV204" s="691"/>
    </row>
    <row r="205" spans="1:48" ht="18.75" x14ac:dyDescent="0.3">
      <c r="A205" s="633"/>
      <c r="AV205" s="691"/>
    </row>
    <row r="206" spans="1:48" ht="18.75" x14ac:dyDescent="0.3">
      <c r="A206" s="633"/>
      <c r="AV206" s="691"/>
    </row>
    <row r="207" spans="1:48" ht="18.75" x14ac:dyDescent="0.3">
      <c r="A207" s="633"/>
      <c r="AV207" s="691"/>
    </row>
    <row r="208" spans="1:48" ht="18.75" x14ac:dyDescent="0.3">
      <c r="A208" s="633"/>
      <c r="AV208" s="691"/>
    </row>
    <row r="209" spans="1:48" ht="18.75" x14ac:dyDescent="0.3">
      <c r="A209" s="633"/>
      <c r="AV209" s="691"/>
    </row>
    <row r="210" spans="1:48" ht="18.75" x14ac:dyDescent="0.3">
      <c r="A210" s="633"/>
      <c r="AV210" s="691"/>
    </row>
    <row r="211" spans="1:48" ht="18.75" x14ac:dyDescent="0.3">
      <c r="A211" s="633"/>
      <c r="AV211" s="691"/>
    </row>
    <row r="212" spans="1:48" ht="18.75" x14ac:dyDescent="0.3">
      <c r="A212" s="633"/>
      <c r="AV212" s="691"/>
    </row>
    <row r="213" spans="1:48" ht="18.75" x14ac:dyDescent="0.3">
      <c r="A213" s="633"/>
      <c r="AV213" s="691"/>
    </row>
    <row r="214" spans="1:48" ht="18.75" x14ac:dyDescent="0.3">
      <c r="A214" s="633"/>
      <c r="AV214" s="691"/>
    </row>
    <row r="215" spans="1:48" ht="18.75" x14ac:dyDescent="0.3">
      <c r="A215" s="633"/>
      <c r="AV215" s="691"/>
    </row>
    <row r="216" spans="1:48" ht="18.75" x14ac:dyDescent="0.3">
      <c r="A216" s="633"/>
      <c r="AV216" s="691"/>
    </row>
    <row r="217" spans="1:48" ht="18.75" x14ac:dyDescent="0.3">
      <c r="A217" s="633"/>
      <c r="AV217" s="691"/>
    </row>
    <row r="218" spans="1:48" ht="18.75" x14ac:dyDescent="0.3">
      <c r="A218" s="633"/>
      <c r="AV218" s="691"/>
    </row>
    <row r="219" spans="1:48" ht="18.75" x14ac:dyDescent="0.3">
      <c r="A219" s="633"/>
      <c r="AV219" s="691"/>
    </row>
    <row r="220" spans="1:48" ht="18.75" x14ac:dyDescent="0.3">
      <c r="A220" s="633"/>
      <c r="AV220" s="691"/>
    </row>
    <row r="221" spans="1:48" ht="18.75" x14ac:dyDescent="0.3">
      <c r="A221" s="633"/>
      <c r="AV221" s="691"/>
    </row>
    <row r="222" spans="1:48" ht="18.75" x14ac:dyDescent="0.3">
      <c r="A222" s="633"/>
      <c r="AV222" s="691"/>
    </row>
    <row r="223" spans="1:48" ht="18.75" x14ac:dyDescent="0.3">
      <c r="A223" s="633"/>
      <c r="AV223" s="691"/>
    </row>
    <row r="224" spans="1:48" ht="18.75" x14ac:dyDescent="0.3">
      <c r="A224" s="633"/>
      <c r="AV224" s="691"/>
    </row>
    <row r="225" spans="1:48" ht="18.75" x14ac:dyDescent="0.3">
      <c r="A225" s="633"/>
      <c r="AV225" s="691"/>
    </row>
    <row r="226" spans="1:48" ht="18.75" x14ac:dyDescent="0.3">
      <c r="A226" s="633"/>
      <c r="AV226" s="691"/>
    </row>
    <row r="227" spans="1:48" ht="18.75" x14ac:dyDescent="0.3">
      <c r="A227" s="633"/>
      <c r="AV227" s="691"/>
    </row>
    <row r="228" spans="1:48" ht="18.75" x14ac:dyDescent="0.3">
      <c r="A228" s="633"/>
      <c r="AV228" s="691"/>
    </row>
    <row r="229" spans="1:48" ht="18.75" x14ac:dyDescent="0.3">
      <c r="A229" s="633"/>
      <c r="AV229" s="691"/>
    </row>
    <row r="230" spans="1:48" ht="18.75" x14ac:dyDescent="0.3">
      <c r="A230" s="633"/>
      <c r="AV230" s="691"/>
    </row>
    <row r="231" spans="1:48" ht="18.75" x14ac:dyDescent="0.3">
      <c r="A231" s="633"/>
      <c r="AV231" s="691"/>
    </row>
    <row r="232" spans="1:48" ht="18.75" x14ac:dyDescent="0.3">
      <c r="A232" s="633"/>
      <c r="AV232" s="691"/>
    </row>
    <row r="233" spans="1:48" ht="18.75" x14ac:dyDescent="0.3">
      <c r="A233" s="633"/>
      <c r="AV233" s="691"/>
    </row>
    <row r="234" spans="1:48" ht="18.75" x14ac:dyDescent="0.3">
      <c r="A234" s="633"/>
      <c r="AV234" s="691"/>
    </row>
    <row r="235" spans="1:48" ht="18.75" x14ac:dyDescent="0.3">
      <c r="A235" s="633"/>
      <c r="AV235" s="691"/>
    </row>
    <row r="236" spans="1:48" ht="18.75" x14ac:dyDescent="0.3">
      <c r="A236" s="633"/>
      <c r="AV236" s="691"/>
    </row>
    <row r="237" spans="1:48" ht="18.75" x14ac:dyDescent="0.3">
      <c r="A237" s="633"/>
      <c r="AV237" s="691"/>
    </row>
    <row r="238" spans="1:48" ht="18.75" x14ac:dyDescent="0.3">
      <c r="A238" s="633"/>
      <c r="AV238" s="691"/>
    </row>
    <row r="239" spans="1:48" ht="18.75" x14ac:dyDescent="0.3">
      <c r="A239" s="633"/>
    </row>
    <row r="240" spans="1:48" ht="18.75" x14ac:dyDescent="0.3">
      <c r="A240" s="633"/>
    </row>
    <row r="241" spans="1:1" ht="18.75" x14ac:dyDescent="0.3">
      <c r="A241" s="633"/>
    </row>
    <row r="242" spans="1:1" ht="18.75" x14ac:dyDescent="0.3">
      <c r="A242" s="633"/>
    </row>
    <row r="243" spans="1:1" ht="18.75" x14ac:dyDescent="0.3">
      <c r="A243" s="633"/>
    </row>
    <row r="244" spans="1:1" ht="18.75" x14ac:dyDescent="0.3">
      <c r="A244" s="633"/>
    </row>
    <row r="245" spans="1:1" ht="18.75" x14ac:dyDescent="0.3">
      <c r="A245" s="633"/>
    </row>
    <row r="246" spans="1:1" ht="18.75" x14ac:dyDescent="0.3">
      <c r="A246" s="633"/>
    </row>
    <row r="247" spans="1:1" ht="18.75" x14ac:dyDescent="0.3">
      <c r="A247" s="633"/>
    </row>
    <row r="248" spans="1:1" ht="18.75" x14ac:dyDescent="0.3">
      <c r="A248" s="633"/>
    </row>
  </sheetData>
  <mergeCells count="27">
    <mergeCell ref="AO6:AQ6"/>
    <mergeCell ref="AR6:AT6"/>
    <mergeCell ref="B6:D6"/>
    <mergeCell ref="E6:G6"/>
    <mergeCell ref="H6:J6"/>
    <mergeCell ref="K6:M6"/>
    <mergeCell ref="N6:P6"/>
    <mergeCell ref="T6:V6"/>
    <mergeCell ref="Q7:S7"/>
    <mergeCell ref="Z6:AB6"/>
    <mergeCell ref="AF6:AH6"/>
    <mergeCell ref="AI6:AK6"/>
    <mergeCell ref="AL6:AN6"/>
    <mergeCell ref="AL7:AN7"/>
    <mergeCell ref="B7:D7"/>
    <mergeCell ref="E7:G7"/>
    <mergeCell ref="H7:J7"/>
    <mergeCell ref="K7:M7"/>
    <mergeCell ref="N7:P7"/>
    <mergeCell ref="AO7:AQ7"/>
    <mergeCell ref="AR7:AT7"/>
    <mergeCell ref="T7:V7"/>
    <mergeCell ref="W7:Y7"/>
    <mergeCell ref="Z7:AB7"/>
    <mergeCell ref="AC7:AE7"/>
    <mergeCell ref="AF7:AH7"/>
    <mergeCell ref="AI7:AK7"/>
  </mergeCells>
  <hyperlinks>
    <hyperlink ref="B1" location="Innhold!A1" display="Tilbake"/>
  </hyperlinks>
  <printOptions headings="1"/>
  <pageMargins left="0.78740157480314965" right="0.78740157480314965" top="1.5748031496062993" bottom="0.98425196850393704" header="0.51181102362204722" footer="0.51181102362204722"/>
  <pageSetup paperSize="9" scale="40" fitToWidth="5" orientation="portrait" r:id="rId1"/>
  <headerFooter alignWithMargins="0"/>
  <rowBreaks count="1" manualBreakCount="1">
    <brk id="119" max="39" man="1"/>
  </rowBreaks>
  <colBreaks count="4" manualBreakCount="4">
    <brk id="10" min="1" max="108" man="1"/>
    <brk id="19" min="1" max="108" man="1"/>
    <brk id="28" min="1" max="108" man="1"/>
    <brk id="37" min="1" max="108"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52"/>
  <sheetViews>
    <sheetView showGridLines="0" zoomScale="60" zoomScaleNormal="60" workbookViewId="0">
      <pane xSplit="1" ySplit="9" topLeftCell="B10" activePane="bottomRight" state="frozen"/>
      <selection pane="topRight" activeCell="B1" sqref="B1"/>
      <selection pane="bottomLeft" activeCell="A10" sqref="A10"/>
      <selection pane="bottomRight" activeCell="A5" sqref="A5"/>
    </sheetView>
  </sheetViews>
  <sheetFormatPr baseColWidth="10" defaultColWidth="12.5703125" defaultRowHeight="15.75" x14ac:dyDescent="0.25"/>
  <cols>
    <col min="1" max="1" width="55.5703125" style="634" bestFit="1" customWidth="1"/>
    <col min="2" max="46" width="11.7109375" style="634" customWidth="1"/>
    <col min="47" max="16384" width="12.5703125" style="634"/>
  </cols>
  <sheetData>
    <row r="1" spans="1:50" ht="20.25" customHeight="1" x14ac:dyDescent="0.3">
      <c r="A1" s="588" t="s">
        <v>206</v>
      </c>
      <c r="B1" s="405" t="s">
        <v>64</v>
      </c>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3"/>
      <c r="AM1" s="633"/>
      <c r="AN1" s="633"/>
      <c r="AO1" s="633"/>
      <c r="AP1" s="633"/>
      <c r="AQ1" s="633"/>
      <c r="AR1" s="633"/>
      <c r="AS1" s="633"/>
      <c r="AT1" s="633"/>
      <c r="AU1" s="633"/>
      <c r="AV1" s="633"/>
      <c r="AW1" s="633"/>
      <c r="AX1" s="633"/>
    </row>
    <row r="2" spans="1:50" ht="20.100000000000001" customHeight="1" x14ac:dyDescent="0.3">
      <c r="A2" s="635" t="s">
        <v>296</v>
      </c>
      <c r="B2" s="633"/>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c r="AF2" s="633"/>
      <c r="AG2" s="633"/>
      <c r="AH2" s="633"/>
      <c r="AI2" s="633"/>
      <c r="AJ2" s="633"/>
      <c r="AK2" s="633"/>
      <c r="AL2" s="633"/>
      <c r="AM2" s="633"/>
      <c r="AN2" s="633"/>
      <c r="AO2" s="633"/>
      <c r="AP2" s="633"/>
      <c r="AQ2" s="633"/>
      <c r="AR2" s="633"/>
      <c r="AS2" s="633"/>
      <c r="AT2" s="633"/>
      <c r="AU2" s="633"/>
      <c r="AV2" s="633"/>
      <c r="AW2" s="633"/>
      <c r="AX2" s="633"/>
    </row>
    <row r="3" spans="1:50" ht="20.100000000000001" customHeight="1" x14ac:dyDescent="0.3">
      <c r="A3" s="636" t="s">
        <v>463</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row>
    <row r="4" spans="1:50" ht="20.100000000000001" customHeight="1" x14ac:dyDescent="0.3">
      <c r="A4" s="692" t="s">
        <v>464</v>
      </c>
      <c r="B4" s="638"/>
      <c r="C4" s="633"/>
      <c r="D4" s="633"/>
      <c r="E4" s="633"/>
      <c r="F4" s="633"/>
      <c r="G4" s="633"/>
      <c r="H4" s="633"/>
      <c r="I4" s="633"/>
      <c r="J4" s="633"/>
      <c r="K4" s="633"/>
      <c r="L4" s="633"/>
      <c r="M4" s="633"/>
      <c r="N4" s="638"/>
      <c r="O4" s="638"/>
      <c r="P4" s="638"/>
      <c r="Q4" s="638"/>
      <c r="R4" s="638"/>
      <c r="S4" s="638"/>
      <c r="T4" s="638"/>
      <c r="U4" s="638"/>
      <c r="V4" s="638"/>
      <c r="W4" s="638"/>
      <c r="X4" s="638"/>
      <c r="Y4" s="638"/>
      <c r="Z4" s="638"/>
      <c r="AA4" s="638"/>
      <c r="AB4" s="638"/>
      <c r="AC4" s="638"/>
      <c r="AD4" s="638"/>
      <c r="AE4" s="638"/>
      <c r="AF4" s="638"/>
      <c r="AG4" s="638"/>
      <c r="AH4" s="638"/>
      <c r="AI4" s="638"/>
      <c r="AJ4" s="638"/>
      <c r="AK4" s="638"/>
      <c r="AL4" s="638"/>
      <c r="AM4" s="638"/>
      <c r="AN4" s="638"/>
      <c r="AO4" s="638"/>
      <c r="AP4" s="638"/>
      <c r="AQ4" s="638"/>
      <c r="AR4" s="633"/>
      <c r="AS4" s="633"/>
      <c r="AT4" s="633"/>
      <c r="AU4" s="638"/>
      <c r="AV4" s="633"/>
      <c r="AW4" s="633"/>
      <c r="AX4" s="633"/>
    </row>
    <row r="5" spans="1:50" ht="18.75" customHeight="1" x14ac:dyDescent="0.3">
      <c r="A5" s="693" t="s">
        <v>403</v>
      </c>
      <c r="B5" s="640"/>
      <c r="C5" s="640"/>
      <c r="D5" s="641"/>
      <c r="E5" s="642"/>
      <c r="F5" s="640"/>
      <c r="G5" s="641"/>
      <c r="H5" s="642"/>
      <c r="I5" s="640"/>
      <c r="J5" s="641"/>
      <c r="K5" s="642"/>
      <c r="L5" s="640"/>
      <c r="M5" s="641"/>
      <c r="N5" s="642"/>
      <c r="O5" s="640"/>
      <c r="P5" s="641"/>
      <c r="Q5" s="642"/>
      <c r="R5" s="640"/>
      <c r="S5" s="641"/>
      <c r="T5" s="642"/>
      <c r="U5" s="640"/>
      <c r="V5" s="641"/>
      <c r="W5" s="642"/>
      <c r="X5" s="640"/>
      <c r="Y5" s="641"/>
      <c r="Z5" s="642"/>
      <c r="AA5" s="640"/>
      <c r="AB5" s="641"/>
      <c r="AC5" s="642"/>
      <c r="AD5" s="640"/>
      <c r="AE5" s="641"/>
      <c r="AF5" s="642"/>
      <c r="AG5" s="640"/>
      <c r="AH5" s="641"/>
      <c r="AI5" s="642"/>
      <c r="AJ5" s="640"/>
      <c r="AK5" s="641"/>
      <c r="AL5" s="642"/>
      <c r="AM5" s="640"/>
      <c r="AN5" s="641"/>
      <c r="AO5" s="642"/>
      <c r="AP5" s="640"/>
      <c r="AQ5" s="641"/>
      <c r="AR5" s="642"/>
      <c r="AS5" s="640"/>
      <c r="AT5" s="641"/>
      <c r="AU5" s="638"/>
      <c r="AV5" s="638"/>
      <c r="AW5" s="633"/>
      <c r="AX5" s="633"/>
    </row>
    <row r="6" spans="1:50" ht="18.75" customHeight="1" x14ac:dyDescent="0.3">
      <c r="A6" s="643" t="s">
        <v>125</v>
      </c>
      <c r="B6" s="845" t="s">
        <v>209</v>
      </c>
      <c r="C6" s="846"/>
      <c r="D6" s="847"/>
      <c r="E6" s="845" t="s">
        <v>210</v>
      </c>
      <c r="F6" s="846"/>
      <c r="G6" s="847"/>
      <c r="H6" s="845" t="s">
        <v>211</v>
      </c>
      <c r="I6" s="846"/>
      <c r="J6" s="847"/>
      <c r="K6" s="845" t="s">
        <v>212</v>
      </c>
      <c r="L6" s="846"/>
      <c r="M6" s="847"/>
      <c r="N6" s="845" t="s">
        <v>213</v>
      </c>
      <c r="O6" s="846"/>
      <c r="P6" s="847"/>
      <c r="Q6" s="424" t="s">
        <v>213</v>
      </c>
      <c r="R6" s="425"/>
      <c r="S6" s="426"/>
      <c r="T6" s="845" t="s">
        <v>76</v>
      </c>
      <c r="U6" s="846"/>
      <c r="V6" s="847"/>
      <c r="W6" s="424"/>
      <c r="X6" s="425"/>
      <c r="Y6" s="426"/>
      <c r="Z6" s="845" t="s">
        <v>214</v>
      </c>
      <c r="AA6" s="846"/>
      <c r="AB6" s="847"/>
      <c r="AC6" s="424"/>
      <c r="AD6" s="425"/>
      <c r="AE6" s="426"/>
      <c r="AF6" s="845" t="s">
        <v>88</v>
      </c>
      <c r="AG6" s="846"/>
      <c r="AH6" s="847"/>
      <c r="AI6" s="845"/>
      <c r="AJ6" s="846"/>
      <c r="AK6" s="847"/>
      <c r="AL6" s="845" t="s">
        <v>89</v>
      </c>
      <c r="AM6" s="846"/>
      <c r="AN6" s="847"/>
      <c r="AO6" s="854" t="s">
        <v>2</v>
      </c>
      <c r="AP6" s="855"/>
      <c r="AQ6" s="856"/>
      <c r="AR6" s="845" t="s">
        <v>2</v>
      </c>
      <c r="AS6" s="846"/>
      <c r="AT6" s="847"/>
      <c r="AU6" s="638"/>
      <c r="AV6" s="638"/>
      <c r="AW6" s="633"/>
      <c r="AX6" s="633"/>
    </row>
    <row r="7" spans="1:50" ht="18.75" customHeight="1" x14ac:dyDescent="0.3">
      <c r="A7" s="644"/>
      <c r="B7" s="839" t="s">
        <v>215</v>
      </c>
      <c r="C7" s="840"/>
      <c r="D7" s="841"/>
      <c r="E7" s="839" t="s">
        <v>216</v>
      </c>
      <c r="F7" s="840"/>
      <c r="G7" s="841"/>
      <c r="H7" s="839" t="s">
        <v>216</v>
      </c>
      <c r="I7" s="840"/>
      <c r="J7" s="841"/>
      <c r="K7" s="839" t="s">
        <v>217</v>
      </c>
      <c r="L7" s="840"/>
      <c r="M7" s="841"/>
      <c r="N7" s="839" t="s">
        <v>111</v>
      </c>
      <c r="O7" s="840"/>
      <c r="P7" s="841"/>
      <c r="Q7" s="839" t="s">
        <v>76</v>
      </c>
      <c r="R7" s="840"/>
      <c r="S7" s="841"/>
      <c r="T7" s="839" t="s">
        <v>218</v>
      </c>
      <c r="U7" s="840"/>
      <c r="V7" s="841"/>
      <c r="W7" s="839" t="s">
        <v>81</v>
      </c>
      <c r="X7" s="840"/>
      <c r="Y7" s="841"/>
      <c r="Z7" s="839" t="s">
        <v>215</v>
      </c>
      <c r="AA7" s="840"/>
      <c r="AB7" s="841"/>
      <c r="AC7" s="839" t="s">
        <v>87</v>
      </c>
      <c r="AD7" s="840"/>
      <c r="AE7" s="841"/>
      <c r="AF7" s="839" t="s">
        <v>219</v>
      </c>
      <c r="AG7" s="840"/>
      <c r="AH7" s="841"/>
      <c r="AI7" s="839" t="s">
        <v>83</v>
      </c>
      <c r="AJ7" s="840"/>
      <c r="AK7" s="841"/>
      <c r="AL7" s="839" t="s">
        <v>216</v>
      </c>
      <c r="AM7" s="840"/>
      <c r="AN7" s="841"/>
      <c r="AO7" s="842" t="s">
        <v>348</v>
      </c>
      <c r="AP7" s="843"/>
      <c r="AQ7" s="844"/>
      <c r="AR7" s="857" t="s">
        <v>349</v>
      </c>
      <c r="AS7" s="858"/>
      <c r="AT7" s="859"/>
      <c r="AU7" s="638"/>
      <c r="AV7" s="638"/>
      <c r="AW7" s="633"/>
      <c r="AX7" s="633"/>
    </row>
    <row r="8" spans="1:50" ht="18.75" customHeight="1" x14ac:dyDescent="0.3">
      <c r="A8" s="644"/>
      <c r="B8" s="541"/>
      <c r="C8" s="541"/>
      <c r="D8" s="428" t="s">
        <v>100</v>
      </c>
      <c r="E8" s="541"/>
      <c r="F8" s="541"/>
      <c r="G8" s="428" t="s">
        <v>100</v>
      </c>
      <c r="H8" s="541"/>
      <c r="I8" s="541"/>
      <c r="J8" s="428" t="s">
        <v>100</v>
      </c>
      <c r="K8" s="541"/>
      <c r="L8" s="541"/>
      <c r="M8" s="428" t="s">
        <v>100</v>
      </c>
      <c r="N8" s="541"/>
      <c r="O8" s="541"/>
      <c r="P8" s="428" t="s">
        <v>100</v>
      </c>
      <c r="Q8" s="541"/>
      <c r="R8" s="541"/>
      <c r="S8" s="428" t="s">
        <v>100</v>
      </c>
      <c r="T8" s="541"/>
      <c r="U8" s="541"/>
      <c r="V8" s="428" t="s">
        <v>100</v>
      </c>
      <c r="W8" s="541"/>
      <c r="X8" s="541"/>
      <c r="Y8" s="428" t="s">
        <v>100</v>
      </c>
      <c r="Z8" s="541"/>
      <c r="AA8" s="541"/>
      <c r="AB8" s="428" t="s">
        <v>100</v>
      </c>
      <c r="AC8" s="541"/>
      <c r="AD8" s="541"/>
      <c r="AE8" s="428" t="s">
        <v>100</v>
      </c>
      <c r="AF8" s="541"/>
      <c r="AG8" s="541"/>
      <c r="AH8" s="428" t="s">
        <v>100</v>
      </c>
      <c r="AI8" s="541"/>
      <c r="AJ8" s="541"/>
      <c r="AK8" s="428" t="s">
        <v>100</v>
      </c>
      <c r="AL8" s="541"/>
      <c r="AM8" s="541"/>
      <c r="AN8" s="428" t="s">
        <v>100</v>
      </c>
      <c r="AO8" s="541"/>
      <c r="AP8" s="541"/>
      <c r="AQ8" s="428" t="s">
        <v>100</v>
      </c>
      <c r="AR8" s="541"/>
      <c r="AS8" s="541"/>
      <c r="AT8" s="428" t="s">
        <v>100</v>
      </c>
      <c r="AU8" s="638"/>
      <c r="AV8" s="638"/>
      <c r="AW8" s="633"/>
      <c r="AX8" s="633"/>
    </row>
    <row r="9" spans="1:50" ht="18.75" customHeight="1" x14ac:dyDescent="0.3">
      <c r="A9" s="645" t="s">
        <v>350</v>
      </c>
      <c r="B9" s="543">
        <v>2015</v>
      </c>
      <c r="C9" s="543">
        <v>2016</v>
      </c>
      <c r="D9" s="431" t="s">
        <v>102</v>
      </c>
      <c r="E9" s="543">
        <v>2015</v>
      </c>
      <c r="F9" s="543">
        <v>2016</v>
      </c>
      <c r="G9" s="431" t="s">
        <v>102</v>
      </c>
      <c r="H9" s="543">
        <v>2015</v>
      </c>
      <c r="I9" s="543">
        <v>2016</v>
      </c>
      <c r="J9" s="431" t="s">
        <v>102</v>
      </c>
      <c r="K9" s="543">
        <v>2015</v>
      </c>
      <c r="L9" s="543">
        <v>2016</v>
      </c>
      <c r="M9" s="431" t="s">
        <v>102</v>
      </c>
      <c r="N9" s="543">
        <v>2015</v>
      </c>
      <c r="O9" s="543">
        <v>2016</v>
      </c>
      <c r="P9" s="431" t="s">
        <v>102</v>
      </c>
      <c r="Q9" s="543">
        <v>2015</v>
      </c>
      <c r="R9" s="543">
        <v>2016</v>
      </c>
      <c r="S9" s="431" t="s">
        <v>102</v>
      </c>
      <c r="T9" s="543">
        <v>2015</v>
      </c>
      <c r="U9" s="543">
        <v>2016</v>
      </c>
      <c r="V9" s="431" t="s">
        <v>102</v>
      </c>
      <c r="W9" s="543">
        <v>2015</v>
      </c>
      <c r="X9" s="543">
        <v>2016</v>
      </c>
      <c r="Y9" s="431" t="s">
        <v>102</v>
      </c>
      <c r="Z9" s="543">
        <v>2015</v>
      </c>
      <c r="AA9" s="543">
        <v>2016</v>
      </c>
      <c r="AB9" s="431" t="s">
        <v>102</v>
      </c>
      <c r="AC9" s="543">
        <v>2015</v>
      </c>
      <c r="AD9" s="543">
        <v>2016</v>
      </c>
      <c r="AE9" s="431" t="s">
        <v>102</v>
      </c>
      <c r="AF9" s="543">
        <v>2015</v>
      </c>
      <c r="AG9" s="543">
        <v>2016</v>
      </c>
      <c r="AH9" s="431" t="s">
        <v>102</v>
      </c>
      <c r="AI9" s="543">
        <v>2015</v>
      </c>
      <c r="AJ9" s="543">
        <v>2016</v>
      </c>
      <c r="AK9" s="431" t="s">
        <v>102</v>
      </c>
      <c r="AL9" s="543">
        <v>2015</v>
      </c>
      <c r="AM9" s="543">
        <v>2016</v>
      </c>
      <c r="AN9" s="431" t="s">
        <v>102</v>
      </c>
      <c r="AO9" s="543">
        <v>2015</v>
      </c>
      <c r="AP9" s="543">
        <v>2016</v>
      </c>
      <c r="AQ9" s="431" t="s">
        <v>102</v>
      </c>
      <c r="AR9" s="543">
        <v>2015</v>
      </c>
      <c r="AS9" s="543">
        <v>2016</v>
      </c>
      <c r="AT9" s="431" t="s">
        <v>102</v>
      </c>
      <c r="AU9" s="638"/>
      <c r="AV9" s="638"/>
      <c r="AW9" s="633"/>
      <c r="AX9" s="633"/>
    </row>
    <row r="10" spans="1:50" ht="18.75" customHeight="1" x14ac:dyDescent="0.3">
      <c r="A10" s="646"/>
      <c r="B10" s="647"/>
      <c r="C10" s="648"/>
      <c r="D10" s="649"/>
      <c r="E10" s="650"/>
      <c r="F10" s="649"/>
      <c r="G10" s="651"/>
      <c r="H10" s="647"/>
      <c r="I10" s="648"/>
      <c r="J10" s="652"/>
      <c r="K10" s="647"/>
      <c r="L10" s="648"/>
      <c r="M10" s="649"/>
      <c r="N10" s="647"/>
      <c r="O10" s="648"/>
      <c r="P10" s="651"/>
      <c r="Q10" s="650"/>
      <c r="R10" s="656"/>
      <c r="S10" s="651"/>
      <c r="T10" s="650"/>
      <c r="U10" s="649"/>
      <c r="V10" s="651"/>
      <c r="W10" s="650"/>
      <c r="X10" s="656"/>
      <c r="Y10" s="651"/>
      <c r="Z10" s="650"/>
      <c r="AA10" s="649"/>
      <c r="AB10" s="651"/>
      <c r="AC10" s="650"/>
      <c r="AD10" s="649"/>
      <c r="AE10" s="651"/>
      <c r="AF10" s="650"/>
      <c r="AG10" s="649"/>
      <c r="AH10" s="651"/>
      <c r="AI10" s="650"/>
      <c r="AJ10" s="649"/>
      <c r="AK10" s="651"/>
      <c r="AL10" s="650"/>
      <c r="AM10" s="649"/>
      <c r="AN10" s="651"/>
      <c r="AO10" s="650"/>
      <c r="AP10" s="649"/>
      <c r="AQ10" s="651"/>
      <c r="AR10" s="648"/>
      <c r="AS10" s="648"/>
      <c r="AT10" s="651"/>
      <c r="AU10" s="638"/>
      <c r="AV10" s="638"/>
      <c r="AW10" s="633"/>
      <c r="AX10" s="633"/>
    </row>
    <row r="11" spans="1:50" ht="18.75" customHeight="1" x14ac:dyDescent="0.3">
      <c r="A11" s="694" t="s">
        <v>465</v>
      </c>
      <c r="B11" s="695"/>
      <c r="C11" s="696"/>
      <c r="D11" s="697"/>
      <c r="E11" s="695"/>
      <c r="F11" s="696"/>
      <c r="G11" s="698"/>
      <c r="H11" s="695"/>
      <c r="I11" s="696"/>
      <c r="J11" s="698"/>
      <c r="K11" s="695"/>
      <c r="L11" s="696"/>
      <c r="M11" s="697"/>
      <c r="N11" s="695"/>
      <c r="O11" s="696"/>
      <c r="P11" s="698"/>
      <c r="Q11" s="695"/>
      <c r="R11" s="696"/>
      <c r="S11" s="698"/>
      <c r="T11" s="695"/>
      <c r="U11" s="696"/>
      <c r="V11" s="698"/>
      <c r="W11" s="695"/>
      <c r="X11" s="696"/>
      <c r="Y11" s="698"/>
      <c r="Z11" s="695"/>
      <c r="AA11" s="696"/>
      <c r="AB11" s="698"/>
      <c r="AC11" s="695"/>
      <c r="AD11" s="696"/>
      <c r="AE11" s="698"/>
      <c r="AF11" s="695"/>
      <c r="AG11" s="696"/>
      <c r="AH11" s="698"/>
      <c r="AI11" s="695"/>
      <c r="AJ11" s="696"/>
      <c r="AK11" s="698"/>
      <c r="AL11" s="695"/>
      <c r="AM11" s="696"/>
      <c r="AN11" s="698"/>
      <c r="AO11" s="697"/>
      <c r="AP11" s="697"/>
      <c r="AQ11" s="698"/>
      <c r="AR11" s="696"/>
      <c r="AS11" s="696"/>
      <c r="AT11" s="698"/>
      <c r="AU11" s="638"/>
      <c r="AV11" s="638"/>
      <c r="AW11" s="633"/>
      <c r="AX11" s="633"/>
    </row>
    <row r="12" spans="1:50" s="660" customFormat="1" ht="18.75" customHeight="1" x14ac:dyDescent="0.3">
      <c r="A12" s="509" t="s">
        <v>432</v>
      </c>
      <c r="B12" s="560"/>
      <c r="C12" s="561"/>
      <c r="D12" s="659"/>
      <c r="E12" s="560">
        <v>18.756</v>
      </c>
      <c r="F12" s="561">
        <v>11.18</v>
      </c>
      <c r="G12" s="565">
        <f t="shared" ref="G12:G34" si="0">IF(E12=0, "    ---- ", IF(ABS(ROUND(100/E12*F12-100,1))&lt;999,ROUND(100/E12*F12-100,1),IF(ROUND(100/E12*F12-100,1)&gt;999,999,-999)))</f>
        <v>-40.4</v>
      </c>
      <c r="H12" s="560">
        <v>1.1020000000000001</v>
      </c>
      <c r="I12" s="561">
        <v>3.274</v>
      </c>
      <c r="J12" s="565">
        <f t="shared" ref="J12:J34" si="1">IF(H12=0, "    ---- ", IF(ABS(ROUND(100/H12*I12-100,1))&lt;999,ROUND(100/H12*I12-100,1),IF(ROUND(100/H12*I12-100,1)&gt;999,999,-999)))</f>
        <v>197.1</v>
      </c>
      <c r="K12" s="560"/>
      <c r="L12" s="561"/>
      <c r="M12" s="659"/>
      <c r="N12" s="560"/>
      <c r="O12" s="561"/>
      <c r="P12" s="565"/>
      <c r="Q12" s="560"/>
      <c r="R12" s="561"/>
      <c r="S12" s="565"/>
      <c r="T12" s="560"/>
      <c r="U12" s="561"/>
      <c r="V12" s="565"/>
      <c r="W12" s="560"/>
      <c r="X12" s="561"/>
      <c r="Y12" s="565"/>
      <c r="Z12" s="560"/>
      <c r="AA12" s="561"/>
      <c r="AB12" s="565"/>
      <c r="AC12" s="560"/>
      <c r="AD12" s="561"/>
      <c r="AE12" s="565"/>
      <c r="AF12" s="560"/>
      <c r="AG12" s="561"/>
      <c r="AH12" s="565"/>
      <c r="AI12" s="560">
        <v>11.436999999999999</v>
      </c>
      <c r="AJ12" s="561">
        <v>36.779000000000003</v>
      </c>
      <c r="AK12" s="565">
        <f t="shared" ref="AK12:AK34" si="2">IF(AI12=0, "    ---- ", IF(ABS(ROUND(100/AI12*AJ12-100,1))&lt;999,ROUND(100/AI12*AJ12-100,1),IF(ROUND(100/AI12*AJ12-100,1)&gt;999,999,-999)))</f>
        <v>221.6</v>
      </c>
      <c r="AL12" s="560">
        <v>58</v>
      </c>
      <c r="AM12" s="561">
        <v>47</v>
      </c>
      <c r="AN12" s="565">
        <f>IF(AL12=0, "    ---- ", IF(ABS(ROUND(100/AL12*AM12-100,1))&lt;999,ROUND(100/AL12*AM12-100,1),IF(ROUND(100/AL12*AM12-100,1)&gt;999,999,-999)))</f>
        <v>-19</v>
      </c>
      <c r="AO12" s="659">
        <f>B12+E12+H12+K12+Q12+T12+W12+Z12+AF12+AI12+AL12</f>
        <v>89.295000000000002</v>
      </c>
      <c r="AP12" s="659">
        <f>C12+F12+I12+L12+R12+U12+X12+AA12+AG12+AJ12+AM12</f>
        <v>98.233000000000004</v>
      </c>
      <c r="AQ12" s="565">
        <f t="shared" ref="AQ12:AQ22" si="3">IF(AO12=0, "    ---- ", IF(ABS(ROUND(100/AO12*AP12-100,1))&lt;999,ROUND(100/AO12*AP12-100,1),IF(ROUND(100/AO12*AP12-100,1)&gt;999,999,-999)))</f>
        <v>10</v>
      </c>
      <c r="AR12" s="561">
        <f>+B12+E12+H12+K12+N12+Q12+T12+W12+Z12+AC12+AF12+AI12+AL12</f>
        <v>89.295000000000002</v>
      </c>
      <c r="AS12" s="561">
        <f>+C12+F12+I12+L12+O12+R12+U12+X12+AA12+AD12+AG12+AJ12+AM12</f>
        <v>98.233000000000004</v>
      </c>
      <c r="AT12" s="565">
        <f t="shared" ref="AT12:AT22" si="4">IF(AR12=0, "    ---- ", IF(ABS(ROUND(100/AR12*AS12-100,1))&lt;999,ROUND(100/AR12*AS12-100,1),IF(ROUND(100/AR12*AS12-100,1)&gt;999,999,-999)))</f>
        <v>10</v>
      </c>
      <c r="AU12" s="638"/>
      <c r="AV12" s="638"/>
      <c r="AW12" s="633"/>
      <c r="AX12" s="633"/>
    </row>
    <row r="13" spans="1:50" s="660" customFormat="1" ht="18.75" customHeight="1" x14ac:dyDescent="0.3">
      <c r="A13" s="509" t="s">
        <v>433</v>
      </c>
      <c r="B13" s="560"/>
      <c r="C13" s="561"/>
      <c r="D13" s="659"/>
      <c r="E13" s="560"/>
      <c r="F13" s="561"/>
      <c r="G13" s="565"/>
      <c r="H13" s="560"/>
      <c r="I13" s="561"/>
      <c r="J13" s="565"/>
      <c r="K13" s="560"/>
      <c r="L13" s="561"/>
      <c r="M13" s="659"/>
      <c r="N13" s="560"/>
      <c r="O13" s="561"/>
      <c r="P13" s="565"/>
      <c r="Q13" s="560"/>
      <c r="R13" s="561"/>
      <c r="S13" s="565"/>
      <c r="T13" s="560"/>
      <c r="U13" s="561"/>
      <c r="V13" s="565"/>
      <c r="W13" s="560"/>
      <c r="X13" s="561"/>
      <c r="Y13" s="565"/>
      <c r="Z13" s="560"/>
      <c r="AA13" s="561"/>
      <c r="AB13" s="565"/>
      <c r="AC13" s="560"/>
      <c r="AD13" s="561"/>
      <c r="AE13" s="565"/>
      <c r="AF13" s="560"/>
      <c r="AG13" s="561"/>
      <c r="AH13" s="565"/>
      <c r="AI13" s="560"/>
      <c r="AJ13" s="561"/>
      <c r="AK13" s="565"/>
      <c r="AL13" s="560"/>
      <c r="AM13" s="561"/>
      <c r="AN13" s="565"/>
      <c r="AO13" s="659">
        <f t="shared" ref="AO13:AP34" si="5">B13+E13+H13+K13+Q13+T13+W13+Z13+AF13+AI13+AL13</f>
        <v>0</v>
      </c>
      <c r="AP13" s="659">
        <f t="shared" si="5"/>
        <v>0</v>
      </c>
      <c r="AQ13" s="565" t="str">
        <f t="shared" si="3"/>
        <v xml:space="preserve">    ---- </v>
      </c>
      <c r="AR13" s="561">
        <f t="shared" ref="AR13:AS34" si="6">+B13+E13+H13+K13+N13+Q13+T13+W13+Z13+AC13+AF13+AI13+AL13</f>
        <v>0</v>
      </c>
      <c r="AS13" s="561">
        <f t="shared" si="6"/>
        <v>0</v>
      </c>
      <c r="AT13" s="565" t="str">
        <f t="shared" si="4"/>
        <v xml:space="preserve">    ---- </v>
      </c>
      <c r="AU13" s="638"/>
      <c r="AV13" s="638"/>
      <c r="AW13" s="633"/>
      <c r="AX13" s="633"/>
    </row>
    <row r="14" spans="1:50" s="660" customFormat="1" ht="18.75" customHeight="1" x14ac:dyDescent="0.3">
      <c r="A14" s="509" t="s">
        <v>434</v>
      </c>
      <c r="B14" s="560">
        <v>-0.55700000000000005</v>
      </c>
      <c r="C14" s="561">
        <v>-0.189</v>
      </c>
      <c r="D14" s="659">
        <f>IF(B14=0, "    ---- ", IF(ABS(ROUND(100/B14*C14-100,1))&lt;999,ROUND(100/B14*C14-100,1),IF(ROUND(100/B14*C14-100,1)&gt;999,999,-999)))</f>
        <v>-66.099999999999994</v>
      </c>
      <c r="E14" s="560">
        <v>-4</v>
      </c>
      <c r="F14" s="561">
        <v>-3.7</v>
      </c>
      <c r="G14" s="565">
        <f t="shared" si="0"/>
        <v>-7.5</v>
      </c>
      <c r="H14" s="560">
        <v>-10.500999999999999</v>
      </c>
      <c r="I14" s="561">
        <v>-9.6489999999999991</v>
      </c>
      <c r="J14" s="565">
        <f t="shared" si="1"/>
        <v>-8.1</v>
      </c>
      <c r="K14" s="560"/>
      <c r="L14" s="561"/>
      <c r="M14" s="659"/>
      <c r="N14" s="560">
        <v>-4</v>
      </c>
      <c r="O14" s="561"/>
      <c r="P14" s="565">
        <f t="shared" ref="P14:P22" si="7">IF(N14=0, "    ---- ", IF(ABS(ROUND(100/N14*O14-100,1))&lt;999,ROUND(100/N14*O14-100,1),IF(ROUND(100/N14*O14-100,1)&gt;999,999,-999)))</f>
        <v>-100</v>
      </c>
      <c r="Q14" s="560">
        <v>-0.89883191887999991</v>
      </c>
      <c r="R14" s="561">
        <v>-2.4863762896799999</v>
      </c>
      <c r="S14" s="565">
        <f t="shared" ref="S14:S22" si="8">IF(Q14=0, "    ---- ", IF(ABS(ROUND(100/Q14*R14-100,1))&lt;999,ROUND(100/Q14*R14-100,1),IF(ROUND(100/Q14*R14-100,1)&gt;999,999,-999)))</f>
        <v>176.6</v>
      </c>
      <c r="T14" s="560"/>
      <c r="U14" s="561"/>
      <c r="V14" s="565"/>
      <c r="W14" s="560"/>
      <c r="X14" s="561"/>
      <c r="Y14" s="565"/>
      <c r="Z14" s="560"/>
      <c r="AA14" s="561"/>
      <c r="AB14" s="565"/>
      <c r="AC14" s="560"/>
      <c r="AD14" s="561"/>
      <c r="AE14" s="565"/>
      <c r="AF14" s="560"/>
      <c r="AG14" s="561"/>
      <c r="AH14" s="565"/>
      <c r="AI14" s="560">
        <v>20.577000000000002</v>
      </c>
      <c r="AJ14" s="561">
        <v>5.9989999999999997</v>
      </c>
      <c r="AK14" s="565">
        <f t="shared" si="2"/>
        <v>-70.8</v>
      </c>
      <c r="AL14" s="560">
        <v>22</v>
      </c>
      <c r="AM14" s="561">
        <v>10</v>
      </c>
      <c r="AN14" s="565">
        <f>IF(AL14=0, "    ---- ", IF(ABS(ROUND(100/AL14*AM14-100,1))&lt;999,ROUND(100/AL14*AM14-100,1),IF(ROUND(100/AL14*AM14-100,1)&gt;999,999,-999)))</f>
        <v>-54.5</v>
      </c>
      <c r="AO14" s="659">
        <f t="shared" si="5"/>
        <v>26.620168081120003</v>
      </c>
      <c r="AP14" s="659">
        <f t="shared" si="5"/>
        <v>-2.5376289680000497E-2</v>
      </c>
      <c r="AQ14" s="565">
        <f t="shared" si="3"/>
        <v>-100.1</v>
      </c>
      <c r="AR14" s="561">
        <f t="shared" si="6"/>
        <v>22.620168081120003</v>
      </c>
      <c r="AS14" s="561">
        <f t="shared" si="6"/>
        <v>-2.5376289680000497E-2</v>
      </c>
      <c r="AT14" s="565">
        <f t="shared" si="4"/>
        <v>-100.1</v>
      </c>
      <c r="AU14" s="638"/>
      <c r="AV14" s="638"/>
      <c r="AW14" s="633"/>
      <c r="AX14" s="633"/>
    </row>
    <row r="15" spans="1:50" s="660" customFormat="1" ht="18.75" customHeight="1" x14ac:dyDescent="0.3">
      <c r="A15" s="509" t="s">
        <v>435</v>
      </c>
      <c r="B15" s="560"/>
      <c r="C15" s="561"/>
      <c r="D15" s="659"/>
      <c r="E15" s="560"/>
      <c r="F15" s="561"/>
      <c r="G15" s="565"/>
      <c r="H15" s="560"/>
      <c r="I15" s="561"/>
      <c r="J15" s="565"/>
      <c r="K15" s="560"/>
      <c r="L15" s="561"/>
      <c r="M15" s="659"/>
      <c r="N15" s="560"/>
      <c r="O15" s="561"/>
      <c r="P15" s="565"/>
      <c r="Q15" s="560"/>
      <c r="R15" s="561"/>
      <c r="S15" s="565"/>
      <c r="T15" s="560"/>
      <c r="U15" s="561"/>
      <c r="V15" s="565"/>
      <c r="W15" s="560"/>
      <c r="X15" s="561"/>
      <c r="Y15" s="565"/>
      <c r="Z15" s="560"/>
      <c r="AA15" s="561"/>
      <c r="AB15" s="565"/>
      <c r="AC15" s="560"/>
      <c r="AD15" s="561"/>
      <c r="AE15" s="565"/>
      <c r="AF15" s="560"/>
      <c r="AG15" s="561"/>
      <c r="AH15" s="565"/>
      <c r="AI15" s="560"/>
      <c r="AJ15" s="561"/>
      <c r="AK15" s="565"/>
      <c r="AL15" s="560"/>
      <c r="AM15" s="561"/>
      <c r="AN15" s="565"/>
      <c r="AO15" s="659">
        <f t="shared" si="5"/>
        <v>0</v>
      </c>
      <c r="AP15" s="659">
        <f t="shared" si="5"/>
        <v>0</v>
      </c>
      <c r="AQ15" s="565" t="str">
        <f t="shared" si="3"/>
        <v xml:space="preserve">    ---- </v>
      </c>
      <c r="AR15" s="561">
        <f t="shared" si="6"/>
        <v>0</v>
      </c>
      <c r="AS15" s="561">
        <f t="shared" si="6"/>
        <v>0</v>
      </c>
      <c r="AT15" s="565" t="str">
        <f t="shared" si="4"/>
        <v xml:space="preserve">    ---- </v>
      </c>
      <c r="AU15" s="638"/>
      <c r="AV15" s="638"/>
      <c r="AW15" s="633"/>
      <c r="AX15" s="633"/>
    </row>
    <row r="16" spans="1:50" s="660" customFormat="1" ht="18.75" customHeight="1" x14ac:dyDescent="0.3">
      <c r="A16" s="509" t="s">
        <v>436</v>
      </c>
      <c r="B16" s="560"/>
      <c r="C16" s="561"/>
      <c r="D16" s="659"/>
      <c r="E16" s="560"/>
      <c r="F16" s="561"/>
      <c r="G16" s="565"/>
      <c r="H16" s="560"/>
      <c r="I16" s="561"/>
      <c r="J16" s="565"/>
      <c r="K16" s="560"/>
      <c r="L16" s="561"/>
      <c r="M16" s="659"/>
      <c r="N16" s="560"/>
      <c r="O16" s="561"/>
      <c r="P16" s="565"/>
      <c r="Q16" s="560"/>
      <c r="R16" s="561"/>
      <c r="S16" s="565"/>
      <c r="T16" s="560"/>
      <c r="U16" s="561"/>
      <c r="V16" s="565"/>
      <c r="W16" s="560"/>
      <c r="X16" s="561"/>
      <c r="Y16" s="565"/>
      <c r="Z16" s="560"/>
      <c r="AA16" s="561"/>
      <c r="AB16" s="565"/>
      <c r="AC16" s="560"/>
      <c r="AD16" s="561"/>
      <c r="AE16" s="565"/>
      <c r="AF16" s="560"/>
      <c r="AG16" s="561"/>
      <c r="AH16" s="565"/>
      <c r="AI16" s="560"/>
      <c r="AJ16" s="561"/>
      <c r="AK16" s="565"/>
      <c r="AL16" s="560"/>
      <c r="AM16" s="561"/>
      <c r="AN16" s="565"/>
      <c r="AO16" s="659">
        <f t="shared" si="5"/>
        <v>0</v>
      </c>
      <c r="AP16" s="659">
        <f t="shared" si="5"/>
        <v>0</v>
      </c>
      <c r="AQ16" s="565" t="str">
        <f t="shared" si="3"/>
        <v xml:space="preserve">    ---- </v>
      </c>
      <c r="AR16" s="561">
        <f t="shared" si="6"/>
        <v>0</v>
      </c>
      <c r="AS16" s="561">
        <f t="shared" si="6"/>
        <v>0</v>
      </c>
      <c r="AT16" s="565" t="str">
        <f t="shared" si="4"/>
        <v xml:space="preserve">    ---- </v>
      </c>
      <c r="AU16" s="638"/>
      <c r="AV16" s="638"/>
      <c r="AW16" s="633"/>
      <c r="AX16" s="633"/>
    </row>
    <row r="17" spans="1:50" s="660" customFormat="1" ht="18.75" customHeight="1" x14ac:dyDescent="0.3">
      <c r="A17" s="509" t="s">
        <v>437</v>
      </c>
      <c r="B17" s="560">
        <v>-0.48899999999999999</v>
      </c>
      <c r="C17" s="561">
        <f>5.418-2.666</f>
        <v>2.7520000000000002</v>
      </c>
      <c r="D17" s="659">
        <f>IF(B17=0, "    ---- ", IF(ABS(ROUND(100/B17*C17-100,1))&lt;999,ROUND(100/B17*C17-100,1),IF(ROUND(100/B17*C17-100,1)&gt;999,999,-999)))</f>
        <v>-662.8</v>
      </c>
      <c r="E17" s="560">
        <v>48.311999999999998</v>
      </c>
      <c r="F17" s="561">
        <v>28.972000000000001</v>
      </c>
      <c r="G17" s="565">
        <f t="shared" si="0"/>
        <v>-40</v>
      </c>
      <c r="H17" s="560">
        <v>3.5950000000000002</v>
      </c>
      <c r="I17" s="561">
        <v>2.125</v>
      </c>
      <c r="J17" s="565">
        <f t="shared" si="1"/>
        <v>-40.9</v>
      </c>
      <c r="K17" s="560"/>
      <c r="L17" s="561"/>
      <c r="M17" s="659"/>
      <c r="N17" s="560">
        <v>-4</v>
      </c>
      <c r="O17" s="561"/>
      <c r="P17" s="565">
        <f t="shared" si="7"/>
        <v>-100</v>
      </c>
      <c r="Q17" s="560">
        <v>-1.2380509852693642</v>
      </c>
      <c r="R17" s="561">
        <v>-5.3687354061076853</v>
      </c>
      <c r="S17" s="565">
        <f t="shared" si="8"/>
        <v>333.6</v>
      </c>
      <c r="T17" s="560"/>
      <c r="U17" s="561"/>
      <c r="V17" s="565"/>
      <c r="W17" s="560"/>
      <c r="X17" s="561"/>
      <c r="Y17" s="565"/>
      <c r="Z17" s="560"/>
      <c r="AA17" s="561"/>
      <c r="AB17" s="565"/>
      <c r="AC17" s="560"/>
      <c r="AD17" s="561"/>
      <c r="AE17" s="565"/>
      <c r="AF17" s="560"/>
      <c r="AG17" s="561"/>
      <c r="AH17" s="565"/>
      <c r="AI17" s="560">
        <v>60.259</v>
      </c>
      <c r="AJ17" s="561">
        <v>58.646999999999998</v>
      </c>
      <c r="AK17" s="565">
        <f t="shared" si="2"/>
        <v>-2.7</v>
      </c>
      <c r="AL17" s="560">
        <v>-7</v>
      </c>
      <c r="AM17" s="561">
        <v>-3</v>
      </c>
      <c r="AN17" s="565">
        <f>IF(AL17=0, "    ---- ", IF(ABS(ROUND(100/AL17*AM17-100,1))&lt;999,ROUND(100/AL17*AM17-100,1),IF(ROUND(100/AL17*AM17-100,1)&gt;999,999,-999)))</f>
        <v>-57.1</v>
      </c>
      <c r="AO17" s="659">
        <f t="shared" si="5"/>
        <v>103.43894901473064</v>
      </c>
      <c r="AP17" s="659">
        <f t="shared" si="5"/>
        <v>84.12726459389232</v>
      </c>
      <c r="AQ17" s="565">
        <f t="shared" si="3"/>
        <v>-18.7</v>
      </c>
      <c r="AR17" s="561">
        <f t="shared" si="6"/>
        <v>99.438949014730639</v>
      </c>
      <c r="AS17" s="561">
        <f t="shared" si="6"/>
        <v>84.12726459389232</v>
      </c>
      <c r="AT17" s="565">
        <f t="shared" si="4"/>
        <v>-15.4</v>
      </c>
      <c r="AU17" s="638"/>
      <c r="AV17" s="638"/>
      <c r="AW17" s="633"/>
      <c r="AX17" s="633"/>
    </row>
    <row r="18" spans="1:50" s="660" customFormat="1" ht="18.75" customHeight="1" x14ac:dyDescent="0.3">
      <c r="A18" s="509" t="s">
        <v>438</v>
      </c>
      <c r="B18" s="560"/>
      <c r="C18" s="561"/>
      <c r="D18" s="659"/>
      <c r="E18" s="560"/>
      <c r="F18" s="561"/>
      <c r="G18" s="565"/>
      <c r="H18" s="560"/>
      <c r="I18" s="561"/>
      <c r="J18" s="565"/>
      <c r="K18" s="560"/>
      <c r="L18" s="561"/>
      <c r="M18" s="659"/>
      <c r="N18" s="560"/>
      <c r="O18" s="561"/>
      <c r="P18" s="565"/>
      <c r="Q18" s="560"/>
      <c r="R18" s="561"/>
      <c r="S18" s="565"/>
      <c r="T18" s="560"/>
      <c r="U18" s="561"/>
      <c r="V18" s="565"/>
      <c r="W18" s="560"/>
      <c r="X18" s="561"/>
      <c r="Y18" s="565"/>
      <c r="Z18" s="560"/>
      <c r="AA18" s="561"/>
      <c r="AB18" s="565"/>
      <c r="AC18" s="560"/>
      <c r="AD18" s="561"/>
      <c r="AE18" s="565"/>
      <c r="AF18" s="560"/>
      <c r="AG18" s="561"/>
      <c r="AH18" s="565"/>
      <c r="AI18" s="560"/>
      <c r="AJ18" s="561"/>
      <c r="AK18" s="565"/>
      <c r="AL18" s="560"/>
      <c r="AM18" s="561"/>
      <c r="AN18" s="565"/>
      <c r="AO18" s="659">
        <f t="shared" si="5"/>
        <v>0</v>
      </c>
      <c r="AP18" s="659">
        <f t="shared" si="5"/>
        <v>0</v>
      </c>
      <c r="AQ18" s="565" t="str">
        <f t="shared" si="3"/>
        <v xml:space="preserve">    ---- </v>
      </c>
      <c r="AR18" s="561">
        <f t="shared" si="6"/>
        <v>0</v>
      </c>
      <c r="AS18" s="561">
        <f t="shared" si="6"/>
        <v>0</v>
      </c>
      <c r="AT18" s="565" t="str">
        <f t="shared" si="4"/>
        <v xml:space="preserve">    ---- </v>
      </c>
      <c r="AU18" s="638"/>
      <c r="AV18" s="638"/>
      <c r="AW18" s="633"/>
      <c r="AX18" s="633"/>
    </row>
    <row r="19" spans="1:50" s="660" customFormat="1" ht="18.75" customHeight="1" x14ac:dyDescent="0.3">
      <c r="A19" s="509" t="s">
        <v>439</v>
      </c>
      <c r="B19" s="560"/>
      <c r="C19" s="561"/>
      <c r="D19" s="659"/>
      <c r="E19" s="560"/>
      <c r="F19" s="561"/>
      <c r="G19" s="565"/>
      <c r="H19" s="560">
        <v>-5.2999999999999999E-2</v>
      </c>
      <c r="I19" s="561">
        <v>2.1999999999999999E-2</v>
      </c>
      <c r="J19" s="565">
        <f t="shared" si="1"/>
        <v>-141.5</v>
      </c>
      <c r="K19" s="560"/>
      <c r="L19" s="561"/>
      <c r="M19" s="659"/>
      <c r="N19" s="560"/>
      <c r="O19" s="561"/>
      <c r="P19" s="565"/>
      <c r="Q19" s="560"/>
      <c r="R19" s="561"/>
      <c r="S19" s="565"/>
      <c r="T19" s="560"/>
      <c r="U19" s="561"/>
      <c r="V19" s="565"/>
      <c r="W19" s="560"/>
      <c r="X19" s="561"/>
      <c r="Y19" s="565"/>
      <c r="Z19" s="560"/>
      <c r="AA19" s="561"/>
      <c r="AB19" s="565"/>
      <c r="AC19" s="560"/>
      <c r="AD19" s="561"/>
      <c r="AE19" s="565"/>
      <c r="AF19" s="560"/>
      <c r="AG19" s="561"/>
      <c r="AH19" s="565"/>
      <c r="AI19" s="560"/>
      <c r="AJ19" s="561"/>
      <c r="AK19" s="565"/>
      <c r="AL19" s="560"/>
      <c r="AM19" s="561"/>
      <c r="AN19" s="565"/>
      <c r="AO19" s="659">
        <f t="shared" si="5"/>
        <v>-5.2999999999999999E-2</v>
      </c>
      <c r="AP19" s="659">
        <f t="shared" si="5"/>
        <v>2.1999999999999999E-2</v>
      </c>
      <c r="AQ19" s="565">
        <f t="shared" si="3"/>
        <v>-141.5</v>
      </c>
      <c r="AR19" s="561">
        <f t="shared" si="6"/>
        <v>-5.2999999999999999E-2</v>
      </c>
      <c r="AS19" s="561">
        <f t="shared" si="6"/>
        <v>2.1999999999999999E-2</v>
      </c>
      <c r="AT19" s="565">
        <f t="shared" si="4"/>
        <v>-141.5</v>
      </c>
      <c r="AU19" s="638"/>
      <c r="AV19" s="638"/>
      <c r="AW19" s="633"/>
      <c r="AX19" s="633"/>
    </row>
    <row r="20" spans="1:50" s="662" customFormat="1" ht="18.75" customHeight="1" x14ac:dyDescent="0.3">
      <c r="A20" s="507" t="s">
        <v>440</v>
      </c>
      <c r="B20" s="603">
        <v>-1.046</v>
      </c>
      <c r="C20" s="574">
        <f>SUM(C12:C17)+C19</f>
        <v>2.5630000000000002</v>
      </c>
      <c r="D20" s="657">
        <f>IF(B20=0, "    ---- ", IF(ABS(ROUND(100/B20*C20-100,1))&lt;999,ROUND(100/B20*C20-100,1),IF(ROUND(100/B20*C20-100,1)&gt;999,999,-999)))</f>
        <v>-345</v>
      </c>
      <c r="E20" s="603">
        <v>63.067999999999998</v>
      </c>
      <c r="F20" s="574">
        <f>SUM(F12:F17)+F19</f>
        <v>36.451999999999998</v>
      </c>
      <c r="G20" s="658">
        <f t="shared" si="0"/>
        <v>-42.2</v>
      </c>
      <c r="H20" s="603">
        <v>-5.8569999999999984</v>
      </c>
      <c r="I20" s="574">
        <f>SUM(I12:I17)+I19</f>
        <v>-4.2279999999999989</v>
      </c>
      <c r="J20" s="658">
        <f t="shared" si="1"/>
        <v>-27.8</v>
      </c>
      <c r="K20" s="603"/>
      <c r="L20" s="574"/>
      <c r="M20" s="657"/>
      <c r="N20" s="603">
        <v>-8</v>
      </c>
      <c r="O20" s="574">
        <f>SUM(O12:O17)+O19</f>
        <v>0</v>
      </c>
      <c r="P20" s="658">
        <f t="shared" si="7"/>
        <v>-100</v>
      </c>
      <c r="Q20" s="603">
        <v>-2.1368829041493642</v>
      </c>
      <c r="R20" s="574">
        <f>SUM(R12:R17)+R19</f>
        <v>-7.8551116957876852</v>
      </c>
      <c r="S20" s="658">
        <f t="shared" si="8"/>
        <v>267.60000000000002</v>
      </c>
      <c r="T20" s="603"/>
      <c r="U20" s="574"/>
      <c r="V20" s="658"/>
      <c r="W20" s="603"/>
      <c r="X20" s="574"/>
      <c r="Y20" s="658"/>
      <c r="Z20" s="603"/>
      <c r="AA20" s="574"/>
      <c r="AB20" s="658"/>
      <c r="AC20" s="603"/>
      <c r="AD20" s="574"/>
      <c r="AE20" s="658"/>
      <c r="AF20" s="603"/>
      <c r="AG20" s="574"/>
      <c r="AH20" s="658"/>
      <c r="AI20" s="603">
        <v>92.272999999999996</v>
      </c>
      <c r="AJ20" s="574">
        <f>SUM(AJ12:AJ17)+AJ19</f>
        <v>101.42500000000001</v>
      </c>
      <c r="AK20" s="658">
        <f t="shared" si="2"/>
        <v>9.9</v>
      </c>
      <c r="AL20" s="603">
        <v>73</v>
      </c>
      <c r="AM20" s="574">
        <f>SUM(AM12:AM17)+AM19</f>
        <v>54</v>
      </c>
      <c r="AN20" s="658">
        <f>IF(AL20=0, "    ---- ", IF(ABS(ROUND(100/AL20*AM20-100,1))&lt;999,ROUND(100/AL20*AM20-100,1),IF(ROUND(100/AL20*AM20-100,1)&gt;999,999,-999)))</f>
        <v>-26</v>
      </c>
      <c r="AO20" s="657">
        <f t="shared" si="5"/>
        <v>219.30111709585063</v>
      </c>
      <c r="AP20" s="657">
        <f t="shared" si="5"/>
        <v>182.35688830421233</v>
      </c>
      <c r="AQ20" s="658">
        <f t="shared" si="3"/>
        <v>-16.8</v>
      </c>
      <c r="AR20" s="574">
        <f t="shared" si="6"/>
        <v>211.30111709585063</v>
      </c>
      <c r="AS20" s="574">
        <f t="shared" si="6"/>
        <v>182.35688830421233</v>
      </c>
      <c r="AT20" s="658">
        <f t="shared" si="4"/>
        <v>-13.7</v>
      </c>
      <c r="AU20" s="636"/>
      <c r="AV20" s="636"/>
      <c r="AW20" s="661"/>
      <c r="AX20" s="661"/>
    </row>
    <row r="21" spans="1:50" s="660" customFormat="1" ht="18.75" customHeight="1" x14ac:dyDescent="0.3">
      <c r="A21" s="509" t="s">
        <v>441</v>
      </c>
      <c r="B21" s="560"/>
      <c r="C21" s="561"/>
      <c r="D21" s="659"/>
      <c r="E21" s="560">
        <v>0.48</v>
      </c>
      <c r="F21" s="561">
        <v>1.929</v>
      </c>
      <c r="G21" s="565">
        <f t="shared" si="0"/>
        <v>301.89999999999998</v>
      </c>
      <c r="H21" s="560"/>
      <c r="I21" s="561"/>
      <c r="J21" s="565"/>
      <c r="K21" s="560"/>
      <c r="L21" s="561"/>
      <c r="M21" s="659"/>
      <c r="N21" s="560"/>
      <c r="O21" s="561"/>
      <c r="P21" s="565"/>
      <c r="Q21" s="560"/>
      <c r="R21" s="561"/>
      <c r="S21" s="565"/>
      <c r="T21" s="560"/>
      <c r="U21" s="561"/>
      <c r="V21" s="565"/>
      <c r="W21" s="560"/>
      <c r="X21" s="561"/>
      <c r="Y21" s="565"/>
      <c r="Z21" s="560"/>
      <c r="AA21" s="561"/>
      <c r="AB21" s="565"/>
      <c r="AC21" s="560"/>
      <c r="AD21" s="561"/>
      <c r="AE21" s="565"/>
      <c r="AF21" s="560"/>
      <c r="AG21" s="561"/>
      <c r="AH21" s="565"/>
      <c r="AI21" s="560">
        <v>22.92</v>
      </c>
      <c r="AJ21" s="561">
        <v>23.446000000000002</v>
      </c>
      <c r="AK21" s="565">
        <f t="shared" si="2"/>
        <v>2.2999999999999998</v>
      </c>
      <c r="AL21" s="560"/>
      <c r="AM21" s="561"/>
      <c r="AN21" s="565"/>
      <c r="AO21" s="659">
        <f t="shared" si="5"/>
        <v>23.400000000000002</v>
      </c>
      <c r="AP21" s="659">
        <f t="shared" si="5"/>
        <v>25.375</v>
      </c>
      <c r="AQ21" s="565">
        <f t="shared" si="3"/>
        <v>8.4</v>
      </c>
      <c r="AR21" s="561">
        <f t="shared" si="6"/>
        <v>23.400000000000002</v>
      </c>
      <c r="AS21" s="561">
        <f t="shared" si="6"/>
        <v>25.375</v>
      </c>
      <c r="AT21" s="565">
        <f t="shared" si="4"/>
        <v>8.4</v>
      </c>
      <c r="AU21" s="638"/>
      <c r="AV21" s="638"/>
      <c r="AW21" s="633"/>
      <c r="AX21" s="633"/>
    </row>
    <row r="22" spans="1:50" s="660" customFormat="1" ht="18.75" customHeight="1" x14ac:dyDescent="0.3">
      <c r="A22" s="509" t="s">
        <v>442</v>
      </c>
      <c r="B22" s="560">
        <v>-1.046</v>
      </c>
      <c r="C22" s="561">
        <v>2.5630000000000002</v>
      </c>
      <c r="D22" s="659">
        <f>IF(B22=0, "    ---- ", IF(ABS(ROUND(100/B22*C22-100,1))&lt;999,ROUND(100/B22*C22-100,1),IF(ROUND(100/B22*C22-100,1)&gt;999,999,-999)))</f>
        <v>-345</v>
      </c>
      <c r="E22" s="560">
        <v>63.547999999999995</v>
      </c>
      <c r="F22" s="561">
        <v>34.526000000000003</v>
      </c>
      <c r="G22" s="565">
        <f t="shared" si="0"/>
        <v>-45.7</v>
      </c>
      <c r="H22" s="560">
        <v>-5.8579999999999997</v>
      </c>
      <c r="I22" s="561">
        <v>-4.2720000000000002</v>
      </c>
      <c r="J22" s="565">
        <f t="shared" si="1"/>
        <v>-27.1</v>
      </c>
      <c r="K22" s="560"/>
      <c r="L22" s="561"/>
      <c r="M22" s="659"/>
      <c r="N22" s="560">
        <v>-8</v>
      </c>
      <c r="O22" s="561"/>
      <c r="P22" s="565">
        <f t="shared" si="7"/>
        <v>-100</v>
      </c>
      <c r="Q22" s="560">
        <v>-2.1368829041493642</v>
      </c>
      <c r="R22" s="561">
        <v>-7.8551116957876852</v>
      </c>
      <c r="S22" s="565">
        <f t="shared" si="8"/>
        <v>267.60000000000002</v>
      </c>
      <c r="T22" s="560"/>
      <c r="U22" s="561"/>
      <c r="V22" s="565"/>
      <c r="W22" s="560"/>
      <c r="X22" s="561"/>
      <c r="Y22" s="565"/>
      <c r="Z22" s="560"/>
      <c r="AA22" s="561"/>
      <c r="AB22" s="565"/>
      <c r="AC22" s="560"/>
      <c r="AD22" s="561"/>
      <c r="AE22" s="565"/>
      <c r="AF22" s="560"/>
      <c r="AG22" s="561"/>
      <c r="AH22" s="565"/>
      <c r="AI22" s="560">
        <v>69.352999999999994</v>
      </c>
      <c r="AJ22" s="561">
        <v>77.978999999999999</v>
      </c>
      <c r="AK22" s="565">
        <f t="shared" si="2"/>
        <v>12.4</v>
      </c>
      <c r="AL22" s="560">
        <v>73</v>
      </c>
      <c r="AM22" s="561">
        <v>54</v>
      </c>
      <c r="AN22" s="565">
        <f>IF(AL22=0, "    ---- ", IF(ABS(ROUND(100/AL22*AM22-100,1))&lt;999,ROUND(100/AL22*AM22-100,1),IF(ROUND(100/AL22*AM22-100,1)&gt;999,999,-999)))</f>
        <v>-26</v>
      </c>
      <c r="AO22" s="659">
        <f t="shared" si="5"/>
        <v>196.86011709585063</v>
      </c>
      <c r="AP22" s="659">
        <f t="shared" si="5"/>
        <v>156.94088830421231</v>
      </c>
      <c r="AQ22" s="565">
        <f t="shared" si="3"/>
        <v>-20.3</v>
      </c>
      <c r="AR22" s="561">
        <f t="shared" si="6"/>
        <v>188.86011709585063</v>
      </c>
      <c r="AS22" s="561">
        <f t="shared" si="6"/>
        <v>156.94088830421231</v>
      </c>
      <c r="AT22" s="565">
        <f t="shared" si="4"/>
        <v>-16.899999999999999</v>
      </c>
      <c r="AU22" s="638"/>
      <c r="AV22" s="638"/>
      <c r="AW22" s="633"/>
      <c r="AX22" s="633"/>
    </row>
    <row r="23" spans="1:50" s="660" customFormat="1" ht="18.75" customHeight="1" x14ac:dyDescent="0.3">
      <c r="A23" s="507" t="s">
        <v>466</v>
      </c>
      <c r="B23" s="665"/>
      <c r="C23" s="657"/>
      <c r="D23" s="659"/>
      <c r="E23" s="665"/>
      <c r="F23" s="657"/>
      <c r="G23" s="565"/>
      <c r="H23" s="665"/>
      <c r="I23" s="666"/>
      <c r="J23" s="565"/>
      <c r="K23" s="665"/>
      <c r="L23" s="657"/>
      <c r="M23" s="659"/>
      <c r="N23" s="665"/>
      <c r="O23" s="657"/>
      <c r="P23" s="565"/>
      <c r="Q23" s="665"/>
      <c r="R23" s="666"/>
      <c r="S23" s="565"/>
      <c r="T23" s="665"/>
      <c r="U23" s="657"/>
      <c r="V23" s="565"/>
      <c r="W23" s="665"/>
      <c r="X23" s="666"/>
      <c r="Y23" s="565"/>
      <c r="Z23" s="665"/>
      <c r="AA23" s="657"/>
      <c r="AB23" s="565"/>
      <c r="AC23" s="665"/>
      <c r="AD23" s="657"/>
      <c r="AE23" s="565"/>
      <c r="AF23" s="665"/>
      <c r="AG23" s="657"/>
      <c r="AH23" s="565"/>
      <c r="AI23" s="665"/>
      <c r="AJ23" s="657"/>
      <c r="AK23" s="565"/>
      <c r="AL23" s="665"/>
      <c r="AM23" s="657"/>
      <c r="AN23" s="565"/>
      <c r="AO23" s="659"/>
      <c r="AP23" s="659"/>
      <c r="AQ23" s="565"/>
      <c r="AR23" s="659"/>
      <c r="AS23" s="659"/>
      <c r="AT23" s="565"/>
      <c r="AU23" s="638"/>
      <c r="AV23" s="638"/>
      <c r="AW23" s="633"/>
      <c r="AX23" s="633"/>
    </row>
    <row r="24" spans="1:50" s="660" customFormat="1" ht="18.75" customHeight="1" x14ac:dyDescent="0.3">
      <c r="A24" s="509" t="s">
        <v>432</v>
      </c>
      <c r="B24" s="663"/>
      <c r="C24" s="659"/>
      <c r="D24" s="659"/>
      <c r="E24" s="663">
        <v>59.46</v>
      </c>
      <c r="F24" s="659">
        <v>-8.6370000000000005</v>
      </c>
      <c r="G24" s="565">
        <f t="shared" si="0"/>
        <v>-114.5</v>
      </c>
      <c r="H24" s="663">
        <v>1.4259999999999999</v>
      </c>
      <c r="I24" s="664">
        <v>4.2080000000000002</v>
      </c>
      <c r="J24" s="565">
        <f t="shared" si="1"/>
        <v>195.1</v>
      </c>
      <c r="K24" s="663"/>
      <c r="L24" s="659"/>
      <c r="M24" s="565"/>
      <c r="N24" s="663"/>
      <c r="O24" s="659"/>
      <c r="P24" s="565"/>
      <c r="Q24" s="663"/>
      <c r="R24" s="664"/>
      <c r="S24" s="565"/>
      <c r="T24" s="663"/>
      <c r="U24" s="659"/>
      <c r="V24" s="565"/>
      <c r="W24" s="663">
        <v>6</v>
      </c>
      <c r="X24" s="664">
        <v>6.1387147369999999</v>
      </c>
      <c r="Y24" s="565">
        <f t="shared" ref="Y24:Y34" si="9">IF(W24=0, "    ---- ", IF(ABS(ROUND(100/W24*X24-100,1))&lt;999,ROUND(100/W24*X24-100,1),IF(ROUND(100/W24*X24-100,1)&gt;999,999,-999)))</f>
        <v>2.2999999999999998</v>
      </c>
      <c r="Z24" s="663"/>
      <c r="AA24" s="659"/>
      <c r="AB24" s="565"/>
      <c r="AC24" s="663"/>
      <c r="AD24" s="659"/>
      <c r="AE24" s="565"/>
      <c r="AF24" s="663"/>
      <c r="AG24" s="659"/>
      <c r="AH24" s="565"/>
      <c r="AI24" s="663">
        <v>-0.92100000000000004</v>
      </c>
      <c r="AJ24" s="659">
        <v>6.577</v>
      </c>
      <c r="AK24" s="565">
        <f t="shared" si="2"/>
        <v>-814.1</v>
      </c>
      <c r="AL24" s="663">
        <v>34</v>
      </c>
      <c r="AM24" s="659">
        <v>18</v>
      </c>
      <c r="AN24" s="565">
        <f>IF(AL24=0, "    ---- ", IF(ABS(ROUND(100/AL24*AM24-100,1))&lt;999,ROUND(100/AL24*AM24-100,1),IF(ROUND(100/AL24*AM24-100,1)&gt;999,999,-999)))</f>
        <v>-47.1</v>
      </c>
      <c r="AO24" s="659">
        <f t="shared" si="5"/>
        <v>99.964999999999989</v>
      </c>
      <c r="AP24" s="659">
        <f t="shared" si="5"/>
        <v>26.286714737</v>
      </c>
      <c r="AQ24" s="565">
        <f>IF(AO24=0, "    ---- ", IF(ABS(ROUND(100/AO24*AP24-100,1))&lt;999,ROUND(100/AO24*AP24-100,1),IF(ROUND(100/AO24*AP24-100,1)&gt;999,999,-999)))</f>
        <v>-73.7</v>
      </c>
      <c r="AR24" s="659">
        <f t="shared" si="6"/>
        <v>99.964999999999989</v>
      </c>
      <c r="AS24" s="659">
        <f t="shared" si="6"/>
        <v>26.286714737</v>
      </c>
      <c r="AT24" s="565">
        <f>IF(AR24=0, "    ---- ", IF(ABS(ROUND(100/AR24*AS24-100,1))&lt;999,ROUND(100/AR24*AS24-100,1),IF(ROUND(100/AR24*AS24-100,1)&gt;999,999,-999)))</f>
        <v>-73.7</v>
      </c>
      <c r="AU24" s="638"/>
      <c r="AV24" s="638"/>
      <c r="AW24" s="633"/>
      <c r="AX24" s="633"/>
    </row>
    <row r="25" spans="1:50" s="660" customFormat="1" ht="18.75" customHeight="1" x14ac:dyDescent="0.3">
      <c r="A25" s="509" t="s">
        <v>433</v>
      </c>
      <c r="B25" s="663"/>
      <c r="C25" s="659"/>
      <c r="D25" s="659"/>
      <c r="E25" s="663">
        <v>-1</v>
      </c>
      <c r="F25" s="659">
        <v>0</v>
      </c>
      <c r="G25" s="565">
        <f t="shared" si="0"/>
        <v>-100</v>
      </c>
      <c r="H25" s="663"/>
      <c r="I25" s="664"/>
      <c r="J25" s="565"/>
      <c r="K25" s="663"/>
      <c r="L25" s="659"/>
      <c r="M25" s="659"/>
      <c r="N25" s="663"/>
      <c r="O25" s="659"/>
      <c r="P25" s="565"/>
      <c r="Q25" s="663"/>
      <c r="R25" s="664"/>
      <c r="S25" s="565"/>
      <c r="T25" s="663"/>
      <c r="U25" s="659"/>
      <c r="V25" s="565"/>
      <c r="W25" s="663"/>
      <c r="X25" s="664"/>
      <c r="Y25" s="565"/>
      <c r="Z25" s="663"/>
      <c r="AA25" s="659"/>
      <c r="AB25" s="565"/>
      <c r="AC25" s="663"/>
      <c r="AD25" s="659"/>
      <c r="AE25" s="565"/>
      <c r="AF25" s="663"/>
      <c r="AG25" s="659"/>
      <c r="AH25" s="565"/>
      <c r="AI25" s="663"/>
      <c r="AJ25" s="659"/>
      <c r="AK25" s="565"/>
      <c r="AL25" s="663"/>
      <c r="AM25" s="659"/>
      <c r="AN25" s="565"/>
      <c r="AO25" s="659">
        <f t="shared" si="5"/>
        <v>-1</v>
      </c>
      <c r="AP25" s="659">
        <f t="shared" si="5"/>
        <v>0</v>
      </c>
      <c r="AQ25" s="565">
        <f t="shared" ref="AQ25:AQ34" si="10">IF(AO25=0, "    ---- ", IF(ABS(ROUND(100/AO25*AP25-100,1))&lt;999,ROUND(100/AO25*AP25-100,1),IF(ROUND(100/AO25*AP25-100,1)&gt;999,999,-999)))</f>
        <v>-100</v>
      </c>
      <c r="AR25" s="659">
        <f t="shared" si="6"/>
        <v>-1</v>
      </c>
      <c r="AS25" s="659">
        <f t="shared" si="6"/>
        <v>0</v>
      </c>
      <c r="AT25" s="565">
        <f t="shared" ref="AT25:AT34" si="11">IF(AR25=0, "    ---- ", IF(ABS(ROUND(100/AR25*AS25-100,1))&lt;999,ROUND(100/AR25*AS25-100,1),IF(ROUND(100/AR25*AS25-100,1)&gt;999,999,-999)))</f>
        <v>-100</v>
      </c>
      <c r="AU25" s="638"/>
      <c r="AV25" s="638"/>
      <c r="AW25" s="633"/>
      <c r="AX25" s="633"/>
    </row>
    <row r="26" spans="1:50" s="660" customFormat="1" ht="18.75" customHeight="1" x14ac:dyDescent="0.3">
      <c r="A26" s="509" t="s">
        <v>434</v>
      </c>
      <c r="B26" s="663">
        <v>-1.59</v>
      </c>
      <c r="C26" s="659">
        <v>-6.0739999999999998</v>
      </c>
      <c r="D26" s="659">
        <f>IF(B26=0, "    ---- ", IF(ABS(ROUND(100/B26*C26-100,1))&lt;999,ROUND(100/B26*C26-100,1),IF(ROUND(100/B26*C26-100,1)&gt;999,999,-999)))</f>
        <v>282</v>
      </c>
      <c r="E26" s="663">
        <v>15.384</v>
      </c>
      <c r="F26" s="659">
        <v>-34.718000000000004</v>
      </c>
      <c r="G26" s="565">
        <f t="shared" si="0"/>
        <v>-325.7</v>
      </c>
      <c r="H26" s="663">
        <v>4.0510000000000002</v>
      </c>
      <c r="I26" s="664">
        <v>0.14599999999999999</v>
      </c>
      <c r="J26" s="565">
        <f t="shared" si="1"/>
        <v>-96.4</v>
      </c>
      <c r="K26" s="663"/>
      <c r="L26" s="659"/>
      <c r="M26" s="659"/>
      <c r="N26" s="663"/>
      <c r="O26" s="659"/>
      <c r="P26" s="565"/>
      <c r="Q26" s="663"/>
      <c r="R26" s="664"/>
      <c r="S26" s="565"/>
      <c r="T26" s="663"/>
      <c r="U26" s="659"/>
      <c r="V26" s="565"/>
      <c r="W26" s="663">
        <v>6</v>
      </c>
      <c r="X26" s="664">
        <v>7.0430081739999997</v>
      </c>
      <c r="Y26" s="565">
        <f t="shared" si="9"/>
        <v>17.399999999999999</v>
      </c>
      <c r="Z26" s="663"/>
      <c r="AA26" s="659"/>
      <c r="AB26" s="565"/>
      <c r="AC26" s="663"/>
      <c r="AD26" s="659"/>
      <c r="AE26" s="565"/>
      <c r="AF26" s="663"/>
      <c r="AG26" s="659"/>
      <c r="AH26" s="565"/>
      <c r="AI26" s="663">
        <v>12.173</v>
      </c>
      <c r="AJ26" s="659">
        <v>19.183</v>
      </c>
      <c r="AK26" s="565">
        <f t="shared" si="2"/>
        <v>57.6</v>
      </c>
      <c r="AL26" s="663">
        <v>-8</v>
      </c>
      <c r="AM26" s="659">
        <v>-10</v>
      </c>
      <c r="AN26" s="565">
        <f>IF(AL26=0, "    ---- ", IF(ABS(ROUND(100/AL26*AM26-100,1))&lt;999,ROUND(100/AL26*AM26-100,1),IF(ROUND(100/AL26*AM26-100,1)&gt;999,999,-999)))</f>
        <v>25</v>
      </c>
      <c r="AO26" s="659">
        <f t="shared" si="5"/>
        <v>28.018000000000001</v>
      </c>
      <c r="AP26" s="659">
        <f t="shared" si="5"/>
        <v>-24.419991826</v>
      </c>
      <c r="AQ26" s="565">
        <f t="shared" si="10"/>
        <v>-187.2</v>
      </c>
      <c r="AR26" s="659">
        <f t="shared" si="6"/>
        <v>28.018000000000001</v>
      </c>
      <c r="AS26" s="659">
        <f t="shared" si="6"/>
        <v>-24.419991826</v>
      </c>
      <c r="AT26" s="565">
        <f t="shared" si="11"/>
        <v>-187.2</v>
      </c>
      <c r="AU26" s="638"/>
      <c r="AV26" s="638"/>
      <c r="AW26" s="633"/>
      <c r="AX26" s="633"/>
    </row>
    <row r="27" spans="1:50" s="660" customFormat="1" ht="18.75" customHeight="1" x14ac:dyDescent="0.3">
      <c r="A27" s="509" t="s">
        <v>435</v>
      </c>
      <c r="B27" s="663"/>
      <c r="C27" s="659"/>
      <c r="D27" s="659"/>
      <c r="E27" s="663"/>
      <c r="F27" s="659"/>
      <c r="G27" s="565"/>
      <c r="H27" s="663"/>
      <c r="I27" s="664"/>
      <c r="J27" s="565"/>
      <c r="K27" s="663"/>
      <c r="L27" s="659"/>
      <c r="M27" s="659"/>
      <c r="N27" s="663"/>
      <c r="O27" s="659"/>
      <c r="P27" s="565"/>
      <c r="Q27" s="663"/>
      <c r="R27" s="664"/>
      <c r="S27" s="565"/>
      <c r="T27" s="663"/>
      <c r="U27" s="659"/>
      <c r="V27" s="565"/>
      <c r="W27" s="663"/>
      <c r="X27" s="664"/>
      <c r="Y27" s="565"/>
      <c r="Z27" s="663"/>
      <c r="AA27" s="659"/>
      <c r="AB27" s="565"/>
      <c r="AC27" s="663"/>
      <c r="AD27" s="659"/>
      <c r="AE27" s="565"/>
      <c r="AF27" s="663"/>
      <c r="AG27" s="659"/>
      <c r="AH27" s="565"/>
      <c r="AI27" s="663"/>
      <c r="AJ27" s="659"/>
      <c r="AK27" s="565"/>
      <c r="AL27" s="663"/>
      <c r="AM27" s="659"/>
      <c r="AN27" s="565"/>
      <c r="AO27" s="659">
        <f t="shared" si="5"/>
        <v>0</v>
      </c>
      <c r="AP27" s="659">
        <f t="shared" si="5"/>
        <v>0</v>
      </c>
      <c r="AQ27" s="565" t="str">
        <f t="shared" si="10"/>
        <v xml:space="preserve">    ---- </v>
      </c>
      <c r="AR27" s="561">
        <f t="shared" si="6"/>
        <v>0</v>
      </c>
      <c r="AS27" s="561">
        <f t="shared" si="6"/>
        <v>0</v>
      </c>
      <c r="AT27" s="565" t="str">
        <f t="shared" si="11"/>
        <v xml:space="preserve">    ---- </v>
      </c>
      <c r="AU27" s="638"/>
      <c r="AV27" s="638"/>
      <c r="AW27" s="633"/>
      <c r="AX27" s="633"/>
    </row>
    <row r="28" spans="1:50" s="660" customFormat="1" ht="18.75" customHeight="1" x14ac:dyDescent="0.3">
      <c r="A28" s="509" t="s">
        <v>436</v>
      </c>
      <c r="B28" s="663"/>
      <c r="C28" s="659"/>
      <c r="D28" s="659"/>
      <c r="E28" s="663"/>
      <c r="F28" s="659"/>
      <c r="G28" s="565"/>
      <c r="H28" s="663"/>
      <c r="I28" s="664"/>
      <c r="J28" s="565"/>
      <c r="K28" s="663"/>
      <c r="L28" s="659"/>
      <c r="M28" s="659"/>
      <c r="N28" s="663"/>
      <c r="O28" s="659"/>
      <c r="P28" s="565"/>
      <c r="Q28" s="663"/>
      <c r="R28" s="664"/>
      <c r="S28" s="565"/>
      <c r="T28" s="663"/>
      <c r="U28" s="659"/>
      <c r="V28" s="565"/>
      <c r="W28" s="663"/>
      <c r="X28" s="664"/>
      <c r="Y28" s="565"/>
      <c r="Z28" s="663"/>
      <c r="AA28" s="659"/>
      <c r="AB28" s="565"/>
      <c r="AC28" s="663"/>
      <c r="AD28" s="659"/>
      <c r="AE28" s="565"/>
      <c r="AF28" s="663"/>
      <c r="AG28" s="659"/>
      <c r="AH28" s="565"/>
      <c r="AI28" s="663"/>
      <c r="AJ28" s="659"/>
      <c r="AK28" s="565"/>
      <c r="AL28" s="663"/>
      <c r="AM28" s="659"/>
      <c r="AN28" s="565"/>
      <c r="AO28" s="659">
        <f t="shared" si="5"/>
        <v>0</v>
      </c>
      <c r="AP28" s="659">
        <f t="shared" si="5"/>
        <v>0</v>
      </c>
      <c r="AQ28" s="565" t="str">
        <f t="shared" si="10"/>
        <v xml:space="preserve">    ---- </v>
      </c>
      <c r="AR28" s="659">
        <f t="shared" si="6"/>
        <v>0</v>
      </c>
      <c r="AS28" s="659">
        <f t="shared" si="6"/>
        <v>0</v>
      </c>
      <c r="AT28" s="565" t="str">
        <f t="shared" si="11"/>
        <v xml:space="preserve">    ---- </v>
      </c>
      <c r="AU28" s="638"/>
      <c r="AV28" s="638"/>
      <c r="AW28" s="633"/>
      <c r="AX28" s="633"/>
    </row>
    <row r="29" spans="1:50" s="660" customFormat="1" ht="18.75" customHeight="1" x14ac:dyDescent="0.3">
      <c r="A29" s="509" t="s">
        <v>437</v>
      </c>
      <c r="B29" s="663">
        <v>10.796999999999999</v>
      </c>
      <c r="C29" s="659">
        <f>14.81-2.111</f>
        <v>12.699</v>
      </c>
      <c r="D29" s="659">
        <f>IF(B29=0, "    ---- ", IF(ABS(ROUND(100/B29*C29-100,1))&lt;999,ROUND(100/B29*C29-100,1),IF(ROUND(100/B29*C29-100,1)&gt;999,999,-999)))</f>
        <v>17.600000000000001</v>
      </c>
      <c r="E29" s="663">
        <v>55.101999999999997</v>
      </c>
      <c r="F29" s="659">
        <v>89.103999999999999</v>
      </c>
      <c r="G29" s="565">
        <f t="shared" si="0"/>
        <v>61.7</v>
      </c>
      <c r="H29" s="663">
        <v>6.6360000000000001</v>
      </c>
      <c r="I29" s="664">
        <v>10.632</v>
      </c>
      <c r="J29" s="565">
        <f t="shared" si="1"/>
        <v>60.2</v>
      </c>
      <c r="K29" s="663"/>
      <c r="L29" s="659"/>
      <c r="M29" s="565"/>
      <c r="N29" s="663"/>
      <c r="O29" s="659"/>
      <c r="P29" s="565"/>
      <c r="Q29" s="663"/>
      <c r="R29" s="664"/>
      <c r="S29" s="565"/>
      <c r="T29" s="663"/>
      <c r="U29" s="659"/>
      <c r="V29" s="565"/>
      <c r="W29" s="663">
        <v>12</v>
      </c>
      <c r="X29" s="664">
        <v>26.491257605000001</v>
      </c>
      <c r="Y29" s="565">
        <f t="shared" si="9"/>
        <v>120.8</v>
      </c>
      <c r="Z29" s="663"/>
      <c r="AA29" s="659"/>
      <c r="AB29" s="565"/>
      <c r="AC29" s="663"/>
      <c r="AD29" s="659"/>
      <c r="AE29" s="565"/>
      <c r="AF29" s="663"/>
      <c r="AG29" s="659"/>
      <c r="AH29" s="565"/>
      <c r="AI29" s="663">
        <v>28.562999999999999</v>
      </c>
      <c r="AJ29" s="659">
        <v>37.470999999999997</v>
      </c>
      <c r="AK29" s="565">
        <f t="shared" si="2"/>
        <v>31.2</v>
      </c>
      <c r="AL29" s="663">
        <v>99</v>
      </c>
      <c r="AM29" s="659">
        <v>83</v>
      </c>
      <c r="AN29" s="565">
        <f>IF(AL29=0, "    ---- ", IF(ABS(ROUND(100/AL29*AM29-100,1))&lt;999,ROUND(100/AL29*AM29-100,1),IF(ROUND(100/AL29*AM29-100,1)&gt;999,999,-999)))</f>
        <v>-16.2</v>
      </c>
      <c r="AO29" s="659">
        <f t="shared" si="5"/>
        <v>212.09800000000001</v>
      </c>
      <c r="AP29" s="659">
        <f t="shared" si="5"/>
        <v>259.39725760499999</v>
      </c>
      <c r="AQ29" s="565">
        <f t="shared" si="10"/>
        <v>22.3</v>
      </c>
      <c r="AR29" s="659">
        <f t="shared" si="6"/>
        <v>212.09800000000001</v>
      </c>
      <c r="AS29" s="659">
        <f t="shared" si="6"/>
        <v>259.39725760499999</v>
      </c>
      <c r="AT29" s="565">
        <f t="shared" si="11"/>
        <v>22.3</v>
      </c>
      <c r="AU29" s="638"/>
      <c r="AV29" s="638"/>
      <c r="AW29" s="633"/>
      <c r="AX29" s="633"/>
    </row>
    <row r="30" spans="1:50" s="660" customFormat="1" ht="18.75" customHeight="1" x14ac:dyDescent="0.3">
      <c r="A30" s="509" t="s">
        <v>438</v>
      </c>
      <c r="B30" s="663"/>
      <c r="C30" s="659"/>
      <c r="D30" s="659"/>
      <c r="E30" s="663"/>
      <c r="F30" s="659"/>
      <c r="G30" s="565"/>
      <c r="H30" s="663"/>
      <c r="I30" s="664"/>
      <c r="J30" s="565"/>
      <c r="K30" s="663"/>
      <c r="L30" s="659"/>
      <c r="M30" s="659"/>
      <c r="N30" s="663"/>
      <c r="O30" s="659"/>
      <c r="P30" s="565"/>
      <c r="Q30" s="663"/>
      <c r="R30" s="664"/>
      <c r="S30" s="565"/>
      <c r="T30" s="663"/>
      <c r="U30" s="659"/>
      <c r="V30" s="565"/>
      <c r="W30" s="663"/>
      <c r="X30" s="664"/>
      <c r="Y30" s="565"/>
      <c r="Z30" s="663"/>
      <c r="AA30" s="659"/>
      <c r="AB30" s="565"/>
      <c r="AC30" s="663"/>
      <c r="AD30" s="659"/>
      <c r="AE30" s="565"/>
      <c r="AF30" s="663"/>
      <c r="AG30" s="659"/>
      <c r="AH30" s="565"/>
      <c r="AI30" s="663"/>
      <c r="AJ30" s="659"/>
      <c r="AK30" s="565"/>
      <c r="AL30" s="663"/>
      <c r="AM30" s="659"/>
      <c r="AN30" s="565"/>
      <c r="AO30" s="659">
        <f t="shared" si="5"/>
        <v>0</v>
      </c>
      <c r="AP30" s="659">
        <f t="shared" si="5"/>
        <v>0</v>
      </c>
      <c r="AQ30" s="565" t="str">
        <f t="shared" si="10"/>
        <v xml:space="preserve">    ---- </v>
      </c>
      <c r="AR30" s="659">
        <f t="shared" si="6"/>
        <v>0</v>
      </c>
      <c r="AS30" s="659">
        <f t="shared" si="6"/>
        <v>0</v>
      </c>
      <c r="AT30" s="565" t="str">
        <f t="shared" si="11"/>
        <v xml:space="preserve">    ---- </v>
      </c>
      <c r="AU30" s="638"/>
      <c r="AV30" s="638"/>
      <c r="AW30" s="633"/>
      <c r="AX30" s="633"/>
    </row>
    <row r="31" spans="1:50" s="660" customFormat="1" ht="18.75" customHeight="1" x14ac:dyDescent="0.3">
      <c r="A31" s="509" t="s">
        <v>439</v>
      </c>
      <c r="B31" s="663"/>
      <c r="C31" s="659"/>
      <c r="D31" s="659"/>
      <c r="E31" s="663"/>
      <c r="F31" s="659"/>
      <c r="G31" s="565"/>
      <c r="H31" s="663">
        <v>-6.9000000000000006E-2</v>
      </c>
      <c r="I31" s="664">
        <v>-2.8000000000000001E-2</v>
      </c>
      <c r="J31" s="565">
        <f t="shared" si="1"/>
        <v>-59.4</v>
      </c>
      <c r="K31" s="663"/>
      <c r="L31" s="659"/>
      <c r="M31" s="659"/>
      <c r="N31" s="663"/>
      <c r="O31" s="659"/>
      <c r="P31" s="565"/>
      <c r="Q31" s="663"/>
      <c r="R31" s="664"/>
      <c r="S31" s="565"/>
      <c r="T31" s="663"/>
      <c r="U31" s="659"/>
      <c r="V31" s="565"/>
      <c r="W31" s="663">
        <v>-3</v>
      </c>
      <c r="X31" s="664">
        <v>0</v>
      </c>
      <c r="Y31" s="565">
        <f t="shared" si="9"/>
        <v>-100</v>
      </c>
      <c r="Z31" s="663"/>
      <c r="AA31" s="659"/>
      <c r="AB31" s="565"/>
      <c r="AC31" s="663"/>
      <c r="AD31" s="659"/>
      <c r="AE31" s="565"/>
      <c r="AF31" s="663"/>
      <c r="AG31" s="659"/>
      <c r="AH31" s="565"/>
      <c r="AI31" s="663"/>
      <c r="AJ31" s="659"/>
      <c r="AK31" s="565"/>
      <c r="AL31" s="663"/>
      <c r="AM31" s="659"/>
      <c r="AN31" s="565"/>
      <c r="AO31" s="659">
        <f t="shared" si="5"/>
        <v>-3.069</v>
      </c>
      <c r="AP31" s="659">
        <f t="shared" si="5"/>
        <v>-2.8000000000000001E-2</v>
      </c>
      <c r="AQ31" s="565">
        <f t="shared" si="10"/>
        <v>-99.1</v>
      </c>
      <c r="AR31" s="561">
        <f t="shared" si="6"/>
        <v>-3.069</v>
      </c>
      <c r="AS31" s="561">
        <f t="shared" si="6"/>
        <v>-2.8000000000000001E-2</v>
      </c>
      <c r="AT31" s="565">
        <f t="shared" si="11"/>
        <v>-99.1</v>
      </c>
      <c r="AU31" s="638"/>
      <c r="AV31" s="638"/>
      <c r="AW31" s="633"/>
      <c r="AX31" s="633"/>
    </row>
    <row r="32" spans="1:50" s="662" customFormat="1" ht="18.75" customHeight="1" x14ac:dyDescent="0.3">
      <c r="A32" s="507" t="s">
        <v>440</v>
      </c>
      <c r="B32" s="665">
        <v>9.206999999999999</v>
      </c>
      <c r="C32" s="657">
        <f>SUM(C24:C29)+C31</f>
        <v>6.625</v>
      </c>
      <c r="D32" s="657">
        <f>IF(B32=0, "    ---- ", IF(ABS(ROUND(100/B32*C32-100,1))&lt;999,ROUND(100/B32*C32-100,1),IF(ROUND(100/B32*C32-100,1)&gt;999,999,-999)))</f>
        <v>-28</v>
      </c>
      <c r="E32" s="665">
        <v>128.946</v>
      </c>
      <c r="F32" s="657">
        <f>SUM(F24:F29)+F31</f>
        <v>45.748999999999995</v>
      </c>
      <c r="G32" s="658">
        <f t="shared" si="0"/>
        <v>-64.5</v>
      </c>
      <c r="H32" s="665">
        <v>12.043999999999999</v>
      </c>
      <c r="I32" s="666">
        <f>SUM(I24:I29)+I31</f>
        <v>14.958</v>
      </c>
      <c r="J32" s="658">
        <f t="shared" si="1"/>
        <v>24.2</v>
      </c>
      <c r="K32" s="665"/>
      <c r="L32" s="657"/>
      <c r="M32" s="657"/>
      <c r="N32" s="665"/>
      <c r="O32" s="657"/>
      <c r="P32" s="658"/>
      <c r="Q32" s="665"/>
      <c r="R32" s="666"/>
      <c r="S32" s="658"/>
      <c r="T32" s="665"/>
      <c r="U32" s="657"/>
      <c r="V32" s="658"/>
      <c r="W32" s="665">
        <v>21</v>
      </c>
      <c r="X32" s="666">
        <v>39.672980516000003</v>
      </c>
      <c r="Y32" s="658">
        <f t="shared" si="9"/>
        <v>88.9</v>
      </c>
      <c r="Z32" s="665"/>
      <c r="AA32" s="657"/>
      <c r="AB32" s="658"/>
      <c r="AC32" s="665"/>
      <c r="AD32" s="657"/>
      <c r="AE32" s="658"/>
      <c r="AF32" s="665"/>
      <c r="AG32" s="657"/>
      <c r="AH32" s="658"/>
      <c r="AI32" s="665">
        <v>39.814999999999998</v>
      </c>
      <c r="AJ32" s="657">
        <f>SUM(AJ24:AJ29)+AJ31</f>
        <v>63.230999999999995</v>
      </c>
      <c r="AK32" s="658">
        <f t="shared" si="2"/>
        <v>58.8</v>
      </c>
      <c r="AL32" s="665">
        <v>125</v>
      </c>
      <c r="AM32" s="657">
        <f>SUM(AM24:AM29)+AM31</f>
        <v>91</v>
      </c>
      <c r="AN32" s="658">
        <f>IF(AL32=0, "    ---- ", IF(ABS(ROUND(100/AL32*AM32-100,1))&lt;999,ROUND(100/AL32*AM32-100,1),IF(ROUND(100/AL32*AM32-100,1)&gt;999,999,-999)))</f>
        <v>-27.2</v>
      </c>
      <c r="AO32" s="657">
        <f t="shared" si="5"/>
        <v>336.012</v>
      </c>
      <c r="AP32" s="657">
        <f t="shared" si="5"/>
        <v>261.23598051599998</v>
      </c>
      <c r="AQ32" s="658">
        <f t="shared" si="10"/>
        <v>-22.3</v>
      </c>
      <c r="AR32" s="657">
        <f t="shared" si="6"/>
        <v>336.012</v>
      </c>
      <c r="AS32" s="657">
        <f t="shared" si="6"/>
        <v>261.23598051599998</v>
      </c>
      <c r="AT32" s="658">
        <f t="shared" si="11"/>
        <v>-22.3</v>
      </c>
      <c r="AU32" s="636"/>
      <c r="AV32" s="636"/>
      <c r="AW32" s="661"/>
      <c r="AX32" s="661"/>
    </row>
    <row r="33" spans="1:50" s="660" customFormat="1" ht="18.75" customHeight="1" x14ac:dyDescent="0.3">
      <c r="A33" s="509" t="s">
        <v>441</v>
      </c>
      <c r="B33" s="663"/>
      <c r="C33" s="659"/>
      <c r="D33" s="659"/>
      <c r="E33" s="663">
        <v>51.244999999999997</v>
      </c>
      <c r="F33" s="659">
        <v>0</v>
      </c>
      <c r="G33" s="565">
        <f t="shared" si="0"/>
        <v>-100</v>
      </c>
      <c r="H33" s="663"/>
      <c r="I33" s="664"/>
      <c r="J33" s="565"/>
      <c r="K33" s="663"/>
      <c r="L33" s="659"/>
      <c r="M33" s="659"/>
      <c r="N33" s="663"/>
      <c r="O33" s="659"/>
      <c r="P33" s="565"/>
      <c r="Q33" s="663"/>
      <c r="R33" s="664"/>
      <c r="S33" s="565"/>
      <c r="T33" s="663"/>
      <c r="U33" s="659"/>
      <c r="V33" s="565"/>
      <c r="W33" s="663"/>
      <c r="X33" s="664"/>
      <c r="Y33" s="565"/>
      <c r="Z33" s="663"/>
      <c r="AA33" s="659"/>
      <c r="AB33" s="565"/>
      <c r="AC33" s="663"/>
      <c r="AD33" s="659"/>
      <c r="AE33" s="565"/>
      <c r="AF33" s="663"/>
      <c r="AG33" s="659"/>
      <c r="AH33" s="565"/>
      <c r="AI33" s="663"/>
      <c r="AJ33" s="659"/>
      <c r="AK33" s="565"/>
      <c r="AL33" s="663"/>
      <c r="AM33" s="659"/>
      <c r="AN33" s="565"/>
      <c r="AO33" s="659">
        <f t="shared" si="5"/>
        <v>51.244999999999997</v>
      </c>
      <c r="AP33" s="659">
        <f t="shared" si="5"/>
        <v>0</v>
      </c>
      <c r="AQ33" s="565">
        <f t="shared" si="10"/>
        <v>-100</v>
      </c>
      <c r="AR33" s="659">
        <f t="shared" si="6"/>
        <v>51.244999999999997</v>
      </c>
      <c r="AS33" s="659">
        <f t="shared" si="6"/>
        <v>0</v>
      </c>
      <c r="AT33" s="565">
        <f t="shared" si="11"/>
        <v>-100</v>
      </c>
      <c r="AU33" s="638"/>
      <c r="AV33" s="638"/>
      <c r="AW33" s="633"/>
      <c r="AX33" s="633"/>
    </row>
    <row r="34" spans="1:50" s="660" customFormat="1" ht="18.75" customHeight="1" x14ac:dyDescent="0.3">
      <c r="A34" s="509" t="s">
        <v>442</v>
      </c>
      <c r="B34" s="663">
        <v>9.2070000000000007</v>
      </c>
      <c r="C34" s="659">
        <f>6.625</f>
        <v>6.625</v>
      </c>
      <c r="D34" s="659">
        <f>IF(B34=0, "    ---- ", IF(ABS(ROUND(100/B34*C34-100,1))&lt;999,ROUND(100/B34*C34-100,1),IF(ROUND(100/B34*C34-100,1)&gt;999,999,-999)))</f>
        <v>-28</v>
      </c>
      <c r="E34" s="663">
        <v>77.700999999999993</v>
      </c>
      <c r="F34" s="659">
        <v>45.749000000000002</v>
      </c>
      <c r="G34" s="565">
        <f t="shared" si="0"/>
        <v>-41.1</v>
      </c>
      <c r="H34" s="663">
        <v>12.044</v>
      </c>
      <c r="I34" s="664">
        <v>14.958</v>
      </c>
      <c r="J34" s="565">
        <f t="shared" si="1"/>
        <v>24.2</v>
      </c>
      <c r="K34" s="663"/>
      <c r="L34" s="659"/>
      <c r="M34" s="659"/>
      <c r="N34" s="663"/>
      <c r="O34" s="659"/>
      <c r="P34" s="565"/>
      <c r="Q34" s="663"/>
      <c r="R34" s="664"/>
      <c r="S34" s="565"/>
      <c r="T34" s="663"/>
      <c r="U34" s="659"/>
      <c r="V34" s="565"/>
      <c r="W34" s="663">
        <v>21</v>
      </c>
      <c r="X34" s="664">
        <v>39.672980516000003</v>
      </c>
      <c r="Y34" s="565">
        <f t="shared" si="9"/>
        <v>88.9</v>
      </c>
      <c r="Z34" s="663"/>
      <c r="AA34" s="659"/>
      <c r="AB34" s="565"/>
      <c r="AC34" s="663"/>
      <c r="AD34" s="659"/>
      <c r="AE34" s="565"/>
      <c r="AF34" s="663"/>
      <c r="AG34" s="659"/>
      <c r="AH34" s="565"/>
      <c r="AI34" s="663">
        <v>39.814999999999998</v>
      </c>
      <c r="AJ34" s="659">
        <v>63.231000000000002</v>
      </c>
      <c r="AK34" s="565">
        <f t="shared" si="2"/>
        <v>58.8</v>
      </c>
      <c r="AL34" s="663">
        <v>125</v>
      </c>
      <c r="AM34" s="659">
        <v>91</v>
      </c>
      <c r="AN34" s="565">
        <f>IF(AL34=0, "    ---- ", IF(ABS(ROUND(100/AL34*AM34-100,1))&lt;999,ROUND(100/AL34*AM34-100,1),IF(ROUND(100/AL34*AM34-100,1)&gt;999,999,-999)))</f>
        <v>-27.2</v>
      </c>
      <c r="AO34" s="659">
        <f t="shared" si="5"/>
        <v>284.767</v>
      </c>
      <c r="AP34" s="659">
        <f t="shared" si="5"/>
        <v>261.23598051600004</v>
      </c>
      <c r="AQ34" s="565">
        <f t="shared" si="10"/>
        <v>-8.3000000000000007</v>
      </c>
      <c r="AR34" s="659">
        <f t="shared" si="6"/>
        <v>284.767</v>
      </c>
      <c r="AS34" s="659">
        <f t="shared" si="6"/>
        <v>261.23598051600004</v>
      </c>
      <c r="AT34" s="565">
        <f t="shared" si="11"/>
        <v>-8.3000000000000007</v>
      </c>
      <c r="AU34" s="638"/>
      <c r="AV34" s="638"/>
      <c r="AW34" s="633"/>
      <c r="AX34" s="633"/>
    </row>
    <row r="35" spans="1:50" s="660" customFormat="1" ht="18.75" customHeight="1" x14ac:dyDescent="0.3">
      <c r="A35" s="520"/>
      <c r="B35" s="675"/>
      <c r="C35" s="676"/>
      <c r="D35" s="676"/>
      <c r="E35" s="675"/>
      <c r="F35" s="676"/>
      <c r="G35" s="677"/>
      <c r="H35" s="675"/>
      <c r="I35" s="678"/>
      <c r="J35" s="677"/>
      <c r="K35" s="675"/>
      <c r="L35" s="676"/>
      <c r="M35" s="676"/>
      <c r="N35" s="675"/>
      <c r="O35" s="676"/>
      <c r="P35" s="677"/>
      <c r="Q35" s="675"/>
      <c r="R35" s="678"/>
      <c r="S35" s="677"/>
      <c r="T35" s="675"/>
      <c r="U35" s="676"/>
      <c r="V35" s="677"/>
      <c r="W35" s="675"/>
      <c r="X35" s="678"/>
      <c r="Y35" s="677"/>
      <c r="Z35" s="675"/>
      <c r="AA35" s="676"/>
      <c r="AB35" s="677"/>
      <c r="AC35" s="675"/>
      <c r="AD35" s="676"/>
      <c r="AE35" s="677"/>
      <c r="AF35" s="675"/>
      <c r="AG35" s="676"/>
      <c r="AH35" s="677"/>
      <c r="AI35" s="675"/>
      <c r="AJ35" s="676"/>
      <c r="AK35" s="677"/>
      <c r="AL35" s="675"/>
      <c r="AM35" s="676"/>
      <c r="AN35" s="677"/>
      <c r="AO35" s="676"/>
      <c r="AP35" s="676"/>
      <c r="AQ35" s="677"/>
      <c r="AR35" s="676"/>
      <c r="AS35" s="676"/>
      <c r="AT35" s="677"/>
      <c r="AU35" s="638"/>
      <c r="AV35" s="638"/>
      <c r="AW35" s="633"/>
      <c r="AX35" s="633"/>
    </row>
    <row r="36" spans="1:50" s="660" customFormat="1" ht="18.75" customHeight="1" x14ac:dyDescent="0.3">
      <c r="A36" s="624"/>
      <c r="B36" s="663"/>
      <c r="C36" s="659"/>
      <c r="D36" s="659"/>
      <c r="E36" s="663"/>
      <c r="F36" s="659"/>
      <c r="G36" s="565"/>
      <c r="H36" s="663"/>
      <c r="I36" s="659"/>
      <c r="J36" s="565"/>
      <c r="K36" s="663"/>
      <c r="L36" s="659"/>
      <c r="M36" s="659"/>
      <c r="N36" s="659"/>
      <c r="O36" s="659"/>
      <c r="P36" s="565"/>
      <c r="Q36" s="663"/>
      <c r="R36" s="659"/>
      <c r="S36" s="565"/>
      <c r="T36" s="663"/>
      <c r="U36" s="659"/>
      <c r="V36" s="565"/>
      <c r="W36" s="663"/>
      <c r="X36" s="659"/>
      <c r="Y36" s="565"/>
      <c r="Z36" s="663"/>
      <c r="AA36" s="659"/>
      <c r="AB36" s="565"/>
      <c r="AC36" s="659"/>
      <c r="AD36" s="659"/>
      <c r="AE36" s="565"/>
      <c r="AF36" s="663"/>
      <c r="AG36" s="659"/>
      <c r="AH36" s="565"/>
      <c r="AI36" s="659"/>
      <c r="AJ36" s="659"/>
      <c r="AK36" s="565"/>
      <c r="AL36" s="659"/>
      <c r="AM36" s="659"/>
      <c r="AN36" s="565"/>
      <c r="AO36" s="659"/>
      <c r="AP36" s="659"/>
      <c r="AQ36" s="565"/>
      <c r="AR36" s="659"/>
      <c r="AS36" s="659"/>
      <c r="AT36" s="565"/>
      <c r="AU36" s="638"/>
      <c r="AV36" s="638"/>
      <c r="AW36" s="633"/>
      <c r="AX36" s="633"/>
    </row>
    <row r="37" spans="1:50" s="660" customFormat="1" ht="18.75" customHeight="1" x14ac:dyDescent="0.3">
      <c r="A37" s="507" t="s">
        <v>467</v>
      </c>
      <c r="B37" s="663"/>
      <c r="C37" s="659"/>
      <c r="D37" s="659"/>
      <c r="E37" s="663"/>
      <c r="F37" s="659"/>
      <c r="G37" s="565"/>
      <c r="H37" s="659"/>
      <c r="I37" s="659"/>
      <c r="J37" s="565"/>
      <c r="K37" s="663"/>
      <c r="L37" s="659"/>
      <c r="M37" s="659"/>
      <c r="N37" s="659"/>
      <c r="O37" s="659"/>
      <c r="P37" s="565"/>
      <c r="Q37" s="659"/>
      <c r="R37" s="659"/>
      <c r="S37" s="565"/>
      <c r="T37" s="663"/>
      <c r="U37" s="659"/>
      <c r="V37" s="565"/>
      <c r="W37" s="659"/>
      <c r="X37" s="659"/>
      <c r="Y37" s="565"/>
      <c r="Z37" s="663"/>
      <c r="AA37" s="659"/>
      <c r="AB37" s="565"/>
      <c r="AC37" s="659"/>
      <c r="AD37" s="659"/>
      <c r="AE37" s="565"/>
      <c r="AF37" s="663"/>
      <c r="AG37" s="659"/>
      <c r="AH37" s="565"/>
      <c r="AI37" s="659"/>
      <c r="AJ37" s="659"/>
      <c r="AK37" s="565"/>
      <c r="AL37" s="659"/>
      <c r="AM37" s="659"/>
      <c r="AN37" s="565"/>
      <c r="AO37" s="659"/>
      <c r="AP37" s="659"/>
      <c r="AQ37" s="565"/>
      <c r="AR37" s="659"/>
      <c r="AS37" s="659"/>
      <c r="AT37" s="565"/>
      <c r="AU37" s="638"/>
      <c r="AV37" s="638"/>
      <c r="AW37" s="633"/>
      <c r="AX37" s="633"/>
    </row>
    <row r="38" spans="1:50" s="660" customFormat="1" ht="18.75" customHeight="1" x14ac:dyDescent="0.3">
      <c r="A38" s="509" t="s">
        <v>432</v>
      </c>
      <c r="B38" s="659">
        <f>'Tabell 5.1'!B12+'Tabell 5.1'!B24+'Tabell 5.1'!B36+'Tabell 5.1'!B48+'Tabell 5.1'!B62+'Tabell 5.1'!B74+'Tabell 5.1'!B86+'Tabell 5.1'!B98+'Tabell 5.2'!B12+'Tabell 5.2'!B24+'Tabell 5.2'!B36+'Tabell 5.2'!B48+'Tabell 5.2'!B84+'Tabell 5.2'!B96+'Tabell 5.2'!B122+'Tabell 5.2'!B134+B12+B24+'Tabell 5.2'!B60+'Tabell 5.2'!B72+'Tabell 5.2'!B108</f>
        <v>-0.308</v>
      </c>
      <c r="C38" s="659">
        <f>'Tabell 5.1'!C12+'Tabell 5.1'!C24+'Tabell 5.1'!C36+'Tabell 5.1'!C48+'Tabell 5.1'!C62+'Tabell 5.1'!C74+'Tabell 5.1'!C86+'Tabell 5.1'!C98+'Tabell 5.2'!C12+'Tabell 5.2'!C24+'Tabell 5.2'!C36+'Tabell 5.2'!C48+'Tabell 5.2'!C84+'Tabell 5.2'!C96+'Tabell 5.2'!C122+'Tabell 5.2'!C134+C12+C24+'Tabell 5.2'!C60+'Tabell 5.2'!C72+'Tabell 5.2'!C108</f>
        <v>-7.3999999999999996E-2</v>
      </c>
      <c r="D38" s="659">
        <f t="shared" ref="D38:D48" si="12">IF(B38=0, "    ---- ", IF(ABS(ROUND(100/B38*C38-100,1))&lt;999,ROUND(100/B38*C38-100,1),IF(ROUND(100/B38*C38-100,1)&gt;999,999,-999)))</f>
        <v>-76</v>
      </c>
      <c r="E38" s="659">
        <f>'Tabell 5.1'!E12+'Tabell 5.1'!E24+'Tabell 5.1'!E36+'Tabell 5.1'!E48+'Tabell 5.1'!E62+'Tabell 5.1'!E74+'Tabell 5.1'!E86+'Tabell 5.1'!E98+'Tabell 5.2'!E12+'Tabell 5.2'!E24+'Tabell 5.2'!E36+'Tabell 5.2'!E48+'Tabell 5.2'!E84+'Tabell 5.2'!E96+'Tabell 5.2'!E122+'Tabell 5.2'!E134+'Tabell 5.3'!E12+'Tabell 5.3'!E24+'Tabell 5.2'!E60+'Tabell 5.2'!E72+'Tabell 5.2'!E108</f>
        <v>3591.9870000000005</v>
      </c>
      <c r="F38" s="659">
        <f>'Tabell 5.1'!F12+'Tabell 5.1'!F24+'Tabell 5.1'!F36+'Tabell 5.1'!F48+'Tabell 5.1'!F62+'Tabell 5.1'!F74+'Tabell 5.1'!F86+'Tabell 5.1'!F98+'Tabell 5.2'!F12+'Tabell 5.2'!F24+'Tabell 5.2'!F36+'Tabell 5.2'!F48+'Tabell 5.2'!F84+'Tabell 5.2'!F96+'Tabell 5.2'!F122+'Tabell 5.2'!F134+'Tabell 5.3'!F12+'Tabell 5.3'!F24+'Tabell 5.2'!F60+'Tabell 5.2'!F72+'Tabell 5.2'!F108</f>
        <v>6327.9520000000002</v>
      </c>
      <c r="G38" s="565">
        <f t="shared" ref="G38:G48" si="13">IF(E38=0, "    ---- ", IF(ABS(ROUND(100/E38*F38-100,1))&lt;999,ROUND(100/E38*F38-100,1),IF(ROUND(100/E38*F38-100,1)&gt;999,999,-999)))</f>
        <v>76.2</v>
      </c>
      <c r="H38" s="659">
        <f>'Tabell 5.1'!H12+'Tabell 5.1'!H24+'Tabell 5.1'!H36+'Tabell 5.1'!H48+'Tabell 5.1'!H62+'Tabell 5.1'!H74+'Tabell 5.1'!H86+'Tabell 5.1'!H98+'Tabell 5.2'!H12+'Tabell 5.2'!H24+'Tabell 5.2'!H36+'Tabell 5.2'!H48+'Tabell 5.2'!H84+'Tabell 5.2'!H96+'Tabell 5.2'!H122+'Tabell 5.2'!H134+H12+H24+'Tabell 5.2'!H60+'Tabell 5.2'!H72+'Tabell 5.2'!H108</f>
        <v>21.494999999999997</v>
      </c>
      <c r="I38" s="659">
        <f>'Tabell 5.1'!I12+'Tabell 5.1'!I24+'Tabell 5.1'!I36+'Tabell 5.1'!I48+'Tabell 5.1'!I62+'Tabell 5.1'!I74+'Tabell 5.1'!I86+'Tabell 5.1'!I98+'Tabell 5.2'!I12+'Tabell 5.2'!I24+'Tabell 5.2'!I36+'Tabell 5.2'!I48+'Tabell 5.2'!I84+'Tabell 5.2'!I96+'Tabell 5.2'!I122+'Tabell 5.2'!I134+I12+I24+'Tabell 5.2'!I60+'Tabell 5.2'!I72+'Tabell 5.2'!I108</f>
        <v>37.402000000000001</v>
      </c>
      <c r="J38" s="659">
        <f t="shared" ref="J38:J41" si="14">IF(H38=0, "    ---- ", IF(ABS(ROUND(100/H38*I38-100,1))&lt;999,ROUND(100/H38*I38-100,1),IF(ROUND(100/H38*I38-100,1)&gt;999,999,-999)))</f>
        <v>74</v>
      </c>
      <c r="K38" s="659">
        <f>'Tabell 5.1'!K12+'Tabell 5.1'!K24+'Tabell 5.1'!K36+'Tabell 5.1'!K48+'Tabell 5.1'!K62+'Tabell 5.1'!K74+'Tabell 5.1'!K86+'Tabell 5.1'!K98+'Tabell 5.2'!K12+'Tabell 5.2'!K24+'Tabell 5.2'!K36+'Tabell 5.2'!K48+'Tabell 5.2'!K84+'Tabell 5.2'!K96+'Tabell 5.2'!K122+'Tabell 5.2'!K134+K12+K24++'Tabell 5.2'!K60+'Tabell 5.2'!K72+'Tabell 5.2'!K108</f>
        <v>85.57</v>
      </c>
      <c r="L38" s="659">
        <f>'Tabell 5.1'!L12+'Tabell 5.1'!L24+'Tabell 5.1'!L36+'Tabell 5.1'!L48+'Tabell 5.1'!L62+'Tabell 5.1'!L74+'Tabell 5.1'!L86+'Tabell 5.1'!L98+'Tabell 5.2'!L12+'Tabell 5.2'!L24+'Tabell 5.2'!L36+'Tabell 5.2'!L48+'Tabell 5.2'!L84+'Tabell 5.2'!L96+'Tabell 5.2'!L122+'Tabell 5.2'!L134+L12+L24++'Tabell 5.2'!L60+'Tabell 5.2'!L72+'Tabell 5.2'!L108</f>
        <v>53.402999999999999</v>
      </c>
      <c r="M38" s="565">
        <f t="shared" ref="M38:M48" si="15">IF(K38=0, "    ---- ", IF(ABS(ROUND(100/K38*L38-100,1))&lt;999,ROUND(100/K38*L38-100,1),IF(ROUND(100/K38*L38-100,1)&gt;999,999,-999)))</f>
        <v>-37.6</v>
      </c>
      <c r="N38" s="659">
        <f>'Tabell 5.1'!N12+'Tabell 5.1'!N24+'Tabell 5.1'!N36+'Tabell 5.1'!N48+'Tabell 5.1'!N62+'Tabell 5.1'!N74+'Tabell 5.1'!N86+'Tabell 5.1'!N98+'Tabell 5.2'!N12+'Tabell 5.2'!N24+'Tabell 5.2'!N36+'Tabell 5.2'!N48+'Tabell 5.2'!N84+'Tabell 5.2'!N96+'Tabell 5.2'!N122+'Tabell 5.2'!N134+N12+N24+'Tabell 5.2'!N60+'Tabell 5.2'!N72+'Tabell 5.2'!N108</f>
        <v>0</v>
      </c>
      <c r="O38" s="659">
        <f>'Tabell 5.1'!O12+'Tabell 5.1'!O24+'Tabell 5.1'!O36+'Tabell 5.1'!O48+'Tabell 5.1'!O62+'Tabell 5.1'!O74+'Tabell 5.1'!O86+'Tabell 5.1'!O98+'Tabell 5.2'!O12+'Tabell 5.2'!O24+'Tabell 5.2'!O36+'Tabell 5.2'!O48+'Tabell 5.2'!O84+'Tabell 5.2'!O96+'Tabell 5.2'!O122+'Tabell 5.2'!O134+O12+O24+'Tabell 5.2'!O60+'Tabell 5.2'!O72+'Tabell 5.2'!O108</f>
        <v>0</v>
      </c>
      <c r="P38" s="659" t="str">
        <f t="shared" ref="P38:P41" si="16">IF(N38=0, "    ---- ", IF(ABS(ROUND(100/N38*O38-100,1))&lt;999,ROUND(100/N38*O38-100,1),IF(ROUND(100/N38*O38-100,1)&gt;999,999,-999)))</f>
        <v xml:space="preserve">    ---- </v>
      </c>
      <c r="Q38" s="659">
        <f>'Tabell 5.1'!Q12+'Tabell 5.1'!Q24+'Tabell 5.1'!Q36+'Tabell 5.1'!Q48+'Tabell 5.1'!Q62+'Tabell 5.1'!Q74+'Tabell 5.1'!Q86+'Tabell 5.1'!Q98+'Tabell 5.2'!Q12+'Tabell 5.2'!Q24+'Tabell 5.2'!Q36+'Tabell 5.2'!Q48+'Tabell 5.2'!Q84+'Tabell 5.2'!Q96+'Tabell 5.2'!Q122+'Tabell 5.2'!Q134+Q12+Q24++'Tabell 5.2'!Q60+'Tabell 5.2'!Q72+'Tabell 5.2'!Q108</f>
        <v>3422.769396479709</v>
      </c>
      <c r="R38" s="659">
        <f>'Tabell 5.1'!R12+'Tabell 5.1'!R24+'Tabell 5.1'!R36+'Tabell 5.1'!R48+'Tabell 5.1'!R62+'Tabell 5.1'!R74+'Tabell 5.1'!R86+'Tabell 5.1'!R98+'Tabell 5.2'!R12+'Tabell 5.2'!R24+'Tabell 5.2'!R36+'Tabell 5.2'!R48+'Tabell 5.2'!R84+'Tabell 5.2'!R96+'Tabell 5.2'!R122+'Tabell 5.2'!R134+R12+R24++'Tabell 5.2'!R60+'Tabell 5.2'!R72+'Tabell 5.2'!R108</f>
        <v>8096.238021009799</v>
      </c>
      <c r="S38" s="565">
        <f t="shared" ref="S38:S48" si="17">IF(Q38=0, "    ---- ", IF(ABS(ROUND(100/Q38*R38-100,1))&lt;999,ROUND(100/Q38*R38-100,1),IF(ROUND(100/Q38*R38-100,1)&gt;999,999,-999)))</f>
        <v>136.5</v>
      </c>
      <c r="T38" s="659">
        <f>'Tabell 5.1'!T12+'Tabell 5.1'!T24+'Tabell 5.1'!T36+'Tabell 5.1'!T48+'Tabell 5.1'!T62+'Tabell 5.1'!T74+'Tabell 5.1'!T86+'Tabell 5.1'!T98+'Tabell 5.2'!T12+'Tabell 5.2'!T24+'Tabell 5.2'!T36+'Tabell 5.2'!T48+'Tabell 5.2'!T84+'Tabell 5.2'!T96+'Tabell 5.2'!T122+'Tabell 5.2'!T134+T12+T24+'Tabell 5.2'!T60+'Tabell 5.2'!T72+'Tabell 5.2'!T108</f>
        <v>22</v>
      </c>
      <c r="U38" s="659">
        <f>'Tabell 5.1'!U12+'Tabell 5.1'!U24+'Tabell 5.1'!U36+'Tabell 5.1'!U48+'Tabell 5.1'!U62+'Tabell 5.1'!U74+'Tabell 5.1'!U86+'Tabell 5.1'!U98+'Tabell 5.2'!U12+'Tabell 5.2'!U24+'Tabell 5.2'!U36+'Tabell 5.2'!U48+'Tabell 5.2'!U84+'Tabell 5.2'!U96+'Tabell 5.2'!U122+'Tabell 5.2'!U134+U12+U24+'Tabell 5.2'!U60+'Tabell 5.2'!U72+'Tabell 5.2'!U108</f>
        <v>31</v>
      </c>
      <c r="V38" s="659">
        <f t="shared" ref="V38:V41" si="18">IF(T38=0, "    ---- ", IF(ABS(ROUND(100/T38*U38-100,1))&lt;999,ROUND(100/T38*U38-100,1),IF(ROUND(100/T38*U38-100,1)&gt;999,999,-999)))</f>
        <v>40.9</v>
      </c>
      <c r="W38" s="659">
        <f>'Tabell 5.1'!W12+'Tabell 5.1'!W24+'Tabell 5.1'!W36+'Tabell 5.1'!W48+'Tabell 5.1'!W62+'Tabell 5.1'!W74+'Tabell 5.1'!W86+'Tabell 5.1'!W98+'Tabell 5.2'!W12+'Tabell 5.2'!W24+'Tabell 5.2'!W36+'Tabell 5.2'!W48+'Tabell 5.2'!W84+'Tabell 5.2'!W96+'Tabell 5.2'!W122+'Tabell 5.2'!W134+W12+W24++'Tabell 5.2'!W60+'Tabell 5.2'!W72+'Tabell 5.2'!W108</f>
        <v>409</v>
      </c>
      <c r="X38" s="659">
        <f>'Tabell 5.1'!X12+'Tabell 5.1'!X24+'Tabell 5.1'!X36+'Tabell 5.1'!X48+'Tabell 5.1'!X62+'Tabell 5.1'!X74+'Tabell 5.1'!X86+'Tabell 5.1'!X98+'Tabell 5.2'!X12+'Tabell 5.2'!X24+'Tabell 5.2'!X36+'Tabell 5.2'!X48+'Tabell 5.2'!X84+'Tabell 5.2'!X96+'Tabell 5.2'!X122+'Tabell 5.2'!X134+X12+X24++'Tabell 5.2'!X60+'Tabell 5.2'!X72+'Tabell 5.2'!X108</f>
        <v>530.21778561799999</v>
      </c>
      <c r="Y38" s="565">
        <f t="shared" ref="Y38:Y48" si="19">IF(W38=0, "    ---- ", IF(ABS(ROUND(100/W38*X38-100,1))&lt;999,ROUND(100/W38*X38-100,1),IF(ROUND(100/W38*X38-100,1)&gt;999,999,-999)))</f>
        <v>29.6</v>
      </c>
      <c r="Z38" s="659">
        <f>'Tabell 5.1'!Z12+'Tabell 5.1'!Z24+'Tabell 5.1'!Z36+'Tabell 5.1'!Z48+'Tabell 5.1'!Z62+'Tabell 5.1'!Z74+'Tabell 5.1'!Z86+'Tabell 5.1'!Z98+'Tabell 5.2'!Z12+'Tabell 5.2'!Z24+'Tabell 5.2'!Z36+'Tabell 5.2'!Z48+'Tabell 5.2'!Z84+'Tabell 5.2'!Z96+'Tabell 5.2'!Z122+'Tabell 5.2'!Z134+Z12+Z24+'Tabell 5.2'!Z60+'Tabell 5.2'!Z72+'Tabell 5.2'!Z108</f>
        <v>422</v>
      </c>
      <c r="AA38" s="659">
        <f>'Tabell 5.1'!AA12+'Tabell 5.1'!AA24+'Tabell 5.1'!AA36+'Tabell 5.1'!AA48+'Tabell 5.1'!AA62+'Tabell 5.1'!AA74+'Tabell 5.1'!AA86+'Tabell 5.1'!AA98+'Tabell 5.2'!AA12+'Tabell 5.2'!AA24+'Tabell 5.2'!AA36+'Tabell 5.2'!AA48+'Tabell 5.2'!AA84+'Tabell 5.2'!AA96+'Tabell 5.2'!AA122+'Tabell 5.2'!AA134+AA12+AA24+'Tabell 5.2'!AA60+'Tabell 5.2'!AA72+'Tabell 5.2'!AA108</f>
        <v>2463</v>
      </c>
      <c r="AB38" s="659">
        <f t="shared" ref="AB38:AB41" si="20">IF(Z38=0, "    ---- ", IF(ABS(ROUND(100/Z38*AA38-100,1))&lt;999,ROUND(100/Z38*AA38-100,1),IF(ROUND(100/Z38*AA38-100,1)&gt;999,999,-999)))</f>
        <v>483.6</v>
      </c>
      <c r="AC38" s="659">
        <f>'Tabell 5.1'!AC12+'Tabell 5.1'!AC24+'Tabell 5.1'!AC36+'Tabell 5.1'!AC48+'Tabell 5.1'!AC62+'Tabell 5.1'!AC74+'Tabell 5.1'!AC86+'Tabell 5.1'!AC98+'Tabell 5.2'!AC12+'Tabell 5.2'!AC24+'Tabell 5.2'!AC36+'Tabell 5.2'!AC48+'Tabell 5.2'!AC84+'Tabell 5.2'!AC96+'Tabell 5.2'!AC122+'Tabell 5.2'!AC134+AC12+AC24++'Tabell 5.2'!AC60+'Tabell 5.2'!AC72+'Tabell 5.2'!AC108</f>
        <v>0</v>
      </c>
      <c r="AD38" s="659">
        <f>'Tabell 5.1'!AD12+'Tabell 5.1'!AD24+'Tabell 5.1'!AD36+'Tabell 5.1'!AD48+'Tabell 5.1'!AD62+'Tabell 5.1'!AD74+'Tabell 5.1'!AD86+'Tabell 5.1'!AD98+'Tabell 5.2'!AD12+'Tabell 5.2'!AD24+'Tabell 5.2'!AD36+'Tabell 5.2'!AD48+'Tabell 5.2'!AD84+'Tabell 5.2'!AD96+'Tabell 5.2'!AD122+'Tabell 5.2'!AD134+AD12+AD24++'Tabell 5.2'!AD60+'Tabell 5.2'!AD72+'Tabell 5.2'!AD108</f>
        <v>0</v>
      </c>
      <c r="AE38" s="565" t="str">
        <f t="shared" ref="AE38:AE48" si="21">IF(AC38=0, "    ---- ", IF(ABS(ROUND(100/AC38*AD38-100,1))&lt;999,ROUND(100/AC38*AD38-100,1),IF(ROUND(100/AC38*AD38-100,1)&gt;999,999,-999)))</f>
        <v xml:space="preserve">    ---- </v>
      </c>
      <c r="AF38" s="659">
        <f>'Tabell 5.1'!AF12+'Tabell 5.1'!AF24+'Tabell 5.1'!AF36+'Tabell 5.1'!AF48+'Tabell 5.1'!AF62+'Tabell 5.1'!AF74+'Tabell 5.1'!AF86+'Tabell 5.1'!AF98+'Tabell 5.2'!AF12+'Tabell 5.2'!AF24+'Tabell 5.2'!AF36+'Tabell 5.2'!AF48+'Tabell 5.2'!AF84+'Tabell 5.2'!AF96+'Tabell 5.2'!AF122+'Tabell 5.2'!AF134+AF12+AF24+'Tabell 5.2'!AF60+'Tabell 5.2'!AF72+'Tabell 5.2'!AF108</f>
        <v>169.971</v>
      </c>
      <c r="AG38" s="659">
        <f>'Tabell 5.1'!AG12+'Tabell 5.1'!AG24+'Tabell 5.1'!AG36+'Tabell 5.1'!AG48+'Tabell 5.1'!AG62+'Tabell 5.1'!AG74+'Tabell 5.1'!AG86+'Tabell 5.1'!AG98+'Tabell 5.2'!AG12+'Tabell 5.2'!AG24+'Tabell 5.2'!AG36+'Tabell 5.2'!AG48+'Tabell 5.2'!AG84+'Tabell 5.2'!AG96+'Tabell 5.2'!AG122+'Tabell 5.2'!AG134+AG12+AG24+'Tabell 5.2'!AG60+'Tabell 5.2'!AG72+'Tabell 5.2'!AG108</f>
        <v>0</v>
      </c>
      <c r="AH38" s="659">
        <f t="shared" ref="AH38:AH41" si="22">IF(AF38=0, "    ---- ", IF(ABS(ROUND(100/AF38*AG38-100,1))&lt;999,ROUND(100/AF38*AG38-100,1),IF(ROUND(100/AF38*AG38-100,1)&gt;999,999,-999)))</f>
        <v>-100</v>
      </c>
      <c r="AI38" s="659">
        <f>'Tabell 5.1'!AI12+'Tabell 5.1'!AI24+'Tabell 5.1'!AI36+'Tabell 5.1'!AI48+'Tabell 5.1'!AI62+'Tabell 5.1'!AI74+'Tabell 5.1'!AI86+'Tabell 5.1'!AI98+'Tabell 5.2'!AI12+'Tabell 5.2'!AI24+'Tabell 5.2'!AI36+'Tabell 5.2'!AI48+'Tabell 5.2'!AI84+'Tabell 5.2'!AI96+'Tabell 5.2'!AI122+'Tabell 5.2'!AI134+AI12+AI24++'Tabell 5.2'!AI60+'Tabell 5.2'!AI72+'Tabell 5.2'!AI108</f>
        <v>-78.485000000000014</v>
      </c>
      <c r="AJ38" s="659">
        <f>'Tabell 5.1'!AJ12+'Tabell 5.1'!AJ24+'Tabell 5.1'!AJ36+'Tabell 5.1'!AJ48+'Tabell 5.1'!AJ62+'Tabell 5.1'!AJ74+'Tabell 5.1'!AJ86+'Tabell 5.1'!AJ98+'Tabell 5.2'!AJ12+'Tabell 5.2'!AJ24+'Tabell 5.2'!AJ36+'Tabell 5.2'!AJ48+'Tabell 5.2'!AJ84+'Tabell 5.2'!AJ96+'Tabell 5.2'!AJ122+'Tabell 5.2'!AJ134+AJ12+AJ24++'Tabell 5.2'!AJ60+'Tabell 5.2'!AJ72+'Tabell 5.2'!AJ108</f>
        <v>286.35399999999998</v>
      </c>
      <c r="AK38" s="565">
        <f t="shared" ref="AK38:AK48" si="23">IF(AI38=0, "    ---- ", IF(ABS(ROUND(100/AI38*AJ38-100,1))&lt;999,ROUND(100/AI38*AJ38-100,1),IF(ROUND(100/AI38*AJ38-100,1)&gt;999,999,-999)))</f>
        <v>-464.9</v>
      </c>
      <c r="AL38" s="659">
        <f>'Tabell 5.1'!AL12+'Tabell 5.1'!AL24+'Tabell 5.1'!AL36+'Tabell 5.1'!AL48+'Tabell 5.1'!AL62+'Tabell 5.1'!AL74+'Tabell 5.1'!AL86+'Tabell 5.1'!AL98+'Tabell 5.2'!AL12+'Tabell 5.2'!AL24+'Tabell 5.2'!AL36+'Tabell 5.2'!AL48+'Tabell 5.2'!AL84+'Tabell 5.2'!AL96+'Tabell 5.2'!AL122+'Tabell 5.2'!AL134+AL12+AL24+'Tabell 5.2'!AL60+'Tabell 5.2'!AL72+'Tabell 5.2'!AL108</f>
        <v>3053.34</v>
      </c>
      <c r="AM38" s="659">
        <f>'Tabell 5.1'!AM12+'Tabell 5.1'!AM24+'Tabell 5.1'!AM36+'Tabell 5.1'!AM48+'Tabell 5.1'!AM62+'Tabell 5.1'!AM74+'Tabell 5.1'!AM86+'Tabell 5.1'!AM98+'Tabell 5.2'!AM12+'Tabell 5.2'!AM24+'Tabell 5.2'!AM36+'Tabell 5.2'!AM48+'Tabell 5.2'!AM84+'Tabell 5.2'!AM96+'Tabell 5.2'!AM122+'Tabell 5.2'!AM134+AM12+AM24+'Tabell 5.2'!AM60+'Tabell 5.2'!AM72+'Tabell 5.2'!AM108</f>
        <v>4353.7</v>
      </c>
      <c r="AN38" s="659">
        <f t="shared" ref="AN38:AN41" si="24">IF(AL38=0, "    ---- ", IF(ABS(ROUND(100/AL38*AM38-100,1))&lt;999,ROUND(100/AL38*AM38-100,1),IF(ROUND(100/AL38*AM38-100,1)&gt;999,999,-999)))</f>
        <v>42.6</v>
      </c>
      <c r="AO38" s="659">
        <f>'Tabell 5.1'!AO12+'Tabell 5.1'!AO24+'Tabell 5.1'!AO36+'Tabell 5.1'!AO48+'Tabell 5.1'!AO62+'Tabell 5.1'!AO74+'Tabell 5.1'!AO86+'Tabell 5.1'!AO98+'Tabell 5.2'!AO12+'Tabell 5.2'!AO24+'Tabell 5.2'!AO36+'Tabell 5.2'!AO48+'Tabell 5.2'!AO84+'Tabell 5.2'!AO96+'Tabell 5.2'!AO122+'Tabell 5.2'!AO134+AO12+AO24++'Tabell 5.2'!AO60+'Tabell 5.2'!AO72+'Tabell 5.2'!AO108</f>
        <v>11119.205396479709</v>
      </c>
      <c r="AP38" s="659">
        <f>'Tabell 5.1'!AP12+'Tabell 5.1'!AP24+'Tabell 5.1'!AP36+'Tabell 5.1'!AP48+'Tabell 5.1'!AP62+'Tabell 5.1'!AP74+'Tabell 5.1'!AP86+'Tabell 5.1'!AP98+'Tabell 5.2'!AP12+'Tabell 5.2'!AP24+'Tabell 5.2'!AP36+'Tabell 5.2'!AP48+'Tabell 5.2'!AP84+'Tabell 5.2'!AP96+'Tabell 5.2'!AP122+'Tabell 5.2'!AP134+AP12+AP24++'Tabell 5.2'!AP60+'Tabell 5.2'!AP72+'Tabell 5.2'!AP108</f>
        <v>22177.205806627804</v>
      </c>
      <c r="AQ38" s="565">
        <f t="shared" ref="AQ38:AQ48" si="25">IF(AO38=0, "    ---- ", IF(ABS(ROUND(100/AO38*AP38-100,1))&lt;999,ROUND(100/AO38*AP38-100,1),IF(ROUND(100/AO38*AP38-100,1)&gt;999,999,-999)))</f>
        <v>99.4</v>
      </c>
      <c r="AR38" s="659">
        <f>'Tabell 5.1'!AR12+'Tabell 5.1'!AR24+'Tabell 5.1'!AR36+'Tabell 5.1'!AR48+'Tabell 5.1'!AR62+'Tabell 5.1'!AR74+'Tabell 5.1'!AR86+'Tabell 5.1'!AR98+'Tabell 5.2'!AR12+'Tabell 5.2'!AR24+'Tabell 5.2'!AR36+'Tabell 5.2'!AR48+'Tabell 5.2'!AR84+'Tabell 5.2'!AR96+'Tabell 5.2'!AR122+'Tabell 5.2'!AR134+AR12+AR24+'Tabell 5.2'!AR60+'Tabell 5.2'!AR72+'Tabell 5.2'!AR108</f>
        <v>11119.339396479709</v>
      </c>
      <c r="AS38" s="659">
        <f>'Tabell 5.1'!AS12+'Tabell 5.1'!AS24+'Tabell 5.1'!AS36+'Tabell 5.1'!AS48+'Tabell 5.1'!AS62+'Tabell 5.1'!AS74+'Tabell 5.1'!AS86+'Tabell 5.1'!AS98+'Tabell 5.2'!AS12+'Tabell 5.2'!AS24+'Tabell 5.2'!AS36+'Tabell 5.2'!AS48+'Tabell 5.2'!AS84+'Tabell 5.2'!AS96+'Tabell 5.2'!AS122+'Tabell 5.2'!AS134+AS12+AS24+'Tabell 5.2'!AS60+'Tabell 5.2'!AS72+'Tabell 5.2'!AS108</f>
        <v>22179.192806627805</v>
      </c>
      <c r="AT38" s="565">
        <f t="shared" ref="AT38:AT40" si="26">IF(AR38=0, "    ---- ", IF(ABS(ROUND(100/AR38*AS38-100,1))&lt;999,ROUND(100/AR38*AS38-100,1),IF(ROUND(100/AR38*AS38-100,1)&gt;999,999,-999)))</f>
        <v>99.5</v>
      </c>
      <c r="AU38" s="699"/>
      <c r="AV38" s="638"/>
      <c r="AW38" s="633"/>
      <c r="AX38" s="633"/>
    </row>
    <row r="39" spans="1:50" s="660" customFormat="1" ht="18.75" customHeight="1" x14ac:dyDescent="0.3">
      <c r="A39" s="509" t="s">
        <v>433</v>
      </c>
      <c r="B39" s="659">
        <f>'Tabell 5.1'!B13+'Tabell 5.1'!B25+'Tabell 5.1'!B37+'Tabell 5.1'!B49+'Tabell 5.1'!B63+'Tabell 5.1'!B75+'Tabell 5.1'!B87+'Tabell 5.1'!B99+'Tabell 5.2'!B13+'Tabell 5.2'!B25+'Tabell 5.2'!B37+'Tabell 5.2'!B49+'Tabell 5.2'!B85+'Tabell 5.2'!B97+'Tabell 5.2'!B123+'Tabell 5.2'!B135+B13+B25+'Tabell 5.2'!B61+'Tabell 5.2'!B73+'Tabell 5.2'!B109</f>
        <v>0</v>
      </c>
      <c r="C39" s="659">
        <f>'Tabell 5.1'!C13+'Tabell 5.1'!C25+'Tabell 5.1'!C37+'Tabell 5.1'!C49+'Tabell 5.1'!C63+'Tabell 5.1'!C75+'Tabell 5.1'!C87+'Tabell 5.1'!C99+'Tabell 5.2'!C13+'Tabell 5.2'!C25+'Tabell 5.2'!C37+'Tabell 5.2'!C49+'Tabell 5.2'!C85+'Tabell 5.2'!C97+'Tabell 5.2'!C123+'Tabell 5.2'!C135+C13+C25+'Tabell 5.2'!C61+'Tabell 5.2'!C73+'Tabell 5.2'!C109</f>
        <v>0</v>
      </c>
      <c r="D39" s="659" t="str">
        <f t="shared" si="12"/>
        <v xml:space="preserve">    ---- </v>
      </c>
      <c r="E39" s="659">
        <f>'Tabell 5.1'!E13+'Tabell 5.1'!E25+'Tabell 5.1'!E37+'Tabell 5.1'!E49+'Tabell 5.1'!E63+'Tabell 5.1'!E75+'Tabell 5.1'!E87+'Tabell 5.1'!E99+'Tabell 5.2'!E13+'Tabell 5.2'!E25+'Tabell 5.2'!E37+'Tabell 5.2'!E49+'Tabell 5.2'!E85+'Tabell 5.2'!E97+'Tabell 5.2'!E123+'Tabell 5.2'!E135+'Tabell 5.3'!E13+'Tabell 5.3'!E25+'Tabell 5.2'!E61+'Tabell 5.2'!E73+'Tabell 5.2'!E109</f>
        <v>-1160.049</v>
      </c>
      <c r="F39" s="659">
        <f>'Tabell 5.1'!F13+'Tabell 5.1'!F25+'Tabell 5.1'!F37+'Tabell 5.1'!F49+'Tabell 5.1'!F63+'Tabell 5.1'!F75+'Tabell 5.1'!F87+'Tabell 5.1'!F99+'Tabell 5.2'!F13+'Tabell 5.2'!F25+'Tabell 5.2'!F37+'Tabell 5.2'!F49+'Tabell 5.2'!F85+'Tabell 5.2'!F97+'Tabell 5.2'!F123+'Tabell 5.2'!F135+'Tabell 5.3'!F13+'Tabell 5.3'!F25+'Tabell 5.2'!F61+'Tabell 5.2'!F73+'Tabell 5.2'!F109</f>
        <v>-1008.8340000000001</v>
      </c>
      <c r="G39" s="565">
        <f t="shared" si="13"/>
        <v>-13</v>
      </c>
      <c r="H39" s="659">
        <f>'Tabell 5.1'!H13+'Tabell 5.1'!H25+'Tabell 5.1'!H37+'Tabell 5.1'!H49+'Tabell 5.1'!H63+'Tabell 5.1'!H75+'Tabell 5.1'!H87+'Tabell 5.1'!H99+'Tabell 5.2'!H13+'Tabell 5.2'!H25+'Tabell 5.2'!H37+'Tabell 5.2'!H49+'Tabell 5.2'!H85+'Tabell 5.2'!H97+'Tabell 5.2'!H123+'Tabell 5.2'!H135+H13+H25+'Tabell 5.2'!H61+'Tabell 5.2'!H73+'Tabell 5.2'!H109</f>
        <v>0</v>
      </c>
      <c r="I39" s="659">
        <f>'Tabell 5.1'!I13+'Tabell 5.1'!I25+'Tabell 5.1'!I37+'Tabell 5.1'!I49+'Tabell 5.1'!I63+'Tabell 5.1'!I75+'Tabell 5.1'!I87+'Tabell 5.1'!I99+'Tabell 5.2'!I13+'Tabell 5.2'!I25+'Tabell 5.2'!I37+'Tabell 5.2'!I49+'Tabell 5.2'!I85+'Tabell 5.2'!I97+'Tabell 5.2'!I123+'Tabell 5.2'!I135+I13+I25+'Tabell 5.2'!I61+'Tabell 5.2'!I73+'Tabell 5.2'!I109</f>
        <v>0</v>
      </c>
      <c r="J39" s="659" t="str">
        <f t="shared" si="14"/>
        <v xml:space="preserve">    ---- </v>
      </c>
      <c r="K39" s="659">
        <f>'Tabell 5.1'!K13+'Tabell 5.1'!K25+'Tabell 5.1'!K37+'Tabell 5.1'!K49+'Tabell 5.1'!K63+'Tabell 5.1'!K75+'Tabell 5.1'!K87+'Tabell 5.1'!K99+'Tabell 5.2'!K13+'Tabell 5.2'!K25+'Tabell 5.2'!K37+'Tabell 5.2'!K49+'Tabell 5.2'!K85+'Tabell 5.2'!K97+'Tabell 5.2'!K123+'Tabell 5.2'!K135+K13+K25++'Tabell 5.2'!K61+'Tabell 5.2'!K73+'Tabell 5.2'!K109</f>
        <v>0</v>
      </c>
      <c r="L39" s="659">
        <f>'Tabell 5.1'!L13+'Tabell 5.1'!L25+'Tabell 5.1'!L37+'Tabell 5.1'!L49+'Tabell 5.1'!L63+'Tabell 5.1'!L75+'Tabell 5.1'!L87+'Tabell 5.1'!L99+'Tabell 5.2'!L13+'Tabell 5.2'!L25+'Tabell 5.2'!L37+'Tabell 5.2'!L49+'Tabell 5.2'!L85+'Tabell 5.2'!L97+'Tabell 5.2'!L123+'Tabell 5.2'!L135+L13+L25++'Tabell 5.2'!L61+'Tabell 5.2'!L73+'Tabell 5.2'!L109</f>
        <v>0</v>
      </c>
      <c r="M39" s="565" t="str">
        <f t="shared" si="15"/>
        <v xml:space="preserve">    ---- </v>
      </c>
      <c r="N39" s="659">
        <f>'Tabell 5.1'!N13+'Tabell 5.1'!N25+'Tabell 5.1'!N37+'Tabell 5.1'!N49+'Tabell 5.1'!N63+'Tabell 5.1'!N75+'Tabell 5.1'!N87+'Tabell 5.1'!N99+'Tabell 5.2'!N13+'Tabell 5.2'!N25+'Tabell 5.2'!N37+'Tabell 5.2'!N49+'Tabell 5.2'!N85+'Tabell 5.2'!N97+'Tabell 5.2'!N123+'Tabell 5.2'!N135+N13+N25+'Tabell 5.2'!N61+'Tabell 5.2'!N73+'Tabell 5.2'!N109</f>
        <v>0</v>
      </c>
      <c r="O39" s="659">
        <f>'Tabell 5.1'!O13+'Tabell 5.1'!O25+'Tabell 5.1'!O37+'Tabell 5.1'!O49+'Tabell 5.1'!O63+'Tabell 5.1'!O75+'Tabell 5.1'!O87+'Tabell 5.1'!O99+'Tabell 5.2'!O13+'Tabell 5.2'!O25+'Tabell 5.2'!O37+'Tabell 5.2'!O49+'Tabell 5.2'!O85+'Tabell 5.2'!O97+'Tabell 5.2'!O123+'Tabell 5.2'!O135+O13+O25+'Tabell 5.2'!O61+'Tabell 5.2'!O73+'Tabell 5.2'!O109</f>
        <v>0</v>
      </c>
      <c r="P39" s="659" t="str">
        <f t="shared" si="16"/>
        <v xml:space="preserve">    ---- </v>
      </c>
      <c r="Q39" s="659">
        <f>'Tabell 5.1'!Q13+'Tabell 5.1'!Q25+'Tabell 5.1'!Q37+'Tabell 5.1'!Q49+'Tabell 5.1'!Q63+'Tabell 5.1'!Q75+'Tabell 5.1'!Q87+'Tabell 5.1'!Q99+'Tabell 5.2'!Q13+'Tabell 5.2'!Q25+'Tabell 5.2'!Q37+'Tabell 5.2'!Q49+'Tabell 5.2'!Q85+'Tabell 5.2'!Q97+'Tabell 5.2'!Q123+'Tabell 5.2'!Q135+Q13+Q25++'Tabell 5.2'!Q61+'Tabell 5.2'!Q73+'Tabell 5.2'!Q109</f>
        <v>49.595164461983394</v>
      </c>
      <c r="R39" s="659">
        <f>'Tabell 5.1'!R13+'Tabell 5.1'!R25+'Tabell 5.1'!R37+'Tabell 5.1'!R49+'Tabell 5.1'!R63+'Tabell 5.1'!R75+'Tabell 5.1'!R87+'Tabell 5.1'!R99+'Tabell 5.2'!R13+'Tabell 5.2'!R25+'Tabell 5.2'!R37+'Tabell 5.2'!R49+'Tabell 5.2'!R85+'Tabell 5.2'!R97+'Tabell 5.2'!R123+'Tabell 5.2'!R135+R13+R25++'Tabell 5.2'!R61+'Tabell 5.2'!R73+'Tabell 5.2'!R109</f>
        <v>4.3610600421062298</v>
      </c>
      <c r="S39" s="565">
        <f t="shared" si="17"/>
        <v>-91.2</v>
      </c>
      <c r="T39" s="659">
        <f>'Tabell 5.1'!T13+'Tabell 5.1'!T25+'Tabell 5.1'!T37+'Tabell 5.1'!T49+'Tabell 5.1'!T63+'Tabell 5.1'!T75+'Tabell 5.1'!T87+'Tabell 5.1'!T99+'Tabell 5.2'!T13+'Tabell 5.2'!T25+'Tabell 5.2'!T37+'Tabell 5.2'!T49+'Tabell 5.2'!T85+'Tabell 5.2'!T97+'Tabell 5.2'!T123+'Tabell 5.2'!T135+T13+T25+'Tabell 5.2'!T61+'Tabell 5.2'!T73+'Tabell 5.2'!T109</f>
        <v>-8</v>
      </c>
      <c r="U39" s="659">
        <f>'Tabell 5.1'!U13+'Tabell 5.1'!U25+'Tabell 5.1'!U37+'Tabell 5.1'!U49+'Tabell 5.1'!U63+'Tabell 5.1'!U75+'Tabell 5.1'!U87+'Tabell 5.1'!U99+'Tabell 5.2'!U13+'Tabell 5.2'!U25+'Tabell 5.2'!U37+'Tabell 5.2'!U49+'Tabell 5.2'!U85+'Tabell 5.2'!U97+'Tabell 5.2'!U123+'Tabell 5.2'!U135+U13+U25+'Tabell 5.2'!U61+'Tabell 5.2'!U73+'Tabell 5.2'!U109</f>
        <v>-13</v>
      </c>
      <c r="V39" s="659">
        <f t="shared" si="18"/>
        <v>62.5</v>
      </c>
      <c r="W39" s="659">
        <f>'Tabell 5.1'!W13+'Tabell 5.1'!W25+'Tabell 5.1'!W37+'Tabell 5.1'!W49+'Tabell 5.1'!W63+'Tabell 5.1'!W75+'Tabell 5.1'!W87+'Tabell 5.1'!W99+'Tabell 5.2'!W13+'Tabell 5.2'!W25+'Tabell 5.2'!W37+'Tabell 5.2'!W49+'Tabell 5.2'!W85+'Tabell 5.2'!W97+'Tabell 5.2'!W123+'Tabell 5.2'!W135+W13+W25++'Tabell 5.2'!W61+'Tabell 5.2'!W73+'Tabell 5.2'!W109</f>
        <v>-117</v>
      </c>
      <c r="X39" s="659">
        <f>'Tabell 5.1'!X13+'Tabell 5.1'!X25+'Tabell 5.1'!X37+'Tabell 5.1'!X49+'Tabell 5.1'!X63+'Tabell 5.1'!X75+'Tabell 5.1'!X87+'Tabell 5.1'!X99+'Tabell 5.2'!X13+'Tabell 5.2'!X25+'Tabell 5.2'!X37+'Tabell 5.2'!X49+'Tabell 5.2'!X85+'Tabell 5.2'!X97+'Tabell 5.2'!X123+'Tabell 5.2'!X135+X13+X25++'Tabell 5.2'!X61+'Tabell 5.2'!X73+'Tabell 5.2'!X109</f>
        <v>-209.13128879300001</v>
      </c>
      <c r="Y39" s="565">
        <f t="shared" si="19"/>
        <v>78.7</v>
      </c>
      <c r="Z39" s="659">
        <f>'Tabell 5.1'!Z13+'Tabell 5.1'!Z25+'Tabell 5.1'!Z37+'Tabell 5.1'!Z49+'Tabell 5.1'!Z63+'Tabell 5.1'!Z75+'Tabell 5.1'!Z87+'Tabell 5.1'!Z99+'Tabell 5.2'!Z13+'Tabell 5.2'!Z25+'Tabell 5.2'!Z37+'Tabell 5.2'!Z49+'Tabell 5.2'!Z85+'Tabell 5.2'!Z97+'Tabell 5.2'!Z123+'Tabell 5.2'!Z135+Z13+Z25+'Tabell 5.2'!Z61+'Tabell 5.2'!Z73+'Tabell 5.2'!Z109</f>
        <v>-86</v>
      </c>
      <c r="AA39" s="659">
        <f>'Tabell 5.1'!AA13+'Tabell 5.1'!AA25+'Tabell 5.1'!AA37+'Tabell 5.1'!AA49+'Tabell 5.1'!AA63+'Tabell 5.1'!AA75+'Tabell 5.1'!AA87+'Tabell 5.1'!AA99+'Tabell 5.2'!AA13+'Tabell 5.2'!AA25+'Tabell 5.2'!AA37+'Tabell 5.2'!AA49+'Tabell 5.2'!AA85+'Tabell 5.2'!AA97+'Tabell 5.2'!AA123+'Tabell 5.2'!AA135+AA13+AA25+'Tabell 5.2'!AA61+'Tabell 5.2'!AA73+'Tabell 5.2'!AA109</f>
        <v>-1975</v>
      </c>
      <c r="AB39" s="659">
        <f t="shared" si="20"/>
        <v>999</v>
      </c>
      <c r="AC39" s="659">
        <f>'Tabell 5.1'!AC13+'Tabell 5.1'!AC25+'Tabell 5.1'!AC37+'Tabell 5.1'!AC49+'Tabell 5.1'!AC63+'Tabell 5.1'!AC75+'Tabell 5.1'!AC87+'Tabell 5.1'!AC99+'Tabell 5.2'!AC13+'Tabell 5.2'!AC25+'Tabell 5.2'!AC37+'Tabell 5.2'!AC49+'Tabell 5.2'!AC85+'Tabell 5.2'!AC97+'Tabell 5.2'!AC123+'Tabell 5.2'!AC135+AC13+AC25++'Tabell 5.2'!AC61+'Tabell 5.2'!AC73+'Tabell 5.2'!AC109</f>
        <v>0</v>
      </c>
      <c r="AD39" s="659">
        <f>'Tabell 5.1'!AD13+'Tabell 5.1'!AD25+'Tabell 5.1'!AD37+'Tabell 5.1'!AD49+'Tabell 5.1'!AD63+'Tabell 5.1'!AD75+'Tabell 5.1'!AD87+'Tabell 5.1'!AD99+'Tabell 5.2'!AD13+'Tabell 5.2'!AD25+'Tabell 5.2'!AD37+'Tabell 5.2'!AD49+'Tabell 5.2'!AD85+'Tabell 5.2'!AD97+'Tabell 5.2'!AD123+'Tabell 5.2'!AD135+AD13+AD25++'Tabell 5.2'!AD61+'Tabell 5.2'!AD73+'Tabell 5.2'!AD109</f>
        <v>0</v>
      </c>
      <c r="AE39" s="565" t="str">
        <f t="shared" si="21"/>
        <v xml:space="preserve">    ---- </v>
      </c>
      <c r="AF39" s="659">
        <f>'Tabell 5.1'!AF13+'Tabell 5.1'!AF25+'Tabell 5.1'!AF37+'Tabell 5.1'!AF49+'Tabell 5.1'!AF63+'Tabell 5.1'!AF75+'Tabell 5.1'!AF87+'Tabell 5.1'!AF99+'Tabell 5.2'!AF13+'Tabell 5.2'!AF25+'Tabell 5.2'!AF37+'Tabell 5.2'!AF49+'Tabell 5.2'!AF85+'Tabell 5.2'!AF97+'Tabell 5.2'!AF123+'Tabell 5.2'!AF135+AF13+AF25+'Tabell 5.2'!AF61+'Tabell 5.2'!AF73+'Tabell 5.2'!AF109</f>
        <v>0</v>
      </c>
      <c r="AG39" s="659">
        <f>'Tabell 5.1'!AG13+'Tabell 5.1'!AG25+'Tabell 5.1'!AG37+'Tabell 5.1'!AG49+'Tabell 5.1'!AG63+'Tabell 5.1'!AG75+'Tabell 5.1'!AG87+'Tabell 5.1'!AG99+'Tabell 5.2'!AG13+'Tabell 5.2'!AG25+'Tabell 5.2'!AG37+'Tabell 5.2'!AG49+'Tabell 5.2'!AG85+'Tabell 5.2'!AG97+'Tabell 5.2'!AG123+'Tabell 5.2'!AG135+AG13+AG25+'Tabell 5.2'!AG61+'Tabell 5.2'!AG73+'Tabell 5.2'!AG109</f>
        <v>0</v>
      </c>
      <c r="AH39" s="659" t="str">
        <f t="shared" si="22"/>
        <v xml:space="preserve">    ---- </v>
      </c>
      <c r="AI39" s="659">
        <f>'Tabell 5.1'!AI13+'Tabell 5.1'!AI25+'Tabell 5.1'!AI37+'Tabell 5.1'!AI49+'Tabell 5.1'!AI63+'Tabell 5.1'!AI75+'Tabell 5.1'!AI87+'Tabell 5.1'!AI99+'Tabell 5.2'!AI13+'Tabell 5.2'!AI25+'Tabell 5.2'!AI37+'Tabell 5.2'!AI49+'Tabell 5.2'!AI85+'Tabell 5.2'!AI97+'Tabell 5.2'!AI123+'Tabell 5.2'!AI135+AI13+AI25++'Tabell 5.2'!AI61+'Tabell 5.2'!AI73+'Tabell 5.2'!AI109</f>
        <v>77.17</v>
      </c>
      <c r="AJ39" s="659">
        <f>'Tabell 5.1'!AJ13+'Tabell 5.1'!AJ25+'Tabell 5.1'!AJ37+'Tabell 5.1'!AJ49+'Tabell 5.1'!AJ63+'Tabell 5.1'!AJ75+'Tabell 5.1'!AJ87+'Tabell 5.1'!AJ99+'Tabell 5.2'!AJ13+'Tabell 5.2'!AJ25+'Tabell 5.2'!AJ37+'Tabell 5.2'!AJ49+'Tabell 5.2'!AJ85+'Tabell 5.2'!AJ97+'Tabell 5.2'!AJ123+'Tabell 5.2'!AJ135+AJ13+AJ25++'Tabell 5.2'!AJ61+'Tabell 5.2'!AJ73+'Tabell 5.2'!AJ109</f>
        <v>-82.400999999999996</v>
      </c>
      <c r="AK39" s="565">
        <f t="shared" si="23"/>
        <v>-206.8</v>
      </c>
      <c r="AL39" s="659">
        <f>'Tabell 5.1'!AL13+'Tabell 5.1'!AL25+'Tabell 5.1'!AL37+'Tabell 5.1'!AL49+'Tabell 5.1'!AL63+'Tabell 5.1'!AL75+'Tabell 5.1'!AL87+'Tabell 5.1'!AL99+'Tabell 5.2'!AL13+'Tabell 5.2'!AL25+'Tabell 5.2'!AL37+'Tabell 5.2'!AL49+'Tabell 5.2'!AL85+'Tabell 5.2'!AL97+'Tabell 5.2'!AL123+'Tabell 5.2'!AL135+AL13+AL25+'Tabell 5.2'!AL61+'Tabell 5.2'!AL73+'Tabell 5.2'!AL109</f>
        <v>-619.59</v>
      </c>
      <c r="AM39" s="659">
        <f>'Tabell 5.1'!AM13+'Tabell 5.1'!AM25+'Tabell 5.1'!AM37+'Tabell 5.1'!AM49+'Tabell 5.1'!AM63+'Tabell 5.1'!AM75+'Tabell 5.1'!AM87+'Tabell 5.1'!AM99+'Tabell 5.2'!AM13+'Tabell 5.2'!AM25+'Tabell 5.2'!AM37+'Tabell 5.2'!AM49+'Tabell 5.2'!AM85+'Tabell 5.2'!AM97+'Tabell 5.2'!AM123+'Tabell 5.2'!AM135+AM13+AM25+'Tabell 5.2'!AM61+'Tabell 5.2'!AM73+'Tabell 5.2'!AM109</f>
        <v>0</v>
      </c>
      <c r="AN39" s="659">
        <f t="shared" si="24"/>
        <v>-100</v>
      </c>
      <c r="AO39" s="659">
        <f>'Tabell 5.1'!AO13+'Tabell 5.1'!AO25+'Tabell 5.1'!AO37+'Tabell 5.1'!AO49+'Tabell 5.1'!AO63+'Tabell 5.1'!AO75+'Tabell 5.1'!AO87+'Tabell 5.1'!AO99+'Tabell 5.2'!AO13+'Tabell 5.2'!AO25+'Tabell 5.2'!AO37+'Tabell 5.2'!AO49+'Tabell 5.2'!AO85+'Tabell 5.2'!AO97+'Tabell 5.2'!AO123+'Tabell 5.2'!AO135+AO13+AO25++'Tabell 5.2'!AO61+'Tabell 5.2'!AO73+'Tabell 5.2'!AO109</f>
        <v>-1863.8738355380169</v>
      </c>
      <c r="AP39" s="659">
        <f>'Tabell 5.1'!AP13+'Tabell 5.1'!AP25+'Tabell 5.1'!AP37+'Tabell 5.1'!AP49+'Tabell 5.1'!AP63+'Tabell 5.1'!AP75+'Tabell 5.1'!AP87+'Tabell 5.1'!AP99+'Tabell 5.2'!AP13+'Tabell 5.2'!AP25+'Tabell 5.2'!AP37+'Tabell 5.2'!AP49+'Tabell 5.2'!AP85+'Tabell 5.2'!AP97+'Tabell 5.2'!AP123+'Tabell 5.2'!AP135+AP13+AP25++'Tabell 5.2'!AP61+'Tabell 5.2'!AP73+'Tabell 5.2'!AP109</f>
        <v>-3282.0392287508939</v>
      </c>
      <c r="AQ39" s="565">
        <f t="shared" si="25"/>
        <v>76.099999999999994</v>
      </c>
      <c r="AR39" s="659">
        <f>'Tabell 5.1'!AR13+'Tabell 5.1'!AR25+'Tabell 5.1'!AR37+'Tabell 5.1'!AR49+'Tabell 5.1'!AR63+'Tabell 5.1'!AR75+'Tabell 5.1'!AR87+'Tabell 5.1'!AR99+'Tabell 5.2'!AR13+'Tabell 5.2'!AR25+'Tabell 5.2'!AR37+'Tabell 5.2'!AR49+'Tabell 5.2'!AR85+'Tabell 5.2'!AR97+'Tabell 5.2'!AR123+'Tabell 5.2'!AR135+AR13+AR25+'Tabell 5.2'!AR61+'Tabell 5.2'!AR73+'Tabell 5.2'!AR109</f>
        <v>-1863.8738355380169</v>
      </c>
      <c r="AS39" s="659">
        <f>'Tabell 5.1'!AS13+'Tabell 5.1'!AS25+'Tabell 5.1'!AS37+'Tabell 5.1'!AS49+'Tabell 5.1'!AS63+'Tabell 5.1'!AS75+'Tabell 5.1'!AS87+'Tabell 5.1'!AS99+'Tabell 5.2'!AS13+'Tabell 5.2'!AS25+'Tabell 5.2'!AS37+'Tabell 5.2'!AS49+'Tabell 5.2'!AS85+'Tabell 5.2'!AS97+'Tabell 5.2'!AS123+'Tabell 5.2'!AS135+AS13+AS25+'Tabell 5.2'!AS61+'Tabell 5.2'!AS73+'Tabell 5.2'!AS109</f>
        <v>-3284.0052287508938</v>
      </c>
      <c r="AT39" s="565">
        <f t="shared" si="26"/>
        <v>76.2</v>
      </c>
      <c r="AU39" s="699"/>
      <c r="AV39" s="638"/>
      <c r="AW39" s="633"/>
      <c r="AX39" s="633"/>
    </row>
    <row r="40" spans="1:50" s="660" customFormat="1" ht="18.75" customHeight="1" x14ac:dyDescent="0.3">
      <c r="A40" s="509" t="s">
        <v>434</v>
      </c>
      <c r="B40" s="659">
        <f>'Tabell 5.1'!B14+'Tabell 5.1'!B26+'Tabell 5.1'!B38+'Tabell 5.1'!B50+'Tabell 5.1'!B64+'Tabell 5.1'!B76+'Tabell 5.1'!B88+'Tabell 5.1'!B100+'Tabell 5.2'!B14+'Tabell 5.2'!B26+'Tabell 5.2'!B38+'Tabell 5.2'!B50+'Tabell 5.2'!B86+'Tabell 5.2'!B98+'Tabell 5.2'!B124+'Tabell 5.2'!B136+B14+B26+'Tabell 5.2'!B62+'Tabell 5.2'!B74+'Tabell 5.2'!B110</f>
        <v>-13.135000000000002</v>
      </c>
      <c r="C40" s="659">
        <f>'Tabell 5.1'!C14+'Tabell 5.1'!C26+'Tabell 5.1'!C38+'Tabell 5.1'!C50+'Tabell 5.1'!C64+'Tabell 5.1'!C76+'Tabell 5.1'!C88+'Tabell 5.1'!C100+'Tabell 5.2'!C14+'Tabell 5.2'!C26+'Tabell 5.2'!C38+'Tabell 5.2'!C50+'Tabell 5.2'!C86+'Tabell 5.2'!C98+'Tabell 5.2'!C124+'Tabell 5.2'!C136+C14+C26+'Tabell 5.2'!C62+'Tabell 5.2'!C74+'Tabell 5.2'!C110</f>
        <v>-22.351999999999997</v>
      </c>
      <c r="D40" s="659">
        <f t="shared" si="12"/>
        <v>70.2</v>
      </c>
      <c r="E40" s="659">
        <f>'Tabell 5.1'!E14+'Tabell 5.1'!E26+'Tabell 5.1'!E38+'Tabell 5.1'!E50+'Tabell 5.1'!E64+'Tabell 5.1'!E76+'Tabell 5.1'!E88+'Tabell 5.1'!E100+'Tabell 5.2'!E14+'Tabell 5.2'!E26+'Tabell 5.2'!E38+'Tabell 5.2'!E50+'Tabell 5.2'!E86+'Tabell 5.2'!E98+'Tabell 5.2'!E124+'Tabell 5.2'!E136+'Tabell 5.3'!E14+'Tabell 5.3'!E26+'Tabell 5.2'!E62+'Tabell 5.2'!E74+'Tabell 5.2'!E110</f>
        <v>435.23500000000007</v>
      </c>
      <c r="F40" s="659">
        <f>'Tabell 5.1'!F14+'Tabell 5.1'!F26+'Tabell 5.1'!F38+'Tabell 5.1'!F50+'Tabell 5.1'!F64+'Tabell 5.1'!F76+'Tabell 5.1'!F88+'Tabell 5.1'!F100+'Tabell 5.2'!F14+'Tabell 5.2'!F26+'Tabell 5.2'!F38+'Tabell 5.2'!F50+'Tabell 5.2'!F86+'Tabell 5.2'!F98+'Tabell 5.2'!F124+'Tabell 5.2'!F136+'Tabell 5.3'!F14+'Tabell 5.3'!F26+'Tabell 5.2'!F62+'Tabell 5.2'!F74+'Tabell 5.2'!F110</f>
        <v>460.97239999999999</v>
      </c>
      <c r="G40" s="565">
        <f t="shared" si="13"/>
        <v>5.9</v>
      </c>
      <c r="H40" s="659">
        <f>'Tabell 5.1'!H14+'Tabell 5.1'!H26+'Tabell 5.1'!H38+'Tabell 5.1'!H50+'Tabell 5.1'!H64+'Tabell 5.1'!H76+'Tabell 5.1'!H88+'Tabell 5.1'!H100+'Tabell 5.2'!H14+'Tabell 5.2'!H26+'Tabell 5.2'!H38+'Tabell 5.2'!H50+'Tabell 5.2'!H86+'Tabell 5.2'!H98+'Tabell 5.2'!H124+'Tabell 5.2'!H136+H14+H26+'Tabell 5.2'!H62+'Tabell 5.2'!H74+'Tabell 5.2'!H110</f>
        <v>-56.529999999999994</v>
      </c>
      <c r="I40" s="659">
        <f>'Tabell 5.1'!I14+'Tabell 5.1'!I26+'Tabell 5.1'!I38+'Tabell 5.1'!I50+'Tabell 5.1'!I64+'Tabell 5.1'!I76+'Tabell 5.1'!I88+'Tabell 5.1'!I100+'Tabell 5.2'!I14+'Tabell 5.2'!I26+'Tabell 5.2'!I38+'Tabell 5.2'!I50+'Tabell 5.2'!I86+'Tabell 5.2'!I98+'Tabell 5.2'!I124+'Tabell 5.2'!I136+I14+I26+'Tabell 5.2'!I62+'Tabell 5.2'!I74+'Tabell 5.2'!I110</f>
        <v>-33.031999999999996</v>
      </c>
      <c r="J40" s="659">
        <f t="shared" si="14"/>
        <v>-41.6</v>
      </c>
      <c r="K40" s="659">
        <f>'Tabell 5.1'!K14+'Tabell 5.1'!K26+'Tabell 5.1'!K38+'Tabell 5.1'!K50+'Tabell 5.1'!K64+'Tabell 5.1'!K76+'Tabell 5.1'!K88+'Tabell 5.1'!K100+'Tabell 5.2'!K14+'Tabell 5.2'!K26+'Tabell 5.2'!K38+'Tabell 5.2'!K50+'Tabell 5.2'!K86+'Tabell 5.2'!K98+'Tabell 5.2'!K124+'Tabell 5.2'!K136+K14+K26++'Tabell 5.2'!K62+'Tabell 5.2'!K74+'Tabell 5.2'!K110</f>
        <v>-26.469000000000008</v>
      </c>
      <c r="L40" s="659">
        <f>'Tabell 5.1'!L14+'Tabell 5.1'!L26+'Tabell 5.1'!L38+'Tabell 5.1'!L50+'Tabell 5.1'!L64+'Tabell 5.1'!L76+'Tabell 5.1'!L88+'Tabell 5.1'!L100+'Tabell 5.2'!L14+'Tabell 5.2'!L26+'Tabell 5.2'!L38+'Tabell 5.2'!L50+'Tabell 5.2'!L86+'Tabell 5.2'!L98+'Tabell 5.2'!L124+'Tabell 5.2'!L136+L14+L26++'Tabell 5.2'!L62+'Tabell 5.2'!L74+'Tabell 5.2'!L110</f>
        <v>-6.7700000000000031</v>
      </c>
      <c r="M40" s="565">
        <f t="shared" si="15"/>
        <v>-74.400000000000006</v>
      </c>
      <c r="N40" s="659">
        <f>'Tabell 5.1'!N14+'Tabell 5.1'!N26+'Tabell 5.1'!N38+'Tabell 5.1'!N50+'Tabell 5.1'!N64+'Tabell 5.1'!N76+'Tabell 5.1'!N88+'Tabell 5.1'!N100+'Tabell 5.2'!N14+'Tabell 5.2'!N26+'Tabell 5.2'!N38+'Tabell 5.2'!N50+'Tabell 5.2'!N86+'Tabell 5.2'!N98+'Tabell 5.2'!N124+'Tabell 5.2'!N136+N14+N26+'Tabell 5.2'!N62+'Tabell 5.2'!N74+'Tabell 5.2'!N110</f>
        <v>6</v>
      </c>
      <c r="O40" s="659">
        <f>'Tabell 5.1'!O14+'Tabell 5.1'!O26+'Tabell 5.1'!O38+'Tabell 5.1'!O50+'Tabell 5.1'!O64+'Tabell 5.1'!O76+'Tabell 5.1'!O88+'Tabell 5.1'!O100+'Tabell 5.2'!O14+'Tabell 5.2'!O26+'Tabell 5.2'!O38+'Tabell 5.2'!O50+'Tabell 5.2'!O86+'Tabell 5.2'!O98+'Tabell 5.2'!O124+'Tabell 5.2'!O136+O14+O26+'Tabell 5.2'!O62+'Tabell 5.2'!O74+'Tabell 5.2'!O110</f>
        <v>9</v>
      </c>
      <c r="P40" s="659">
        <f t="shared" si="16"/>
        <v>50</v>
      </c>
      <c r="Q40" s="659">
        <f>'Tabell 5.1'!Q14+'Tabell 5.1'!Q26+'Tabell 5.1'!Q38+'Tabell 5.1'!Q50+'Tabell 5.1'!Q64+'Tabell 5.1'!Q76+'Tabell 5.1'!Q88+'Tabell 5.1'!Q100+'Tabell 5.2'!Q14+'Tabell 5.2'!Q26+'Tabell 5.2'!Q38+'Tabell 5.2'!Q50+'Tabell 5.2'!Q86+'Tabell 5.2'!Q98+'Tabell 5.2'!Q124+'Tabell 5.2'!Q136+Q14+Q26++'Tabell 5.2'!Q62+'Tabell 5.2'!Q74+'Tabell 5.2'!Q110</f>
        <v>263.30986641232028</v>
      </c>
      <c r="R40" s="659">
        <f>'Tabell 5.1'!R14+'Tabell 5.1'!R26+'Tabell 5.1'!R38+'Tabell 5.1'!R50+'Tabell 5.1'!R64+'Tabell 5.1'!R76+'Tabell 5.1'!R88+'Tabell 5.1'!R100+'Tabell 5.2'!R14+'Tabell 5.2'!R26+'Tabell 5.2'!R38+'Tabell 5.2'!R50+'Tabell 5.2'!R86+'Tabell 5.2'!R98+'Tabell 5.2'!R124+'Tabell 5.2'!R136+R14+R26++'Tabell 5.2'!R62+'Tabell 5.2'!R74+'Tabell 5.2'!R110</f>
        <v>-51.141805686668356</v>
      </c>
      <c r="S40" s="565">
        <f t="shared" si="17"/>
        <v>-119.4</v>
      </c>
      <c r="T40" s="659">
        <f>'Tabell 5.1'!T14+'Tabell 5.1'!T26+'Tabell 5.1'!T38+'Tabell 5.1'!T50+'Tabell 5.1'!T64+'Tabell 5.1'!T76+'Tabell 5.1'!T88+'Tabell 5.1'!T100+'Tabell 5.2'!T14+'Tabell 5.2'!T26+'Tabell 5.2'!T38+'Tabell 5.2'!T50+'Tabell 5.2'!T86+'Tabell 5.2'!T98+'Tabell 5.2'!T124+'Tabell 5.2'!T136+T14+T26+'Tabell 5.2'!T62+'Tabell 5.2'!T74+'Tabell 5.2'!T110</f>
        <v>-28</v>
      </c>
      <c r="U40" s="659">
        <f>'Tabell 5.1'!U14+'Tabell 5.1'!U26+'Tabell 5.1'!U38+'Tabell 5.1'!U50+'Tabell 5.1'!U64+'Tabell 5.1'!U76+'Tabell 5.1'!U88+'Tabell 5.1'!U100+'Tabell 5.2'!U14+'Tabell 5.2'!U26+'Tabell 5.2'!U38+'Tabell 5.2'!U50+'Tabell 5.2'!U86+'Tabell 5.2'!U98+'Tabell 5.2'!U124+'Tabell 5.2'!U136+U14+U26+'Tabell 5.2'!U62+'Tabell 5.2'!U74+'Tabell 5.2'!U110</f>
        <v>-32</v>
      </c>
      <c r="V40" s="659">
        <f t="shared" si="18"/>
        <v>14.3</v>
      </c>
      <c r="W40" s="659">
        <f>'Tabell 5.1'!W14+'Tabell 5.1'!W26+'Tabell 5.1'!W38+'Tabell 5.1'!W50+'Tabell 5.1'!W64+'Tabell 5.1'!W76+'Tabell 5.1'!W88+'Tabell 5.1'!W100+'Tabell 5.2'!W14+'Tabell 5.2'!W26+'Tabell 5.2'!W38+'Tabell 5.2'!W50+'Tabell 5.2'!W86+'Tabell 5.2'!W98+'Tabell 5.2'!W124+'Tabell 5.2'!W136+W14+W26++'Tabell 5.2'!W62+'Tabell 5.2'!W74+'Tabell 5.2'!W110</f>
        <v>244</v>
      </c>
      <c r="X40" s="659">
        <f>'Tabell 5.1'!X14+'Tabell 5.1'!X26+'Tabell 5.1'!X38+'Tabell 5.1'!X50+'Tabell 5.1'!X64+'Tabell 5.1'!X76+'Tabell 5.1'!X88+'Tabell 5.1'!X100+'Tabell 5.2'!X14+'Tabell 5.2'!X26+'Tabell 5.2'!X38+'Tabell 5.2'!X50+'Tabell 5.2'!X86+'Tabell 5.2'!X98+'Tabell 5.2'!X124+'Tabell 5.2'!X136+X14+X26++'Tabell 5.2'!X62+'Tabell 5.2'!X74+'Tabell 5.2'!X110</f>
        <v>224.82276915199998</v>
      </c>
      <c r="Y40" s="565">
        <f t="shared" si="19"/>
        <v>-7.9</v>
      </c>
      <c r="Z40" s="659">
        <f>'Tabell 5.1'!Z14+'Tabell 5.1'!Z26+'Tabell 5.1'!Z38+'Tabell 5.1'!Z50+'Tabell 5.1'!Z64+'Tabell 5.1'!Z76+'Tabell 5.1'!Z88+'Tabell 5.1'!Z100+'Tabell 5.2'!Z14+'Tabell 5.2'!Z26+'Tabell 5.2'!Z38+'Tabell 5.2'!Z50+'Tabell 5.2'!Z86+'Tabell 5.2'!Z98+'Tabell 5.2'!Z124+'Tabell 5.2'!Z136+Z14+Z26+'Tabell 5.2'!Z62+'Tabell 5.2'!Z74+'Tabell 5.2'!Z110</f>
        <v>30</v>
      </c>
      <c r="AA40" s="659">
        <f>'Tabell 5.1'!AA14+'Tabell 5.1'!AA26+'Tabell 5.1'!AA38+'Tabell 5.1'!AA50+'Tabell 5.1'!AA64+'Tabell 5.1'!AA76+'Tabell 5.1'!AA88+'Tabell 5.1'!AA100+'Tabell 5.2'!AA14+'Tabell 5.2'!AA26+'Tabell 5.2'!AA38+'Tabell 5.2'!AA50+'Tabell 5.2'!AA86+'Tabell 5.2'!AA98+'Tabell 5.2'!AA124+'Tabell 5.2'!AA136+AA14+AA26+'Tabell 5.2'!AA62+'Tabell 5.2'!AA74+'Tabell 5.2'!AA110</f>
        <v>16</v>
      </c>
      <c r="AB40" s="659">
        <f t="shared" si="20"/>
        <v>-46.7</v>
      </c>
      <c r="AC40" s="659">
        <f>'Tabell 5.1'!AC14+'Tabell 5.1'!AC26+'Tabell 5.1'!AC38+'Tabell 5.1'!AC50+'Tabell 5.1'!AC64+'Tabell 5.1'!AC76+'Tabell 5.1'!AC88+'Tabell 5.1'!AC100+'Tabell 5.2'!AC14+'Tabell 5.2'!AC26+'Tabell 5.2'!AC38+'Tabell 5.2'!AC50+'Tabell 5.2'!AC86+'Tabell 5.2'!AC98+'Tabell 5.2'!AC124+'Tabell 5.2'!AC136+AC14+AC26++'Tabell 5.2'!AC62+'Tabell 5.2'!AC74+'Tabell 5.2'!AC110</f>
        <v>2</v>
      </c>
      <c r="AD40" s="659">
        <f>'Tabell 5.1'!AD14+'Tabell 5.1'!AD26+'Tabell 5.1'!AD38+'Tabell 5.1'!AD50+'Tabell 5.1'!AD64+'Tabell 5.1'!AD76+'Tabell 5.1'!AD88+'Tabell 5.1'!AD100+'Tabell 5.2'!AD14+'Tabell 5.2'!AD26+'Tabell 5.2'!AD38+'Tabell 5.2'!AD50+'Tabell 5.2'!AD86+'Tabell 5.2'!AD98+'Tabell 5.2'!AD124+'Tabell 5.2'!AD136+AD14+AD26++'Tabell 5.2'!AD62+'Tabell 5.2'!AD74+'Tabell 5.2'!AD110</f>
        <v>9</v>
      </c>
      <c r="AE40" s="565">
        <f t="shared" si="21"/>
        <v>350</v>
      </c>
      <c r="AF40" s="659">
        <f>'Tabell 5.1'!AF14+'Tabell 5.1'!AF26+'Tabell 5.1'!AF38+'Tabell 5.1'!AF50+'Tabell 5.1'!AF64+'Tabell 5.1'!AF76+'Tabell 5.1'!AF88+'Tabell 5.1'!AF100+'Tabell 5.2'!AF14+'Tabell 5.2'!AF26+'Tabell 5.2'!AF38+'Tabell 5.2'!AF50+'Tabell 5.2'!AF86+'Tabell 5.2'!AF98+'Tabell 5.2'!AF124+'Tabell 5.2'!AF136+AF14+AF26+'Tabell 5.2'!AF62+'Tabell 5.2'!AF74+'Tabell 5.2'!AF110</f>
        <v>-21.097999999999999</v>
      </c>
      <c r="AG40" s="659">
        <f>'Tabell 5.1'!AG14+'Tabell 5.1'!AG26+'Tabell 5.1'!AG38+'Tabell 5.1'!AG50+'Tabell 5.1'!AG64+'Tabell 5.1'!AG76+'Tabell 5.1'!AG88+'Tabell 5.1'!AG100+'Tabell 5.2'!AG14+'Tabell 5.2'!AG26+'Tabell 5.2'!AG38+'Tabell 5.2'!AG50+'Tabell 5.2'!AG86+'Tabell 5.2'!AG98+'Tabell 5.2'!AG124+'Tabell 5.2'!AG136+AG14+AG26+'Tabell 5.2'!AG62+'Tabell 5.2'!AG74+'Tabell 5.2'!AG110</f>
        <v>0</v>
      </c>
      <c r="AH40" s="659">
        <f t="shared" si="22"/>
        <v>-100</v>
      </c>
      <c r="AI40" s="659">
        <f>'Tabell 5.1'!AI14+'Tabell 5.1'!AI26+'Tabell 5.1'!AI38+'Tabell 5.1'!AI50+'Tabell 5.1'!AI64+'Tabell 5.1'!AI76+'Tabell 5.1'!AI88+'Tabell 5.1'!AI100+'Tabell 5.2'!AI14+'Tabell 5.2'!AI26+'Tabell 5.2'!AI38+'Tabell 5.2'!AI50+'Tabell 5.2'!AI86+'Tabell 5.2'!AI98+'Tabell 5.2'!AI124+'Tabell 5.2'!AI136+AI14+AI26++'Tabell 5.2'!AI62+'Tabell 5.2'!AI74+'Tabell 5.2'!AI110</f>
        <v>23.885000000000002</v>
      </c>
      <c r="AJ40" s="659">
        <f>'Tabell 5.1'!AJ14+'Tabell 5.1'!AJ26+'Tabell 5.1'!AJ38+'Tabell 5.1'!AJ50+'Tabell 5.1'!AJ64+'Tabell 5.1'!AJ76+'Tabell 5.1'!AJ88+'Tabell 5.1'!AJ100+'Tabell 5.2'!AJ14+'Tabell 5.2'!AJ26+'Tabell 5.2'!AJ38+'Tabell 5.2'!AJ50+'Tabell 5.2'!AJ86+'Tabell 5.2'!AJ98+'Tabell 5.2'!AJ124+'Tabell 5.2'!AJ136+AJ14+AJ26++'Tabell 5.2'!AJ62+'Tabell 5.2'!AJ74+'Tabell 5.2'!AJ110</f>
        <v>-71.313000000000002</v>
      </c>
      <c r="AK40" s="565">
        <f t="shared" si="23"/>
        <v>-398.6</v>
      </c>
      <c r="AL40" s="659">
        <f>'Tabell 5.1'!AL14+'Tabell 5.1'!AL26+'Tabell 5.1'!AL38+'Tabell 5.1'!AL50+'Tabell 5.1'!AL64+'Tabell 5.1'!AL76+'Tabell 5.1'!AL88+'Tabell 5.1'!AL100+'Tabell 5.2'!AL14+'Tabell 5.2'!AL26+'Tabell 5.2'!AL38+'Tabell 5.2'!AL50+'Tabell 5.2'!AL86+'Tabell 5.2'!AL98+'Tabell 5.2'!AL124+'Tabell 5.2'!AL136+AL14+AL26+'Tabell 5.2'!AL62+'Tabell 5.2'!AL74+'Tabell 5.2'!AL110</f>
        <v>35.06</v>
      </c>
      <c r="AM40" s="659">
        <f>'Tabell 5.1'!AM14+'Tabell 5.1'!AM26+'Tabell 5.1'!AM38+'Tabell 5.1'!AM50+'Tabell 5.1'!AM64+'Tabell 5.1'!AM76+'Tabell 5.1'!AM88+'Tabell 5.1'!AM100+'Tabell 5.2'!AM14+'Tabell 5.2'!AM26+'Tabell 5.2'!AM38+'Tabell 5.2'!AM50+'Tabell 5.2'!AM86+'Tabell 5.2'!AM98+'Tabell 5.2'!AM124+'Tabell 5.2'!AM136+AM14+AM26+'Tabell 5.2'!AM62+'Tabell 5.2'!AM74+'Tabell 5.2'!AM110</f>
        <v>186.20000000000002</v>
      </c>
      <c r="AN40" s="659">
        <f t="shared" si="24"/>
        <v>431.1</v>
      </c>
      <c r="AO40" s="659">
        <f>'Tabell 5.1'!AO14+'Tabell 5.1'!AO26+'Tabell 5.1'!AO38+'Tabell 5.1'!AO50+'Tabell 5.1'!AO64+'Tabell 5.1'!AO76+'Tabell 5.1'!AO88+'Tabell 5.1'!AO100+'Tabell 5.2'!AO14+'Tabell 5.2'!AO26+'Tabell 5.2'!AO38+'Tabell 5.2'!AO50+'Tabell 5.2'!AO86+'Tabell 5.2'!AO98+'Tabell 5.2'!AO124+'Tabell 5.2'!AO136+AO14+AO26++'Tabell 5.2'!AO62+'Tabell 5.2'!AO74+'Tabell 5.2'!AO110</f>
        <v>893.31986641232027</v>
      </c>
      <c r="AP40" s="659">
        <f>'Tabell 5.1'!AP14+'Tabell 5.1'!AP26+'Tabell 5.1'!AP38+'Tabell 5.1'!AP50+'Tabell 5.1'!AP64+'Tabell 5.1'!AP76+'Tabell 5.1'!AP88+'Tabell 5.1'!AP100+'Tabell 5.2'!AP14+'Tabell 5.2'!AP26+'Tabell 5.2'!AP38+'Tabell 5.2'!AP50+'Tabell 5.2'!AP86+'Tabell 5.2'!AP98+'Tabell 5.2'!AP124+'Tabell 5.2'!AP136+AP14+AP26++'Tabell 5.2'!AP62+'Tabell 5.2'!AP74+'Tabell 5.2'!AP110</f>
        <v>708.40636346533176</v>
      </c>
      <c r="AQ40" s="565">
        <f t="shared" si="25"/>
        <v>-20.7</v>
      </c>
      <c r="AR40" s="659">
        <f>'Tabell 5.1'!AR14+'Tabell 5.1'!AR26+'Tabell 5.1'!AR38+'Tabell 5.1'!AR50+'Tabell 5.1'!AR64+'Tabell 5.1'!AR76+'Tabell 5.1'!AR88+'Tabell 5.1'!AR100+'Tabell 5.2'!AR14+'Tabell 5.2'!AR26+'Tabell 5.2'!AR38+'Tabell 5.2'!AR50+'Tabell 5.2'!AR86+'Tabell 5.2'!AR98+'Tabell 5.2'!AR124+'Tabell 5.2'!AR136+AR14+AR26+'Tabell 5.2'!AR62+'Tabell 5.2'!AR74+'Tabell 5.2'!AR110</f>
        <v>894.25786641232025</v>
      </c>
      <c r="AS40" s="659">
        <f>'Tabell 5.1'!AS14+'Tabell 5.1'!AS26+'Tabell 5.1'!AS38+'Tabell 5.1'!AS50+'Tabell 5.1'!AS64+'Tabell 5.1'!AS76+'Tabell 5.1'!AS88+'Tabell 5.1'!AS100+'Tabell 5.2'!AS14+'Tabell 5.2'!AS26+'Tabell 5.2'!AS38+'Tabell 5.2'!AS50+'Tabell 5.2'!AS86+'Tabell 5.2'!AS98+'Tabell 5.2'!AS124+'Tabell 5.2'!AS136+AS14+AS26+'Tabell 5.2'!AS62+'Tabell 5.2'!AS74+'Tabell 5.2'!AS110</f>
        <v>689.38636346533167</v>
      </c>
      <c r="AT40" s="565">
        <f t="shared" si="26"/>
        <v>-22.9</v>
      </c>
      <c r="AU40" s="699"/>
      <c r="AV40" s="638"/>
      <c r="AW40" s="633"/>
      <c r="AX40" s="633"/>
    </row>
    <row r="41" spans="1:50" s="660" customFormat="1" ht="18.75" customHeight="1" x14ac:dyDescent="0.3">
      <c r="A41" s="509" t="s">
        <v>435</v>
      </c>
      <c r="B41" s="659">
        <f>'Tabell 5.1'!B15+'Tabell 5.1'!B27+'Tabell 5.1'!B39+'Tabell 5.1'!B51+'Tabell 5.1'!B65+'Tabell 5.1'!B77+'Tabell 5.1'!B89+'Tabell 5.1'!B101+'Tabell 5.2'!B15+'Tabell 5.2'!B27+'Tabell 5.2'!B39+'Tabell 5.2'!B51+'Tabell 5.2'!B87+'Tabell 5.2'!B99+'Tabell 5.2'!B125+'Tabell 5.2'!B137+B15+B27+'Tabell 5.2'!B63+'Tabell 5.2'!B75+'Tabell 5.2'!B111</f>
        <v>0</v>
      </c>
      <c r="C41" s="659">
        <f>'Tabell 5.1'!C15+'Tabell 5.1'!C27+'Tabell 5.1'!C39+'Tabell 5.1'!C51+'Tabell 5.1'!C65+'Tabell 5.1'!C77+'Tabell 5.1'!C89+'Tabell 5.1'!C101+'Tabell 5.2'!C15+'Tabell 5.2'!C27+'Tabell 5.2'!C39+'Tabell 5.2'!C51+'Tabell 5.2'!C87+'Tabell 5.2'!C99+'Tabell 5.2'!C125+'Tabell 5.2'!C137+C15+C27+'Tabell 5.2'!C63+'Tabell 5.2'!C75+'Tabell 5.2'!C111</f>
        <v>0</v>
      </c>
      <c r="D41" s="659" t="str">
        <f t="shared" si="12"/>
        <v xml:space="preserve">    ---- </v>
      </c>
      <c r="E41" s="659">
        <f>'Tabell 5.1'!E15+'Tabell 5.1'!E27+'Tabell 5.1'!E39+'Tabell 5.1'!E51+'Tabell 5.1'!E65+'Tabell 5.1'!E77+'Tabell 5.1'!E89+'Tabell 5.1'!E101+'Tabell 5.2'!E15+'Tabell 5.2'!E27+'Tabell 5.2'!E39+'Tabell 5.2'!E51+'Tabell 5.2'!E87+'Tabell 5.2'!E99+'Tabell 5.2'!E125+'Tabell 5.2'!E137+'Tabell 5.3'!E15+'Tabell 5.3'!E27+'Tabell 5.2'!E63+'Tabell 5.2'!E75+'Tabell 5.2'!E111</f>
        <v>101.56299999999999</v>
      </c>
      <c r="F41" s="659">
        <f>'Tabell 5.1'!F15+'Tabell 5.1'!F27+'Tabell 5.1'!F39+'Tabell 5.1'!F51+'Tabell 5.1'!F65+'Tabell 5.1'!F77+'Tabell 5.1'!F89+'Tabell 5.1'!F101+'Tabell 5.2'!F15+'Tabell 5.2'!F27+'Tabell 5.2'!F39+'Tabell 5.2'!F51+'Tabell 5.2'!F87+'Tabell 5.2'!F99+'Tabell 5.2'!F125+'Tabell 5.2'!F137+'Tabell 5.3'!F15+'Tabell 5.3'!F27+'Tabell 5.2'!F63+'Tabell 5.2'!F75+'Tabell 5.2'!F111</f>
        <v>55.479100000000003</v>
      </c>
      <c r="G41" s="565">
        <f t="shared" si="13"/>
        <v>-45.4</v>
      </c>
      <c r="H41" s="659">
        <f>'Tabell 5.1'!H15+'Tabell 5.1'!H27+'Tabell 5.1'!H39+'Tabell 5.1'!H51+'Tabell 5.1'!H65+'Tabell 5.1'!H77+'Tabell 5.1'!H89+'Tabell 5.1'!H101+'Tabell 5.2'!H15+'Tabell 5.2'!H27+'Tabell 5.2'!H39+'Tabell 5.2'!H51+'Tabell 5.2'!H87+'Tabell 5.2'!H99+'Tabell 5.2'!H125+'Tabell 5.2'!H137+H15+H27+'Tabell 5.2'!H63+'Tabell 5.2'!H75+'Tabell 5.2'!H111</f>
        <v>0</v>
      </c>
      <c r="I41" s="659">
        <f>'Tabell 5.1'!I15+'Tabell 5.1'!I27+'Tabell 5.1'!I39+'Tabell 5.1'!I51+'Tabell 5.1'!I65+'Tabell 5.1'!I77+'Tabell 5.1'!I89+'Tabell 5.1'!I101+'Tabell 5.2'!I15+'Tabell 5.2'!I27+'Tabell 5.2'!I39+'Tabell 5.2'!I51+'Tabell 5.2'!I87+'Tabell 5.2'!I99+'Tabell 5.2'!I125+'Tabell 5.2'!I137+I15+I27+'Tabell 5.2'!I63+'Tabell 5.2'!I75+'Tabell 5.2'!I111</f>
        <v>0</v>
      </c>
      <c r="J41" s="659" t="str">
        <f t="shared" si="14"/>
        <v xml:space="preserve">    ---- </v>
      </c>
      <c r="K41" s="659">
        <f>'Tabell 5.1'!K15+'Tabell 5.1'!K27+'Tabell 5.1'!K39+'Tabell 5.1'!K51+'Tabell 5.1'!K65+'Tabell 5.1'!K77+'Tabell 5.1'!K89+'Tabell 5.1'!K101+'Tabell 5.2'!K15+'Tabell 5.2'!K27+'Tabell 5.2'!K39+'Tabell 5.2'!K51+'Tabell 5.2'!K87+'Tabell 5.2'!K99+'Tabell 5.2'!K125+'Tabell 5.2'!K137+K15+K27++'Tabell 5.2'!K63+'Tabell 5.2'!K75+'Tabell 5.2'!K111</f>
        <v>0</v>
      </c>
      <c r="L41" s="659">
        <f>'Tabell 5.1'!L15+'Tabell 5.1'!L27+'Tabell 5.1'!L39+'Tabell 5.1'!L51+'Tabell 5.1'!L65+'Tabell 5.1'!L77+'Tabell 5.1'!L89+'Tabell 5.1'!L101+'Tabell 5.2'!L15+'Tabell 5.2'!L27+'Tabell 5.2'!L39+'Tabell 5.2'!L51+'Tabell 5.2'!L87+'Tabell 5.2'!L99+'Tabell 5.2'!L125+'Tabell 5.2'!L137+L15+L27++'Tabell 5.2'!L63+'Tabell 5.2'!L75+'Tabell 5.2'!L111</f>
        <v>0</v>
      </c>
      <c r="M41" s="565" t="str">
        <f t="shared" si="15"/>
        <v xml:space="preserve">    ---- </v>
      </c>
      <c r="N41" s="659">
        <f>'Tabell 5.1'!N15+'Tabell 5.1'!N27+'Tabell 5.1'!N39+'Tabell 5.1'!N51+'Tabell 5.1'!N65+'Tabell 5.1'!N77+'Tabell 5.1'!N89+'Tabell 5.1'!N101+'Tabell 5.2'!N15+'Tabell 5.2'!N27+'Tabell 5.2'!N39+'Tabell 5.2'!N51+'Tabell 5.2'!N87+'Tabell 5.2'!N99+'Tabell 5.2'!N125+'Tabell 5.2'!N137+N15+N27+'Tabell 5.2'!N63+'Tabell 5.2'!N75+'Tabell 5.2'!N111</f>
        <v>0</v>
      </c>
      <c r="O41" s="659">
        <f>'Tabell 5.1'!O15+'Tabell 5.1'!O27+'Tabell 5.1'!O39+'Tabell 5.1'!O51+'Tabell 5.1'!O65+'Tabell 5.1'!O77+'Tabell 5.1'!O89+'Tabell 5.1'!O101+'Tabell 5.2'!O15+'Tabell 5.2'!O27+'Tabell 5.2'!O39+'Tabell 5.2'!O51+'Tabell 5.2'!O87+'Tabell 5.2'!O99+'Tabell 5.2'!O125+'Tabell 5.2'!O137+O15+O27+'Tabell 5.2'!O63+'Tabell 5.2'!O75+'Tabell 5.2'!O111</f>
        <v>0</v>
      </c>
      <c r="P41" s="659" t="str">
        <f t="shared" si="16"/>
        <v xml:space="preserve">    ---- </v>
      </c>
      <c r="Q41" s="659">
        <f>'Tabell 5.1'!Q15+'Tabell 5.1'!Q27+'Tabell 5.1'!Q39+'Tabell 5.1'!Q51+'Tabell 5.1'!Q65+'Tabell 5.1'!Q77+'Tabell 5.1'!Q89+'Tabell 5.1'!Q101+'Tabell 5.2'!Q15+'Tabell 5.2'!Q27+'Tabell 5.2'!Q39+'Tabell 5.2'!Q51+'Tabell 5.2'!Q87+'Tabell 5.2'!Q99+'Tabell 5.2'!Q125+'Tabell 5.2'!Q137+Q15+Q27++'Tabell 5.2'!Q63+'Tabell 5.2'!Q75+'Tabell 5.2'!Q111</f>
        <v>0</v>
      </c>
      <c r="R41" s="659">
        <f>'Tabell 5.1'!R15+'Tabell 5.1'!R27+'Tabell 5.1'!R39+'Tabell 5.1'!R51+'Tabell 5.1'!R65+'Tabell 5.1'!R77+'Tabell 5.1'!R89+'Tabell 5.1'!R101+'Tabell 5.2'!R15+'Tabell 5.2'!R27+'Tabell 5.2'!R39+'Tabell 5.2'!R51+'Tabell 5.2'!R87+'Tabell 5.2'!R99+'Tabell 5.2'!R125+'Tabell 5.2'!R137+R15+R27++'Tabell 5.2'!R63+'Tabell 5.2'!R75+'Tabell 5.2'!R111</f>
        <v>0</v>
      </c>
      <c r="S41" s="565" t="str">
        <f t="shared" si="17"/>
        <v xml:space="preserve">    ---- </v>
      </c>
      <c r="T41" s="659">
        <f>'Tabell 5.1'!T15+'Tabell 5.1'!T27+'Tabell 5.1'!T39+'Tabell 5.1'!T51+'Tabell 5.1'!T65+'Tabell 5.1'!T77+'Tabell 5.1'!T89+'Tabell 5.1'!T101+'Tabell 5.2'!T15+'Tabell 5.2'!T27+'Tabell 5.2'!T39+'Tabell 5.2'!T51+'Tabell 5.2'!T87+'Tabell 5.2'!T99+'Tabell 5.2'!T125+'Tabell 5.2'!T137+T15+T27+'Tabell 5.2'!T63+'Tabell 5.2'!T75+'Tabell 5.2'!T111</f>
        <v>3</v>
      </c>
      <c r="U41" s="659">
        <f>'Tabell 5.1'!U15+'Tabell 5.1'!U27+'Tabell 5.1'!U39+'Tabell 5.1'!U51+'Tabell 5.1'!U65+'Tabell 5.1'!U77+'Tabell 5.1'!U89+'Tabell 5.1'!U101+'Tabell 5.2'!U15+'Tabell 5.2'!U27+'Tabell 5.2'!U39+'Tabell 5.2'!U51+'Tabell 5.2'!U87+'Tabell 5.2'!U99+'Tabell 5.2'!U125+'Tabell 5.2'!U137+U15+U27+'Tabell 5.2'!U63+'Tabell 5.2'!U75+'Tabell 5.2'!U111</f>
        <v>3</v>
      </c>
      <c r="V41" s="659">
        <f t="shared" si="18"/>
        <v>0</v>
      </c>
      <c r="W41" s="659">
        <f>'Tabell 5.1'!W15+'Tabell 5.1'!W27+'Tabell 5.1'!W39+'Tabell 5.1'!W51+'Tabell 5.1'!W65+'Tabell 5.1'!W77+'Tabell 5.1'!W89+'Tabell 5.1'!W101+'Tabell 5.2'!W15+'Tabell 5.2'!W27+'Tabell 5.2'!W39+'Tabell 5.2'!W51+'Tabell 5.2'!W87+'Tabell 5.2'!W99+'Tabell 5.2'!W125+'Tabell 5.2'!W137+W15+W27++'Tabell 5.2'!W63+'Tabell 5.2'!W75+'Tabell 5.2'!W111</f>
        <v>12</v>
      </c>
      <c r="X41" s="659">
        <f>'Tabell 5.1'!X15+'Tabell 5.1'!X27+'Tabell 5.1'!X39+'Tabell 5.1'!X51+'Tabell 5.1'!X65+'Tabell 5.1'!X77+'Tabell 5.1'!X89+'Tabell 5.1'!X101+'Tabell 5.2'!X15+'Tabell 5.2'!X27+'Tabell 5.2'!X39+'Tabell 5.2'!X51+'Tabell 5.2'!X87+'Tabell 5.2'!X99+'Tabell 5.2'!X125+'Tabell 5.2'!X137+X15+X27++'Tabell 5.2'!X63+'Tabell 5.2'!X75+'Tabell 5.2'!X111</f>
        <v>4.1174720999999996</v>
      </c>
      <c r="Y41" s="565">
        <f t="shared" si="19"/>
        <v>-65.7</v>
      </c>
      <c r="Z41" s="659">
        <f>'Tabell 5.1'!Z15+'Tabell 5.1'!Z27+'Tabell 5.1'!Z39+'Tabell 5.1'!Z51+'Tabell 5.1'!Z65+'Tabell 5.1'!Z77+'Tabell 5.1'!Z89+'Tabell 5.1'!Z101+'Tabell 5.2'!Z15+'Tabell 5.2'!Z27+'Tabell 5.2'!Z39+'Tabell 5.2'!Z51+'Tabell 5.2'!Z87+'Tabell 5.2'!Z99+'Tabell 5.2'!Z125+'Tabell 5.2'!Z137+Z15+Z27+'Tabell 5.2'!Z63+'Tabell 5.2'!Z75+'Tabell 5.2'!Z111</f>
        <v>0</v>
      </c>
      <c r="AA41" s="659">
        <f>'Tabell 5.1'!AA15+'Tabell 5.1'!AA27+'Tabell 5.1'!AA39+'Tabell 5.1'!AA51+'Tabell 5.1'!AA65+'Tabell 5.1'!AA77+'Tabell 5.1'!AA89+'Tabell 5.1'!AA101+'Tabell 5.2'!AA15+'Tabell 5.2'!AA27+'Tabell 5.2'!AA39+'Tabell 5.2'!AA51+'Tabell 5.2'!AA87+'Tabell 5.2'!AA99+'Tabell 5.2'!AA125+'Tabell 5.2'!AA137+AA15+AA27+'Tabell 5.2'!AA63+'Tabell 5.2'!AA75+'Tabell 5.2'!AA111</f>
        <v>0</v>
      </c>
      <c r="AB41" s="659" t="str">
        <f t="shared" si="20"/>
        <v xml:space="preserve">    ---- </v>
      </c>
      <c r="AC41" s="659">
        <f>'Tabell 5.1'!AC15+'Tabell 5.1'!AC27+'Tabell 5.1'!AC39+'Tabell 5.1'!AC51+'Tabell 5.1'!AC65+'Tabell 5.1'!AC77+'Tabell 5.1'!AC89+'Tabell 5.1'!AC101+'Tabell 5.2'!AC15+'Tabell 5.2'!AC27+'Tabell 5.2'!AC39+'Tabell 5.2'!AC51+'Tabell 5.2'!AC87+'Tabell 5.2'!AC99+'Tabell 5.2'!AC125+'Tabell 5.2'!AC137+AC15+AC27++'Tabell 5.2'!AC63+'Tabell 5.2'!AC75+'Tabell 5.2'!AC111</f>
        <v>0</v>
      </c>
      <c r="AD41" s="659">
        <f>'Tabell 5.1'!AD15+'Tabell 5.1'!AD27+'Tabell 5.1'!AD39+'Tabell 5.1'!AD51+'Tabell 5.1'!AD65+'Tabell 5.1'!AD77+'Tabell 5.1'!AD89+'Tabell 5.1'!AD101+'Tabell 5.2'!AD15+'Tabell 5.2'!AD27+'Tabell 5.2'!AD39+'Tabell 5.2'!AD51+'Tabell 5.2'!AD87+'Tabell 5.2'!AD99+'Tabell 5.2'!AD125+'Tabell 5.2'!AD137+AD15+AD27++'Tabell 5.2'!AD63+'Tabell 5.2'!AD75+'Tabell 5.2'!AD111</f>
        <v>0</v>
      </c>
      <c r="AE41" s="565" t="str">
        <f t="shared" si="21"/>
        <v xml:space="preserve">    ---- </v>
      </c>
      <c r="AF41" s="659">
        <f>'Tabell 5.1'!AF15+'Tabell 5.1'!AF27+'Tabell 5.1'!AF39+'Tabell 5.1'!AF51+'Tabell 5.1'!AF65+'Tabell 5.1'!AF77+'Tabell 5.1'!AF89+'Tabell 5.1'!AF101+'Tabell 5.2'!AF15+'Tabell 5.2'!AF27+'Tabell 5.2'!AF39+'Tabell 5.2'!AF51+'Tabell 5.2'!AF87+'Tabell 5.2'!AF99+'Tabell 5.2'!AF125+'Tabell 5.2'!AF137+AF15+AF27+'Tabell 5.2'!AF63+'Tabell 5.2'!AF75+'Tabell 5.2'!AF111</f>
        <v>0</v>
      </c>
      <c r="AG41" s="659">
        <f>'Tabell 5.1'!AG15+'Tabell 5.1'!AG27+'Tabell 5.1'!AG39+'Tabell 5.1'!AG51+'Tabell 5.1'!AG65+'Tabell 5.1'!AG77+'Tabell 5.1'!AG89+'Tabell 5.1'!AG101+'Tabell 5.2'!AG15+'Tabell 5.2'!AG27+'Tabell 5.2'!AG39+'Tabell 5.2'!AG51+'Tabell 5.2'!AG87+'Tabell 5.2'!AG99+'Tabell 5.2'!AG125+'Tabell 5.2'!AG137+AG15+AG27+'Tabell 5.2'!AG63+'Tabell 5.2'!AG75+'Tabell 5.2'!AG111</f>
        <v>0</v>
      </c>
      <c r="AH41" s="659" t="str">
        <f t="shared" si="22"/>
        <v xml:space="preserve">    ---- </v>
      </c>
      <c r="AI41" s="659">
        <f>'Tabell 5.1'!AI15+'Tabell 5.1'!AI27+'Tabell 5.1'!AI39+'Tabell 5.1'!AI51+'Tabell 5.1'!AI65+'Tabell 5.1'!AI77+'Tabell 5.1'!AI89+'Tabell 5.1'!AI101+'Tabell 5.2'!AI15+'Tabell 5.2'!AI27+'Tabell 5.2'!AI39+'Tabell 5.2'!AI51+'Tabell 5.2'!AI87+'Tabell 5.2'!AI99+'Tabell 5.2'!AI125+'Tabell 5.2'!AI137+AI15+AI27++'Tabell 5.2'!AI63+'Tabell 5.2'!AI75+'Tabell 5.2'!AI111</f>
        <v>0</v>
      </c>
      <c r="AJ41" s="659">
        <f>'Tabell 5.1'!AJ15+'Tabell 5.1'!AJ27+'Tabell 5.1'!AJ39+'Tabell 5.1'!AJ51+'Tabell 5.1'!AJ65+'Tabell 5.1'!AJ77+'Tabell 5.1'!AJ89+'Tabell 5.1'!AJ101+'Tabell 5.2'!AJ15+'Tabell 5.2'!AJ27+'Tabell 5.2'!AJ39+'Tabell 5.2'!AJ51+'Tabell 5.2'!AJ87+'Tabell 5.2'!AJ99+'Tabell 5.2'!AJ125+'Tabell 5.2'!AJ137+AJ15+AJ27++'Tabell 5.2'!AJ63+'Tabell 5.2'!AJ75+'Tabell 5.2'!AJ111</f>
        <v>0</v>
      </c>
      <c r="AK41" s="565" t="str">
        <f t="shared" si="23"/>
        <v xml:space="preserve">    ---- </v>
      </c>
      <c r="AL41" s="659">
        <f>'Tabell 5.1'!AL15+'Tabell 5.1'!AL27+'Tabell 5.1'!AL39+'Tabell 5.1'!AL51+'Tabell 5.1'!AL65+'Tabell 5.1'!AL77+'Tabell 5.1'!AL89+'Tabell 5.1'!AL101+'Tabell 5.2'!AL15+'Tabell 5.2'!AL27+'Tabell 5.2'!AL39+'Tabell 5.2'!AL51+'Tabell 5.2'!AL87+'Tabell 5.2'!AL99+'Tabell 5.2'!AL125+'Tabell 5.2'!AL137+AL15+AL27+'Tabell 5.2'!AL63+'Tabell 5.2'!AL75+'Tabell 5.2'!AL111</f>
        <v>159</v>
      </c>
      <c r="AM41" s="659">
        <f>'Tabell 5.1'!AM15+'Tabell 5.1'!AM27+'Tabell 5.1'!AM39+'Tabell 5.1'!AM51+'Tabell 5.1'!AM65+'Tabell 5.1'!AM77+'Tabell 5.1'!AM89+'Tabell 5.1'!AM101+'Tabell 5.2'!AM15+'Tabell 5.2'!AM27+'Tabell 5.2'!AM39+'Tabell 5.2'!AM51+'Tabell 5.2'!AM87+'Tabell 5.2'!AM99+'Tabell 5.2'!AM125+'Tabell 5.2'!AM137+AM15+AM27+'Tabell 5.2'!AM63+'Tabell 5.2'!AM75+'Tabell 5.2'!AM111</f>
        <v>106.5</v>
      </c>
      <c r="AN41" s="659">
        <f t="shared" si="24"/>
        <v>-33</v>
      </c>
      <c r="AO41" s="659">
        <f>'Tabell 5.1'!AO15+'Tabell 5.1'!AO27+'Tabell 5.1'!AO39+'Tabell 5.1'!AO51+'Tabell 5.1'!AO65+'Tabell 5.1'!AO77+'Tabell 5.1'!AO89+'Tabell 5.1'!AO101+'Tabell 5.2'!AO15+'Tabell 5.2'!AO27+'Tabell 5.2'!AO39+'Tabell 5.2'!AO51+'Tabell 5.2'!AO87+'Tabell 5.2'!AO99+'Tabell 5.2'!AO125+'Tabell 5.2'!AO137+AO15+AO27++'Tabell 5.2'!AO63+'Tabell 5.2'!AO75+'Tabell 5.2'!AO111</f>
        <v>275.56299999999999</v>
      </c>
      <c r="AP41" s="659">
        <f>'Tabell 5.1'!AP15+'Tabell 5.1'!AP27+'Tabell 5.1'!AP39+'Tabell 5.1'!AP51+'Tabell 5.1'!AP65+'Tabell 5.1'!AP77+'Tabell 5.1'!AP89+'Tabell 5.1'!AP101+'Tabell 5.2'!AP15+'Tabell 5.2'!AP27+'Tabell 5.2'!AP39+'Tabell 5.2'!AP51+'Tabell 5.2'!AP87+'Tabell 5.2'!AP99+'Tabell 5.2'!AP125+'Tabell 5.2'!AP137+AP15+AP27++'Tabell 5.2'!AP63+'Tabell 5.2'!AP75+'Tabell 5.2'!AP111</f>
        <v>169.0965721</v>
      </c>
      <c r="AQ41" s="565">
        <f t="shared" si="25"/>
        <v>-38.6</v>
      </c>
      <c r="AR41" s="659">
        <f>'Tabell 5.1'!AR15+'Tabell 5.1'!AR27+'Tabell 5.1'!AR39+'Tabell 5.1'!AR51+'Tabell 5.1'!AR65+'Tabell 5.1'!AR77+'Tabell 5.1'!AR89+'Tabell 5.1'!AR101+'Tabell 5.2'!AR15+'Tabell 5.2'!AR27+'Tabell 5.2'!AR39+'Tabell 5.2'!AR51+'Tabell 5.2'!AR87+'Tabell 5.2'!AR99+'Tabell 5.2'!AR125+'Tabell 5.2'!AR137+AR15+AR27+'Tabell 5.2'!AR63+'Tabell 5.2'!AR75+'Tabell 5.2'!AR111</f>
        <v>275.56299999999999</v>
      </c>
      <c r="AS41" s="659">
        <f>'Tabell 5.1'!AS15+'Tabell 5.1'!AS27+'Tabell 5.1'!AS39+'Tabell 5.1'!AS51+'Tabell 5.1'!AS65+'Tabell 5.1'!AS77+'Tabell 5.1'!AS89+'Tabell 5.1'!AS101+'Tabell 5.2'!AS15+'Tabell 5.2'!AS27+'Tabell 5.2'!AS39+'Tabell 5.2'!AS51+'Tabell 5.2'!AS87+'Tabell 5.2'!AS99+'Tabell 5.2'!AS125+'Tabell 5.2'!AS137+AS15+AS27+'Tabell 5.2'!AS63+'Tabell 5.2'!AS75+'Tabell 5.2'!AS111</f>
        <v>169.0965721</v>
      </c>
      <c r="AT41" s="565"/>
      <c r="AU41" s="699"/>
      <c r="AV41" s="638"/>
      <c r="AW41" s="633"/>
      <c r="AX41" s="633"/>
    </row>
    <row r="42" spans="1:50" s="660" customFormat="1" ht="18.75" customHeight="1" x14ac:dyDescent="0.3">
      <c r="A42" s="509" t="s">
        <v>436</v>
      </c>
      <c r="B42" s="659">
        <f>'Tabell 5.1'!B16+'Tabell 5.1'!B28+'Tabell 5.1'!B40+'Tabell 5.1'!B52+'Tabell 5.1'!B66+'Tabell 5.1'!B78+'Tabell 5.1'!B90+'Tabell 5.1'!B102+'Tabell 5.2'!B16+'Tabell 5.2'!B28+'Tabell 5.2'!B40+'Tabell 5.2'!B52+'Tabell 5.2'!B88+'Tabell 5.2'!B100+'Tabell 5.2'!B126+'Tabell 5.2'!B138+B16+B28+'Tabell 5.2'!B64+'Tabell 5.2'!B76+'Tabell 5.2'!B112</f>
        <v>0.81899999999999995</v>
      </c>
      <c r="C42" s="659">
        <f>'Tabell 5.1'!C16+'Tabell 5.1'!C28+'Tabell 5.1'!C40+'Tabell 5.1'!C52+'Tabell 5.1'!C66+'Tabell 5.1'!C78+'Tabell 5.1'!C90+'Tabell 5.1'!C102+'Tabell 5.2'!C16+'Tabell 5.2'!C28+'Tabell 5.2'!C40+'Tabell 5.2'!C52+'Tabell 5.2'!C88+'Tabell 5.2'!C100+'Tabell 5.2'!C126+'Tabell 5.2'!C138+C16+C28+'Tabell 5.2'!C64+'Tabell 5.2'!C76+'Tabell 5.2'!C112</f>
        <v>0.85799999999999998</v>
      </c>
      <c r="D42" s="659">
        <f t="shared" si="12"/>
        <v>4.8</v>
      </c>
      <c r="E42" s="659">
        <f>'Tabell 5.1'!E16+'Tabell 5.1'!E28+'Tabell 5.1'!E40+'Tabell 5.1'!E52+'Tabell 5.1'!E66+'Tabell 5.1'!E78+'Tabell 5.1'!E90+'Tabell 5.1'!E102+'Tabell 5.2'!E16+'Tabell 5.2'!E28+'Tabell 5.2'!E40+'Tabell 5.2'!E52+'Tabell 5.2'!E88+'Tabell 5.2'!E100+'Tabell 5.2'!E126+'Tabell 5.2'!E138+'Tabell 5.3'!E16+'Tabell 5.3'!E28+'Tabell 5.2'!E64+'Tabell 5.2'!E76+'Tabell 5.2'!E112</f>
        <v>557.02300000000002</v>
      </c>
      <c r="F42" s="659">
        <f>'Tabell 5.1'!F16+'Tabell 5.1'!F28+'Tabell 5.1'!F40+'Tabell 5.1'!F52+'Tabell 5.1'!F66+'Tabell 5.1'!F78+'Tabell 5.1'!F90+'Tabell 5.1'!F102+'Tabell 5.2'!F16+'Tabell 5.2'!F28+'Tabell 5.2'!F40+'Tabell 5.2'!F52+'Tabell 5.2'!F88+'Tabell 5.2'!F100+'Tabell 5.2'!F126+'Tabell 5.2'!F138+'Tabell 5.3'!F16+'Tabell 5.3'!F28+'Tabell 5.2'!F64+'Tabell 5.2'!F76+'Tabell 5.2'!F112</f>
        <v>359.11199999999997</v>
      </c>
      <c r="G42" s="565">
        <f t="shared" si="13"/>
        <v>-35.5</v>
      </c>
      <c r="H42" s="659">
        <f>'Tabell 5.1'!H16+'Tabell 5.1'!H28+'Tabell 5.1'!H40+'Tabell 5.1'!H52+'Tabell 5.1'!H66+'Tabell 5.1'!H78+'Tabell 5.1'!H90+'Tabell 5.1'!H102+'Tabell 5.2'!H16+'Tabell 5.2'!H28+'Tabell 5.2'!H40+'Tabell 5.2'!H52+'Tabell 5.2'!H88+'Tabell 5.2'!H100+'Tabell 5.2'!H126+'Tabell 5.2'!H138+H16+H28+'Tabell 5.2'!H64+'Tabell 5.2'!H76+'Tabell 5.2'!H112</f>
        <v>0</v>
      </c>
      <c r="I42" s="659">
        <f>'Tabell 5.1'!I16+'Tabell 5.1'!I28+'Tabell 5.1'!I40+'Tabell 5.1'!I52+'Tabell 5.1'!I66+'Tabell 5.1'!I78+'Tabell 5.1'!I90+'Tabell 5.1'!I102+'Tabell 5.2'!I16+'Tabell 5.2'!I28+'Tabell 5.2'!I40+'Tabell 5.2'!I52+'Tabell 5.2'!I88+'Tabell 5.2'!I100+'Tabell 5.2'!I126+'Tabell 5.2'!I138+I16+I28+'Tabell 5.2'!I64+'Tabell 5.2'!I76+'Tabell 5.2'!I112</f>
        <v>0</v>
      </c>
      <c r="J42" s="659" t="str">
        <f t="shared" ref="J42:J44" si="27">IF(H42=0, "    ---- ", IF(ABS(ROUND(100/H42*I42-100,1))&lt;999,ROUND(100/H42*I42-100,1),IF(ROUND(100/H42*I42-100,1)&gt;999,999,-999)))</f>
        <v xml:space="preserve">    ---- </v>
      </c>
      <c r="K42" s="659">
        <f>'Tabell 5.1'!K16+'Tabell 5.1'!K28+'Tabell 5.1'!K40+'Tabell 5.1'!K52+'Tabell 5.1'!K66+'Tabell 5.1'!K78+'Tabell 5.1'!K90+'Tabell 5.1'!K102+'Tabell 5.2'!K16+'Tabell 5.2'!K28+'Tabell 5.2'!K40+'Tabell 5.2'!K52+'Tabell 5.2'!K88+'Tabell 5.2'!K100+'Tabell 5.2'!K126+'Tabell 5.2'!K138+K16+K28++'Tabell 5.2'!K64+'Tabell 5.2'!K76+'Tabell 5.2'!K112</f>
        <v>0</v>
      </c>
      <c r="L42" s="659">
        <f>'Tabell 5.1'!L16+'Tabell 5.1'!L28+'Tabell 5.1'!L40+'Tabell 5.1'!L52+'Tabell 5.1'!L66+'Tabell 5.1'!L78+'Tabell 5.1'!L90+'Tabell 5.1'!L102+'Tabell 5.2'!L16+'Tabell 5.2'!L28+'Tabell 5.2'!L40+'Tabell 5.2'!L52+'Tabell 5.2'!L88+'Tabell 5.2'!L100+'Tabell 5.2'!L126+'Tabell 5.2'!L138+L16+L28++'Tabell 5.2'!L64+'Tabell 5.2'!L76+'Tabell 5.2'!L112</f>
        <v>0</v>
      </c>
      <c r="M42" s="565" t="str">
        <f t="shared" si="15"/>
        <v xml:space="preserve">    ---- </v>
      </c>
      <c r="N42" s="659">
        <f>'Tabell 5.1'!N16+'Tabell 5.1'!N28+'Tabell 5.1'!N40+'Tabell 5.1'!N52+'Tabell 5.1'!N66+'Tabell 5.1'!N78+'Tabell 5.1'!N90+'Tabell 5.1'!N102+'Tabell 5.2'!N16+'Tabell 5.2'!N28+'Tabell 5.2'!N40+'Tabell 5.2'!N52+'Tabell 5.2'!N88+'Tabell 5.2'!N100+'Tabell 5.2'!N126+'Tabell 5.2'!N138+N16+N28+'Tabell 5.2'!N64+'Tabell 5.2'!N76+'Tabell 5.2'!N112</f>
        <v>0</v>
      </c>
      <c r="O42" s="659">
        <f>'Tabell 5.1'!O16+'Tabell 5.1'!O28+'Tabell 5.1'!O40+'Tabell 5.1'!O52+'Tabell 5.1'!O66+'Tabell 5.1'!O78+'Tabell 5.1'!O90+'Tabell 5.1'!O102+'Tabell 5.2'!O16+'Tabell 5.2'!O28+'Tabell 5.2'!O40+'Tabell 5.2'!O52+'Tabell 5.2'!O88+'Tabell 5.2'!O100+'Tabell 5.2'!O126+'Tabell 5.2'!O138+O16+O28+'Tabell 5.2'!O64+'Tabell 5.2'!O76+'Tabell 5.2'!O112</f>
        <v>0</v>
      </c>
      <c r="P42" s="659" t="str">
        <f t="shared" ref="P42:P45" si="28">IF(N42=0, "    ---- ", IF(ABS(ROUND(100/N42*O42-100,1))&lt;999,ROUND(100/N42*O42-100,1),IF(ROUND(100/N42*O42-100,1)&gt;999,999,-999)))</f>
        <v xml:space="preserve">    ---- </v>
      </c>
      <c r="Q42" s="659">
        <f>'Tabell 5.1'!Q16+'Tabell 5.1'!Q28+'Tabell 5.1'!Q40+'Tabell 5.1'!Q52+'Tabell 5.1'!Q66+'Tabell 5.1'!Q78+'Tabell 5.1'!Q90+'Tabell 5.1'!Q102+'Tabell 5.2'!Q16+'Tabell 5.2'!Q28+'Tabell 5.2'!Q40+'Tabell 5.2'!Q52+'Tabell 5.2'!Q88+'Tabell 5.2'!Q100+'Tabell 5.2'!Q126+'Tabell 5.2'!Q138+Q16+Q28++'Tabell 5.2'!Q64+'Tabell 5.2'!Q76+'Tabell 5.2'!Q112</f>
        <v>826.30665199999999</v>
      </c>
      <c r="R42" s="659">
        <f>'Tabell 5.1'!R16+'Tabell 5.1'!R28+'Tabell 5.1'!R40+'Tabell 5.1'!R52+'Tabell 5.1'!R66+'Tabell 5.1'!R78+'Tabell 5.1'!R90+'Tabell 5.1'!R102+'Tabell 5.2'!R16+'Tabell 5.2'!R28+'Tabell 5.2'!R40+'Tabell 5.2'!R52+'Tabell 5.2'!R88+'Tabell 5.2'!R100+'Tabell 5.2'!R126+'Tabell 5.2'!R138+R16+R28++'Tabell 5.2'!R64+'Tabell 5.2'!R76+'Tabell 5.2'!R112</f>
        <v>690.16552899999999</v>
      </c>
      <c r="S42" s="565">
        <f t="shared" si="17"/>
        <v>-16.5</v>
      </c>
      <c r="T42" s="659">
        <f>'Tabell 5.1'!T16+'Tabell 5.1'!T28+'Tabell 5.1'!T40+'Tabell 5.1'!T52+'Tabell 5.1'!T66+'Tabell 5.1'!T78+'Tabell 5.1'!T90+'Tabell 5.1'!T102+'Tabell 5.2'!T16+'Tabell 5.2'!T28+'Tabell 5.2'!T40+'Tabell 5.2'!T52+'Tabell 5.2'!T88+'Tabell 5.2'!T100+'Tabell 5.2'!T126+'Tabell 5.2'!T138+T16+T28+'Tabell 5.2'!T64+'Tabell 5.2'!T76+'Tabell 5.2'!T112</f>
        <v>4</v>
      </c>
      <c r="U42" s="659">
        <f>'Tabell 5.1'!U16+'Tabell 5.1'!U28+'Tabell 5.1'!U40+'Tabell 5.1'!U52+'Tabell 5.1'!U66+'Tabell 5.1'!U78+'Tabell 5.1'!U90+'Tabell 5.1'!U102+'Tabell 5.2'!U16+'Tabell 5.2'!U28+'Tabell 5.2'!U40+'Tabell 5.2'!U52+'Tabell 5.2'!U88+'Tabell 5.2'!U100+'Tabell 5.2'!U126+'Tabell 5.2'!U138+U16+U28+'Tabell 5.2'!U64+'Tabell 5.2'!U76+'Tabell 5.2'!U112</f>
        <v>4</v>
      </c>
      <c r="V42" s="659">
        <f t="shared" ref="V42:V45" si="29">IF(T42=0, "    ---- ", IF(ABS(ROUND(100/T42*U42-100,1))&lt;999,ROUND(100/T42*U42-100,1),IF(ROUND(100/T42*U42-100,1)&gt;999,999,-999)))</f>
        <v>0</v>
      </c>
      <c r="W42" s="659">
        <f>'Tabell 5.1'!W16+'Tabell 5.1'!W28+'Tabell 5.1'!W40+'Tabell 5.1'!W52+'Tabell 5.1'!W66+'Tabell 5.1'!W78+'Tabell 5.1'!W90+'Tabell 5.1'!W102+'Tabell 5.2'!W16+'Tabell 5.2'!W28+'Tabell 5.2'!W40+'Tabell 5.2'!W52+'Tabell 5.2'!W88+'Tabell 5.2'!W100+'Tabell 5.2'!W126+'Tabell 5.2'!W138+W16+W28++'Tabell 5.2'!W64+'Tabell 5.2'!W76+'Tabell 5.2'!W112</f>
        <v>154</v>
      </c>
      <c r="X42" s="659">
        <f>'Tabell 5.1'!X16+'Tabell 5.1'!X28+'Tabell 5.1'!X40+'Tabell 5.1'!X52+'Tabell 5.1'!X66+'Tabell 5.1'!X78+'Tabell 5.1'!X90+'Tabell 5.1'!X102+'Tabell 5.2'!X16+'Tabell 5.2'!X28+'Tabell 5.2'!X40+'Tabell 5.2'!X52+'Tabell 5.2'!X88+'Tabell 5.2'!X100+'Tabell 5.2'!X126+'Tabell 5.2'!X138+X16+X28++'Tabell 5.2'!X64+'Tabell 5.2'!X76+'Tabell 5.2'!X112</f>
        <v>135.87338648299999</v>
      </c>
      <c r="Y42" s="565">
        <f t="shared" si="19"/>
        <v>-11.8</v>
      </c>
      <c r="Z42" s="659">
        <f>'Tabell 5.1'!Z16+'Tabell 5.1'!Z28+'Tabell 5.1'!Z40+'Tabell 5.1'!Z52+'Tabell 5.1'!Z66+'Tabell 5.1'!Z78+'Tabell 5.1'!Z90+'Tabell 5.1'!Z102+'Tabell 5.2'!Z16+'Tabell 5.2'!Z28+'Tabell 5.2'!Z40+'Tabell 5.2'!Z52+'Tabell 5.2'!Z88+'Tabell 5.2'!Z100+'Tabell 5.2'!Z126+'Tabell 5.2'!Z138+Z16+Z28+'Tabell 5.2'!Z64+'Tabell 5.2'!Z76+'Tabell 5.2'!Z112</f>
        <v>267</v>
      </c>
      <c r="AA42" s="659">
        <f>'Tabell 5.1'!AA16+'Tabell 5.1'!AA28+'Tabell 5.1'!AA40+'Tabell 5.1'!AA52+'Tabell 5.1'!AA66+'Tabell 5.1'!AA78+'Tabell 5.1'!AA90+'Tabell 5.1'!AA102+'Tabell 5.2'!AA16+'Tabell 5.2'!AA28+'Tabell 5.2'!AA40+'Tabell 5.2'!AA52+'Tabell 5.2'!AA88+'Tabell 5.2'!AA100+'Tabell 5.2'!AA126+'Tabell 5.2'!AA138+AA16+AA28+'Tabell 5.2'!AA64+'Tabell 5.2'!AA76+'Tabell 5.2'!AA112</f>
        <v>267</v>
      </c>
      <c r="AB42" s="659">
        <f t="shared" ref="AB42:AB45" si="30">IF(Z42=0, "    ---- ", IF(ABS(ROUND(100/Z42*AA42-100,1))&lt;999,ROUND(100/Z42*AA42-100,1),IF(ROUND(100/Z42*AA42-100,1)&gt;999,999,-999)))</f>
        <v>0</v>
      </c>
      <c r="AC42" s="659">
        <f>'Tabell 5.1'!AC16+'Tabell 5.1'!AC28+'Tabell 5.1'!AC40+'Tabell 5.1'!AC52+'Tabell 5.1'!AC66+'Tabell 5.1'!AC78+'Tabell 5.1'!AC90+'Tabell 5.1'!AC102+'Tabell 5.2'!AC16+'Tabell 5.2'!AC28+'Tabell 5.2'!AC40+'Tabell 5.2'!AC52+'Tabell 5.2'!AC88+'Tabell 5.2'!AC100+'Tabell 5.2'!AC126+'Tabell 5.2'!AC138+AC16+AC28++'Tabell 5.2'!AC64+'Tabell 5.2'!AC76+'Tabell 5.2'!AC112</f>
        <v>0</v>
      </c>
      <c r="AD42" s="659">
        <f>'Tabell 5.1'!AD16+'Tabell 5.1'!AD28+'Tabell 5.1'!AD40+'Tabell 5.1'!AD52+'Tabell 5.1'!AD66+'Tabell 5.1'!AD78+'Tabell 5.1'!AD90+'Tabell 5.1'!AD102+'Tabell 5.2'!AD16+'Tabell 5.2'!AD28+'Tabell 5.2'!AD40+'Tabell 5.2'!AD52+'Tabell 5.2'!AD88+'Tabell 5.2'!AD100+'Tabell 5.2'!AD126+'Tabell 5.2'!AD138+AD16+AD28++'Tabell 5.2'!AD64+'Tabell 5.2'!AD76+'Tabell 5.2'!AD112</f>
        <v>0</v>
      </c>
      <c r="AE42" s="565" t="str">
        <f t="shared" si="21"/>
        <v xml:space="preserve">    ---- </v>
      </c>
      <c r="AF42" s="659">
        <f>'Tabell 5.1'!AF16+'Tabell 5.1'!AF28+'Tabell 5.1'!AF40+'Tabell 5.1'!AF52+'Tabell 5.1'!AF66+'Tabell 5.1'!AF78+'Tabell 5.1'!AF90+'Tabell 5.1'!AF102+'Tabell 5.2'!AF16+'Tabell 5.2'!AF28+'Tabell 5.2'!AF40+'Tabell 5.2'!AF52+'Tabell 5.2'!AF88+'Tabell 5.2'!AF100+'Tabell 5.2'!AF126+'Tabell 5.2'!AF138+AF16+AF28+'Tabell 5.2'!AF64+'Tabell 5.2'!AF76+'Tabell 5.2'!AF112</f>
        <v>0</v>
      </c>
      <c r="AG42" s="659">
        <f>'Tabell 5.1'!AG16+'Tabell 5.1'!AG28+'Tabell 5.1'!AG40+'Tabell 5.1'!AG52+'Tabell 5.1'!AG66+'Tabell 5.1'!AG78+'Tabell 5.1'!AG90+'Tabell 5.1'!AG102+'Tabell 5.2'!AG16+'Tabell 5.2'!AG28+'Tabell 5.2'!AG40+'Tabell 5.2'!AG52+'Tabell 5.2'!AG88+'Tabell 5.2'!AG100+'Tabell 5.2'!AG126+'Tabell 5.2'!AG138+AG16+AG28+'Tabell 5.2'!AG64+'Tabell 5.2'!AG76+'Tabell 5.2'!AG112</f>
        <v>0</v>
      </c>
      <c r="AH42" s="659" t="str">
        <f t="shared" ref="AH42:AH45" si="31">IF(AF42=0, "    ---- ", IF(ABS(ROUND(100/AF42*AG42-100,1))&lt;999,ROUND(100/AF42*AG42-100,1),IF(ROUND(100/AF42*AG42-100,1)&gt;999,999,-999)))</f>
        <v xml:space="preserve">    ---- </v>
      </c>
      <c r="AI42" s="659">
        <f>'Tabell 5.1'!AI16+'Tabell 5.1'!AI28+'Tabell 5.1'!AI40+'Tabell 5.1'!AI52+'Tabell 5.1'!AI66+'Tabell 5.1'!AI78+'Tabell 5.1'!AI90+'Tabell 5.1'!AI102+'Tabell 5.2'!AI16+'Tabell 5.2'!AI28+'Tabell 5.2'!AI40+'Tabell 5.2'!AI52+'Tabell 5.2'!AI88+'Tabell 5.2'!AI100+'Tabell 5.2'!AI126+'Tabell 5.2'!AI138+AI16+AI28++'Tabell 5.2'!AI64+'Tabell 5.2'!AI76+'Tabell 5.2'!AI112</f>
        <v>33.543999999999997</v>
      </c>
      <c r="AJ42" s="659">
        <f>'Tabell 5.1'!AJ16+'Tabell 5.1'!AJ28+'Tabell 5.1'!AJ40+'Tabell 5.1'!AJ52+'Tabell 5.1'!AJ66+'Tabell 5.1'!AJ78+'Tabell 5.1'!AJ90+'Tabell 5.1'!AJ102+'Tabell 5.2'!AJ16+'Tabell 5.2'!AJ28+'Tabell 5.2'!AJ40+'Tabell 5.2'!AJ52+'Tabell 5.2'!AJ88+'Tabell 5.2'!AJ100+'Tabell 5.2'!AJ126+'Tabell 5.2'!AJ138+AJ16+AJ28++'Tabell 5.2'!AJ64+'Tabell 5.2'!AJ76+'Tabell 5.2'!AJ112</f>
        <v>36.824000000000005</v>
      </c>
      <c r="AK42" s="565">
        <f t="shared" si="23"/>
        <v>9.8000000000000007</v>
      </c>
      <c r="AL42" s="659">
        <f>'Tabell 5.1'!AL16+'Tabell 5.1'!AL28+'Tabell 5.1'!AL40+'Tabell 5.1'!AL52+'Tabell 5.1'!AL66+'Tabell 5.1'!AL78+'Tabell 5.1'!AL90+'Tabell 5.1'!AL102+'Tabell 5.2'!AL16+'Tabell 5.2'!AL28+'Tabell 5.2'!AL40+'Tabell 5.2'!AL52+'Tabell 5.2'!AL88+'Tabell 5.2'!AL100+'Tabell 5.2'!AL126+'Tabell 5.2'!AL138+AL16+AL28+'Tabell 5.2'!AL64+'Tabell 5.2'!AL76+'Tabell 5.2'!AL112</f>
        <v>396</v>
      </c>
      <c r="AM42" s="659">
        <f>'Tabell 5.1'!AM16+'Tabell 5.1'!AM28+'Tabell 5.1'!AM40+'Tabell 5.1'!AM52+'Tabell 5.1'!AM66+'Tabell 5.1'!AM78+'Tabell 5.1'!AM90+'Tabell 5.1'!AM102+'Tabell 5.2'!AM16+'Tabell 5.2'!AM28+'Tabell 5.2'!AM40+'Tabell 5.2'!AM52+'Tabell 5.2'!AM88+'Tabell 5.2'!AM100+'Tabell 5.2'!AM126+'Tabell 5.2'!AM138+AM16+AM28+'Tabell 5.2'!AM64+'Tabell 5.2'!AM76+'Tabell 5.2'!AM112</f>
        <v>341.5</v>
      </c>
      <c r="AN42" s="659">
        <f t="shared" ref="AN42:AN45" si="32">IF(AL42=0, "    ---- ", IF(ABS(ROUND(100/AL42*AM42-100,1))&lt;999,ROUND(100/AL42*AM42-100,1),IF(ROUND(100/AL42*AM42-100,1)&gt;999,999,-999)))</f>
        <v>-13.8</v>
      </c>
      <c r="AO42" s="659">
        <f>'Tabell 5.1'!AO16+'Tabell 5.1'!AO28+'Tabell 5.1'!AO40+'Tabell 5.1'!AO52+'Tabell 5.1'!AO66+'Tabell 5.1'!AO78+'Tabell 5.1'!AO90+'Tabell 5.1'!AO102+'Tabell 5.2'!AO16+'Tabell 5.2'!AO28+'Tabell 5.2'!AO40+'Tabell 5.2'!AO52+'Tabell 5.2'!AO88+'Tabell 5.2'!AO100+'Tabell 5.2'!AO126+'Tabell 5.2'!AO138+AO16+AO28++'Tabell 5.2'!AO64+'Tabell 5.2'!AO76+'Tabell 5.2'!AO112</f>
        <v>2238.6546520000002</v>
      </c>
      <c r="AP42" s="659">
        <f>'Tabell 5.1'!AP16+'Tabell 5.1'!AP28+'Tabell 5.1'!AP40+'Tabell 5.1'!AP52+'Tabell 5.1'!AP66+'Tabell 5.1'!AP78+'Tabell 5.1'!AP90+'Tabell 5.1'!AP102+'Tabell 5.2'!AP16+'Tabell 5.2'!AP28+'Tabell 5.2'!AP40+'Tabell 5.2'!AP52+'Tabell 5.2'!AP88+'Tabell 5.2'!AP100+'Tabell 5.2'!AP126+'Tabell 5.2'!AP138+AP16+AP28++'Tabell 5.2'!AP64+'Tabell 5.2'!AP76+'Tabell 5.2'!AP112</f>
        <v>1835.1569154829999</v>
      </c>
      <c r="AQ42" s="565">
        <f t="shared" si="25"/>
        <v>-18</v>
      </c>
      <c r="AR42" s="659">
        <f>'Tabell 5.1'!AR16+'Tabell 5.1'!AR28+'Tabell 5.1'!AR40+'Tabell 5.1'!AR52+'Tabell 5.1'!AR66+'Tabell 5.1'!AR78+'Tabell 5.1'!AR90+'Tabell 5.1'!AR102+'Tabell 5.2'!AR16+'Tabell 5.2'!AR28+'Tabell 5.2'!AR40+'Tabell 5.2'!AR52+'Tabell 5.2'!AR88+'Tabell 5.2'!AR100+'Tabell 5.2'!AR126+'Tabell 5.2'!AR138+AR16+AR28+'Tabell 5.2'!AR64+'Tabell 5.2'!AR76+'Tabell 5.2'!AR112</f>
        <v>2238.6926520000002</v>
      </c>
      <c r="AS42" s="659">
        <f>'Tabell 5.1'!AS16+'Tabell 5.1'!AS28+'Tabell 5.1'!AS40+'Tabell 5.1'!AS52+'Tabell 5.1'!AS66+'Tabell 5.1'!AS78+'Tabell 5.1'!AS90+'Tabell 5.1'!AS102+'Tabell 5.2'!AS16+'Tabell 5.2'!AS28+'Tabell 5.2'!AS40+'Tabell 5.2'!AS52+'Tabell 5.2'!AS88+'Tabell 5.2'!AS100+'Tabell 5.2'!AS126+'Tabell 5.2'!AS138+AS16+AS28+'Tabell 5.2'!AS64+'Tabell 5.2'!AS76+'Tabell 5.2'!AS112</f>
        <v>1835.3329154829999</v>
      </c>
      <c r="AT42" s="565">
        <f t="shared" ref="AT42:AT44" si="33">IF(AR42=0, "    ---- ", IF(ABS(ROUND(100/AR42*AS42-100,1))&lt;999,ROUND(100/AR42*AS42-100,1),IF(ROUND(100/AR42*AS42-100,1)&gt;999,999,-999)))</f>
        <v>-18</v>
      </c>
      <c r="AU42" s="699"/>
      <c r="AV42" s="638"/>
      <c r="AW42" s="633"/>
      <c r="AX42" s="633"/>
    </row>
    <row r="43" spans="1:50" s="660" customFormat="1" ht="18.75" customHeight="1" x14ac:dyDescent="0.3">
      <c r="A43" s="509" t="s">
        <v>437</v>
      </c>
      <c r="B43" s="659">
        <f>'Tabell 5.1'!B17+'Tabell 5.1'!B29+'Tabell 5.1'!B41+'Tabell 5.1'!B53+'Tabell 5.1'!B67+'Tabell 5.1'!B79+'Tabell 5.1'!B91+'Tabell 5.1'!B103+'Tabell 5.2'!B17+'Tabell 5.2'!B29+'Tabell 5.2'!B41+'Tabell 5.2'!B53+'Tabell 5.2'!B89+'Tabell 5.2'!B101+'Tabell 5.2'!B127+'Tabell 5.2'!B139+B17+B29+'Tabell 5.2'!B65+'Tabell 5.2'!B77+'Tabell 5.2'!B113</f>
        <v>122.76699999999998</v>
      </c>
      <c r="C43" s="659">
        <f>'Tabell 5.1'!C17+'Tabell 5.1'!C29+'Tabell 5.1'!C41+'Tabell 5.1'!C53+'Tabell 5.1'!C67+'Tabell 5.1'!C79+'Tabell 5.1'!C91+'Tabell 5.1'!C103+'Tabell 5.2'!C17+'Tabell 5.2'!C29+'Tabell 5.2'!C41+'Tabell 5.2'!C53+'Tabell 5.2'!C89+'Tabell 5.2'!C101+'Tabell 5.2'!C127+'Tabell 5.2'!C139+C17+C29+'Tabell 5.2'!C65+'Tabell 5.2'!C77+'Tabell 5.2'!C113</f>
        <v>142.011</v>
      </c>
      <c r="D43" s="659">
        <f t="shared" si="12"/>
        <v>15.7</v>
      </c>
      <c r="E43" s="659">
        <f>'Tabell 5.1'!E17+'Tabell 5.1'!E29+'Tabell 5.1'!E41+'Tabell 5.1'!E53+'Tabell 5.1'!E67+'Tabell 5.1'!E79+'Tabell 5.1'!E91+'Tabell 5.1'!E103+'Tabell 5.2'!E17+'Tabell 5.2'!E29+'Tabell 5.2'!E41+'Tabell 5.2'!E53+'Tabell 5.2'!E89+'Tabell 5.2'!E101+'Tabell 5.2'!E127+'Tabell 5.2'!E139+'Tabell 5.3'!E17+'Tabell 5.3'!E29+'Tabell 5.2'!E65+'Tabell 5.2'!E77+'Tabell 5.2'!E113</f>
        <v>860.71999999999991</v>
      </c>
      <c r="F43" s="659">
        <f>'Tabell 5.1'!F17+'Tabell 5.1'!F29+'Tabell 5.1'!F41+'Tabell 5.1'!F53+'Tabell 5.1'!F67+'Tabell 5.1'!F79+'Tabell 5.1'!F91+'Tabell 5.1'!F103+'Tabell 5.2'!F17+'Tabell 5.2'!F29+'Tabell 5.2'!F41+'Tabell 5.2'!F53+'Tabell 5.2'!F89+'Tabell 5.2'!F101+'Tabell 5.2'!F127+'Tabell 5.2'!F139+'Tabell 5.3'!F17+'Tabell 5.3'!F29+'Tabell 5.2'!F65+'Tabell 5.2'!F77+'Tabell 5.2'!F113</f>
        <v>735.77359999999999</v>
      </c>
      <c r="G43" s="565">
        <f t="shared" si="13"/>
        <v>-14.5</v>
      </c>
      <c r="H43" s="659">
        <f>'Tabell 5.1'!H17+'Tabell 5.1'!H29+'Tabell 5.1'!H41+'Tabell 5.1'!H53+'Tabell 5.1'!H67+'Tabell 5.1'!H79+'Tabell 5.1'!H91+'Tabell 5.1'!H103+'Tabell 5.2'!H17+'Tabell 5.2'!H29+'Tabell 5.2'!H41+'Tabell 5.2'!H53+'Tabell 5.2'!H89+'Tabell 5.2'!H101+'Tabell 5.2'!H127+'Tabell 5.2'!H139+H17+H29+'Tabell 5.2'!H65+'Tabell 5.2'!H77+'Tabell 5.2'!H113</f>
        <v>82.191000000000003</v>
      </c>
      <c r="I43" s="659">
        <f>'Tabell 5.1'!I17+'Tabell 5.1'!I29+'Tabell 5.1'!I41+'Tabell 5.1'!I53+'Tabell 5.1'!I67+'Tabell 5.1'!I79+'Tabell 5.1'!I91+'Tabell 5.1'!I103+'Tabell 5.2'!I17+'Tabell 5.2'!I29+'Tabell 5.2'!I41+'Tabell 5.2'!I53+'Tabell 5.2'!I89+'Tabell 5.2'!I101+'Tabell 5.2'!I127+'Tabell 5.2'!I139+I17+I29+'Tabell 5.2'!I65+'Tabell 5.2'!I77+'Tabell 5.2'!I113</f>
        <v>115.599</v>
      </c>
      <c r="J43" s="659">
        <f t="shared" si="27"/>
        <v>40.6</v>
      </c>
      <c r="K43" s="659">
        <f>'Tabell 5.1'!K17+'Tabell 5.1'!K29+'Tabell 5.1'!K41+'Tabell 5.1'!K53+'Tabell 5.1'!K67+'Tabell 5.1'!K79+'Tabell 5.1'!K91+'Tabell 5.1'!K103+'Tabell 5.2'!K17+'Tabell 5.2'!K29+'Tabell 5.2'!K41+'Tabell 5.2'!K53+'Tabell 5.2'!K89+'Tabell 5.2'!K101+'Tabell 5.2'!K127+'Tabell 5.2'!K139+K17+K29++'Tabell 5.2'!K65+'Tabell 5.2'!K77+'Tabell 5.2'!K113</f>
        <v>11.834</v>
      </c>
      <c r="L43" s="659">
        <f>'Tabell 5.1'!L17+'Tabell 5.1'!L29+'Tabell 5.1'!L41+'Tabell 5.1'!L53+'Tabell 5.1'!L67+'Tabell 5.1'!L79+'Tabell 5.1'!L91+'Tabell 5.1'!L103+'Tabell 5.2'!L17+'Tabell 5.2'!L29+'Tabell 5.2'!L41+'Tabell 5.2'!L53+'Tabell 5.2'!L89+'Tabell 5.2'!L101+'Tabell 5.2'!L127+'Tabell 5.2'!L139+L17+L29++'Tabell 5.2'!L65+'Tabell 5.2'!L77+'Tabell 5.2'!L113</f>
        <v>16.59</v>
      </c>
      <c r="M43" s="565">
        <f t="shared" si="15"/>
        <v>40.200000000000003</v>
      </c>
      <c r="N43" s="659">
        <f>'Tabell 5.1'!N17+'Tabell 5.1'!N29+'Tabell 5.1'!N41+'Tabell 5.1'!N53+'Tabell 5.1'!N67+'Tabell 5.1'!N79+'Tabell 5.1'!N91+'Tabell 5.1'!N103+'Tabell 5.2'!N17+'Tabell 5.2'!N29+'Tabell 5.2'!N41+'Tabell 5.2'!N53+'Tabell 5.2'!N89+'Tabell 5.2'!N101+'Tabell 5.2'!N127+'Tabell 5.2'!N139+N17+N29+'Tabell 5.2'!N65+'Tabell 5.2'!N77+'Tabell 5.2'!N113</f>
        <v>7</v>
      </c>
      <c r="O43" s="659">
        <f>'Tabell 5.1'!O17+'Tabell 5.1'!O29+'Tabell 5.1'!O41+'Tabell 5.1'!O53+'Tabell 5.1'!O67+'Tabell 5.1'!O79+'Tabell 5.1'!O91+'Tabell 5.1'!O103+'Tabell 5.2'!O17+'Tabell 5.2'!O29+'Tabell 5.2'!O41+'Tabell 5.2'!O53+'Tabell 5.2'!O89+'Tabell 5.2'!O101+'Tabell 5.2'!O127+'Tabell 5.2'!O139+O17+O29+'Tabell 5.2'!O65+'Tabell 5.2'!O77+'Tabell 5.2'!O113</f>
        <v>10</v>
      </c>
      <c r="P43" s="659">
        <f t="shared" si="28"/>
        <v>42.9</v>
      </c>
      <c r="Q43" s="659">
        <f>'Tabell 5.1'!Q17+'Tabell 5.1'!Q29+'Tabell 5.1'!Q41+'Tabell 5.1'!Q53+'Tabell 5.1'!Q67+'Tabell 5.1'!Q79+'Tabell 5.1'!Q91+'Tabell 5.1'!Q103+'Tabell 5.2'!Q17+'Tabell 5.2'!Q29+'Tabell 5.2'!Q41+'Tabell 5.2'!Q53+'Tabell 5.2'!Q89+'Tabell 5.2'!Q101+'Tabell 5.2'!Q127+'Tabell 5.2'!Q139+Q17+Q29++'Tabell 5.2'!Q65+'Tabell 5.2'!Q77+'Tabell 5.2'!Q113</f>
        <v>20141.765198681394</v>
      </c>
      <c r="R43" s="659">
        <f>'Tabell 5.1'!R17+'Tabell 5.1'!R29+'Tabell 5.1'!R41+'Tabell 5.1'!R53+'Tabell 5.1'!R67+'Tabell 5.1'!R79+'Tabell 5.1'!R91+'Tabell 5.1'!R103+'Tabell 5.2'!R17+'Tabell 5.2'!R29+'Tabell 5.2'!R41+'Tabell 5.2'!R53+'Tabell 5.2'!R89+'Tabell 5.2'!R101+'Tabell 5.2'!R127+'Tabell 5.2'!R139+R17+R29++'Tabell 5.2'!R65+'Tabell 5.2'!R77+'Tabell 5.2'!R113</f>
        <v>782.90496559389237</v>
      </c>
      <c r="S43" s="565">
        <f t="shared" si="17"/>
        <v>-96.1</v>
      </c>
      <c r="T43" s="659">
        <f>'Tabell 5.1'!T17+'Tabell 5.1'!T29+'Tabell 5.1'!T41+'Tabell 5.1'!T53+'Tabell 5.1'!T67+'Tabell 5.1'!T79+'Tabell 5.1'!T91+'Tabell 5.1'!T103+'Tabell 5.2'!T17+'Tabell 5.2'!T29+'Tabell 5.2'!T41+'Tabell 5.2'!T53+'Tabell 5.2'!T89+'Tabell 5.2'!T101+'Tabell 5.2'!T127+'Tabell 5.2'!T139+T17+T29+'Tabell 5.2'!T65+'Tabell 5.2'!T77+'Tabell 5.2'!T113</f>
        <v>-2</v>
      </c>
      <c r="U43" s="659">
        <f>'Tabell 5.1'!U17+'Tabell 5.1'!U29+'Tabell 5.1'!U41+'Tabell 5.1'!U53+'Tabell 5.1'!U67+'Tabell 5.1'!U79+'Tabell 5.1'!U91+'Tabell 5.1'!U103+'Tabell 5.2'!U17+'Tabell 5.2'!U29+'Tabell 5.2'!U41+'Tabell 5.2'!U53+'Tabell 5.2'!U89+'Tabell 5.2'!U101+'Tabell 5.2'!U127+'Tabell 5.2'!U139+U17+U29+'Tabell 5.2'!U65+'Tabell 5.2'!U77+'Tabell 5.2'!U113</f>
        <v>6</v>
      </c>
      <c r="V43" s="659">
        <f t="shared" si="29"/>
        <v>-400</v>
      </c>
      <c r="W43" s="659">
        <f>'Tabell 5.1'!W17+'Tabell 5.1'!W29+'Tabell 5.1'!W41+'Tabell 5.1'!W53+'Tabell 5.1'!W67+'Tabell 5.1'!W79+'Tabell 5.1'!W91+'Tabell 5.1'!W103+'Tabell 5.2'!W17+'Tabell 5.2'!W29+'Tabell 5.2'!W41+'Tabell 5.2'!W53+'Tabell 5.2'!W89+'Tabell 5.2'!W101+'Tabell 5.2'!W127+'Tabell 5.2'!W139+W17+W29++'Tabell 5.2'!W65+'Tabell 5.2'!W77+'Tabell 5.2'!W113</f>
        <v>329</v>
      </c>
      <c r="X43" s="659">
        <f>'Tabell 5.1'!X17+'Tabell 5.1'!X29+'Tabell 5.1'!X41+'Tabell 5.1'!X53+'Tabell 5.1'!X67+'Tabell 5.1'!X79+'Tabell 5.1'!X91+'Tabell 5.1'!X103+'Tabell 5.2'!X17+'Tabell 5.2'!X29+'Tabell 5.2'!X41+'Tabell 5.2'!X53+'Tabell 5.2'!X89+'Tabell 5.2'!X101+'Tabell 5.2'!X127+'Tabell 5.2'!X139+X17+X29++'Tabell 5.2'!X65+'Tabell 5.2'!X77+'Tabell 5.2'!X113</f>
        <v>183.12135627699996</v>
      </c>
      <c r="Y43" s="565">
        <f t="shared" si="19"/>
        <v>-44.3</v>
      </c>
      <c r="Z43" s="659">
        <f>'Tabell 5.1'!Z17+'Tabell 5.1'!Z29+'Tabell 5.1'!Z41+'Tabell 5.1'!Z53+'Tabell 5.1'!Z67+'Tabell 5.1'!Z79+'Tabell 5.1'!Z91+'Tabell 5.1'!Z103+'Tabell 5.2'!Z17+'Tabell 5.2'!Z29+'Tabell 5.2'!Z41+'Tabell 5.2'!Z53+'Tabell 5.2'!Z89+'Tabell 5.2'!Z101+'Tabell 5.2'!Z127+'Tabell 5.2'!Z139+Z17+Z29+'Tabell 5.2'!Z65+'Tabell 5.2'!Z77+'Tabell 5.2'!Z113</f>
        <v>1074</v>
      </c>
      <c r="AA43" s="659">
        <f>'Tabell 5.1'!AA17+'Tabell 5.1'!AA29+'Tabell 5.1'!AA41+'Tabell 5.1'!AA53+'Tabell 5.1'!AA67+'Tabell 5.1'!AA79+'Tabell 5.1'!AA91+'Tabell 5.1'!AA103+'Tabell 5.2'!AA17+'Tabell 5.2'!AA29+'Tabell 5.2'!AA41+'Tabell 5.2'!AA53+'Tabell 5.2'!AA89+'Tabell 5.2'!AA101+'Tabell 5.2'!AA127+'Tabell 5.2'!AA139+AA17+AA29+'Tabell 5.2'!AA65+'Tabell 5.2'!AA77+'Tabell 5.2'!AA113</f>
        <v>303</v>
      </c>
      <c r="AB43" s="659">
        <f t="shared" si="30"/>
        <v>-71.8</v>
      </c>
      <c r="AC43" s="659">
        <f>'Tabell 5.1'!AC17+'Tabell 5.1'!AC29+'Tabell 5.1'!AC41+'Tabell 5.1'!AC53+'Tabell 5.1'!AC67+'Tabell 5.1'!AC79+'Tabell 5.1'!AC91+'Tabell 5.1'!AC103+'Tabell 5.2'!AC17+'Tabell 5.2'!AC29+'Tabell 5.2'!AC41+'Tabell 5.2'!AC53+'Tabell 5.2'!AC89+'Tabell 5.2'!AC101+'Tabell 5.2'!AC127+'Tabell 5.2'!AC139+AC17+AC29++'Tabell 5.2'!AC65+'Tabell 5.2'!AC77+'Tabell 5.2'!AC113</f>
        <v>0</v>
      </c>
      <c r="AD43" s="659">
        <f>'Tabell 5.1'!AD17+'Tabell 5.1'!AD29+'Tabell 5.1'!AD41+'Tabell 5.1'!AD53+'Tabell 5.1'!AD67+'Tabell 5.1'!AD79+'Tabell 5.1'!AD91+'Tabell 5.1'!AD103+'Tabell 5.2'!AD17+'Tabell 5.2'!AD29+'Tabell 5.2'!AD41+'Tabell 5.2'!AD53+'Tabell 5.2'!AD89+'Tabell 5.2'!AD101+'Tabell 5.2'!AD127+'Tabell 5.2'!AD139+AD17+AD29++'Tabell 5.2'!AD65+'Tabell 5.2'!AD77+'Tabell 5.2'!AD113</f>
        <v>0</v>
      </c>
      <c r="AE43" s="565" t="str">
        <f t="shared" si="21"/>
        <v xml:space="preserve">    ---- </v>
      </c>
      <c r="AF43" s="659">
        <f>'Tabell 5.1'!AF17+'Tabell 5.1'!AF29+'Tabell 5.1'!AF41+'Tabell 5.1'!AF53+'Tabell 5.1'!AF67+'Tabell 5.1'!AF79+'Tabell 5.1'!AF91+'Tabell 5.1'!AF103+'Tabell 5.2'!AF17+'Tabell 5.2'!AF29+'Tabell 5.2'!AF41+'Tabell 5.2'!AF53+'Tabell 5.2'!AF89+'Tabell 5.2'!AF101+'Tabell 5.2'!AF127+'Tabell 5.2'!AF139+AF17+AF29+'Tabell 5.2'!AF65+'Tabell 5.2'!AF77+'Tabell 5.2'!AF113</f>
        <v>1.0449999999999999</v>
      </c>
      <c r="AG43" s="659">
        <f>'Tabell 5.1'!AG17+'Tabell 5.1'!AG29+'Tabell 5.1'!AG41+'Tabell 5.1'!AG53+'Tabell 5.1'!AG67+'Tabell 5.1'!AG79+'Tabell 5.1'!AG91+'Tabell 5.1'!AG103+'Tabell 5.2'!AG17+'Tabell 5.2'!AG29+'Tabell 5.2'!AG41+'Tabell 5.2'!AG53+'Tabell 5.2'!AG89+'Tabell 5.2'!AG101+'Tabell 5.2'!AG127+'Tabell 5.2'!AG139+AG17+AG29+'Tabell 5.2'!AG65+'Tabell 5.2'!AG77+'Tabell 5.2'!AG113</f>
        <v>0</v>
      </c>
      <c r="AH43" s="659">
        <f t="shared" si="31"/>
        <v>-100</v>
      </c>
      <c r="AI43" s="659">
        <f>'Tabell 5.1'!AI17+'Tabell 5.1'!AI29+'Tabell 5.1'!AI41+'Tabell 5.1'!AI53+'Tabell 5.1'!AI67+'Tabell 5.1'!AI79+'Tabell 5.1'!AI91+'Tabell 5.1'!AI103+'Tabell 5.2'!AI17+'Tabell 5.2'!AI29+'Tabell 5.2'!AI41+'Tabell 5.2'!AI53+'Tabell 5.2'!AI89+'Tabell 5.2'!AI101+'Tabell 5.2'!AI127+'Tabell 5.2'!AI139+AI17+AI29++'Tabell 5.2'!AI65+'Tabell 5.2'!AI77+'Tabell 5.2'!AI113</f>
        <v>359.87799999999999</v>
      </c>
      <c r="AJ43" s="659">
        <f>'Tabell 5.1'!AJ17+'Tabell 5.1'!AJ29+'Tabell 5.1'!AJ41+'Tabell 5.1'!AJ53+'Tabell 5.1'!AJ67+'Tabell 5.1'!AJ79+'Tabell 5.1'!AJ91+'Tabell 5.1'!AJ103+'Tabell 5.2'!AJ17+'Tabell 5.2'!AJ29+'Tabell 5.2'!AJ41+'Tabell 5.2'!AJ53+'Tabell 5.2'!AJ89+'Tabell 5.2'!AJ101+'Tabell 5.2'!AJ127+'Tabell 5.2'!AJ139+AJ17+AJ29++'Tabell 5.2'!AJ65+'Tabell 5.2'!AJ77+'Tabell 5.2'!AJ113</f>
        <v>371.851</v>
      </c>
      <c r="AK43" s="565">
        <f t="shared" si="23"/>
        <v>3.3</v>
      </c>
      <c r="AL43" s="659">
        <f>'Tabell 5.1'!AL17+'Tabell 5.1'!AL29+'Tabell 5.1'!AL41+'Tabell 5.1'!AL53+'Tabell 5.1'!AL67+'Tabell 5.1'!AL79+'Tabell 5.1'!AL91+'Tabell 5.1'!AL103+'Tabell 5.2'!AL17+'Tabell 5.2'!AL29+'Tabell 5.2'!AL41+'Tabell 5.2'!AL53+'Tabell 5.2'!AL89+'Tabell 5.2'!AL101+'Tabell 5.2'!AL127+'Tabell 5.2'!AL139+AL17+AL29+'Tabell 5.2'!AL65+'Tabell 5.2'!AL77+'Tabell 5.2'!AL113</f>
        <v>343.35</v>
      </c>
      <c r="AM43" s="659">
        <f>'Tabell 5.1'!AM17+'Tabell 5.1'!AM29+'Tabell 5.1'!AM41+'Tabell 5.1'!AM53+'Tabell 5.1'!AM67+'Tabell 5.1'!AM79+'Tabell 5.1'!AM91+'Tabell 5.1'!AM103+'Tabell 5.2'!AM17+'Tabell 5.2'!AM29+'Tabell 5.2'!AM41+'Tabell 5.2'!AM53+'Tabell 5.2'!AM89+'Tabell 5.2'!AM101+'Tabell 5.2'!AM127+'Tabell 5.2'!AM139+AM17+AM29+'Tabell 5.2'!AM65+'Tabell 5.2'!AM77+'Tabell 5.2'!AM113</f>
        <v>386.1</v>
      </c>
      <c r="AN43" s="659">
        <f t="shared" si="32"/>
        <v>12.5</v>
      </c>
      <c r="AO43" s="659">
        <f>'Tabell 5.1'!AO17+'Tabell 5.1'!AO29+'Tabell 5.1'!AO41+'Tabell 5.1'!AO53+'Tabell 5.1'!AO67+'Tabell 5.1'!AO79+'Tabell 5.1'!AO91+'Tabell 5.1'!AO103+'Tabell 5.2'!AO17+'Tabell 5.2'!AO29+'Tabell 5.2'!AO41+'Tabell 5.2'!AO53+'Tabell 5.2'!AO89+'Tabell 5.2'!AO101+'Tabell 5.2'!AO127+'Tabell 5.2'!AO139+AO17+AO29++'Tabell 5.2'!AO65+'Tabell 5.2'!AO77+'Tabell 5.2'!AO113</f>
        <v>23324.912198681395</v>
      </c>
      <c r="AP43" s="659">
        <f>'Tabell 5.1'!AP17+'Tabell 5.1'!AP29+'Tabell 5.1'!AP41+'Tabell 5.1'!AP53+'Tabell 5.1'!AP67+'Tabell 5.1'!AP79+'Tabell 5.1'!AP91+'Tabell 5.1'!AP103+'Tabell 5.2'!AP17+'Tabell 5.2'!AP29+'Tabell 5.2'!AP41+'Tabell 5.2'!AP53+'Tabell 5.2'!AP89+'Tabell 5.2'!AP101+'Tabell 5.2'!AP127+'Tabell 5.2'!AP139+AP17+AP29++'Tabell 5.2'!AP65+'Tabell 5.2'!AP77+'Tabell 5.2'!AP113</f>
        <v>3043.0439218708925</v>
      </c>
      <c r="AQ43" s="565">
        <f t="shared" si="25"/>
        <v>-87</v>
      </c>
      <c r="AR43" s="659">
        <f>'Tabell 5.1'!AR17+'Tabell 5.1'!AR29+'Tabell 5.1'!AR41+'Tabell 5.1'!AR53+'Tabell 5.1'!AR67+'Tabell 5.1'!AR79+'Tabell 5.1'!AR91+'Tabell 5.1'!AR103+'Tabell 5.2'!AR17+'Tabell 5.2'!AR29+'Tabell 5.2'!AR41+'Tabell 5.2'!AR53+'Tabell 5.2'!AR89+'Tabell 5.2'!AR101+'Tabell 5.2'!AR127+'Tabell 5.2'!AR139+AR17+AR29+'Tabell 5.2'!AR65+'Tabell 5.2'!AR77+'Tabell 5.2'!AR113</f>
        <v>23331.550198681394</v>
      </c>
      <c r="AS43" s="659">
        <f>'Tabell 5.1'!AS17+'Tabell 5.1'!AS29+'Tabell 5.1'!AS41+'Tabell 5.1'!AS53+'Tabell 5.1'!AS67+'Tabell 5.1'!AS79+'Tabell 5.1'!AS91+'Tabell 5.1'!AS103+'Tabell 5.2'!AS17+'Tabell 5.2'!AS29+'Tabell 5.2'!AS41+'Tabell 5.2'!AS53+'Tabell 5.2'!AS89+'Tabell 5.2'!AS101+'Tabell 5.2'!AS127+'Tabell 5.2'!AS139+AS17+AS29+'Tabell 5.2'!AS65+'Tabell 5.2'!AS77+'Tabell 5.2'!AS113</f>
        <v>3052.9509218708922</v>
      </c>
      <c r="AT43" s="565">
        <f t="shared" si="33"/>
        <v>-86.9</v>
      </c>
      <c r="AU43" s="699"/>
      <c r="AV43" s="638"/>
      <c r="AW43" s="633"/>
      <c r="AX43" s="633"/>
    </row>
    <row r="44" spans="1:50" s="660" customFormat="1" ht="18.75" customHeight="1" x14ac:dyDescent="0.3">
      <c r="A44" s="509" t="s">
        <v>438</v>
      </c>
      <c r="B44" s="659">
        <f>'Tabell 5.1'!B18+'Tabell 5.1'!B30+'Tabell 5.1'!B42+'Tabell 5.1'!B54+'Tabell 5.1'!B68+'Tabell 5.1'!B80+'Tabell 5.1'!B92+'Tabell 5.1'!B104+'Tabell 5.2'!B18+'Tabell 5.2'!B30+'Tabell 5.2'!B42+'Tabell 5.2'!B54+'Tabell 5.2'!B90+'Tabell 5.2'!B102+'Tabell 5.2'!B128+'Tabell 5.2'!B140+B18+B30+'Tabell 5.2'!B66+'Tabell 5.2'!B78+'Tabell 5.2'!B114</f>
        <v>-0.21099999999999999</v>
      </c>
      <c r="C44" s="659">
        <f>'Tabell 5.1'!C18+'Tabell 5.1'!C30+'Tabell 5.1'!C42+'Tabell 5.1'!C54+'Tabell 5.1'!C68+'Tabell 5.1'!C80+'Tabell 5.1'!C92+'Tabell 5.1'!C104+'Tabell 5.2'!C18+'Tabell 5.2'!C30+'Tabell 5.2'!C42+'Tabell 5.2'!C54+'Tabell 5.2'!C90+'Tabell 5.2'!C102+'Tabell 5.2'!C128+'Tabell 5.2'!C140+C18+C30+'Tabell 5.2'!C66+'Tabell 5.2'!C78+'Tabell 5.2'!C114</f>
        <v>0</v>
      </c>
      <c r="D44" s="659">
        <f t="shared" si="12"/>
        <v>-100</v>
      </c>
      <c r="E44" s="659">
        <f>'Tabell 5.1'!E18+'Tabell 5.1'!E30+'Tabell 5.1'!E42+'Tabell 5.1'!E54+'Tabell 5.1'!E68+'Tabell 5.1'!E80+'Tabell 5.1'!E92+'Tabell 5.1'!E104+'Tabell 5.2'!E18+'Tabell 5.2'!E30+'Tabell 5.2'!E42+'Tabell 5.2'!E54+'Tabell 5.2'!E90+'Tabell 5.2'!E102+'Tabell 5.2'!E128+'Tabell 5.2'!E140+'Tabell 5.3'!E18+'Tabell 5.3'!E30+'Tabell 5.2'!E66+'Tabell 5.2'!E78+'Tabell 5.2'!E114</f>
        <v>0</v>
      </c>
      <c r="F44" s="659">
        <f>'Tabell 5.1'!F18+'Tabell 5.1'!F30+'Tabell 5.1'!F42+'Tabell 5.1'!F54+'Tabell 5.1'!F68+'Tabell 5.1'!F80+'Tabell 5.1'!F92+'Tabell 5.1'!F104+'Tabell 5.2'!F18+'Tabell 5.2'!F30+'Tabell 5.2'!F42+'Tabell 5.2'!F54+'Tabell 5.2'!F90+'Tabell 5.2'!F102+'Tabell 5.2'!F128+'Tabell 5.2'!F140+'Tabell 5.3'!F18+'Tabell 5.3'!F30+'Tabell 5.2'!F66+'Tabell 5.2'!F78+'Tabell 5.2'!F114</f>
        <v>0</v>
      </c>
      <c r="G44" s="565" t="str">
        <f t="shared" si="13"/>
        <v xml:space="preserve">    ---- </v>
      </c>
      <c r="H44" s="659">
        <f>'Tabell 5.1'!H18+'Tabell 5.1'!H30+'Tabell 5.1'!H42+'Tabell 5.1'!H54+'Tabell 5.1'!H68+'Tabell 5.1'!H80+'Tabell 5.1'!H92+'Tabell 5.1'!H104+'Tabell 5.2'!H18+'Tabell 5.2'!H30+'Tabell 5.2'!H42+'Tabell 5.2'!H54+'Tabell 5.2'!H90+'Tabell 5.2'!H102+'Tabell 5.2'!H128+'Tabell 5.2'!H140+H18+H30+'Tabell 5.2'!H66+'Tabell 5.2'!H78+'Tabell 5.2'!H114</f>
        <v>0</v>
      </c>
      <c r="I44" s="659">
        <f>'Tabell 5.1'!I18+'Tabell 5.1'!I30+'Tabell 5.1'!I42+'Tabell 5.1'!I54+'Tabell 5.1'!I68+'Tabell 5.1'!I80+'Tabell 5.1'!I92+'Tabell 5.1'!I104+'Tabell 5.2'!I18+'Tabell 5.2'!I30+'Tabell 5.2'!I42+'Tabell 5.2'!I54+'Tabell 5.2'!I90+'Tabell 5.2'!I102+'Tabell 5.2'!I128+'Tabell 5.2'!I140+I18+I30+'Tabell 5.2'!I66+'Tabell 5.2'!I78+'Tabell 5.2'!I114</f>
        <v>0</v>
      </c>
      <c r="J44" s="659" t="str">
        <f t="shared" si="27"/>
        <v xml:space="preserve">    ---- </v>
      </c>
      <c r="K44" s="659">
        <f>'Tabell 5.1'!K18+'Tabell 5.1'!K30+'Tabell 5.1'!K42+'Tabell 5.1'!K54+'Tabell 5.1'!K68+'Tabell 5.1'!K80+'Tabell 5.1'!K92+'Tabell 5.1'!K104+'Tabell 5.2'!K18+'Tabell 5.2'!K30+'Tabell 5.2'!K42+'Tabell 5.2'!K54+'Tabell 5.2'!K90+'Tabell 5.2'!K102+'Tabell 5.2'!K128+'Tabell 5.2'!K140+K18+K30++'Tabell 5.2'!K66+'Tabell 5.2'!K78+'Tabell 5.2'!K114</f>
        <v>0</v>
      </c>
      <c r="L44" s="659">
        <f>'Tabell 5.1'!L18+'Tabell 5.1'!L30+'Tabell 5.1'!L42+'Tabell 5.1'!L54+'Tabell 5.1'!L68+'Tabell 5.1'!L80+'Tabell 5.1'!L92+'Tabell 5.1'!L104+'Tabell 5.2'!L18+'Tabell 5.2'!L30+'Tabell 5.2'!L42+'Tabell 5.2'!L54+'Tabell 5.2'!L90+'Tabell 5.2'!L102+'Tabell 5.2'!L128+'Tabell 5.2'!L140+L18+L30++'Tabell 5.2'!L66+'Tabell 5.2'!L78+'Tabell 5.2'!L114</f>
        <v>0</v>
      </c>
      <c r="M44" s="565" t="str">
        <f t="shared" si="15"/>
        <v xml:space="preserve">    ---- </v>
      </c>
      <c r="N44" s="659">
        <f>'Tabell 5.1'!N18+'Tabell 5.1'!N30+'Tabell 5.1'!N42+'Tabell 5.1'!N54+'Tabell 5.1'!N68+'Tabell 5.1'!N80+'Tabell 5.1'!N92+'Tabell 5.1'!N104+'Tabell 5.2'!N18+'Tabell 5.2'!N30+'Tabell 5.2'!N42+'Tabell 5.2'!N54+'Tabell 5.2'!N90+'Tabell 5.2'!N102+'Tabell 5.2'!N128+'Tabell 5.2'!N140+N18+N30+'Tabell 5.2'!N66+'Tabell 5.2'!N78+'Tabell 5.2'!N114</f>
        <v>0</v>
      </c>
      <c r="O44" s="659">
        <f>'Tabell 5.1'!O18+'Tabell 5.1'!O30+'Tabell 5.1'!O42+'Tabell 5.1'!O54+'Tabell 5.1'!O68+'Tabell 5.1'!O80+'Tabell 5.1'!O92+'Tabell 5.1'!O104+'Tabell 5.2'!O18+'Tabell 5.2'!O30+'Tabell 5.2'!O42+'Tabell 5.2'!O54+'Tabell 5.2'!O90+'Tabell 5.2'!O102+'Tabell 5.2'!O128+'Tabell 5.2'!O140+O18+O30+'Tabell 5.2'!O66+'Tabell 5.2'!O78+'Tabell 5.2'!O114</f>
        <v>0</v>
      </c>
      <c r="P44" s="659" t="str">
        <f t="shared" si="28"/>
        <v xml:space="preserve">    ---- </v>
      </c>
      <c r="Q44" s="659">
        <f>'Tabell 5.1'!Q18+'Tabell 5.1'!Q30+'Tabell 5.1'!Q42+'Tabell 5.1'!Q54+'Tabell 5.1'!Q68+'Tabell 5.1'!Q80+'Tabell 5.1'!Q92+'Tabell 5.1'!Q104+'Tabell 5.2'!Q18+'Tabell 5.2'!Q30+'Tabell 5.2'!Q42+'Tabell 5.2'!Q54+'Tabell 5.2'!Q90+'Tabell 5.2'!Q102+'Tabell 5.2'!Q128+'Tabell 5.2'!Q140+Q18+Q30++'Tabell 5.2'!Q66+'Tabell 5.2'!Q78+'Tabell 5.2'!Q114</f>
        <v>2817.1542735849425</v>
      </c>
      <c r="R44" s="659">
        <f>'Tabell 5.1'!R18+'Tabell 5.1'!R30+'Tabell 5.1'!R42+'Tabell 5.1'!R54+'Tabell 5.1'!R68+'Tabell 5.1'!R80+'Tabell 5.1'!R92+'Tabell 5.1'!R104+'Tabell 5.2'!R18+'Tabell 5.2'!R30+'Tabell 5.2'!R42+'Tabell 5.2'!R54+'Tabell 5.2'!R90+'Tabell 5.2'!R102+'Tabell 5.2'!R128+'Tabell 5.2'!R140+R18+R30++'Tabell 5.2'!R66+'Tabell 5.2'!R78+'Tabell 5.2'!R114</f>
        <v>394.13685099999998</v>
      </c>
      <c r="S44" s="565">
        <f t="shared" si="17"/>
        <v>-86</v>
      </c>
      <c r="T44" s="659">
        <f>'Tabell 5.1'!T18+'Tabell 5.1'!T30+'Tabell 5.1'!T42+'Tabell 5.1'!T54+'Tabell 5.1'!T68+'Tabell 5.1'!T80+'Tabell 5.1'!T92+'Tabell 5.1'!T104+'Tabell 5.2'!T18+'Tabell 5.2'!T30+'Tabell 5.2'!T42+'Tabell 5.2'!T54+'Tabell 5.2'!T90+'Tabell 5.2'!T102+'Tabell 5.2'!T128+'Tabell 5.2'!T140+T18+T30+'Tabell 5.2'!T66+'Tabell 5.2'!T78+'Tabell 5.2'!T114</f>
        <v>0</v>
      </c>
      <c r="U44" s="659">
        <f>'Tabell 5.1'!U18+'Tabell 5.1'!U30+'Tabell 5.1'!U42+'Tabell 5.1'!U54+'Tabell 5.1'!U68+'Tabell 5.1'!U80+'Tabell 5.1'!U92+'Tabell 5.1'!U104+'Tabell 5.2'!U18+'Tabell 5.2'!U30+'Tabell 5.2'!U42+'Tabell 5.2'!U54+'Tabell 5.2'!U90+'Tabell 5.2'!U102+'Tabell 5.2'!U128+'Tabell 5.2'!U140+U18+U30+'Tabell 5.2'!U66+'Tabell 5.2'!U78+'Tabell 5.2'!U114</f>
        <v>0</v>
      </c>
      <c r="V44" s="659" t="str">
        <f t="shared" si="29"/>
        <v xml:space="preserve">    ---- </v>
      </c>
      <c r="W44" s="659">
        <f>'Tabell 5.1'!W18+'Tabell 5.1'!W30+'Tabell 5.1'!W42+'Tabell 5.1'!W54+'Tabell 5.1'!W68+'Tabell 5.1'!W80+'Tabell 5.1'!W92+'Tabell 5.1'!W104+'Tabell 5.2'!W18+'Tabell 5.2'!W30+'Tabell 5.2'!W42+'Tabell 5.2'!W54+'Tabell 5.2'!W90+'Tabell 5.2'!W102+'Tabell 5.2'!W128+'Tabell 5.2'!W140+W18+W30++'Tabell 5.2'!W66+'Tabell 5.2'!W78+'Tabell 5.2'!W114</f>
        <v>142</v>
      </c>
      <c r="X44" s="659">
        <f>'Tabell 5.1'!X18+'Tabell 5.1'!X30+'Tabell 5.1'!X42+'Tabell 5.1'!X54+'Tabell 5.1'!X68+'Tabell 5.1'!X80+'Tabell 5.1'!X92+'Tabell 5.1'!X104+'Tabell 5.2'!X18+'Tabell 5.2'!X30+'Tabell 5.2'!X42+'Tabell 5.2'!X54+'Tabell 5.2'!X90+'Tabell 5.2'!X102+'Tabell 5.2'!X128+'Tabell 5.2'!X140+X18+X30++'Tabell 5.2'!X66+'Tabell 5.2'!X78+'Tabell 5.2'!X114</f>
        <v>94</v>
      </c>
      <c r="Y44" s="565">
        <f t="shared" si="19"/>
        <v>-33.799999999999997</v>
      </c>
      <c r="Z44" s="659">
        <f>'Tabell 5.1'!Z18+'Tabell 5.1'!Z30+'Tabell 5.1'!Z42+'Tabell 5.1'!Z54+'Tabell 5.1'!Z68+'Tabell 5.1'!Z80+'Tabell 5.1'!Z92+'Tabell 5.1'!Z104+'Tabell 5.2'!Z18+'Tabell 5.2'!Z30+'Tabell 5.2'!Z42+'Tabell 5.2'!Z54+'Tabell 5.2'!Z90+'Tabell 5.2'!Z102+'Tabell 5.2'!Z128+'Tabell 5.2'!Z140+Z18+Z30+'Tabell 5.2'!Z66+'Tabell 5.2'!Z78+'Tabell 5.2'!Z114</f>
        <v>-536</v>
      </c>
      <c r="AA44" s="659">
        <f>'Tabell 5.1'!AA18+'Tabell 5.1'!AA30+'Tabell 5.1'!AA42+'Tabell 5.1'!AA54+'Tabell 5.1'!AA68+'Tabell 5.1'!AA80+'Tabell 5.1'!AA92+'Tabell 5.1'!AA104+'Tabell 5.2'!AA18+'Tabell 5.2'!AA30+'Tabell 5.2'!AA42+'Tabell 5.2'!AA54+'Tabell 5.2'!AA90+'Tabell 5.2'!AA102+'Tabell 5.2'!AA128+'Tabell 5.2'!AA140+AA18+AA30+'Tabell 5.2'!AA66+'Tabell 5.2'!AA78+'Tabell 5.2'!AA114</f>
        <v>-151</v>
      </c>
      <c r="AB44" s="659">
        <f t="shared" si="30"/>
        <v>-71.8</v>
      </c>
      <c r="AC44" s="659">
        <f>'Tabell 5.1'!AC18+'Tabell 5.1'!AC30+'Tabell 5.1'!AC42+'Tabell 5.1'!AC54+'Tabell 5.1'!AC68+'Tabell 5.1'!AC80+'Tabell 5.1'!AC92+'Tabell 5.1'!AC104+'Tabell 5.2'!AC18+'Tabell 5.2'!AC30+'Tabell 5.2'!AC42+'Tabell 5.2'!AC54+'Tabell 5.2'!AC90+'Tabell 5.2'!AC102+'Tabell 5.2'!AC128+'Tabell 5.2'!AC140+AC18+AC30++'Tabell 5.2'!AC66+'Tabell 5.2'!AC78+'Tabell 5.2'!AC114</f>
        <v>0</v>
      </c>
      <c r="AD44" s="659">
        <f>'Tabell 5.1'!AD18+'Tabell 5.1'!AD30+'Tabell 5.1'!AD42+'Tabell 5.1'!AD54+'Tabell 5.1'!AD68+'Tabell 5.1'!AD80+'Tabell 5.1'!AD92+'Tabell 5.1'!AD104+'Tabell 5.2'!AD18+'Tabell 5.2'!AD30+'Tabell 5.2'!AD42+'Tabell 5.2'!AD54+'Tabell 5.2'!AD90+'Tabell 5.2'!AD102+'Tabell 5.2'!AD128+'Tabell 5.2'!AD140+AD18+AD30++'Tabell 5.2'!AD66+'Tabell 5.2'!AD78+'Tabell 5.2'!AD114</f>
        <v>0</v>
      </c>
      <c r="AE44" s="565" t="str">
        <f t="shared" si="21"/>
        <v xml:space="preserve">    ---- </v>
      </c>
      <c r="AF44" s="659">
        <f>'Tabell 5.1'!AF18+'Tabell 5.1'!AF30+'Tabell 5.1'!AF42+'Tabell 5.1'!AF54+'Tabell 5.1'!AF68+'Tabell 5.1'!AF80+'Tabell 5.1'!AF92+'Tabell 5.1'!AF104+'Tabell 5.2'!AF18+'Tabell 5.2'!AF30+'Tabell 5.2'!AF42+'Tabell 5.2'!AF54+'Tabell 5.2'!AF90+'Tabell 5.2'!AF102+'Tabell 5.2'!AF128+'Tabell 5.2'!AF140+AF18+AF30+'Tabell 5.2'!AF66+'Tabell 5.2'!AF78+'Tabell 5.2'!AF114</f>
        <v>0</v>
      </c>
      <c r="AG44" s="659">
        <f>'Tabell 5.1'!AG18+'Tabell 5.1'!AG30+'Tabell 5.1'!AG42+'Tabell 5.1'!AG54+'Tabell 5.1'!AG68+'Tabell 5.1'!AG80+'Tabell 5.1'!AG92+'Tabell 5.1'!AG104+'Tabell 5.2'!AG18+'Tabell 5.2'!AG30+'Tabell 5.2'!AG42+'Tabell 5.2'!AG54+'Tabell 5.2'!AG90+'Tabell 5.2'!AG102+'Tabell 5.2'!AG128+'Tabell 5.2'!AG140+AG18+AG30+'Tabell 5.2'!AG66+'Tabell 5.2'!AG78+'Tabell 5.2'!AG114</f>
        <v>0</v>
      </c>
      <c r="AH44" s="659" t="str">
        <f t="shared" si="31"/>
        <v xml:space="preserve">    ---- </v>
      </c>
      <c r="AI44" s="659">
        <f>'Tabell 5.1'!AI18+'Tabell 5.1'!AI30+'Tabell 5.1'!AI42+'Tabell 5.1'!AI54+'Tabell 5.1'!AI68+'Tabell 5.1'!AI80+'Tabell 5.1'!AI92+'Tabell 5.1'!AI104+'Tabell 5.2'!AI18+'Tabell 5.2'!AI30+'Tabell 5.2'!AI42+'Tabell 5.2'!AI54+'Tabell 5.2'!AI90+'Tabell 5.2'!AI102+'Tabell 5.2'!AI128+'Tabell 5.2'!AI140+AI18+AI30++'Tabell 5.2'!AI66+'Tabell 5.2'!AI78+'Tabell 5.2'!AI114</f>
        <v>0</v>
      </c>
      <c r="AJ44" s="659">
        <f>'Tabell 5.1'!AJ18+'Tabell 5.1'!AJ30+'Tabell 5.1'!AJ42+'Tabell 5.1'!AJ54+'Tabell 5.1'!AJ68+'Tabell 5.1'!AJ80+'Tabell 5.1'!AJ92+'Tabell 5.1'!AJ104+'Tabell 5.2'!AJ18+'Tabell 5.2'!AJ30+'Tabell 5.2'!AJ42+'Tabell 5.2'!AJ54+'Tabell 5.2'!AJ90+'Tabell 5.2'!AJ102+'Tabell 5.2'!AJ128+'Tabell 5.2'!AJ140+AJ18+AJ30++'Tabell 5.2'!AJ66+'Tabell 5.2'!AJ78+'Tabell 5.2'!AJ114</f>
        <v>0</v>
      </c>
      <c r="AK44" s="565" t="str">
        <f t="shared" si="23"/>
        <v xml:space="preserve">    ---- </v>
      </c>
      <c r="AL44" s="659">
        <f>'Tabell 5.1'!AL18+'Tabell 5.1'!AL30+'Tabell 5.1'!AL42+'Tabell 5.1'!AL54+'Tabell 5.1'!AL68+'Tabell 5.1'!AL80+'Tabell 5.1'!AL92+'Tabell 5.1'!AL104+'Tabell 5.2'!AL18+'Tabell 5.2'!AL30+'Tabell 5.2'!AL42+'Tabell 5.2'!AL54+'Tabell 5.2'!AL90+'Tabell 5.2'!AL102+'Tabell 5.2'!AL128+'Tabell 5.2'!AL140+AL18+AL30+'Tabell 5.2'!AL66+'Tabell 5.2'!AL78+'Tabell 5.2'!AL114</f>
        <v>91.5</v>
      </c>
      <c r="AM44" s="659">
        <f>'Tabell 5.1'!AM18+'Tabell 5.1'!AM30+'Tabell 5.1'!AM42+'Tabell 5.1'!AM54+'Tabell 5.1'!AM68+'Tabell 5.1'!AM80+'Tabell 5.1'!AM92+'Tabell 5.1'!AM104+'Tabell 5.2'!AM18+'Tabell 5.2'!AM30+'Tabell 5.2'!AM42+'Tabell 5.2'!AM54+'Tabell 5.2'!AM90+'Tabell 5.2'!AM102+'Tabell 5.2'!AM128+'Tabell 5.2'!AM140+AM18+AM30+'Tabell 5.2'!AM66+'Tabell 5.2'!AM78+'Tabell 5.2'!AM114</f>
        <v>0</v>
      </c>
      <c r="AN44" s="659">
        <f t="shared" si="32"/>
        <v>-100</v>
      </c>
      <c r="AO44" s="659">
        <f>'Tabell 5.1'!AO18+'Tabell 5.1'!AO30+'Tabell 5.1'!AO42+'Tabell 5.1'!AO54+'Tabell 5.1'!AO68+'Tabell 5.1'!AO80+'Tabell 5.1'!AO92+'Tabell 5.1'!AO104+'Tabell 5.2'!AO18+'Tabell 5.2'!AO30+'Tabell 5.2'!AO42+'Tabell 5.2'!AO54+'Tabell 5.2'!AO90+'Tabell 5.2'!AO102+'Tabell 5.2'!AO128+'Tabell 5.2'!AO140+AO18+AO30++'Tabell 5.2'!AO66+'Tabell 5.2'!AO78+'Tabell 5.2'!AO114</f>
        <v>2514.4432735849423</v>
      </c>
      <c r="AP44" s="659">
        <f>'Tabell 5.1'!AP18+'Tabell 5.1'!AP30+'Tabell 5.1'!AP42+'Tabell 5.1'!AP54+'Tabell 5.1'!AP68+'Tabell 5.1'!AP80+'Tabell 5.1'!AP92+'Tabell 5.1'!AP104+'Tabell 5.2'!AP18+'Tabell 5.2'!AP30+'Tabell 5.2'!AP42+'Tabell 5.2'!AP54+'Tabell 5.2'!AP90+'Tabell 5.2'!AP102+'Tabell 5.2'!AP128+'Tabell 5.2'!AP140+AP18+AP30++'Tabell 5.2'!AP66+'Tabell 5.2'!AP78+'Tabell 5.2'!AP114</f>
        <v>337.13685099999998</v>
      </c>
      <c r="AQ44" s="565">
        <f t="shared" si="25"/>
        <v>-86.6</v>
      </c>
      <c r="AR44" s="659">
        <f>'Tabell 5.1'!AR18+'Tabell 5.1'!AR30+'Tabell 5.1'!AR42+'Tabell 5.1'!AR54+'Tabell 5.1'!AR68+'Tabell 5.1'!AR80+'Tabell 5.1'!AR92+'Tabell 5.1'!AR104+'Tabell 5.2'!AR18+'Tabell 5.2'!AR30+'Tabell 5.2'!AR42+'Tabell 5.2'!AR54+'Tabell 5.2'!AR90+'Tabell 5.2'!AR102+'Tabell 5.2'!AR128+'Tabell 5.2'!AR140+AR18+AR30+'Tabell 5.2'!AR66+'Tabell 5.2'!AR78+'Tabell 5.2'!AR114</f>
        <v>2514.4432735849423</v>
      </c>
      <c r="AS44" s="659">
        <f>'Tabell 5.1'!AS18+'Tabell 5.1'!AS30+'Tabell 5.1'!AS42+'Tabell 5.1'!AS54+'Tabell 5.1'!AS68+'Tabell 5.1'!AS80+'Tabell 5.1'!AS92+'Tabell 5.1'!AS104+'Tabell 5.2'!AS18+'Tabell 5.2'!AS30+'Tabell 5.2'!AS42+'Tabell 5.2'!AS54+'Tabell 5.2'!AS90+'Tabell 5.2'!AS102+'Tabell 5.2'!AS128+'Tabell 5.2'!AS140+AS18+AS30+'Tabell 5.2'!AS66+'Tabell 5.2'!AS78+'Tabell 5.2'!AS114</f>
        <v>337.13685099999998</v>
      </c>
      <c r="AT44" s="565">
        <f t="shared" si="33"/>
        <v>-86.6</v>
      </c>
      <c r="AU44" s="699"/>
      <c r="AV44" s="638"/>
      <c r="AW44" s="633"/>
      <c r="AX44" s="633"/>
    </row>
    <row r="45" spans="1:50" s="660" customFormat="1" ht="18.75" customHeight="1" x14ac:dyDescent="0.3">
      <c r="A45" s="509" t="s">
        <v>439</v>
      </c>
      <c r="B45" s="659">
        <f>'Tabell 5.1'!B19+'Tabell 5.1'!B31+'Tabell 5.1'!B43+'Tabell 5.1'!B55+'Tabell 5.1'!B69+'Tabell 5.1'!B81+'Tabell 5.1'!B93+'Tabell 5.1'!B105+'Tabell 5.2'!B19+'Tabell 5.2'!B31+'Tabell 5.2'!B43+'Tabell 5.2'!B55+'Tabell 5.2'!B91+'Tabell 5.2'!B103+'Tabell 5.2'!B129+'Tabell 5.2'!B141+B19+B31+'Tabell 5.2'!B67+'Tabell 5.2'!B79+'Tabell 5.2'!B115</f>
        <v>0</v>
      </c>
      <c r="C45" s="659">
        <f>'Tabell 5.1'!C19+'Tabell 5.1'!C31+'Tabell 5.1'!C43+'Tabell 5.1'!C55+'Tabell 5.1'!C69+'Tabell 5.1'!C81+'Tabell 5.1'!C93+'Tabell 5.1'!C105+'Tabell 5.2'!C19+'Tabell 5.2'!C31+'Tabell 5.2'!C43+'Tabell 5.2'!C55+'Tabell 5.2'!C91+'Tabell 5.2'!C103+'Tabell 5.2'!C129+'Tabell 5.2'!C141+C19+C31+'Tabell 5.2'!C67+'Tabell 5.2'!C79+'Tabell 5.2'!C115</f>
        <v>0</v>
      </c>
      <c r="D45" s="659" t="str">
        <f t="shared" si="12"/>
        <v xml:space="preserve">    ---- </v>
      </c>
      <c r="E45" s="659">
        <f>'Tabell 5.1'!E19+'Tabell 5.1'!E31+'Tabell 5.1'!E43+'Tabell 5.1'!E55+'Tabell 5.1'!E69+'Tabell 5.1'!E81+'Tabell 5.1'!E93+'Tabell 5.1'!E105+'Tabell 5.2'!E19+'Tabell 5.2'!E31+'Tabell 5.2'!E43+'Tabell 5.2'!E55+'Tabell 5.2'!E91+'Tabell 5.2'!E103+'Tabell 5.2'!E129+'Tabell 5.2'!E141+'Tabell 5.3'!E19+'Tabell 5.3'!E31+'Tabell 5.2'!E67+'Tabell 5.2'!E79+'Tabell 5.2'!E115</f>
        <v>0</v>
      </c>
      <c r="F45" s="659">
        <f>'Tabell 5.1'!F19+'Tabell 5.1'!F31+'Tabell 5.1'!F43+'Tabell 5.1'!F55+'Tabell 5.1'!F69+'Tabell 5.1'!F81+'Tabell 5.1'!F93+'Tabell 5.1'!F105+'Tabell 5.2'!F19+'Tabell 5.2'!F31+'Tabell 5.2'!F43+'Tabell 5.2'!F55+'Tabell 5.2'!F91+'Tabell 5.2'!F103+'Tabell 5.2'!F129+'Tabell 5.2'!F141+'Tabell 5.3'!F19+'Tabell 5.3'!F31+'Tabell 5.2'!F67+'Tabell 5.2'!F79+'Tabell 5.2'!F115</f>
        <v>0</v>
      </c>
      <c r="G45" s="565" t="str">
        <f t="shared" si="13"/>
        <v xml:space="preserve">    ---- </v>
      </c>
      <c r="H45" s="659">
        <f>'Tabell 5.1'!H19+'Tabell 5.1'!H31+'Tabell 5.1'!H43+'Tabell 5.1'!H55+'Tabell 5.1'!H69+'Tabell 5.1'!H81+'Tabell 5.1'!H93+'Tabell 5.1'!H105+'Tabell 5.2'!H19+'Tabell 5.2'!H31+'Tabell 5.2'!H43+'Tabell 5.2'!H55+'Tabell 5.2'!H91+'Tabell 5.2'!H103+'Tabell 5.2'!H129+'Tabell 5.2'!H141+H19+H31+'Tabell 5.2'!H67+'Tabell 5.2'!H79+'Tabell 5.2'!H115</f>
        <v>-0.60600000000000009</v>
      </c>
      <c r="I45" s="659">
        <f>'Tabell 5.1'!I19+'Tabell 5.1'!I31+'Tabell 5.1'!I43+'Tabell 5.1'!I55+'Tabell 5.1'!I69+'Tabell 5.1'!I81+'Tabell 5.1'!I93+'Tabell 5.1'!I105+'Tabell 5.2'!I19+'Tabell 5.2'!I31+'Tabell 5.2'!I43+'Tabell 5.2'!I55+'Tabell 5.2'!I91+'Tabell 5.2'!I103+'Tabell 5.2'!I129+'Tabell 5.2'!I141+I19+I31+'Tabell 5.2'!I67+'Tabell 5.2'!I79+'Tabell 5.2'!I115</f>
        <v>-0.13699999999999998</v>
      </c>
      <c r="J45" s="659"/>
      <c r="K45" s="659">
        <f>'Tabell 5.1'!K19+'Tabell 5.1'!K31+'Tabell 5.1'!K43+'Tabell 5.1'!K55+'Tabell 5.1'!K69+'Tabell 5.1'!K81+'Tabell 5.1'!K93+'Tabell 5.1'!K105+'Tabell 5.2'!K19+'Tabell 5.2'!K31+'Tabell 5.2'!K43+'Tabell 5.2'!K55+'Tabell 5.2'!K91+'Tabell 5.2'!K103+'Tabell 5.2'!K129+'Tabell 5.2'!K141+K19+K31++'Tabell 5.2'!K67+'Tabell 5.2'!K79+'Tabell 5.2'!K115</f>
        <v>0</v>
      </c>
      <c r="L45" s="659">
        <f>'Tabell 5.1'!L19+'Tabell 5.1'!L31+'Tabell 5.1'!L43+'Tabell 5.1'!L55+'Tabell 5.1'!L69+'Tabell 5.1'!L81+'Tabell 5.1'!L93+'Tabell 5.1'!L105+'Tabell 5.2'!L19+'Tabell 5.2'!L31+'Tabell 5.2'!L43+'Tabell 5.2'!L55+'Tabell 5.2'!L91+'Tabell 5.2'!L103+'Tabell 5.2'!L129+'Tabell 5.2'!L141+L19+L31++'Tabell 5.2'!L67+'Tabell 5.2'!L79+'Tabell 5.2'!L115</f>
        <v>0</v>
      </c>
      <c r="M45" s="565" t="str">
        <f t="shared" si="15"/>
        <v xml:space="preserve">    ---- </v>
      </c>
      <c r="N45" s="659">
        <f>'Tabell 5.1'!N19+'Tabell 5.1'!N31+'Tabell 5.1'!N43+'Tabell 5.1'!N55+'Tabell 5.1'!N69+'Tabell 5.1'!N81+'Tabell 5.1'!N93+'Tabell 5.1'!N105+'Tabell 5.2'!N19+'Tabell 5.2'!N31+'Tabell 5.2'!N43+'Tabell 5.2'!N55+'Tabell 5.2'!N91+'Tabell 5.2'!N103+'Tabell 5.2'!N129+'Tabell 5.2'!N141+N19+N31+'Tabell 5.2'!N67+'Tabell 5.2'!N79+'Tabell 5.2'!N115</f>
        <v>0</v>
      </c>
      <c r="O45" s="659">
        <f>'Tabell 5.1'!O19+'Tabell 5.1'!O31+'Tabell 5.1'!O43+'Tabell 5.1'!O55+'Tabell 5.1'!O69+'Tabell 5.1'!O81+'Tabell 5.1'!O93+'Tabell 5.1'!O105+'Tabell 5.2'!O19+'Tabell 5.2'!O31+'Tabell 5.2'!O43+'Tabell 5.2'!O55+'Tabell 5.2'!O91+'Tabell 5.2'!O103+'Tabell 5.2'!O129+'Tabell 5.2'!O141+O19+O31+'Tabell 5.2'!O67+'Tabell 5.2'!O79+'Tabell 5.2'!O115</f>
        <v>0</v>
      </c>
      <c r="P45" s="659" t="str">
        <f t="shared" si="28"/>
        <v xml:space="preserve">    ---- </v>
      </c>
      <c r="Q45" s="659">
        <f>'Tabell 5.1'!Q19+'Tabell 5.1'!Q31+'Tabell 5.1'!Q43+'Tabell 5.1'!Q55+'Tabell 5.1'!Q69+'Tabell 5.1'!Q81+'Tabell 5.1'!Q93+'Tabell 5.1'!Q105+'Tabell 5.2'!Q19+'Tabell 5.2'!Q31+'Tabell 5.2'!Q43+'Tabell 5.2'!Q55+'Tabell 5.2'!Q91+'Tabell 5.2'!Q103+'Tabell 5.2'!Q129+'Tabell 5.2'!Q141+Q19+Q31++'Tabell 5.2'!Q67+'Tabell 5.2'!Q79+'Tabell 5.2'!Q115</f>
        <v>0</v>
      </c>
      <c r="R45" s="659">
        <f>'Tabell 5.1'!R19+'Tabell 5.1'!R31+'Tabell 5.1'!R43+'Tabell 5.1'!R55+'Tabell 5.1'!R69+'Tabell 5.1'!R81+'Tabell 5.1'!R93+'Tabell 5.1'!R105+'Tabell 5.2'!R19+'Tabell 5.2'!R31+'Tabell 5.2'!R43+'Tabell 5.2'!R55+'Tabell 5.2'!R91+'Tabell 5.2'!R103+'Tabell 5.2'!R129+'Tabell 5.2'!R141+R19+R31++'Tabell 5.2'!R67+'Tabell 5.2'!R79+'Tabell 5.2'!R115</f>
        <v>0</v>
      </c>
      <c r="S45" s="565" t="str">
        <f t="shared" si="17"/>
        <v xml:space="preserve">    ---- </v>
      </c>
      <c r="T45" s="659">
        <f>'Tabell 5.1'!T19+'Tabell 5.1'!T31+'Tabell 5.1'!T43+'Tabell 5.1'!T55+'Tabell 5.1'!T69+'Tabell 5.1'!T81+'Tabell 5.1'!T93+'Tabell 5.1'!T105+'Tabell 5.2'!T19+'Tabell 5.2'!T31+'Tabell 5.2'!T43+'Tabell 5.2'!T55+'Tabell 5.2'!T91+'Tabell 5.2'!T103+'Tabell 5.2'!T129+'Tabell 5.2'!T141+T19+T31+'Tabell 5.2'!T67+'Tabell 5.2'!T79+'Tabell 5.2'!T115</f>
        <v>-13</v>
      </c>
      <c r="U45" s="659">
        <f>'Tabell 5.1'!U19+'Tabell 5.1'!U31+'Tabell 5.1'!U43+'Tabell 5.1'!U55+'Tabell 5.1'!U69+'Tabell 5.1'!U81+'Tabell 5.1'!U93+'Tabell 5.1'!U105+'Tabell 5.2'!U19+'Tabell 5.2'!U31+'Tabell 5.2'!U43+'Tabell 5.2'!U55+'Tabell 5.2'!U91+'Tabell 5.2'!U103+'Tabell 5.2'!U129+'Tabell 5.2'!U141+U19+U31+'Tabell 5.2'!U67+'Tabell 5.2'!U79+'Tabell 5.2'!U115</f>
        <v>-18</v>
      </c>
      <c r="V45" s="659">
        <f t="shared" si="29"/>
        <v>38.5</v>
      </c>
      <c r="W45" s="659">
        <f>'Tabell 5.1'!W19+'Tabell 5.1'!W31+'Tabell 5.1'!W43+'Tabell 5.1'!W55+'Tabell 5.1'!W69+'Tabell 5.1'!W81+'Tabell 5.1'!W93+'Tabell 5.1'!W105+'Tabell 5.2'!W19+'Tabell 5.2'!W31+'Tabell 5.2'!W43+'Tabell 5.2'!W55+'Tabell 5.2'!W91+'Tabell 5.2'!W103+'Tabell 5.2'!W129+'Tabell 5.2'!W141+W19+W31++'Tabell 5.2'!W67+'Tabell 5.2'!W79+'Tabell 5.2'!W115</f>
        <v>-389</v>
      </c>
      <c r="X45" s="659">
        <f>'Tabell 5.1'!X19+'Tabell 5.1'!X31+'Tabell 5.1'!X43+'Tabell 5.1'!X55+'Tabell 5.1'!X69+'Tabell 5.1'!X81+'Tabell 5.1'!X93+'Tabell 5.1'!X105+'Tabell 5.2'!X19+'Tabell 5.2'!X31+'Tabell 5.2'!X43+'Tabell 5.2'!X55+'Tabell 5.2'!X91+'Tabell 5.2'!X103+'Tabell 5.2'!X129+'Tabell 5.2'!X141+X19+X31++'Tabell 5.2'!X67+'Tabell 5.2'!X79+'Tabell 5.2'!X115</f>
        <v>-342.88951700000001</v>
      </c>
      <c r="Y45" s="565">
        <f t="shared" si="19"/>
        <v>-11.9</v>
      </c>
      <c r="Z45" s="659">
        <f>'Tabell 5.1'!Z19+'Tabell 5.1'!Z31+'Tabell 5.1'!Z43+'Tabell 5.1'!Z55+'Tabell 5.1'!Z69+'Tabell 5.1'!Z81+'Tabell 5.1'!Z93+'Tabell 5.1'!Z105+'Tabell 5.2'!Z19+'Tabell 5.2'!Z31+'Tabell 5.2'!Z43+'Tabell 5.2'!Z55+'Tabell 5.2'!Z91+'Tabell 5.2'!Z103+'Tabell 5.2'!Z129+'Tabell 5.2'!Z141+Z19+Z31+'Tabell 5.2'!Z67+'Tabell 5.2'!Z79+'Tabell 5.2'!Z115</f>
        <v>0</v>
      </c>
      <c r="AA45" s="659">
        <f>'Tabell 5.1'!AA19+'Tabell 5.1'!AA31+'Tabell 5.1'!AA43+'Tabell 5.1'!AA55+'Tabell 5.1'!AA69+'Tabell 5.1'!AA81+'Tabell 5.1'!AA93+'Tabell 5.1'!AA105+'Tabell 5.2'!AA19+'Tabell 5.2'!AA31+'Tabell 5.2'!AA43+'Tabell 5.2'!AA55+'Tabell 5.2'!AA91+'Tabell 5.2'!AA103+'Tabell 5.2'!AA129+'Tabell 5.2'!AA141+AA19+AA31+'Tabell 5.2'!AA67+'Tabell 5.2'!AA79+'Tabell 5.2'!AA115</f>
        <v>0</v>
      </c>
      <c r="AB45" s="659" t="str">
        <f t="shared" si="30"/>
        <v xml:space="preserve">    ---- </v>
      </c>
      <c r="AC45" s="659">
        <f>'Tabell 5.1'!AC19+'Tabell 5.1'!AC31+'Tabell 5.1'!AC43+'Tabell 5.1'!AC55+'Tabell 5.1'!AC69+'Tabell 5.1'!AC81+'Tabell 5.1'!AC93+'Tabell 5.1'!AC105+'Tabell 5.2'!AC19+'Tabell 5.2'!AC31+'Tabell 5.2'!AC43+'Tabell 5.2'!AC55+'Tabell 5.2'!AC91+'Tabell 5.2'!AC103+'Tabell 5.2'!AC129+'Tabell 5.2'!AC141+AC19+AC31++'Tabell 5.2'!AC67+'Tabell 5.2'!AC79+'Tabell 5.2'!AC115</f>
        <v>0</v>
      </c>
      <c r="AD45" s="659">
        <f>'Tabell 5.1'!AD19+'Tabell 5.1'!AD31+'Tabell 5.1'!AD43+'Tabell 5.1'!AD55+'Tabell 5.1'!AD69+'Tabell 5.1'!AD81+'Tabell 5.1'!AD93+'Tabell 5.1'!AD105+'Tabell 5.2'!AD19+'Tabell 5.2'!AD31+'Tabell 5.2'!AD43+'Tabell 5.2'!AD55+'Tabell 5.2'!AD91+'Tabell 5.2'!AD103+'Tabell 5.2'!AD129+'Tabell 5.2'!AD141+AD19+AD31++'Tabell 5.2'!AD67+'Tabell 5.2'!AD79+'Tabell 5.2'!AD115</f>
        <v>0</v>
      </c>
      <c r="AE45" s="565" t="str">
        <f t="shared" si="21"/>
        <v xml:space="preserve">    ---- </v>
      </c>
      <c r="AF45" s="659">
        <f>'Tabell 5.1'!AF19+'Tabell 5.1'!AF31+'Tabell 5.1'!AF43+'Tabell 5.1'!AF55+'Tabell 5.1'!AF69+'Tabell 5.1'!AF81+'Tabell 5.1'!AF93+'Tabell 5.1'!AF105+'Tabell 5.2'!AF19+'Tabell 5.2'!AF31+'Tabell 5.2'!AF43+'Tabell 5.2'!AF55+'Tabell 5.2'!AF91+'Tabell 5.2'!AF103+'Tabell 5.2'!AF129+'Tabell 5.2'!AF141+AF19+AF31+'Tabell 5.2'!AF67+'Tabell 5.2'!AF79+'Tabell 5.2'!AF115</f>
        <v>13.728</v>
      </c>
      <c r="AG45" s="659">
        <f>'Tabell 5.1'!AG19+'Tabell 5.1'!AG31+'Tabell 5.1'!AG43+'Tabell 5.1'!AG55+'Tabell 5.1'!AG69+'Tabell 5.1'!AG81+'Tabell 5.1'!AG93+'Tabell 5.1'!AG105+'Tabell 5.2'!AG19+'Tabell 5.2'!AG31+'Tabell 5.2'!AG43+'Tabell 5.2'!AG55+'Tabell 5.2'!AG91+'Tabell 5.2'!AG103+'Tabell 5.2'!AG129+'Tabell 5.2'!AG141+AG19+AG31+'Tabell 5.2'!AG67+'Tabell 5.2'!AG79+'Tabell 5.2'!AG115</f>
        <v>0</v>
      </c>
      <c r="AH45" s="659">
        <f t="shared" si="31"/>
        <v>-100</v>
      </c>
      <c r="AI45" s="659">
        <f>'Tabell 5.1'!AI19+'Tabell 5.1'!AI31+'Tabell 5.1'!AI43+'Tabell 5.1'!AI55+'Tabell 5.1'!AI69+'Tabell 5.1'!AI81+'Tabell 5.1'!AI93+'Tabell 5.1'!AI105+'Tabell 5.2'!AI19+'Tabell 5.2'!AI31+'Tabell 5.2'!AI43+'Tabell 5.2'!AI55+'Tabell 5.2'!AI91+'Tabell 5.2'!AI103+'Tabell 5.2'!AI129+'Tabell 5.2'!AI141+AI19+AI31++'Tabell 5.2'!AI67+'Tabell 5.2'!AI79+'Tabell 5.2'!AI115</f>
        <v>-28.375</v>
      </c>
      <c r="AJ45" s="659">
        <f>'Tabell 5.1'!AJ19+'Tabell 5.1'!AJ31+'Tabell 5.1'!AJ43+'Tabell 5.1'!AJ55+'Tabell 5.1'!AJ69+'Tabell 5.1'!AJ81+'Tabell 5.1'!AJ93+'Tabell 5.1'!AJ105+'Tabell 5.2'!AJ19+'Tabell 5.2'!AJ31+'Tabell 5.2'!AJ43+'Tabell 5.2'!AJ55+'Tabell 5.2'!AJ91+'Tabell 5.2'!AJ103+'Tabell 5.2'!AJ129+'Tabell 5.2'!AJ141+AJ19+AJ31++'Tabell 5.2'!AJ67+'Tabell 5.2'!AJ79+'Tabell 5.2'!AJ115</f>
        <v>-127.05799999999999</v>
      </c>
      <c r="AK45" s="565">
        <f t="shared" si="23"/>
        <v>347.8</v>
      </c>
      <c r="AL45" s="659">
        <f>'Tabell 5.1'!AL19+'Tabell 5.1'!AL31+'Tabell 5.1'!AL43+'Tabell 5.1'!AL55+'Tabell 5.1'!AL69+'Tabell 5.1'!AL81+'Tabell 5.1'!AL93+'Tabell 5.1'!AL105+'Tabell 5.2'!AL19+'Tabell 5.2'!AL31+'Tabell 5.2'!AL43+'Tabell 5.2'!AL55+'Tabell 5.2'!AL91+'Tabell 5.2'!AL103+'Tabell 5.2'!AL129+'Tabell 5.2'!AL141+AL19+AL31+'Tabell 5.2'!AL67+'Tabell 5.2'!AL79+'Tabell 5.2'!AL115</f>
        <v>-2725.27</v>
      </c>
      <c r="AM45" s="659">
        <f>'Tabell 5.1'!AM19+'Tabell 5.1'!AM31+'Tabell 5.1'!AM43+'Tabell 5.1'!AM55+'Tabell 5.1'!AM69+'Tabell 5.1'!AM81+'Tabell 5.1'!AM93+'Tabell 5.1'!AM105+'Tabell 5.2'!AM19+'Tabell 5.2'!AM31+'Tabell 5.2'!AM43+'Tabell 5.2'!AM55+'Tabell 5.2'!AM91+'Tabell 5.2'!AM103+'Tabell 5.2'!AM129+'Tabell 5.2'!AM141+AM19+AM31+'Tabell 5.2'!AM67+'Tabell 5.2'!AM79+'Tabell 5.2'!AM115</f>
        <v>-67.900000000000006</v>
      </c>
      <c r="AN45" s="659">
        <f t="shared" si="32"/>
        <v>-97.5</v>
      </c>
      <c r="AO45" s="659">
        <f>'Tabell 5.1'!AO19+'Tabell 5.1'!AO31+'Tabell 5.1'!AO43+'Tabell 5.1'!AO55+'Tabell 5.1'!AO69+'Tabell 5.1'!AO81+'Tabell 5.1'!AO93+'Tabell 5.1'!AO105+'Tabell 5.2'!AO19+'Tabell 5.2'!AO31+'Tabell 5.2'!AO43+'Tabell 5.2'!AO55+'Tabell 5.2'!AO91+'Tabell 5.2'!AO103+'Tabell 5.2'!AO129+'Tabell 5.2'!AO141+AO19+AO31++'Tabell 5.2'!AO67+'Tabell 5.2'!AO79+'Tabell 5.2'!AO115</f>
        <v>-3142.5229999999997</v>
      </c>
      <c r="AP45" s="659">
        <f>'Tabell 5.1'!AP19+'Tabell 5.1'!AP31+'Tabell 5.1'!AP43+'Tabell 5.1'!AP55+'Tabell 5.1'!AP69+'Tabell 5.1'!AP81+'Tabell 5.1'!AP93+'Tabell 5.1'!AP105+'Tabell 5.2'!AP19+'Tabell 5.2'!AP31+'Tabell 5.2'!AP43+'Tabell 5.2'!AP55+'Tabell 5.2'!AP91+'Tabell 5.2'!AP103+'Tabell 5.2'!AP129+'Tabell 5.2'!AP141+AP19+AP31++'Tabell 5.2'!AP67+'Tabell 5.2'!AP79+'Tabell 5.2'!AP115</f>
        <v>-555.98451699999998</v>
      </c>
      <c r="AQ45" s="565">
        <f t="shared" si="25"/>
        <v>-82.3</v>
      </c>
      <c r="AR45" s="659">
        <f>'Tabell 5.1'!AR19+'Tabell 5.1'!AR31+'Tabell 5.1'!AR43+'Tabell 5.1'!AR55+'Tabell 5.1'!AR69+'Tabell 5.1'!AR81+'Tabell 5.1'!AR93+'Tabell 5.1'!AR105+'Tabell 5.2'!AR19+'Tabell 5.2'!AR31+'Tabell 5.2'!AR43+'Tabell 5.2'!AR55+'Tabell 5.2'!AR91+'Tabell 5.2'!AR103+'Tabell 5.2'!AR129+'Tabell 5.2'!AR141+AR19+AR31+'Tabell 5.2'!AR67+'Tabell 5.2'!AR79+'Tabell 5.2'!AR115</f>
        <v>-3142.5229999999997</v>
      </c>
      <c r="AS45" s="659">
        <f>'Tabell 5.1'!AS19+'Tabell 5.1'!AS31+'Tabell 5.1'!AS43+'Tabell 5.1'!AS55+'Tabell 5.1'!AS69+'Tabell 5.1'!AS81+'Tabell 5.1'!AS93+'Tabell 5.1'!AS105+'Tabell 5.2'!AS19+'Tabell 5.2'!AS31+'Tabell 5.2'!AS43+'Tabell 5.2'!AS55+'Tabell 5.2'!AS91+'Tabell 5.2'!AS103+'Tabell 5.2'!AS129+'Tabell 5.2'!AS141+AS19+AS31+'Tabell 5.2'!AS67+'Tabell 5.2'!AS79+'Tabell 5.2'!AS115</f>
        <v>-555.98451699999998</v>
      </c>
      <c r="AT45" s="565"/>
      <c r="AU45" s="699"/>
      <c r="AV45" s="638"/>
      <c r="AW45" s="633"/>
      <c r="AX45" s="633"/>
    </row>
    <row r="46" spans="1:50" s="662" customFormat="1" ht="18.75" customHeight="1" x14ac:dyDescent="0.3">
      <c r="A46" s="507" t="s">
        <v>440</v>
      </c>
      <c r="B46" s="657">
        <f>'Tabell 5.1'!B20+'Tabell 5.1'!B32+'Tabell 5.1'!B44+'Tabell 5.1'!B56+'Tabell 5.1'!B70+'Tabell 5.1'!B82+'Tabell 5.1'!B94+'Tabell 5.1'!B106+'Tabell 5.2'!B20+'Tabell 5.2'!B32+'Tabell 5.2'!B44+'Tabell 5.2'!B56+'Tabell 5.2'!B92+'Tabell 5.2'!B104+'Tabell 5.2'!B130+'Tabell 5.2'!B142+B20+B32+'Tabell 5.2'!B68+'Tabell 5.2'!B80+'Tabell 5.2'!B116</f>
        <v>110.14299999999997</v>
      </c>
      <c r="C46" s="657">
        <f>'Tabell 5.1'!C20+'Tabell 5.1'!C32+'Tabell 5.1'!C44+'Tabell 5.1'!C56+'Tabell 5.1'!C70+'Tabell 5.1'!C82+'Tabell 5.1'!C94+'Tabell 5.1'!C106+'Tabell 5.2'!C20+'Tabell 5.2'!C32+'Tabell 5.2'!C44+'Tabell 5.2'!C56+'Tabell 5.2'!C92+'Tabell 5.2'!C104+'Tabell 5.2'!C130+'Tabell 5.2'!C142+C20+C32+'Tabell 5.2'!C68+'Tabell 5.2'!C80+'Tabell 5.2'!C116</f>
        <v>120.443</v>
      </c>
      <c r="D46" s="657">
        <f t="shared" si="12"/>
        <v>9.4</v>
      </c>
      <c r="E46" s="657">
        <f>'Tabell 5.1'!E20+'Tabell 5.1'!E32+'Tabell 5.1'!E44+'Tabell 5.1'!E56+'Tabell 5.1'!E70+'Tabell 5.1'!E82+'Tabell 5.1'!E94+'Tabell 5.1'!E106+'Tabell 5.2'!E20+'Tabell 5.2'!E32+'Tabell 5.2'!E44+'Tabell 5.2'!E56+'Tabell 5.2'!E92+'Tabell 5.2'!E104+'Tabell 5.2'!E130+'Tabell 5.2'!E142+'Tabell 5.3'!E20+'Tabell 5.3'!E32+'Tabell 5.2'!E68+'Tabell 5.2'!E80+'Tabell 5.2'!E116</f>
        <v>4386.4790000000003</v>
      </c>
      <c r="F46" s="657">
        <f>'Tabell 5.1'!F20+'Tabell 5.1'!F32+'Tabell 5.1'!F44+'Tabell 5.1'!F56+'Tabell 5.1'!F70+'Tabell 5.1'!F82+'Tabell 5.1'!F94+'Tabell 5.1'!F106+'Tabell 5.2'!F20+'Tabell 5.2'!F32+'Tabell 5.2'!F44+'Tabell 5.2'!F56+'Tabell 5.2'!F92+'Tabell 5.2'!F104+'Tabell 5.2'!F130+'Tabell 5.2'!F142+'Tabell 5.3'!F20+'Tabell 5.3'!F32+'Tabell 5.2'!F68+'Tabell 5.2'!F80+'Tabell 5.2'!F116</f>
        <v>6930.4551000000001</v>
      </c>
      <c r="G46" s="658">
        <f t="shared" si="13"/>
        <v>58</v>
      </c>
      <c r="H46" s="657">
        <f>'Tabell 5.1'!H20+'Tabell 5.1'!H32+'Tabell 5.1'!H44+'Tabell 5.1'!H56+'Tabell 5.1'!H70+'Tabell 5.1'!H82+'Tabell 5.1'!H94+'Tabell 5.1'!H106+'Tabell 5.2'!H20+'Tabell 5.2'!H32+'Tabell 5.2'!H44+'Tabell 5.2'!H56+'Tabell 5.2'!H92+'Tabell 5.2'!H104+'Tabell 5.2'!H130+'Tabell 5.2'!H142+H20+H32+'Tabell 5.2'!H68+'Tabell 5.2'!H80+'Tabell 5.2'!H116</f>
        <v>46.550000000000004</v>
      </c>
      <c r="I46" s="657">
        <f>'Tabell 5.1'!I20+'Tabell 5.1'!I32+'Tabell 5.1'!I44+'Tabell 5.1'!I56+'Tabell 5.1'!I70+'Tabell 5.1'!I82+'Tabell 5.1'!I94+'Tabell 5.1'!I106+'Tabell 5.2'!I20+'Tabell 5.2'!I32+'Tabell 5.2'!I44+'Tabell 5.2'!I56+'Tabell 5.2'!I92+'Tabell 5.2'!I104+'Tabell 5.2'!I130+'Tabell 5.2'!I142+I20+I32+'Tabell 5.2'!I68+'Tabell 5.2'!I80+'Tabell 5.2'!I116</f>
        <v>119.83200000000002</v>
      </c>
      <c r="J46" s="657">
        <f t="shared" ref="J46:J48" si="34">IF(H46=0, "    ---- ", IF(ABS(ROUND(100/H46*I46-100,1))&lt;999,ROUND(100/H46*I46-100,1),IF(ROUND(100/H46*I46-100,1)&gt;999,999,-999)))</f>
        <v>157.4</v>
      </c>
      <c r="K46" s="657">
        <f>'Tabell 5.1'!K20+'Tabell 5.1'!K32+'Tabell 5.1'!K44+'Tabell 5.1'!K56+'Tabell 5.1'!K70+'Tabell 5.1'!K82+'Tabell 5.1'!K94+'Tabell 5.1'!K106+'Tabell 5.2'!K20+'Tabell 5.2'!K32+'Tabell 5.2'!K44+'Tabell 5.2'!K56+'Tabell 5.2'!K92+'Tabell 5.2'!K104+'Tabell 5.2'!K130+'Tabell 5.2'!K142+K20+K32++'Tabell 5.2'!K68+'Tabell 5.2'!K80+'Tabell 5.2'!K116</f>
        <v>70.934999999999988</v>
      </c>
      <c r="L46" s="657">
        <f>'Tabell 5.1'!L20+'Tabell 5.1'!L32+'Tabell 5.1'!L44+'Tabell 5.1'!L56+'Tabell 5.1'!L70+'Tabell 5.1'!L82+'Tabell 5.1'!L94+'Tabell 5.1'!L106+'Tabell 5.2'!L20+'Tabell 5.2'!L32+'Tabell 5.2'!L44+'Tabell 5.2'!L56+'Tabell 5.2'!L92+'Tabell 5.2'!L104+'Tabell 5.2'!L130+'Tabell 5.2'!L142+L20+L32++'Tabell 5.2'!L68+'Tabell 5.2'!L80+'Tabell 5.2'!L116</f>
        <v>63.223000000000006</v>
      </c>
      <c r="M46" s="658">
        <f t="shared" si="15"/>
        <v>-10.9</v>
      </c>
      <c r="N46" s="657">
        <f>'Tabell 5.1'!N20+'Tabell 5.1'!N32+'Tabell 5.1'!N44+'Tabell 5.1'!N56+'Tabell 5.1'!N70+'Tabell 5.1'!N82+'Tabell 5.1'!N94+'Tabell 5.1'!N106+'Tabell 5.2'!N20+'Tabell 5.2'!N32+'Tabell 5.2'!N44+'Tabell 5.2'!N56+'Tabell 5.2'!N92+'Tabell 5.2'!N104+'Tabell 5.2'!N130+'Tabell 5.2'!N142+N20+N32+'Tabell 5.2'!N68+'Tabell 5.2'!N80+'Tabell 5.2'!N116</f>
        <v>13</v>
      </c>
      <c r="O46" s="657">
        <f>'Tabell 5.1'!O20+'Tabell 5.1'!O32+'Tabell 5.1'!O44+'Tabell 5.1'!O56+'Tabell 5.1'!O70+'Tabell 5.1'!O82+'Tabell 5.1'!O94+'Tabell 5.1'!O106+'Tabell 5.2'!O20+'Tabell 5.2'!O32+'Tabell 5.2'!O44+'Tabell 5.2'!O56+'Tabell 5.2'!O92+'Tabell 5.2'!O104+'Tabell 5.2'!O130+'Tabell 5.2'!O142+O20+O32+'Tabell 5.2'!O68+'Tabell 5.2'!O80+'Tabell 5.2'!O116</f>
        <v>19</v>
      </c>
      <c r="P46" s="657">
        <f t="shared" ref="P46:P48" si="35">IF(N46=0, "    ---- ", IF(ABS(ROUND(100/N46*O46-100,1))&lt;999,ROUND(100/N46*O46-100,1),IF(ROUND(100/N46*O46-100,1)&gt;999,999,-999)))</f>
        <v>46.2</v>
      </c>
      <c r="Q46" s="657">
        <f>'Tabell 5.1'!Q20+'Tabell 5.1'!Q32+'Tabell 5.1'!Q44+'Tabell 5.1'!Q56+'Tabell 5.1'!Q70+'Tabell 5.1'!Q82+'Tabell 5.1'!Q94+'Tabell 5.1'!Q106+'Tabell 5.2'!Q20+'Tabell 5.2'!Q32+'Tabell 5.2'!Q44+'Tabell 5.2'!Q56+'Tabell 5.2'!Q92+'Tabell 5.2'!Q104+'Tabell 5.2'!Q130+'Tabell 5.2'!Q142+Q20+Q32++'Tabell 5.2'!Q68+'Tabell 5.2'!Q80+'Tabell 5.2'!Q116</f>
        <v>24703.746278035407</v>
      </c>
      <c r="R46" s="657">
        <f>'Tabell 5.1'!R20+'Tabell 5.1'!R32+'Tabell 5.1'!R44+'Tabell 5.1'!R56+'Tabell 5.1'!R70+'Tabell 5.1'!R82+'Tabell 5.1'!R94+'Tabell 5.1'!R106+'Tabell 5.2'!R20+'Tabell 5.2'!R32+'Tabell 5.2'!R44+'Tabell 5.2'!R56+'Tabell 5.2'!R92+'Tabell 5.2'!R104+'Tabell 5.2'!R130+'Tabell 5.2'!R142+R20+R32++'Tabell 5.2'!R68+'Tabell 5.2'!R80+'Tabell 5.2'!R116</f>
        <v>9522.5277699591279</v>
      </c>
      <c r="S46" s="658">
        <f t="shared" si="17"/>
        <v>-61.5</v>
      </c>
      <c r="T46" s="657">
        <f>'Tabell 5.1'!T20+'Tabell 5.1'!T32+'Tabell 5.1'!T44+'Tabell 5.1'!T56+'Tabell 5.1'!T70+'Tabell 5.1'!T82+'Tabell 5.1'!T94+'Tabell 5.1'!T106+'Tabell 5.2'!T20+'Tabell 5.2'!T32+'Tabell 5.2'!T44+'Tabell 5.2'!T56+'Tabell 5.2'!T92+'Tabell 5.2'!T104+'Tabell 5.2'!T130+'Tabell 5.2'!T142+T20+T32+'Tabell 5.2'!T68+'Tabell 5.2'!T80+'Tabell 5.2'!T116</f>
        <v>-22</v>
      </c>
      <c r="U46" s="657">
        <f>'Tabell 5.1'!U20+'Tabell 5.1'!U32+'Tabell 5.1'!U44+'Tabell 5.1'!U56+'Tabell 5.1'!U70+'Tabell 5.1'!U82+'Tabell 5.1'!U94+'Tabell 5.1'!U106+'Tabell 5.2'!U20+'Tabell 5.2'!U32+'Tabell 5.2'!U44+'Tabell 5.2'!U56+'Tabell 5.2'!U92+'Tabell 5.2'!U104+'Tabell 5.2'!U130+'Tabell 5.2'!U142+U20+U32+'Tabell 5.2'!U68+'Tabell 5.2'!U80+'Tabell 5.2'!U116</f>
        <v>-19</v>
      </c>
      <c r="V46" s="657">
        <f t="shared" ref="V46:V48" si="36">IF(T46=0, "    ---- ", IF(ABS(ROUND(100/T46*U46-100,1))&lt;999,ROUND(100/T46*U46-100,1),IF(ROUND(100/T46*U46-100,1)&gt;999,999,-999)))</f>
        <v>-13.6</v>
      </c>
      <c r="W46" s="657">
        <f>'Tabell 5.1'!W20+'Tabell 5.1'!W32+'Tabell 5.1'!W44+'Tabell 5.1'!W56+'Tabell 5.1'!W70+'Tabell 5.1'!W82+'Tabell 5.1'!W94+'Tabell 5.1'!W106+'Tabell 5.2'!W20+'Tabell 5.2'!W32+'Tabell 5.2'!W44+'Tabell 5.2'!W56+'Tabell 5.2'!W92+'Tabell 5.2'!W104+'Tabell 5.2'!W130+'Tabell 5.2'!W142+W20+W32++'Tabell 5.2'!W68+'Tabell 5.2'!W80+'Tabell 5.2'!W116</f>
        <v>642</v>
      </c>
      <c r="X46" s="657">
        <f>'Tabell 5.1'!X20+'Tabell 5.1'!X32+'Tabell 5.1'!X44+'Tabell 5.1'!X56+'Tabell 5.1'!X70+'Tabell 5.1'!X82+'Tabell 5.1'!X94+'Tabell 5.1'!X106+'Tabell 5.2'!X20+'Tabell 5.2'!X32+'Tabell 5.2'!X44+'Tabell 5.2'!X56+'Tabell 5.2'!X92+'Tabell 5.2'!X104+'Tabell 5.2'!X130+'Tabell 5.2'!X142+X20+X32++'Tabell 5.2'!X68+'Tabell 5.2'!X80+'Tabell 5.2'!X116</f>
        <v>526.13196383700006</v>
      </c>
      <c r="Y46" s="658">
        <f t="shared" si="19"/>
        <v>-18</v>
      </c>
      <c r="Z46" s="657">
        <f>'Tabell 5.1'!Z20+'Tabell 5.1'!Z32+'Tabell 5.1'!Z44+'Tabell 5.1'!Z56+'Tabell 5.1'!Z70+'Tabell 5.1'!Z82+'Tabell 5.1'!Z94+'Tabell 5.1'!Z106+'Tabell 5.2'!Z20+'Tabell 5.2'!Z32+'Tabell 5.2'!Z44+'Tabell 5.2'!Z56+'Tabell 5.2'!Z92+'Tabell 5.2'!Z104+'Tabell 5.2'!Z130+'Tabell 5.2'!Z142+Z20+Z32+'Tabell 5.2'!Z68+'Tabell 5.2'!Z80+'Tabell 5.2'!Z116</f>
        <v>1707</v>
      </c>
      <c r="AA46" s="657">
        <f>'Tabell 5.1'!AA20+'Tabell 5.1'!AA32+'Tabell 5.1'!AA44+'Tabell 5.1'!AA56+'Tabell 5.1'!AA70+'Tabell 5.1'!AA82+'Tabell 5.1'!AA94+'Tabell 5.1'!AA106+'Tabell 5.2'!AA20+'Tabell 5.2'!AA32+'Tabell 5.2'!AA44+'Tabell 5.2'!AA56+'Tabell 5.2'!AA92+'Tabell 5.2'!AA104+'Tabell 5.2'!AA130+'Tabell 5.2'!AA142+AA20+AA32+'Tabell 5.2'!AA68+'Tabell 5.2'!AA80+'Tabell 5.2'!AA116</f>
        <v>1074</v>
      </c>
      <c r="AB46" s="657">
        <f t="shared" ref="AB46:AB48" si="37">IF(Z46=0, "    ---- ", IF(ABS(ROUND(100/Z46*AA46-100,1))&lt;999,ROUND(100/Z46*AA46-100,1),IF(ROUND(100/Z46*AA46-100,1)&gt;999,999,-999)))</f>
        <v>-37.1</v>
      </c>
      <c r="AC46" s="657">
        <f>'Tabell 5.1'!AC20+'Tabell 5.1'!AC32+'Tabell 5.1'!AC44+'Tabell 5.1'!AC56+'Tabell 5.1'!AC70+'Tabell 5.1'!AC82+'Tabell 5.1'!AC94+'Tabell 5.1'!AC106+'Tabell 5.2'!AC20+'Tabell 5.2'!AC32+'Tabell 5.2'!AC44+'Tabell 5.2'!AC56+'Tabell 5.2'!AC92+'Tabell 5.2'!AC104+'Tabell 5.2'!AC130+'Tabell 5.2'!AC142+AC20+AC32++'Tabell 5.2'!AC68+'Tabell 5.2'!AC80+'Tabell 5.2'!AC116</f>
        <v>2</v>
      </c>
      <c r="AD46" s="657">
        <f>'Tabell 5.1'!AD20+'Tabell 5.1'!AD32+'Tabell 5.1'!AD44+'Tabell 5.1'!AD56+'Tabell 5.1'!AD70+'Tabell 5.1'!AD82+'Tabell 5.1'!AD94+'Tabell 5.1'!AD106+'Tabell 5.2'!AD20+'Tabell 5.2'!AD32+'Tabell 5.2'!AD44+'Tabell 5.2'!AD56+'Tabell 5.2'!AD92+'Tabell 5.2'!AD104+'Tabell 5.2'!AD130+'Tabell 5.2'!AD142+AD20+AD32++'Tabell 5.2'!AD68+'Tabell 5.2'!AD80+'Tabell 5.2'!AD116</f>
        <v>9</v>
      </c>
      <c r="AE46" s="658">
        <f t="shared" si="21"/>
        <v>350</v>
      </c>
      <c r="AF46" s="657">
        <f>'Tabell 5.1'!AF20+'Tabell 5.1'!AF32+'Tabell 5.1'!AF44+'Tabell 5.1'!AF56+'Tabell 5.1'!AF70+'Tabell 5.1'!AF82+'Tabell 5.1'!AF94+'Tabell 5.1'!AF106+'Tabell 5.2'!AF20+'Tabell 5.2'!AF32+'Tabell 5.2'!AF44+'Tabell 5.2'!AF56+'Tabell 5.2'!AF92+'Tabell 5.2'!AF104+'Tabell 5.2'!AF130+'Tabell 5.2'!AF142+AF20+AF32+'Tabell 5.2'!AF68+'Tabell 5.2'!AF80+'Tabell 5.2'!AF116</f>
        <v>163.64600000000002</v>
      </c>
      <c r="AG46" s="657">
        <f>'Tabell 5.1'!AG20+'Tabell 5.1'!AG32+'Tabell 5.1'!AG44+'Tabell 5.1'!AG56+'Tabell 5.1'!AG70+'Tabell 5.1'!AG82+'Tabell 5.1'!AG94+'Tabell 5.1'!AG106+'Tabell 5.2'!AG20+'Tabell 5.2'!AG32+'Tabell 5.2'!AG44+'Tabell 5.2'!AG56+'Tabell 5.2'!AG92+'Tabell 5.2'!AG104+'Tabell 5.2'!AG130+'Tabell 5.2'!AG142+AG20+AG32+'Tabell 5.2'!AG68+'Tabell 5.2'!AG80+'Tabell 5.2'!AG116</f>
        <v>0</v>
      </c>
      <c r="AH46" s="657">
        <f t="shared" ref="AH46:AH48" si="38">IF(AF46=0, "    ---- ", IF(ABS(ROUND(100/AF46*AG46-100,1))&lt;999,ROUND(100/AF46*AG46-100,1),IF(ROUND(100/AF46*AG46-100,1)&gt;999,999,-999)))</f>
        <v>-100</v>
      </c>
      <c r="AI46" s="657">
        <f>'Tabell 5.1'!AI20+'Tabell 5.1'!AI32+'Tabell 5.1'!AI44+'Tabell 5.1'!AI56+'Tabell 5.1'!AI70+'Tabell 5.1'!AI82+'Tabell 5.1'!AI94+'Tabell 5.1'!AI106+'Tabell 5.2'!AI20+'Tabell 5.2'!AI32+'Tabell 5.2'!AI44+'Tabell 5.2'!AI56+'Tabell 5.2'!AI92+'Tabell 5.2'!AI104+'Tabell 5.2'!AI130+'Tabell 5.2'!AI142+AI20+AI32++'Tabell 5.2'!AI68+'Tabell 5.2'!AI80+'Tabell 5.2'!AI116</f>
        <v>387.61700000000008</v>
      </c>
      <c r="AJ46" s="657">
        <f>'Tabell 5.1'!AJ20+'Tabell 5.1'!AJ32+'Tabell 5.1'!AJ44+'Tabell 5.1'!AJ56+'Tabell 5.1'!AJ70+'Tabell 5.1'!AJ82+'Tabell 5.1'!AJ94+'Tabell 5.1'!AJ106+'Tabell 5.2'!AJ20+'Tabell 5.2'!AJ32+'Tabell 5.2'!AJ44+'Tabell 5.2'!AJ56+'Tabell 5.2'!AJ92+'Tabell 5.2'!AJ104+'Tabell 5.2'!AJ130+'Tabell 5.2'!AJ142+AJ20+AJ32++'Tabell 5.2'!AJ68+'Tabell 5.2'!AJ80+'Tabell 5.2'!AJ116</f>
        <v>414.25700000000012</v>
      </c>
      <c r="AK46" s="658">
        <f t="shared" si="23"/>
        <v>6.9</v>
      </c>
      <c r="AL46" s="657">
        <f>'Tabell 5.1'!AL20+'Tabell 5.1'!AL32+'Tabell 5.1'!AL44+'Tabell 5.1'!AL56+'Tabell 5.1'!AL70+'Tabell 5.1'!AL82+'Tabell 5.1'!AL94+'Tabell 5.1'!AL106+'Tabell 5.2'!AL20+'Tabell 5.2'!AL32+'Tabell 5.2'!AL44+'Tabell 5.2'!AL56+'Tabell 5.2'!AL92+'Tabell 5.2'!AL104+'Tabell 5.2'!AL130+'Tabell 5.2'!AL142+AL20+AL32+'Tabell 5.2'!AL68+'Tabell 5.2'!AL80+'Tabell 5.2'!AL116</f>
        <v>641.88999999999987</v>
      </c>
      <c r="AM46" s="657">
        <f>'Tabell 5.1'!AM20+'Tabell 5.1'!AM32+'Tabell 5.1'!AM44+'Tabell 5.1'!AM56+'Tabell 5.1'!AM70+'Tabell 5.1'!AM82+'Tabell 5.1'!AM94+'Tabell 5.1'!AM106+'Tabell 5.2'!AM20+'Tabell 5.2'!AM32+'Tabell 5.2'!AM44+'Tabell 5.2'!AM56+'Tabell 5.2'!AM92+'Tabell 5.2'!AM104+'Tabell 5.2'!AM130+'Tabell 5.2'!AM142+AM20+AM32+'Tabell 5.2'!AM68+'Tabell 5.2'!AM80+'Tabell 5.2'!AM116</f>
        <v>5306.1</v>
      </c>
      <c r="AN46" s="657">
        <f t="shared" ref="AN46:AN48" si="39">IF(AL46=0, "    ---- ", IF(ABS(ROUND(100/AL46*AM46-100,1))&lt;999,ROUND(100/AL46*AM46-100,1),IF(ROUND(100/AL46*AM46-100,1)&gt;999,999,-999)))</f>
        <v>726.6</v>
      </c>
      <c r="AO46" s="657">
        <f>'Tabell 5.1'!AO20+'Tabell 5.1'!AO32+'Tabell 5.1'!AO44+'Tabell 5.1'!AO56+'Tabell 5.1'!AO70+'Tabell 5.1'!AO82+'Tabell 5.1'!AO94+'Tabell 5.1'!AO106+'Tabell 5.2'!AO20+'Tabell 5.2'!AO32+'Tabell 5.2'!AO44+'Tabell 5.2'!AO56+'Tabell 5.2'!AO92+'Tabell 5.2'!AO104+'Tabell 5.2'!AO130+'Tabell 5.2'!AO142+AO20+AO32++'Tabell 5.2'!AO68+'Tabell 5.2'!AO80+'Tabell 5.2'!AO116</f>
        <v>32838.006278035406</v>
      </c>
      <c r="AP46" s="657">
        <f>'Tabell 5.1'!AP20+'Tabell 5.1'!AP32+'Tabell 5.1'!AP44+'Tabell 5.1'!AP56+'Tabell 5.1'!AP70+'Tabell 5.1'!AP82+'Tabell 5.1'!AP94+'Tabell 5.1'!AP106+'Tabell 5.2'!AP20+'Tabell 5.2'!AP32+'Tabell 5.2'!AP44+'Tabell 5.2'!AP56+'Tabell 5.2'!AP92+'Tabell 5.2'!AP104+'Tabell 5.2'!AP130+'Tabell 5.2'!AP142+AP20+AP32++'Tabell 5.2'!AP68+'Tabell 5.2'!AP80+'Tabell 5.2'!AP116</f>
        <v>24057.969833796131</v>
      </c>
      <c r="AQ46" s="658">
        <f t="shared" si="25"/>
        <v>-26.7</v>
      </c>
      <c r="AR46" s="657">
        <f>'Tabell 5.1'!AR20+'Tabell 5.1'!AR32+'Tabell 5.1'!AR44+'Tabell 5.1'!AR56+'Tabell 5.1'!AR70+'Tabell 5.1'!AR82+'Tabell 5.1'!AR94+'Tabell 5.1'!AR106+'Tabell 5.2'!AR20+'Tabell 5.2'!AR32+'Tabell 5.2'!AR44+'Tabell 5.2'!AR56+'Tabell 5.2'!AR92+'Tabell 5.2'!AR104+'Tabell 5.2'!AR130+'Tabell 5.2'!AR142+AR20+AR32+'Tabell 5.2'!AR68+'Tabell 5.2'!AR80+'Tabell 5.2'!AR116</f>
        <v>32853.006278035406</v>
      </c>
      <c r="AS46" s="657">
        <f>'Tabell 5.1'!AS20+'Tabell 5.1'!AS32+'Tabell 5.1'!AS44+'Tabell 5.1'!AS56+'Tabell 5.1'!AS70+'Tabell 5.1'!AS82+'Tabell 5.1'!AS94+'Tabell 5.1'!AS106+'Tabell 5.2'!AS20+'Tabell 5.2'!AS32+'Tabell 5.2'!AS44+'Tabell 5.2'!AS56+'Tabell 5.2'!AS92+'Tabell 5.2'!AS104+'Tabell 5.2'!AS130+'Tabell 5.2'!AS142+AS20+AS32+'Tabell 5.2'!AS68+'Tabell 5.2'!AS80+'Tabell 5.2'!AS116</f>
        <v>24085.969833796131</v>
      </c>
      <c r="AT46" s="658">
        <f t="shared" ref="AT46:AT48" si="40">IF(AR46=0, "    ---- ", IF(ABS(ROUND(100/AR46*AS46-100,1))&lt;999,ROUND(100/AR46*AS46-100,1),IF(ROUND(100/AR46*AS46-100,1)&gt;999,999,-999)))</f>
        <v>-26.7</v>
      </c>
      <c r="AU46" s="700"/>
      <c r="AV46" s="636"/>
      <c r="AW46" s="661"/>
      <c r="AX46" s="661"/>
    </row>
    <row r="47" spans="1:50" s="660" customFormat="1" ht="18.75" customHeight="1" x14ac:dyDescent="0.3">
      <c r="A47" s="509" t="s">
        <v>441</v>
      </c>
      <c r="B47" s="659">
        <f>'Tabell 5.1'!B21+'Tabell 5.1'!B33+'Tabell 5.1'!B45+'Tabell 5.1'!B57+'Tabell 5.1'!B71+'Tabell 5.1'!B83+'Tabell 5.1'!B95+'Tabell 5.1'!B107+'Tabell 5.2'!B21+'Tabell 5.2'!B33+'Tabell 5.2'!B45+'Tabell 5.2'!B57+'Tabell 5.2'!B93+'Tabell 5.2'!B105+'Tabell 5.2'!B131+'Tabell 5.2'!B143+B21+B33+'Tabell 5.2'!B69+'Tabell 5.2'!B81+'Tabell 5.2'!B117</f>
        <v>0.21099999999999999</v>
      </c>
      <c r="C47" s="659">
        <f>'Tabell 5.1'!C21+'Tabell 5.1'!C33+'Tabell 5.1'!C45+'Tabell 5.1'!C57+'Tabell 5.1'!C71+'Tabell 5.1'!C83+'Tabell 5.1'!C95+'Tabell 5.1'!C107+'Tabell 5.2'!C21+'Tabell 5.2'!C33+'Tabell 5.2'!C45+'Tabell 5.2'!C57+'Tabell 5.2'!C93+'Tabell 5.2'!C105+'Tabell 5.2'!C131+'Tabell 5.2'!C143+C21+C33+'Tabell 5.2'!C69+'Tabell 5.2'!C81+'Tabell 5.2'!C117</f>
        <v>0</v>
      </c>
      <c r="D47" s="659">
        <f t="shared" si="12"/>
        <v>-100</v>
      </c>
      <c r="E47" s="659">
        <f>'Tabell 5.1'!E21+'Tabell 5.1'!E33+'Tabell 5.1'!E45+'Tabell 5.1'!E57+'Tabell 5.1'!E71+'Tabell 5.1'!E83+'Tabell 5.1'!E95+'Tabell 5.1'!E107+'Tabell 5.2'!E21+'Tabell 5.2'!E33+'Tabell 5.2'!E45+'Tabell 5.2'!E57+'Tabell 5.2'!E93+'Tabell 5.2'!E105+'Tabell 5.2'!E131+'Tabell 5.2'!E143+'Tabell 5.3'!E21+'Tabell 5.3'!E33+'Tabell 5.2'!E69+'Tabell 5.2'!E81+'Tabell 5.2'!E117</f>
        <v>4149.8559999999998</v>
      </c>
      <c r="F47" s="659">
        <f>'Tabell 5.1'!F21+'Tabell 5.1'!F33+'Tabell 5.1'!F45+'Tabell 5.1'!F57+'Tabell 5.1'!F71+'Tabell 5.1'!F83+'Tabell 5.1'!F95+'Tabell 5.1'!F107+'Tabell 5.2'!F21+'Tabell 5.2'!F33+'Tabell 5.2'!F45+'Tabell 5.2'!F57+'Tabell 5.2'!F93+'Tabell 5.2'!F105+'Tabell 5.2'!F131+'Tabell 5.2'!F143+'Tabell 5.3'!F21+'Tabell 5.3'!F33+'Tabell 5.2'!F69+'Tabell 5.2'!F81+'Tabell 5.2'!F117</f>
        <v>6016.3294999999998</v>
      </c>
      <c r="G47" s="565">
        <f t="shared" si="13"/>
        <v>45</v>
      </c>
      <c r="H47" s="659">
        <f>'Tabell 5.1'!H21+'Tabell 5.1'!H33+'Tabell 5.1'!H45+'Tabell 5.1'!H57+'Tabell 5.1'!H71+'Tabell 5.1'!H83+'Tabell 5.1'!H95+'Tabell 5.1'!H107+'Tabell 5.2'!H21+'Tabell 5.2'!H33+'Tabell 5.2'!H45+'Tabell 5.2'!H57+'Tabell 5.2'!H93+'Tabell 5.2'!H105+'Tabell 5.2'!H131+'Tabell 5.2'!H143+H21+H33+'Tabell 5.2'!H69+'Tabell 5.2'!H81+'Tabell 5.2'!H117</f>
        <v>0</v>
      </c>
      <c r="I47" s="659">
        <f>'Tabell 5.1'!I21+'Tabell 5.1'!I33+'Tabell 5.1'!I45+'Tabell 5.1'!I57+'Tabell 5.1'!I71+'Tabell 5.1'!I83+'Tabell 5.1'!I95+'Tabell 5.1'!I107+'Tabell 5.2'!I21+'Tabell 5.2'!I33+'Tabell 5.2'!I45+'Tabell 5.2'!I57+'Tabell 5.2'!I93+'Tabell 5.2'!I105+'Tabell 5.2'!I131+'Tabell 5.2'!I143+I21+I33+'Tabell 5.2'!I69+'Tabell 5.2'!I81+'Tabell 5.2'!I117</f>
        <v>0</v>
      </c>
      <c r="J47" s="659" t="str">
        <f t="shared" si="34"/>
        <v xml:space="preserve">    ---- </v>
      </c>
      <c r="K47" s="659">
        <f>'Tabell 5.1'!K21+'Tabell 5.1'!K33+'Tabell 5.1'!K45+'Tabell 5.1'!K57+'Tabell 5.1'!K71+'Tabell 5.1'!K83+'Tabell 5.1'!K95+'Tabell 5.1'!K107+'Tabell 5.2'!K21+'Tabell 5.2'!K33+'Tabell 5.2'!K45+'Tabell 5.2'!K57+'Tabell 5.2'!K93+'Tabell 5.2'!K105+'Tabell 5.2'!K131+'Tabell 5.2'!K143+K21+K33++'Tabell 5.2'!K69+'Tabell 5.2'!K81+'Tabell 5.2'!K117</f>
        <v>79.417000000000002</v>
      </c>
      <c r="L47" s="659">
        <f>'Tabell 5.1'!L21+'Tabell 5.1'!L33+'Tabell 5.1'!L45+'Tabell 5.1'!L57+'Tabell 5.1'!L71+'Tabell 5.1'!L83+'Tabell 5.1'!L95+'Tabell 5.1'!L107+'Tabell 5.2'!L21+'Tabell 5.2'!L33+'Tabell 5.2'!L45+'Tabell 5.2'!L57+'Tabell 5.2'!L93+'Tabell 5.2'!L105+'Tabell 5.2'!L131+'Tabell 5.2'!L143+L21+L33++'Tabell 5.2'!L69+'Tabell 5.2'!L81+'Tabell 5.2'!L117</f>
        <v>40.012999999999998</v>
      </c>
      <c r="M47" s="565">
        <f t="shared" si="15"/>
        <v>-49.6</v>
      </c>
      <c r="N47" s="659">
        <f>'Tabell 5.1'!N21+'Tabell 5.1'!N33+'Tabell 5.1'!N45+'Tabell 5.1'!N57+'Tabell 5.1'!N71+'Tabell 5.1'!N83+'Tabell 5.1'!N95+'Tabell 5.1'!N107+'Tabell 5.2'!N21+'Tabell 5.2'!N33+'Tabell 5.2'!N45+'Tabell 5.2'!N57+'Tabell 5.2'!N93+'Tabell 5.2'!N105+'Tabell 5.2'!N131+'Tabell 5.2'!N143+N21+N33+'Tabell 5.2'!N69+'Tabell 5.2'!N81+'Tabell 5.2'!N117</f>
        <v>0</v>
      </c>
      <c r="O47" s="659">
        <f>'Tabell 5.1'!O21+'Tabell 5.1'!O33+'Tabell 5.1'!O45+'Tabell 5.1'!O57+'Tabell 5.1'!O71+'Tabell 5.1'!O83+'Tabell 5.1'!O95+'Tabell 5.1'!O107+'Tabell 5.2'!O21+'Tabell 5.2'!O33+'Tabell 5.2'!O45+'Tabell 5.2'!O57+'Tabell 5.2'!O93+'Tabell 5.2'!O105+'Tabell 5.2'!O131+'Tabell 5.2'!O143+O21+O33+'Tabell 5.2'!O69+'Tabell 5.2'!O81+'Tabell 5.2'!O117</f>
        <v>0</v>
      </c>
      <c r="P47" s="659" t="str">
        <f t="shared" si="35"/>
        <v xml:space="preserve">    ---- </v>
      </c>
      <c r="Q47" s="659">
        <f>'Tabell 5.1'!Q21+'Tabell 5.1'!Q33+'Tabell 5.1'!Q45+'Tabell 5.1'!Q57+'Tabell 5.1'!Q71+'Tabell 5.1'!Q83+'Tabell 5.1'!Q95+'Tabell 5.1'!Q107+'Tabell 5.2'!Q21+'Tabell 5.2'!Q33+'Tabell 5.2'!Q45+'Tabell 5.2'!Q57+'Tabell 5.2'!Q93+'Tabell 5.2'!Q105+'Tabell 5.2'!Q131+'Tabell 5.2'!Q143+Q21+Q33++'Tabell 5.2'!Q69+'Tabell 5.2'!Q81+'Tabell 5.2'!Q117</f>
        <v>20649.683873461985</v>
      </c>
      <c r="R47" s="659">
        <f>'Tabell 5.1'!R21+'Tabell 5.1'!R33+'Tabell 5.1'!R45+'Tabell 5.1'!R57+'Tabell 5.1'!R71+'Tabell 5.1'!R83+'Tabell 5.1'!R95+'Tabell 5.1'!R107+'Tabell 5.2'!R21+'Tabell 5.2'!R33+'Tabell 5.2'!R45+'Tabell 5.2'!R57+'Tabell 5.2'!R93+'Tabell 5.2'!R105+'Tabell 5.2'!R131+'Tabell 5.2'!R143+R21+R33++'Tabell 5.2'!R69+'Tabell 5.2'!R81+'Tabell 5.2'!R117</f>
        <v>8342.936552042107</v>
      </c>
      <c r="S47" s="565">
        <f t="shared" si="17"/>
        <v>-59.6</v>
      </c>
      <c r="T47" s="659">
        <f>'Tabell 5.1'!T21+'Tabell 5.1'!T33+'Tabell 5.1'!T45+'Tabell 5.1'!T57+'Tabell 5.1'!T71+'Tabell 5.1'!T83+'Tabell 5.1'!T95+'Tabell 5.1'!T107+'Tabell 5.2'!T21+'Tabell 5.2'!T33+'Tabell 5.2'!T45+'Tabell 5.2'!T57+'Tabell 5.2'!T93+'Tabell 5.2'!T105+'Tabell 5.2'!T131+'Tabell 5.2'!T143+T21+T33+'Tabell 5.2'!T69+'Tabell 5.2'!T81+'Tabell 5.2'!T117</f>
        <v>2</v>
      </c>
      <c r="U47" s="659">
        <f>'Tabell 5.1'!U21+'Tabell 5.1'!U33+'Tabell 5.1'!U45+'Tabell 5.1'!U57+'Tabell 5.1'!U71+'Tabell 5.1'!U83+'Tabell 5.1'!U95+'Tabell 5.1'!U107+'Tabell 5.2'!U21+'Tabell 5.2'!U33+'Tabell 5.2'!U45+'Tabell 5.2'!U57+'Tabell 5.2'!U93+'Tabell 5.2'!U105+'Tabell 5.2'!U131+'Tabell 5.2'!U143+U21+U33+'Tabell 5.2'!U69+'Tabell 5.2'!U81+'Tabell 5.2'!U117</f>
        <v>9</v>
      </c>
      <c r="V47" s="659">
        <f t="shared" si="36"/>
        <v>350</v>
      </c>
      <c r="W47" s="659">
        <f>'Tabell 5.1'!W21+'Tabell 5.1'!W33+'Tabell 5.1'!W45+'Tabell 5.1'!W57+'Tabell 5.1'!W71+'Tabell 5.1'!W83+'Tabell 5.1'!W95+'Tabell 5.1'!W107+'Tabell 5.2'!W21+'Tabell 5.2'!W33+'Tabell 5.2'!W45+'Tabell 5.2'!W57+'Tabell 5.2'!W93+'Tabell 5.2'!W105+'Tabell 5.2'!W131+'Tabell 5.2'!W143+W21+W33++'Tabell 5.2'!W69+'Tabell 5.2'!W81+'Tabell 5.2'!W117</f>
        <v>63</v>
      </c>
      <c r="X47" s="659">
        <f>'Tabell 5.1'!X21+'Tabell 5.1'!X33+'Tabell 5.1'!X45+'Tabell 5.1'!X57+'Tabell 5.1'!X71+'Tabell 5.1'!X83+'Tabell 5.1'!X95+'Tabell 5.1'!X107+'Tabell 5.2'!X21+'Tabell 5.2'!X33+'Tabell 5.2'!X45+'Tabell 5.2'!X57+'Tabell 5.2'!X93+'Tabell 5.2'!X105+'Tabell 5.2'!X131+'Tabell 5.2'!X143+X21+X33++'Tabell 5.2'!X69+'Tabell 5.2'!X81+'Tabell 5.2'!X117</f>
        <v>45.033991180000001</v>
      </c>
      <c r="Y47" s="565">
        <f t="shared" si="19"/>
        <v>-28.5</v>
      </c>
      <c r="Z47" s="659">
        <f>'Tabell 5.1'!Z21+'Tabell 5.1'!Z33+'Tabell 5.1'!Z45+'Tabell 5.1'!Z57+'Tabell 5.1'!Z71+'Tabell 5.1'!Z83+'Tabell 5.1'!Z95+'Tabell 5.1'!Z107+'Tabell 5.2'!Z21+'Tabell 5.2'!Z33+'Tabell 5.2'!Z45+'Tabell 5.2'!Z57+'Tabell 5.2'!Z93+'Tabell 5.2'!Z105+'Tabell 5.2'!Z131+'Tabell 5.2'!Z143+Z21+Z33+'Tabell 5.2'!Z69+'Tabell 5.2'!Z81+'Tabell 5.2'!Z117</f>
        <v>619</v>
      </c>
      <c r="AA47" s="659">
        <f>'Tabell 5.1'!AA21+'Tabell 5.1'!AA33+'Tabell 5.1'!AA45+'Tabell 5.1'!AA57+'Tabell 5.1'!AA71+'Tabell 5.1'!AA83+'Tabell 5.1'!AA95+'Tabell 5.1'!AA107+'Tabell 5.2'!AA21+'Tabell 5.2'!AA33+'Tabell 5.2'!AA45+'Tabell 5.2'!AA57+'Tabell 5.2'!AA93+'Tabell 5.2'!AA105+'Tabell 5.2'!AA131+'Tabell 5.2'!AA143+AA21+AA33+'Tabell 5.2'!AA69+'Tabell 5.2'!AA81+'Tabell 5.2'!AA117</f>
        <v>342</v>
      </c>
      <c r="AB47" s="659">
        <f t="shared" si="37"/>
        <v>-44.7</v>
      </c>
      <c r="AC47" s="659">
        <f>'Tabell 5.1'!AC21+'Tabell 5.1'!AC33+'Tabell 5.1'!AC45+'Tabell 5.1'!AC57+'Tabell 5.1'!AC71+'Tabell 5.1'!AC83+'Tabell 5.1'!AC95+'Tabell 5.1'!AC107+'Tabell 5.2'!AC21+'Tabell 5.2'!AC33+'Tabell 5.2'!AC45+'Tabell 5.2'!AC57+'Tabell 5.2'!AC93+'Tabell 5.2'!AC105+'Tabell 5.2'!AC131+'Tabell 5.2'!AC143+AC21+AC33++'Tabell 5.2'!AC69+'Tabell 5.2'!AC81+'Tabell 5.2'!AC117</f>
        <v>0</v>
      </c>
      <c r="AD47" s="659">
        <f>'Tabell 5.1'!AD21+'Tabell 5.1'!AD33+'Tabell 5.1'!AD45+'Tabell 5.1'!AD57+'Tabell 5.1'!AD71+'Tabell 5.1'!AD83+'Tabell 5.1'!AD95+'Tabell 5.1'!AD107+'Tabell 5.2'!AD21+'Tabell 5.2'!AD33+'Tabell 5.2'!AD45+'Tabell 5.2'!AD57+'Tabell 5.2'!AD93+'Tabell 5.2'!AD105+'Tabell 5.2'!AD131+'Tabell 5.2'!AD143+AD21+AD33++'Tabell 5.2'!AD69+'Tabell 5.2'!AD81+'Tabell 5.2'!AD117</f>
        <v>0</v>
      </c>
      <c r="AE47" s="565" t="str">
        <f t="shared" si="21"/>
        <v xml:space="preserve">    ---- </v>
      </c>
      <c r="AF47" s="659">
        <f>'Tabell 5.1'!AF21+'Tabell 5.1'!AF33+'Tabell 5.1'!AF45+'Tabell 5.1'!AF57+'Tabell 5.1'!AF71+'Tabell 5.1'!AF83+'Tabell 5.1'!AF95+'Tabell 5.1'!AF107+'Tabell 5.2'!AF21+'Tabell 5.2'!AF33+'Tabell 5.2'!AF45+'Tabell 5.2'!AF57+'Tabell 5.2'!AF93+'Tabell 5.2'!AF105+'Tabell 5.2'!AF131+'Tabell 5.2'!AF143+AF21+AF33+'Tabell 5.2'!AF69+'Tabell 5.2'!AF81+'Tabell 5.2'!AF117</f>
        <v>155.61699999999999</v>
      </c>
      <c r="AG47" s="659">
        <f>'Tabell 5.1'!AG21+'Tabell 5.1'!AG33+'Tabell 5.1'!AG45+'Tabell 5.1'!AG57+'Tabell 5.1'!AG71+'Tabell 5.1'!AG83+'Tabell 5.1'!AG95+'Tabell 5.1'!AG107+'Tabell 5.2'!AG21+'Tabell 5.2'!AG33+'Tabell 5.2'!AG45+'Tabell 5.2'!AG57+'Tabell 5.2'!AG93+'Tabell 5.2'!AG105+'Tabell 5.2'!AG131+'Tabell 5.2'!AG143+AG21+AG33+'Tabell 5.2'!AG69+'Tabell 5.2'!AG81+'Tabell 5.2'!AG117</f>
        <v>0</v>
      </c>
      <c r="AH47" s="659">
        <f t="shared" si="38"/>
        <v>-100</v>
      </c>
      <c r="AI47" s="659">
        <f>'Tabell 5.1'!AI21+'Tabell 5.1'!AI33+'Tabell 5.1'!AI45+'Tabell 5.1'!AI57+'Tabell 5.1'!AI71+'Tabell 5.1'!AI83+'Tabell 5.1'!AI95+'Tabell 5.1'!AI107+'Tabell 5.2'!AI21+'Tabell 5.2'!AI33+'Tabell 5.2'!AI45+'Tabell 5.2'!AI57+'Tabell 5.2'!AI93+'Tabell 5.2'!AI105+'Tabell 5.2'!AI131+'Tabell 5.2'!AI143+AI21+AI33++'Tabell 5.2'!AI69+'Tabell 5.2'!AI81+'Tabell 5.2'!AI117</f>
        <v>73.903000000000006</v>
      </c>
      <c r="AJ47" s="659">
        <f>'Tabell 5.1'!AJ21+'Tabell 5.1'!AJ33+'Tabell 5.1'!AJ45+'Tabell 5.1'!AJ57+'Tabell 5.1'!AJ71+'Tabell 5.1'!AJ83+'Tabell 5.1'!AJ95+'Tabell 5.1'!AJ107+'Tabell 5.2'!AJ21+'Tabell 5.2'!AJ33+'Tabell 5.2'!AJ45+'Tabell 5.2'!AJ57+'Tabell 5.2'!AJ93+'Tabell 5.2'!AJ105+'Tabell 5.2'!AJ131+'Tabell 5.2'!AJ143+AJ21+AJ33++'Tabell 5.2'!AJ69+'Tabell 5.2'!AJ81+'Tabell 5.2'!AJ117</f>
        <v>109.702</v>
      </c>
      <c r="AK47" s="565">
        <f t="shared" si="23"/>
        <v>48.4</v>
      </c>
      <c r="AL47" s="659">
        <f>'Tabell 5.1'!AL21+'Tabell 5.1'!AL33+'Tabell 5.1'!AL45+'Tabell 5.1'!AL57+'Tabell 5.1'!AL71+'Tabell 5.1'!AL83+'Tabell 5.1'!AL95+'Tabell 5.1'!AL107+'Tabell 5.2'!AL21+'Tabell 5.2'!AL33+'Tabell 5.2'!AL45+'Tabell 5.2'!AL57+'Tabell 5.2'!AL93+'Tabell 5.2'!AL105+'Tabell 5.2'!AL131+'Tabell 5.2'!AL143+AL21+AL33+'Tabell 5.2'!AL69+'Tabell 5.2'!AL81+'Tabell 5.2'!AL117</f>
        <v>1370.25</v>
      </c>
      <c r="AM47" s="659">
        <f>'Tabell 5.1'!AM21+'Tabell 5.1'!AM33+'Tabell 5.1'!AM45+'Tabell 5.1'!AM57+'Tabell 5.1'!AM71+'Tabell 5.1'!AM83+'Tabell 5.1'!AM95+'Tabell 5.1'!AM107+'Tabell 5.2'!AM21+'Tabell 5.2'!AM33+'Tabell 5.2'!AM45+'Tabell 5.2'!AM57+'Tabell 5.2'!AM93+'Tabell 5.2'!AM105+'Tabell 5.2'!AM131+'Tabell 5.2'!AM143+AM21+AM33+'Tabell 5.2'!AM69+'Tabell 5.2'!AM81+'Tabell 5.2'!AM117</f>
        <v>4206.3</v>
      </c>
      <c r="AN47" s="659">
        <f t="shared" si="39"/>
        <v>207</v>
      </c>
      <c r="AO47" s="659">
        <f>'Tabell 5.1'!AO21+'Tabell 5.1'!AO33+'Tabell 5.1'!AO45+'Tabell 5.1'!AO57+'Tabell 5.1'!AO71+'Tabell 5.1'!AO83+'Tabell 5.1'!AO95+'Tabell 5.1'!AO107+'Tabell 5.2'!AO21+'Tabell 5.2'!AO33+'Tabell 5.2'!AO45+'Tabell 5.2'!AO57+'Tabell 5.2'!AO93+'Tabell 5.2'!AO105+'Tabell 5.2'!AO131+'Tabell 5.2'!AO143+AO21+AO33++'Tabell 5.2'!AO69+'Tabell 5.2'!AO81+'Tabell 5.2'!AO117</f>
        <v>27162.803873461984</v>
      </c>
      <c r="AP47" s="659">
        <f>'Tabell 5.1'!AP21+'Tabell 5.1'!AP33+'Tabell 5.1'!AP45+'Tabell 5.1'!AP57+'Tabell 5.1'!AP71+'Tabell 5.1'!AP83+'Tabell 5.1'!AP95+'Tabell 5.1'!AP107+'Tabell 5.2'!AP21+'Tabell 5.2'!AP33+'Tabell 5.2'!AP45+'Tabell 5.2'!AP57+'Tabell 5.2'!AP93+'Tabell 5.2'!AP105+'Tabell 5.2'!AP131+'Tabell 5.2'!AP143+AP21+AP33++'Tabell 5.2'!AP69+'Tabell 5.2'!AP81+'Tabell 5.2'!AP117</f>
        <v>19111.315043222105</v>
      </c>
      <c r="AQ47" s="565">
        <f t="shared" si="25"/>
        <v>-29.6</v>
      </c>
      <c r="AR47" s="659">
        <f>'Tabell 5.1'!AR21+'Tabell 5.1'!AR33+'Tabell 5.1'!AR45+'Tabell 5.1'!AR57+'Tabell 5.1'!AR71+'Tabell 5.1'!AR83+'Tabell 5.1'!AR95+'Tabell 5.1'!AR107+'Tabell 5.2'!AR21+'Tabell 5.2'!AR33+'Tabell 5.2'!AR45+'Tabell 5.2'!AR57+'Tabell 5.2'!AR93+'Tabell 5.2'!AR105+'Tabell 5.2'!AR131+'Tabell 5.2'!AR143+AR21+AR33+'Tabell 5.2'!AR69+'Tabell 5.2'!AR81+'Tabell 5.2'!AR117</f>
        <v>27162.937873461982</v>
      </c>
      <c r="AS47" s="659">
        <f>'Tabell 5.1'!AS21+'Tabell 5.1'!AS33+'Tabell 5.1'!AS45+'Tabell 5.1'!AS57+'Tabell 5.1'!AS71+'Tabell 5.1'!AS83+'Tabell 5.1'!AS95+'Tabell 5.1'!AS107+'Tabell 5.2'!AS21+'Tabell 5.2'!AS33+'Tabell 5.2'!AS45+'Tabell 5.2'!AS57+'Tabell 5.2'!AS93+'Tabell 5.2'!AS105+'Tabell 5.2'!AS131+'Tabell 5.2'!AS143+AS21+AS33+'Tabell 5.2'!AS69+'Tabell 5.2'!AS81+'Tabell 5.2'!AS117</f>
        <v>19111.315043222105</v>
      </c>
      <c r="AT47" s="565">
        <f t="shared" si="40"/>
        <v>-29.6</v>
      </c>
      <c r="AU47" s="699"/>
      <c r="AV47" s="638"/>
      <c r="AW47" s="633"/>
      <c r="AX47" s="633"/>
    </row>
    <row r="48" spans="1:50" s="660" customFormat="1" ht="18.75" customHeight="1" x14ac:dyDescent="0.3">
      <c r="A48" s="520" t="s">
        <v>442</v>
      </c>
      <c r="B48" s="677">
        <f>'Tabell 5.1'!B22+'Tabell 5.1'!B34+'Tabell 5.1'!B46+'Tabell 5.1'!B58+'Tabell 5.1'!B72+'Tabell 5.1'!B84+'Tabell 5.1'!B96+'Tabell 5.1'!B108+'Tabell 5.2'!B22+'Tabell 5.2'!B34+'Tabell 5.2'!B46+'Tabell 5.2'!B58+'Tabell 5.2'!B94+'Tabell 5.2'!B106+'Tabell 5.2'!B132+'Tabell 5.2'!B144+B22+B34+'Tabell 5.2'!B70+'Tabell 5.2'!B82+'Tabell 5.2'!B118</f>
        <v>109.93199999999996</v>
      </c>
      <c r="C48" s="677">
        <f>'Tabell 5.1'!C22+'Tabell 5.1'!C34+'Tabell 5.1'!C46+'Tabell 5.1'!C58+'Tabell 5.1'!C72+'Tabell 5.1'!C84+'Tabell 5.1'!C96+'Tabell 5.1'!C108+'Tabell 5.2'!C22+'Tabell 5.2'!C34+'Tabell 5.2'!C46+'Tabell 5.2'!C58+'Tabell 5.2'!C94+'Tabell 5.2'!C106+'Tabell 5.2'!C132+'Tabell 5.2'!C144+C22+C34+'Tabell 5.2'!C70+'Tabell 5.2'!C82+'Tabell 5.2'!C118</f>
        <v>120.443</v>
      </c>
      <c r="D48" s="676">
        <f t="shared" si="12"/>
        <v>9.6</v>
      </c>
      <c r="E48" s="677">
        <f>'Tabell 5.1'!E22+'Tabell 5.1'!E34+'Tabell 5.1'!E46+'Tabell 5.1'!E58+'Tabell 5.1'!E72+'Tabell 5.1'!E84+'Tabell 5.1'!E96+'Tabell 5.1'!E108+'Tabell 5.2'!E22+'Tabell 5.2'!E34+'Tabell 5.2'!E46+'Tabell 5.2'!E58+'Tabell 5.2'!E94+'Tabell 5.2'!E106+'Tabell 5.2'!E132+'Tabell 5.2'!E144+'Tabell 5.3'!E22+'Tabell 5.3'!E34+'Tabell 5.2'!E70+'Tabell 5.2'!E82+'Tabell 5.2'!E118</f>
        <v>238.22900000000016</v>
      </c>
      <c r="F48" s="677">
        <f>'Tabell 5.1'!F22+'Tabell 5.1'!F34+'Tabell 5.1'!F46+'Tabell 5.1'!F58+'Tabell 5.1'!F72+'Tabell 5.1'!F84+'Tabell 5.1'!F96+'Tabell 5.1'!F108+'Tabell 5.2'!F22+'Tabell 5.2'!F34+'Tabell 5.2'!F46+'Tabell 5.2'!F58+'Tabell 5.2'!F94+'Tabell 5.2'!F106+'Tabell 5.2'!F132+'Tabell 5.2'!F144+'Tabell 5.3'!F22+'Tabell 5.3'!F34+'Tabell 5.2'!F70+'Tabell 5.2'!F82+'Tabell 5.2'!F118</f>
        <v>915.00199999999995</v>
      </c>
      <c r="G48" s="677">
        <f t="shared" si="13"/>
        <v>284.10000000000002</v>
      </c>
      <c r="H48" s="676">
        <f>'Tabell 5.1'!H22+'Tabell 5.1'!H34+'Tabell 5.1'!H46+'Tabell 5.1'!H58+'Tabell 5.1'!H72+'Tabell 5.1'!H84+'Tabell 5.1'!H96+'Tabell 5.1'!H108+'Tabell 5.2'!H22+'Tabell 5.2'!H34+'Tabell 5.2'!H46+'Tabell 5.2'!H58+'Tabell 5.2'!H94+'Tabell 5.2'!H106+'Tabell 5.2'!H132+'Tabell 5.2'!H144+H22+H34+'Tabell 5.2'!H70+'Tabell 5.2'!H82+'Tabell 5.2'!H118</f>
        <v>46.548000000000002</v>
      </c>
      <c r="I48" s="676">
        <f>'Tabell 5.1'!I22+'Tabell 5.1'!I34+'Tabell 5.1'!I46+'Tabell 5.1'!I58+'Tabell 5.1'!I72+'Tabell 5.1'!I84+'Tabell 5.1'!I96+'Tabell 5.1'!I108+'Tabell 5.2'!I22+'Tabell 5.2'!I34+'Tabell 5.2'!I46+'Tabell 5.2'!I58+'Tabell 5.2'!I94+'Tabell 5.2'!I106+'Tabell 5.2'!I132+'Tabell 5.2'!I144+I22+I34+'Tabell 5.2'!I70+'Tabell 5.2'!I82+'Tabell 5.2'!I118</f>
        <v>119.71899999999999</v>
      </c>
      <c r="J48" s="676">
        <f t="shared" si="34"/>
        <v>157.19999999999999</v>
      </c>
      <c r="K48" s="676">
        <f>'Tabell 5.1'!K22+'Tabell 5.1'!K34+'Tabell 5.1'!K46+'Tabell 5.1'!K58+'Tabell 5.1'!K72+'Tabell 5.1'!K84+'Tabell 5.1'!K96+'Tabell 5.1'!K108+'Tabell 5.2'!K22+'Tabell 5.2'!K34+'Tabell 5.2'!K46+'Tabell 5.2'!K58+'Tabell 5.2'!K94+'Tabell 5.2'!K106+'Tabell 5.2'!K132+'Tabell 5.2'!K144+K22+K34++'Tabell 5.2'!K70+'Tabell 5.2'!K82+'Tabell 5.2'!K118</f>
        <v>-8.4810000000000016</v>
      </c>
      <c r="L48" s="676">
        <f>'Tabell 5.1'!L22+'Tabell 5.1'!L34+'Tabell 5.1'!L46+'Tabell 5.1'!L58+'Tabell 5.1'!L72+'Tabell 5.1'!L84+'Tabell 5.1'!L96+'Tabell 5.1'!L108+'Tabell 5.2'!L22+'Tabell 5.2'!L34+'Tabell 5.2'!L46+'Tabell 5.2'!L58+'Tabell 5.2'!L94+'Tabell 5.2'!L106+'Tabell 5.2'!L132+'Tabell 5.2'!L144+L22+L34++'Tabell 5.2'!L70+'Tabell 5.2'!L82+'Tabell 5.2'!L118</f>
        <v>23.212000000000003</v>
      </c>
      <c r="M48" s="677">
        <f t="shared" si="15"/>
        <v>-373.7</v>
      </c>
      <c r="N48" s="676">
        <f>'Tabell 5.1'!N22+'Tabell 5.1'!N34+'Tabell 5.1'!N46+'Tabell 5.1'!N58+'Tabell 5.1'!N72+'Tabell 5.1'!N84+'Tabell 5.1'!N96+'Tabell 5.1'!N108+'Tabell 5.2'!N22+'Tabell 5.2'!N34+'Tabell 5.2'!N46+'Tabell 5.2'!N58+'Tabell 5.2'!N94+'Tabell 5.2'!N106+'Tabell 5.2'!N132+'Tabell 5.2'!N144+N22+N34+'Tabell 5.2'!N70+'Tabell 5.2'!N82+'Tabell 5.2'!N118</f>
        <v>13</v>
      </c>
      <c r="O48" s="676">
        <f>'Tabell 5.1'!O22+'Tabell 5.1'!O34+'Tabell 5.1'!O46+'Tabell 5.1'!O58+'Tabell 5.1'!O72+'Tabell 5.1'!O84+'Tabell 5.1'!O96+'Tabell 5.1'!O108+'Tabell 5.2'!O22+'Tabell 5.2'!O34+'Tabell 5.2'!O46+'Tabell 5.2'!O58+'Tabell 5.2'!O94+'Tabell 5.2'!O106+'Tabell 5.2'!O132+'Tabell 5.2'!O144+O22+O34+'Tabell 5.2'!O70+'Tabell 5.2'!O82+'Tabell 5.2'!O118</f>
        <v>-83.9</v>
      </c>
      <c r="P48" s="676">
        <f t="shared" si="35"/>
        <v>-745.4</v>
      </c>
      <c r="Q48" s="676">
        <f>'Tabell 5.1'!Q22+'Tabell 5.1'!Q34+'Tabell 5.1'!Q46+'Tabell 5.1'!Q58+'Tabell 5.1'!Q72+'Tabell 5.1'!Q84+'Tabell 5.1'!Q96+'Tabell 5.1'!Q108+'Tabell 5.2'!Q22+'Tabell 5.2'!Q34+'Tabell 5.2'!Q46+'Tabell 5.2'!Q58+'Tabell 5.2'!Q94+'Tabell 5.2'!Q106+'Tabell 5.2'!Q132+'Tabell 5.2'!Q144+Q22+Q34++'Tabell 5.2'!Q70+'Tabell 5.2'!Q82+'Tabell 5.2'!Q118</f>
        <v>4054.0624045734248</v>
      </c>
      <c r="R48" s="676">
        <f>'Tabell 5.1'!R22+'Tabell 5.1'!R34+'Tabell 5.1'!R46+'Tabell 5.1'!R58+'Tabell 5.1'!R72+'Tabell 5.1'!R84+'Tabell 5.1'!R96+'Tabell 5.1'!R108+'Tabell 5.2'!R22+'Tabell 5.2'!R34+'Tabell 5.2'!R46+'Tabell 5.2'!R58+'Tabell 5.2'!R94+'Tabell 5.2'!R106+'Tabell 5.2'!R132+'Tabell 5.2'!R144+R22+R34++'Tabell 5.2'!R70+'Tabell 5.2'!R82+'Tabell 5.2'!R118</f>
        <v>1179.5912179170236</v>
      </c>
      <c r="S48" s="677">
        <f t="shared" si="17"/>
        <v>-70.900000000000006</v>
      </c>
      <c r="T48" s="676">
        <f>'Tabell 5.1'!T22+'Tabell 5.1'!T34+'Tabell 5.1'!T46+'Tabell 5.1'!T58+'Tabell 5.1'!T72+'Tabell 5.1'!T84+'Tabell 5.1'!T96+'Tabell 5.1'!T108+'Tabell 5.2'!T22+'Tabell 5.2'!T34+'Tabell 5.2'!T46+'Tabell 5.2'!T58+'Tabell 5.2'!T94+'Tabell 5.2'!T106+'Tabell 5.2'!T132+'Tabell 5.2'!T144+T22+T34+'Tabell 5.2'!T70+'Tabell 5.2'!T82+'Tabell 5.2'!T118</f>
        <v>-24</v>
      </c>
      <c r="U48" s="676">
        <f>'Tabell 5.1'!U22+'Tabell 5.1'!U34+'Tabell 5.1'!U46+'Tabell 5.1'!U58+'Tabell 5.1'!U72+'Tabell 5.1'!U84+'Tabell 5.1'!U96+'Tabell 5.1'!U108+'Tabell 5.2'!U22+'Tabell 5.2'!U34+'Tabell 5.2'!U46+'Tabell 5.2'!U58+'Tabell 5.2'!U94+'Tabell 5.2'!U106+'Tabell 5.2'!U132+'Tabell 5.2'!U144+U22+U34+'Tabell 5.2'!U70+'Tabell 5.2'!U82+'Tabell 5.2'!U118</f>
        <v>-28</v>
      </c>
      <c r="V48" s="676">
        <f t="shared" si="36"/>
        <v>16.7</v>
      </c>
      <c r="W48" s="676">
        <f>'Tabell 5.1'!W22+'Tabell 5.1'!W34+'Tabell 5.1'!W46+'Tabell 5.1'!W58+'Tabell 5.1'!W72+'Tabell 5.1'!W84+'Tabell 5.1'!W96+'Tabell 5.1'!W108+'Tabell 5.2'!W22+'Tabell 5.2'!W34+'Tabell 5.2'!W46+'Tabell 5.2'!W58+'Tabell 5.2'!W94+'Tabell 5.2'!W106+'Tabell 5.2'!W132+'Tabell 5.2'!W144+W22+W34++'Tabell 5.2'!W70+'Tabell 5.2'!W82+'Tabell 5.2'!W118</f>
        <v>579</v>
      </c>
      <c r="X48" s="676">
        <f>'Tabell 5.1'!X22+'Tabell 5.1'!X34+'Tabell 5.1'!X46+'Tabell 5.1'!X58+'Tabell 5.1'!X72+'Tabell 5.1'!X84+'Tabell 5.1'!X96+'Tabell 5.1'!X108+'Tabell 5.2'!X22+'Tabell 5.2'!X34+'Tabell 5.2'!X46+'Tabell 5.2'!X58+'Tabell 5.2'!X94+'Tabell 5.2'!X106+'Tabell 5.2'!X132+'Tabell 5.2'!X144+X22+X34++'Tabell 5.2'!X70+'Tabell 5.2'!X82+'Tabell 5.2'!X118</f>
        <v>481.09797265700007</v>
      </c>
      <c r="Y48" s="677">
        <f t="shared" si="19"/>
        <v>-16.899999999999999</v>
      </c>
      <c r="Z48" s="676">
        <f>'Tabell 5.1'!Z22+'Tabell 5.1'!Z34+'Tabell 5.1'!Z46+'Tabell 5.1'!Z58+'Tabell 5.1'!Z72+'Tabell 5.1'!Z84+'Tabell 5.1'!Z96+'Tabell 5.1'!Z108+'Tabell 5.2'!Z22+'Tabell 5.2'!Z34+'Tabell 5.2'!Z46+'Tabell 5.2'!Z58+'Tabell 5.2'!Z94+'Tabell 5.2'!Z106+'Tabell 5.2'!Z132+'Tabell 5.2'!Z144+Z22+Z34+'Tabell 5.2'!Z70+'Tabell 5.2'!Z82+'Tabell 5.2'!Z118</f>
        <v>1088</v>
      </c>
      <c r="AA48" s="676">
        <f>'Tabell 5.1'!AA22+'Tabell 5.1'!AA34+'Tabell 5.1'!AA46+'Tabell 5.1'!AA58+'Tabell 5.1'!AA72+'Tabell 5.1'!AA84+'Tabell 5.1'!AA96+'Tabell 5.1'!AA108+'Tabell 5.2'!AA22+'Tabell 5.2'!AA34+'Tabell 5.2'!AA46+'Tabell 5.2'!AA58+'Tabell 5.2'!AA94+'Tabell 5.2'!AA106+'Tabell 5.2'!AA132+'Tabell 5.2'!AA144+AA22+AA34+'Tabell 5.2'!AA70+'Tabell 5.2'!AA82+'Tabell 5.2'!AA118</f>
        <v>732</v>
      </c>
      <c r="AB48" s="676">
        <f t="shared" si="37"/>
        <v>-32.700000000000003</v>
      </c>
      <c r="AC48" s="676">
        <f>'Tabell 5.1'!AC22+'Tabell 5.1'!AC34+'Tabell 5.1'!AC46+'Tabell 5.1'!AC58+'Tabell 5.1'!AC72+'Tabell 5.1'!AC84+'Tabell 5.1'!AC96+'Tabell 5.1'!AC108+'Tabell 5.2'!AC22+'Tabell 5.2'!AC34+'Tabell 5.2'!AC46+'Tabell 5.2'!AC58+'Tabell 5.2'!AC94+'Tabell 5.2'!AC106+'Tabell 5.2'!AC132+'Tabell 5.2'!AC144+AC22+AC34++'Tabell 5.2'!AC70+'Tabell 5.2'!AC82+'Tabell 5.2'!AC118</f>
        <v>2</v>
      </c>
      <c r="AD48" s="676">
        <f>'Tabell 5.1'!AD22+'Tabell 5.1'!AD34+'Tabell 5.1'!AD46+'Tabell 5.1'!AD58+'Tabell 5.1'!AD72+'Tabell 5.1'!AD84+'Tabell 5.1'!AD96+'Tabell 5.1'!AD108+'Tabell 5.2'!AD22+'Tabell 5.2'!AD34+'Tabell 5.2'!AD46+'Tabell 5.2'!AD58+'Tabell 5.2'!AD94+'Tabell 5.2'!AD106+'Tabell 5.2'!AD132+'Tabell 5.2'!AD144+AD22+AD34++'Tabell 5.2'!AD70+'Tabell 5.2'!AD82+'Tabell 5.2'!AD118</f>
        <v>9</v>
      </c>
      <c r="AE48" s="677">
        <f t="shared" si="21"/>
        <v>350</v>
      </c>
      <c r="AF48" s="676">
        <f>'Tabell 5.1'!AF22+'Tabell 5.1'!AF34+'Tabell 5.1'!AF46+'Tabell 5.1'!AF58+'Tabell 5.1'!AF72+'Tabell 5.1'!AF84+'Tabell 5.1'!AF96+'Tabell 5.1'!AF108+'Tabell 5.2'!AF22+'Tabell 5.2'!AF34+'Tabell 5.2'!AF46+'Tabell 5.2'!AF58+'Tabell 5.2'!AF94+'Tabell 5.2'!AF106+'Tabell 5.2'!AF132+'Tabell 5.2'!AF144+AF22+AF34+'Tabell 5.2'!AF70+'Tabell 5.2'!AF82+'Tabell 5.2'!AF118</f>
        <v>8.0289999999999999</v>
      </c>
      <c r="AG48" s="676">
        <f>'Tabell 5.1'!AG22+'Tabell 5.1'!AG34+'Tabell 5.1'!AG46+'Tabell 5.1'!AG58+'Tabell 5.1'!AG72+'Tabell 5.1'!AG84+'Tabell 5.1'!AG96+'Tabell 5.1'!AG108+'Tabell 5.2'!AG22+'Tabell 5.2'!AG34+'Tabell 5.2'!AG46+'Tabell 5.2'!AG58+'Tabell 5.2'!AG94+'Tabell 5.2'!AG106+'Tabell 5.2'!AG132+'Tabell 5.2'!AG144+AG22+AG34+'Tabell 5.2'!AG70+'Tabell 5.2'!AG82+'Tabell 5.2'!AG118</f>
        <v>0</v>
      </c>
      <c r="AH48" s="676">
        <f t="shared" si="38"/>
        <v>-100</v>
      </c>
      <c r="AI48" s="676">
        <f>'Tabell 5.1'!AI22+'Tabell 5.1'!AI34+'Tabell 5.1'!AI46+'Tabell 5.1'!AI58+'Tabell 5.1'!AI72+'Tabell 5.1'!AI84+'Tabell 5.1'!AI96+'Tabell 5.1'!AI108+'Tabell 5.2'!AI22+'Tabell 5.2'!AI34+'Tabell 5.2'!AI46+'Tabell 5.2'!AI58+'Tabell 5.2'!AI94+'Tabell 5.2'!AI106+'Tabell 5.2'!AI132+'Tabell 5.2'!AI144+AI22+AI34++'Tabell 5.2'!AI70+'Tabell 5.2'!AI82+'Tabell 5.2'!AI118</f>
        <v>313.71399999999994</v>
      </c>
      <c r="AJ48" s="676">
        <f>'Tabell 5.1'!AJ22+'Tabell 5.1'!AJ34+'Tabell 5.1'!AJ46+'Tabell 5.1'!AJ58+'Tabell 5.1'!AJ72+'Tabell 5.1'!AJ84+'Tabell 5.1'!AJ96+'Tabell 5.1'!AJ108+'Tabell 5.2'!AJ22+'Tabell 5.2'!AJ34+'Tabell 5.2'!AJ46+'Tabell 5.2'!AJ58+'Tabell 5.2'!AJ94+'Tabell 5.2'!AJ106+'Tabell 5.2'!AJ132+'Tabell 5.2'!AJ144+AJ22+AJ34++'Tabell 5.2'!AJ70+'Tabell 5.2'!AJ82+'Tabell 5.2'!AJ118</f>
        <v>304.55500000000006</v>
      </c>
      <c r="AK48" s="677">
        <f t="shared" si="23"/>
        <v>-2.9</v>
      </c>
      <c r="AL48" s="676">
        <f>'Tabell 5.1'!AL22+'Tabell 5.1'!AL34+'Tabell 5.1'!AL46+'Tabell 5.1'!AL58+'Tabell 5.1'!AL72+'Tabell 5.1'!AL84+'Tabell 5.1'!AL96+'Tabell 5.1'!AL108+'Tabell 5.2'!AL22+'Tabell 5.2'!AL34+'Tabell 5.2'!AL46+'Tabell 5.2'!AL58+'Tabell 5.2'!AL94+'Tabell 5.2'!AL106+'Tabell 5.2'!AL132+'Tabell 5.2'!AL144+AL22+AL34+'Tabell 5.2'!AL70+'Tabell 5.2'!AL82+'Tabell 5.2'!AL118</f>
        <v>-728.36</v>
      </c>
      <c r="AM48" s="676">
        <f>'Tabell 5.1'!AM22+'Tabell 5.1'!AM34+'Tabell 5.1'!AM46+'Tabell 5.1'!AM58+'Tabell 5.1'!AM72+'Tabell 5.1'!AM84+'Tabell 5.1'!AM96+'Tabell 5.1'!AM108+'Tabell 5.2'!AM22+'Tabell 5.2'!AM34+'Tabell 5.2'!AM46+'Tabell 5.2'!AM58+'Tabell 5.2'!AM94+'Tabell 5.2'!AM106+'Tabell 5.2'!AM132+'Tabell 5.2'!AM144+AM22+AM34+'Tabell 5.2'!AM70+'Tabell 5.2'!AM82+'Tabell 5.2'!AM118</f>
        <v>1099.8</v>
      </c>
      <c r="AN48" s="676">
        <f t="shared" si="39"/>
        <v>-251</v>
      </c>
      <c r="AO48" s="676">
        <f>'Tabell 5.1'!AO22+'Tabell 5.1'!AO34+'Tabell 5.1'!AO46+'Tabell 5.1'!AO58+'Tabell 5.1'!AO72+'Tabell 5.1'!AO84+'Tabell 5.1'!AO96+'Tabell 5.1'!AO108+'Tabell 5.2'!AO22+'Tabell 5.2'!AO34+'Tabell 5.2'!AO46+'Tabell 5.2'!AO58+'Tabell 5.2'!AO94+'Tabell 5.2'!AO106+'Tabell 5.2'!AO132+'Tabell 5.2'!AO144+AO22+AO34++'Tabell 5.2'!AO70+'Tabell 5.2'!AO82+'Tabell 5.2'!AO118</f>
        <v>5684.0594045734251</v>
      </c>
      <c r="AP48" s="676">
        <f>'Tabell 5.1'!AP22+'Tabell 5.1'!AP34+'Tabell 5.1'!AP46+'Tabell 5.1'!AP58+'Tabell 5.1'!AP72+'Tabell 5.1'!AP84+'Tabell 5.1'!AP96+'Tabell 5.1'!AP108+'Tabell 5.2'!AP22+'Tabell 5.2'!AP34+'Tabell 5.2'!AP46+'Tabell 5.2'!AP58+'Tabell 5.2'!AP94+'Tabell 5.2'!AP106+'Tabell 5.2'!AP132+'Tabell 5.2'!AP144+AP22+AP34++'Tabell 5.2'!AP70+'Tabell 5.2'!AP82+'Tabell 5.2'!AP118</f>
        <v>4984.3361905740239</v>
      </c>
      <c r="AQ48" s="677">
        <f t="shared" si="25"/>
        <v>-12.3</v>
      </c>
      <c r="AR48" s="676">
        <f>'Tabell 5.1'!AR22+'Tabell 5.1'!AR34+'Tabell 5.1'!AR46+'Tabell 5.1'!AR58+'Tabell 5.1'!AR72+'Tabell 5.1'!AR84+'Tabell 5.1'!AR96+'Tabell 5.1'!AR108+'Tabell 5.2'!AR22+'Tabell 5.2'!AR34+'Tabell 5.2'!AR46+'Tabell 5.2'!AR58+'Tabell 5.2'!AR94+'Tabell 5.2'!AR106+'Tabell 5.2'!AR132+'Tabell 5.2'!AR144+AR22+AR34+'Tabell 5.2'!AR70+'Tabell 5.2'!AR82+'Tabell 5.2'!AR118</f>
        <v>5691.6734045734247</v>
      </c>
      <c r="AS48" s="676">
        <f>'Tabell 5.1'!AS22+'Tabell 5.1'!AS34+'Tabell 5.1'!AS46+'Tabell 5.1'!AS58+'Tabell 5.1'!AS72+'Tabell 5.1'!AS84+'Tabell 5.1'!AS96+'Tabell 5.1'!AS108+'Tabell 5.2'!AS22+'Tabell 5.2'!AS34+'Tabell 5.2'!AS46+'Tabell 5.2'!AS58+'Tabell 5.2'!AS94+'Tabell 5.2'!AS106+'Tabell 5.2'!AS132+'Tabell 5.2'!AS144+AS22+AS34+'Tabell 5.2'!AS70+'Tabell 5.2'!AS82+'Tabell 5.2'!AS118</f>
        <v>4872.5201905740241</v>
      </c>
      <c r="AT48" s="677">
        <f t="shared" si="40"/>
        <v>-14.4</v>
      </c>
      <c r="AU48" s="699"/>
      <c r="AV48" s="638"/>
      <c r="AW48" s="633"/>
      <c r="AX48" s="633"/>
    </row>
    <row r="49" spans="1:50" s="683" customFormat="1" ht="18.75" customHeight="1" x14ac:dyDescent="0.3">
      <c r="A49" s="633" t="s">
        <v>286</v>
      </c>
      <c r="B49" s="515"/>
      <c r="C49" s="682"/>
      <c r="D49" s="682"/>
      <c r="E49" s="682"/>
      <c r="F49" s="682"/>
      <c r="G49" s="682"/>
      <c r="H49" s="638"/>
      <c r="I49" s="633"/>
      <c r="J49" s="633"/>
      <c r="L49" s="633"/>
      <c r="M49" s="633"/>
      <c r="O49" s="633"/>
      <c r="P49" s="633"/>
      <c r="Q49" s="633"/>
      <c r="R49" s="633"/>
      <c r="S49" s="633"/>
      <c r="T49" s="633"/>
      <c r="U49" s="633"/>
      <c r="V49" s="633"/>
      <c r="W49" s="633"/>
      <c r="X49" s="633"/>
      <c r="Y49" s="633"/>
      <c r="Z49" s="633"/>
      <c r="AA49" s="633"/>
      <c r="AB49" s="633"/>
      <c r="AC49" s="633"/>
      <c r="AD49" s="633"/>
      <c r="AE49" s="633"/>
      <c r="AF49" s="633"/>
      <c r="AG49" s="633"/>
      <c r="AH49" s="633"/>
      <c r="AI49" s="633"/>
      <c r="AJ49" s="633"/>
      <c r="AK49" s="633"/>
      <c r="AL49" s="633"/>
      <c r="AM49" s="633"/>
      <c r="AN49" s="633"/>
      <c r="AO49" s="633"/>
      <c r="AP49" s="633"/>
      <c r="AQ49" s="633"/>
      <c r="AR49" s="638"/>
      <c r="AS49" s="638"/>
      <c r="AT49" s="638"/>
      <c r="AU49" s="684"/>
      <c r="AV49" s="685"/>
      <c r="AW49" s="684"/>
      <c r="AX49" s="684"/>
    </row>
    <row r="50" spans="1:50" s="683" customFormat="1" ht="18.75" customHeight="1" x14ac:dyDescent="0.3">
      <c r="A50" s="633"/>
      <c r="C50" s="682"/>
      <c r="D50" s="682"/>
      <c r="E50" s="682"/>
      <c r="F50" s="682"/>
      <c r="G50" s="682"/>
      <c r="H50" s="638"/>
      <c r="I50" s="633"/>
      <c r="J50" s="633"/>
      <c r="K50" s="633"/>
      <c r="L50" s="633"/>
      <c r="M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8"/>
      <c r="AS50" s="638"/>
      <c r="AT50" s="638"/>
      <c r="AU50" s="684"/>
      <c r="AV50" s="685"/>
      <c r="AW50" s="684"/>
      <c r="AX50" s="684"/>
    </row>
    <row r="51" spans="1:50" s="683" customFormat="1" ht="18.75" x14ac:dyDescent="0.3">
      <c r="A51" s="686"/>
      <c r="B51" s="687"/>
      <c r="C51" s="687"/>
      <c r="D51" s="688"/>
      <c r="E51" s="688"/>
      <c r="F51" s="688"/>
      <c r="G51" s="688"/>
      <c r="H51" s="687"/>
      <c r="I51" s="687"/>
      <c r="J51" s="686"/>
      <c r="K51" s="687"/>
      <c r="L51" s="687"/>
      <c r="M51" s="686"/>
      <c r="N51" s="687"/>
      <c r="O51" s="687"/>
      <c r="P51" s="686"/>
      <c r="Q51" s="686"/>
      <c r="R51" s="686"/>
      <c r="S51" s="686"/>
      <c r="T51" s="686"/>
      <c r="U51" s="686"/>
      <c r="V51" s="686"/>
      <c r="W51" s="686"/>
      <c r="X51" s="686"/>
      <c r="Y51" s="686"/>
      <c r="Z51" s="686"/>
      <c r="AA51" s="686"/>
      <c r="AB51" s="686"/>
      <c r="AC51" s="686"/>
      <c r="AD51" s="686"/>
      <c r="AE51" s="686"/>
      <c r="AF51" s="686"/>
      <c r="AG51" s="686"/>
      <c r="AH51" s="686"/>
      <c r="AI51" s="686"/>
      <c r="AJ51" s="686"/>
      <c r="AK51" s="686"/>
      <c r="AL51" s="686"/>
      <c r="AM51" s="686"/>
      <c r="AN51" s="686"/>
      <c r="AO51" s="686"/>
      <c r="AP51" s="686"/>
      <c r="AQ51" s="686"/>
      <c r="AR51" s="687"/>
      <c r="AS51" s="687"/>
      <c r="AT51" s="686"/>
      <c r="AU51" s="684"/>
      <c r="AV51" s="685"/>
      <c r="AW51" s="684"/>
      <c r="AX51" s="684"/>
    </row>
    <row r="52" spans="1:50" s="683" customFormat="1" ht="18.75" x14ac:dyDescent="0.3">
      <c r="A52" s="684"/>
      <c r="B52" s="682"/>
      <c r="C52" s="682"/>
      <c r="D52" s="682"/>
      <c r="E52" s="682"/>
      <c r="F52" s="682"/>
      <c r="G52" s="682"/>
      <c r="H52" s="685"/>
      <c r="I52" s="684"/>
      <c r="J52" s="684"/>
      <c r="K52" s="684"/>
      <c r="L52" s="684"/>
      <c r="M52" s="684"/>
      <c r="N52" s="684"/>
      <c r="O52" s="684"/>
      <c r="P52" s="684"/>
      <c r="Q52" s="684"/>
      <c r="R52" s="684"/>
      <c r="S52" s="684"/>
      <c r="T52" s="684"/>
      <c r="U52" s="684"/>
      <c r="V52" s="684"/>
      <c r="W52" s="684"/>
      <c r="X52" s="684"/>
      <c r="Y52" s="684"/>
      <c r="Z52" s="684"/>
      <c r="AA52" s="684"/>
      <c r="AB52" s="684"/>
      <c r="AC52" s="684"/>
      <c r="AD52" s="684"/>
      <c r="AE52" s="684"/>
      <c r="AF52" s="684"/>
      <c r="AG52" s="684"/>
      <c r="AH52" s="684"/>
      <c r="AI52" s="684"/>
      <c r="AJ52" s="684"/>
      <c r="AK52" s="684"/>
      <c r="AL52" s="684"/>
      <c r="AM52" s="684"/>
      <c r="AN52" s="684"/>
      <c r="AO52" s="684"/>
      <c r="AP52" s="684"/>
      <c r="AQ52" s="684"/>
      <c r="AR52" s="684"/>
      <c r="AS52" s="684"/>
      <c r="AT52" s="684"/>
      <c r="AU52" s="684"/>
      <c r="AV52" s="685"/>
      <c r="AW52" s="684"/>
      <c r="AX52" s="684"/>
    </row>
    <row r="53" spans="1:50" s="683" customFormat="1" ht="18.75" x14ac:dyDescent="0.3">
      <c r="A53" s="684"/>
      <c r="B53" s="682"/>
      <c r="C53" s="682"/>
      <c r="D53" s="682"/>
      <c r="E53" s="682"/>
      <c r="F53" s="682"/>
      <c r="G53" s="682"/>
      <c r="H53" s="685"/>
      <c r="I53" s="684"/>
      <c r="J53" s="684"/>
      <c r="K53" s="684"/>
      <c r="L53" s="684"/>
      <c r="M53" s="684"/>
      <c r="N53" s="684"/>
      <c r="O53" s="684"/>
      <c r="P53" s="684"/>
      <c r="Q53" s="684"/>
      <c r="R53" s="684"/>
      <c r="S53" s="684"/>
      <c r="T53" s="684"/>
      <c r="U53" s="684"/>
      <c r="V53" s="684"/>
      <c r="W53" s="684"/>
      <c r="X53" s="684"/>
      <c r="Y53" s="684"/>
      <c r="Z53" s="684"/>
      <c r="AA53" s="684"/>
      <c r="AB53" s="684"/>
      <c r="AC53" s="684"/>
      <c r="AD53" s="684"/>
      <c r="AE53" s="684"/>
      <c r="AF53" s="684"/>
      <c r="AG53" s="684"/>
      <c r="AH53" s="684"/>
      <c r="AI53" s="684"/>
      <c r="AJ53" s="684"/>
      <c r="AK53" s="684"/>
      <c r="AL53" s="684"/>
      <c r="AM53" s="684"/>
      <c r="AN53" s="684"/>
      <c r="AO53" s="684"/>
      <c r="AP53" s="684"/>
      <c r="AQ53" s="684"/>
      <c r="AR53" s="684"/>
      <c r="AS53" s="684"/>
      <c r="AT53" s="684"/>
      <c r="AU53" s="684"/>
      <c r="AV53" s="685"/>
      <c r="AW53" s="684"/>
      <c r="AX53" s="684"/>
    </row>
    <row r="54" spans="1:50" s="683" customFormat="1" ht="18.75" x14ac:dyDescent="0.3">
      <c r="A54" s="684"/>
      <c r="B54" s="682"/>
      <c r="C54" s="682"/>
      <c r="D54" s="682"/>
      <c r="E54" s="682"/>
      <c r="F54" s="682"/>
      <c r="G54" s="682"/>
      <c r="H54" s="685"/>
      <c r="I54" s="684"/>
      <c r="J54" s="684"/>
      <c r="K54" s="684"/>
      <c r="L54" s="684"/>
      <c r="M54" s="684"/>
      <c r="N54" s="684"/>
      <c r="O54" s="684"/>
      <c r="P54" s="684"/>
      <c r="Q54" s="684"/>
      <c r="R54" s="684"/>
      <c r="S54" s="684"/>
      <c r="T54" s="684"/>
      <c r="U54" s="684"/>
      <c r="V54" s="684"/>
      <c r="W54" s="684"/>
      <c r="X54" s="684"/>
      <c r="Y54" s="684"/>
      <c r="Z54" s="684"/>
      <c r="AA54" s="684"/>
      <c r="AB54" s="684"/>
      <c r="AC54" s="684"/>
      <c r="AD54" s="684"/>
      <c r="AE54" s="684"/>
      <c r="AF54" s="684"/>
      <c r="AG54" s="684"/>
      <c r="AH54" s="684"/>
      <c r="AI54" s="684"/>
      <c r="AJ54" s="684"/>
      <c r="AK54" s="684"/>
      <c r="AL54" s="684"/>
      <c r="AM54" s="684"/>
      <c r="AN54" s="684"/>
      <c r="AO54" s="684"/>
      <c r="AP54" s="684"/>
      <c r="AQ54" s="684"/>
      <c r="AR54" s="684"/>
      <c r="AS54" s="684"/>
      <c r="AT54" s="684"/>
      <c r="AU54" s="684"/>
      <c r="AV54" s="685"/>
      <c r="AW54" s="684"/>
      <c r="AX54" s="684"/>
    </row>
    <row r="55" spans="1:50" s="683" customFormat="1" ht="18.75" x14ac:dyDescent="0.3">
      <c r="A55" s="684"/>
      <c r="B55" s="682"/>
      <c r="C55" s="682"/>
      <c r="D55" s="682"/>
      <c r="E55" s="682"/>
      <c r="F55" s="682"/>
      <c r="G55" s="682"/>
      <c r="H55" s="689"/>
      <c r="Q55" s="701"/>
      <c r="AV55" s="689"/>
    </row>
    <row r="56" spans="1:50" s="683" customFormat="1" ht="18.75" x14ac:dyDescent="0.3">
      <c r="A56" s="684"/>
      <c r="B56" s="690"/>
      <c r="C56" s="690"/>
      <c r="D56" s="682"/>
      <c r="E56" s="682"/>
      <c r="F56" s="682"/>
      <c r="G56" s="682"/>
      <c r="H56" s="689"/>
      <c r="AV56" s="689"/>
    </row>
    <row r="57" spans="1:50" s="683" customFormat="1" ht="18.75" x14ac:dyDescent="0.3">
      <c r="A57" s="684"/>
      <c r="B57" s="682"/>
      <c r="C57" s="682"/>
      <c r="D57" s="682"/>
      <c r="E57" s="682"/>
      <c r="F57" s="682"/>
      <c r="G57" s="682"/>
      <c r="H57" s="689"/>
      <c r="AV57" s="689"/>
    </row>
    <row r="58" spans="1:50" s="683" customFormat="1" ht="18.75" x14ac:dyDescent="0.3">
      <c r="A58" s="684"/>
      <c r="B58" s="682"/>
      <c r="C58" s="682"/>
      <c r="D58" s="682"/>
      <c r="E58" s="682"/>
      <c r="F58" s="682"/>
      <c r="G58" s="682"/>
      <c r="H58" s="689"/>
      <c r="AV58" s="689"/>
    </row>
    <row r="59" spans="1:50" s="683" customFormat="1" ht="18.75" x14ac:dyDescent="0.3">
      <c r="A59" s="684"/>
      <c r="B59" s="682"/>
      <c r="C59" s="682"/>
      <c r="D59" s="682"/>
      <c r="E59" s="682"/>
      <c r="F59" s="682"/>
      <c r="G59" s="682"/>
      <c r="H59" s="689"/>
      <c r="AV59" s="689"/>
    </row>
    <row r="60" spans="1:50" s="683" customFormat="1" ht="18.75" x14ac:dyDescent="0.3">
      <c r="A60" s="684"/>
      <c r="B60" s="682"/>
      <c r="C60" s="682"/>
      <c r="D60" s="682"/>
      <c r="E60" s="682"/>
      <c r="F60" s="682"/>
      <c r="G60" s="682"/>
      <c r="H60" s="689"/>
      <c r="AV60" s="689"/>
    </row>
    <row r="61" spans="1:50" s="683" customFormat="1" ht="18.75" x14ac:dyDescent="0.3">
      <c r="A61" s="684"/>
      <c r="B61" s="682"/>
      <c r="C61" s="682"/>
      <c r="D61" s="682"/>
      <c r="E61" s="682"/>
      <c r="F61" s="682"/>
      <c r="G61" s="682"/>
      <c r="H61" s="689"/>
      <c r="AV61" s="689"/>
    </row>
    <row r="62" spans="1:50" s="683" customFormat="1" ht="18.75" x14ac:dyDescent="0.3">
      <c r="A62" s="684"/>
      <c r="B62" s="638"/>
      <c r="C62" s="638"/>
      <c r="D62" s="682"/>
      <c r="E62" s="682"/>
      <c r="F62" s="682"/>
      <c r="G62" s="682"/>
      <c r="H62" s="689"/>
      <c r="AV62" s="689"/>
    </row>
    <row r="63" spans="1:50" s="683" customFormat="1" ht="18.75" x14ac:dyDescent="0.3">
      <c r="A63" s="684"/>
      <c r="B63" s="682"/>
      <c r="C63" s="682"/>
      <c r="D63" s="682"/>
      <c r="E63" s="682"/>
      <c r="F63" s="682"/>
      <c r="G63" s="682"/>
      <c r="H63" s="689"/>
      <c r="AV63" s="689"/>
    </row>
    <row r="64" spans="1:50" s="683" customFormat="1" ht="18.75" x14ac:dyDescent="0.3">
      <c r="A64" s="684"/>
      <c r="B64" s="682"/>
      <c r="C64" s="682"/>
      <c r="D64" s="682"/>
      <c r="E64" s="682"/>
      <c r="F64" s="682"/>
      <c r="G64" s="682"/>
      <c r="H64" s="689"/>
      <c r="AV64" s="689"/>
    </row>
    <row r="65" spans="1:48" s="683" customFormat="1" ht="18.75" x14ac:dyDescent="0.3">
      <c r="A65" s="684"/>
      <c r="B65" s="682"/>
      <c r="C65" s="682"/>
      <c r="D65" s="682"/>
      <c r="E65" s="682"/>
      <c r="F65" s="682"/>
      <c r="G65" s="682"/>
      <c r="H65" s="689"/>
      <c r="AV65" s="689"/>
    </row>
    <row r="66" spans="1:48" s="683" customFormat="1" ht="18.75" x14ac:dyDescent="0.3">
      <c r="A66" s="684"/>
      <c r="B66" s="682"/>
      <c r="C66" s="682"/>
      <c r="D66" s="682"/>
      <c r="E66" s="682"/>
      <c r="F66" s="682"/>
      <c r="G66" s="682"/>
      <c r="H66" s="689"/>
      <c r="AV66" s="689"/>
    </row>
    <row r="67" spans="1:48" s="683" customFormat="1" ht="18.75" x14ac:dyDescent="0.3">
      <c r="A67" s="684"/>
      <c r="B67" s="638"/>
      <c r="C67" s="638"/>
      <c r="D67" s="682"/>
      <c r="E67" s="682"/>
      <c r="F67" s="682"/>
      <c r="G67" s="682"/>
      <c r="H67" s="689"/>
      <c r="AV67" s="689"/>
    </row>
    <row r="68" spans="1:48" s="683" customFormat="1" ht="18.75" x14ac:dyDescent="0.3">
      <c r="A68" s="684"/>
      <c r="B68" s="690"/>
      <c r="C68" s="690"/>
      <c r="D68" s="682"/>
      <c r="E68" s="682"/>
      <c r="F68" s="682"/>
      <c r="G68" s="682"/>
      <c r="H68" s="689"/>
      <c r="AV68" s="689"/>
    </row>
    <row r="69" spans="1:48" s="683" customFormat="1" ht="18.75" x14ac:dyDescent="0.3">
      <c r="A69" s="684"/>
      <c r="B69" s="689"/>
      <c r="C69" s="689"/>
      <c r="D69" s="689"/>
      <c r="E69" s="689"/>
      <c r="F69" s="689"/>
      <c r="G69" s="689"/>
      <c r="H69" s="689"/>
      <c r="AV69" s="689"/>
    </row>
    <row r="70" spans="1:48" s="683" customFormat="1" ht="18.75" x14ac:dyDescent="0.3">
      <c r="A70" s="684"/>
      <c r="B70" s="689"/>
      <c r="C70" s="689"/>
      <c r="D70" s="689"/>
      <c r="E70" s="689"/>
      <c r="F70" s="689"/>
      <c r="G70" s="689"/>
      <c r="H70" s="689"/>
      <c r="AV70" s="689"/>
    </row>
    <row r="71" spans="1:48" s="683" customFormat="1" ht="18.75" x14ac:dyDescent="0.3">
      <c r="A71" s="684"/>
      <c r="B71" s="689"/>
      <c r="C71" s="689"/>
      <c r="D71" s="689"/>
      <c r="E71" s="689"/>
      <c r="F71" s="689"/>
      <c r="G71" s="689"/>
      <c r="H71" s="689"/>
      <c r="AV71" s="689"/>
    </row>
    <row r="72" spans="1:48" s="683" customFormat="1" ht="18.75" x14ac:dyDescent="0.3">
      <c r="A72" s="684"/>
      <c r="AV72" s="689"/>
    </row>
    <row r="73" spans="1:48" s="683" customFormat="1" ht="18.75" x14ac:dyDescent="0.3">
      <c r="A73" s="684"/>
      <c r="AV73" s="689"/>
    </row>
    <row r="74" spans="1:48" s="683" customFormat="1" ht="18.75" x14ac:dyDescent="0.3">
      <c r="A74" s="684"/>
      <c r="AV74" s="689"/>
    </row>
    <row r="75" spans="1:48" s="683" customFormat="1" ht="18.75" x14ac:dyDescent="0.3">
      <c r="A75" s="684"/>
      <c r="AV75" s="689"/>
    </row>
    <row r="76" spans="1:48" s="683" customFormat="1" ht="18.75" x14ac:dyDescent="0.3">
      <c r="A76" s="684"/>
      <c r="AV76" s="689"/>
    </row>
    <row r="77" spans="1:48" s="683" customFormat="1" ht="18.75" x14ac:dyDescent="0.3">
      <c r="A77" s="684"/>
      <c r="AV77" s="689"/>
    </row>
    <row r="78" spans="1:48" ht="18.75" x14ac:dyDescent="0.3">
      <c r="A78" s="633"/>
      <c r="AV78" s="691"/>
    </row>
    <row r="79" spans="1:48" ht="18.75" x14ac:dyDescent="0.3">
      <c r="A79" s="633"/>
      <c r="AV79" s="691"/>
    </row>
    <row r="80" spans="1:48" ht="18.75" x14ac:dyDescent="0.3">
      <c r="A80" s="633"/>
      <c r="AV80" s="691"/>
    </row>
    <row r="81" spans="1:48" ht="18.75" x14ac:dyDescent="0.3">
      <c r="A81" s="633"/>
      <c r="AV81" s="691"/>
    </row>
    <row r="82" spans="1:48" ht="18.75" x14ac:dyDescent="0.3">
      <c r="A82" s="633"/>
      <c r="AV82" s="691"/>
    </row>
    <row r="83" spans="1:48" ht="18.75" x14ac:dyDescent="0.3">
      <c r="A83" s="633"/>
      <c r="AV83" s="691"/>
    </row>
    <row r="84" spans="1:48" ht="18.75" x14ac:dyDescent="0.3">
      <c r="A84" s="633"/>
      <c r="AV84" s="691"/>
    </row>
    <row r="85" spans="1:48" ht="18.75" x14ac:dyDescent="0.3">
      <c r="A85" s="633"/>
      <c r="AV85" s="691"/>
    </row>
    <row r="86" spans="1:48" ht="18.75" x14ac:dyDescent="0.3">
      <c r="A86" s="633"/>
      <c r="AV86" s="691"/>
    </row>
    <row r="87" spans="1:48" ht="18.75" x14ac:dyDescent="0.3">
      <c r="A87" s="633"/>
      <c r="AV87" s="691"/>
    </row>
    <row r="88" spans="1:48" ht="18.75" x14ac:dyDescent="0.3">
      <c r="A88" s="633"/>
      <c r="AV88" s="691"/>
    </row>
    <row r="89" spans="1:48" ht="18.75" x14ac:dyDescent="0.3">
      <c r="A89" s="633"/>
      <c r="AV89" s="691"/>
    </row>
    <row r="90" spans="1:48" ht="18.75" x14ac:dyDescent="0.3">
      <c r="A90" s="633"/>
      <c r="AV90" s="691"/>
    </row>
    <row r="91" spans="1:48" ht="18.75" x14ac:dyDescent="0.3">
      <c r="A91" s="633"/>
      <c r="AV91" s="691"/>
    </row>
    <row r="92" spans="1:48" ht="18.75" x14ac:dyDescent="0.3">
      <c r="A92" s="633"/>
      <c r="AV92" s="691"/>
    </row>
    <row r="93" spans="1:48" ht="18.75" x14ac:dyDescent="0.3">
      <c r="A93" s="633"/>
      <c r="AV93" s="691"/>
    </row>
    <row r="94" spans="1:48" ht="18.75" x14ac:dyDescent="0.3">
      <c r="A94" s="633"/>
      <c r="AV94" s="691"/>
    </row>
    <row r="95" spans="1:48" ht="18.75" x14ac:dyDescent="0.3">
      <c r="A95" s="633"/>
      <c r="AV95" s="691"/>
    </row>
    <row r="96" spans="1:48" ht="18.75" x14ac:dyDescent="0.3">
      <c r="A96" s="633"/>
      <c r="AV96" s="691"/>
    </row>
    <row r="97" spans="1:48" ht="18.75" x14ac:dyDescent="0.3">
      <c r="A97" s="633"/>
      <c r="AV97" s="691"/>
    </row>
    <row r="98" spans="1:48" ht="18.75" x14ac:dyDescent="0.3">
      <c r="A98" s="633"/>
      <c r="AV98" s="691"/>
    </row>
    <row r="99" spans="1:48" ht="18.75" x14ac:dyDescent="0.3">
      <c r="A99" s="633"/>
      <c r="AV99" s="691"/>
    </row>
    <row r="100" spans="1:48" ht="18.75" x14ac:dyDescent="0.3">
      <c r="A100" s="633"/>
      <c r="AV100" s="691"/>
    </row>
    <row r="101" spans="1:48" ht="18.75" x14ac:dyDescent="0.3">
      <c r="A101" s="633"/>
      <c r="AV101" s="691"/>
    </row>
    <row r="102" spans="1:48" ht="18.75" x14ac:dyDescent="0.3">
      <c r="A102" s="633"/>
      <c r="AV102" s="691"/>
    </row>
    <row r="103" spans="1:48" ht="18.75" x14ac:dyDescent="0.3">
      <c r="A103" s="633"/>
      <c r="AV103" s="691"/>
    </row>
    <row r="104" spans="1:48" ht="18.75" x14ac:dyDescent="0.3">
      <c r="A104" s="633"/>
      <c r="AV104" s="691"/>
    </row>
    <row r="105" spans="1:48" ht="18.75" x14ac:dyDescent="0.3">
      <c r="A105" s="633"/>
      <c r="AV105" s="691"/>
    </row>
    <row r="106" spans="1:48" ht="18.75" x14ac:dyDescent="0.3">
      <c r="A106" s="633"/>
      <c r="AV106" s="691"/>
    </row>
    <row r="107" spans="1:48" ht="18.75" x14ac:dyDescent="0.3">
      <c r="A107" s="633"/>
      <c r="AV107" s="691"/>
    </row>
    <row r="108" spans="1:48" ht="18.75" x14ac:dyDescent="0.3">
      <c r="A108" s="633"/>
      <c r="AV108" s="691"/>
    </row>
    <row r="109" spans="1:48" ht="18.75" x14ac:dyDescent="0.3">
      <c r="A109" s="633"/>
      <c r="AV109" s="691"/>
    </row>
    <row r="110" spans="1:48" ht="18.75" x14ac:dyDescent="0.3">
      <c r="A110" s="633"/>
      <c r="AV110" s="691"/>
    </row>
    <row r="111" spans="1:48" ht="18.75" x14ac:dyDescent="0.3">
      <c r="A111" s="633"/>
      <c r="AV111" s="691"/>
    </row>
    <row r="112" spans="1:48" ht="18.75" x14ac:dyDescent="0.3">
      <c r="A112" s="633"/>
      <c r="AV112" s="691"/>
    </row>
    <row r="113" spans="1:48" ht="18.75" x14ac:dyDescent="0.3">
      <c r="A113" s="633"/>
      <c r="AV113" s="691"/>
    </row>
    <row r="114" spans="1:48" ht="18.75" x14ac:dyDescent="0.3">
      <c r="A114" s="633"/>
      <c r="AV114" s="691"/>
    </row>
    <row r="115" spans="1:48" ht="18.75" x14ac:dyDescent="0.3">
      <c r="A115" s="633"/>
      <c r="AV115" s="691"/>
    </row>
    <row r="116" spans="1:48" ht="18.75" x14ac:dyDescent="0.3">
      <c r="A116" s="633"/>
      <c r="AV116" s="691"/>
    </row>
    <row r="117" spans="1:48" ht="18.75" x14ac:dyDescent="0.3">
      <c r="A117" s="633"/>
      <c r="AV117" s="691"/>
    </row>
    <row r="118" spans="1:48" ht="18.75" x14ac:dyDescent="0.3">
      <c r="A118" s="633"/>
      <c r="AV118" s="691"/>
    </row>
    <row r="119" spans="1:48" ht="18.75" x14ac:dyDescent="0.3">
      <c r="A119" s="633"/>
      <c r="AV119" s="691"/>
    </row>
    <row r="120" spans="1:48" ht="18.75" x14ac:dyDescent="0.3">
      <c r="A120" s="633"/>
      <c r="AV120" s="691"/>
    </row>
    <row r="121" spans="1:48" ht="18.75" x14ac:dyDescent="0.3">
      <c r="A121" s="633"/>
      <c r="AV121" s="691"/>
    </row>
    <row r="122" spans="1:48" ht="18.75" x14ac:dyDescent="0.3">
      <c r="A122" s="633"/>
      <c r="AV122" s="691"/>
    </row>
    <row r="123" spans="1:48" ht="18.75" x14ac:dyDescent="0.3">
      <c r="A123" s="633"/>
      <c r="AV123" s="691"/>
    </row>
    <row r="124" spans="1:48" ht="18.75" x14ac:dyDescent="0.3">
      <c r="A124" s="633"/>
      <c r="AV124" s="691"/>
    </row>
    <row r="125" spans="1:48" ht="18.75" x14ac:dyDescent="0.3">
      <c r="A125" s="633"/>
      <c r="AV125" s="691"/>
    </row>
    <row r="126" spans="1:48" ht="18.75" x14ac:dyDescent="0.3">
      <c r="A126" s="633"/>
      <c r="AV126" s="691"/>
    </row>
    <row r="127" spans="1:48" ht="18.75" x14ac:dyDescent="0.3">
      <c r="A127" s="633"/>
      <c r="AV127" s="691"/>
    </row>
    <row r="128" spans="1:48" ht="18.75" x14ac:dyDescent="0.3">
      <c r="A128" s="633"/>
      <c r="AV128" s="691"/>
    </row>
    <row r="129" spans="1:48" ht="18.75" x14ac:dyDescent="0.3">
      <c r="A129" s="633"/>
      <c r="AV129" s="691"/>
    </row>
    <row r="130" spans="1:48" ht="18.75" x14ac:dyDescent="0.3">
      <c r="A130" s="633"/>
      <c r="AV130" s="691"/>
    </row>
    <row r="131" spans="1:48" ht="18.75" x14ac:dyDescent="0.3">
      <c r="A131" s="633"/>
      <c r="AV131" s="691"/>
    </row>
    <row r="132" spans="1:48" ht="18.75" x14ac:dyDescent="0.3">
      <c r="A132" s="633"/>
      <c r="AV132" s="691"/>
    </row>
    <row r="133" spans="1:48" ht="18.75" x14ac:dyDescent="0.3">
      <c r="A133" s="633"/>
      <c r="AV133" s="691"/>
    </row>
    <row r="134" spans="1:48" ht="18.75" x14ac:dyDescent="0.3">
      <c r="A134" s="633"/>
      <c r="AV134" s="691"/>
    </row>
    <row r="135" spans="1:48" ht="18.75" x14ac:dyDescent="0.3">
      <c r="A135" s="633"/>
      <c r="AV135" s="691"/>
    </row>
    <row r="136" spans="1:48" ht="18.75" x14ac:dyDescent="0.3">
      <c r="A136" s="633"/>
      <c r="AV136" s="691"/>
    </row>
    <row r="137" spans="1:48" ht="18.75" x14ac:dyDescent="0.3">
      <c r="A137" s="633"/>
      <c r="AV137" s="691"/>
    </row>
    <row r="138" spans="1:48" ht="18.75" x14ac:dyDescent="0.3">
      <c r="A138" s="633"/>
      <c r="AV138" s="691"/>
    </row>
    <row r="139" spans="1:48" ht="18.75" x14ac:dyDescent="0.3">
      <c r="A139" s="633"/>
      <c r="AV139" s="691"/>
    </row>
    <row r="140" spans="1:48" ht="18.75" x14ac:dyDescent="0.3">
      <c r="A140" s="633"/>
      <c r="AV140" s="691"/>
    </row>
    <row r="141" spans="1:48" ht="18.75" x14ac:dyDescent="0.3">
      <c r="A141" s="633"/>
      <c r="AV141" s="691"/>
    </row>
    <row r="142" spans="1:48" ht="18.75" x14ac:dyDescent="0.3">
      <c r="A142" s="633"/>
      <c r="AV142" s="691"/>
    </row>
    <row r="143" spans="1:48" ht="18.75" x14ac:dyDescent="0.3">
      <c r="A143" s="633"/>
    </row>
    <row r="144" spans="1:48" ht="18.75" x14ac:dyDescent="0.3">
      <c r="A144" s="633"/>
    </row>
    <row r="145" spans="1:1" ht="18.75" x14ac:dyDescent="0.3">
      <c r="A145" s="633"/>
    </row>
    <row r="146" spans="1:1" ht="18.75" x14ac:dyDescent="0.3">
      <c r="A146" s="633"/>
    </row>
    <row r="147" spans="1:1" ht="18.75" x14ac:dyDescent="0.3">
      <c r="A147" s="633"/>
    </row>
    <row r="148" spans="1:1" ht="18.75" x14ac:dyDescent="0.3">
      <c r="A148" s="633"/>
    </row>
    <row r="149" spans="1:1" ht="18.75" x14ac:dyDescent="0.3">
      <c r="A149" s="633"/>
    </row>
    <row r="150" spans="1:1" ht="18.75" x14ac:dyDescent="0.3">
      <c r="A150" s="633"/>
    </row>
    <row r="151" spans="1:1" ht="18.75" x14ac:dyDescent="0.3">
      <c r="A151" s="633"/>
    </row>
    <row r="152" spans="1:1" ht="18.75" x14ac:dyDescent="0.3">
      <c r="A152" s="633"/>
    </row>
  </sheetData>
  <mergeCells count="27">
    <mergeCell ref="AO6:AQ6"/>
    <mergeCell ref="AR6:AT6"/>
    <mergeCell ref="B6:D6"/>
    <mergeCell ref="E6:G6"/>
    <mergeCell ref="H6:J6"/>
    <mergeCell ref="K6:M6"/>
    <mergeCell ref="N6:P6"/>
    <mergeCell ref="T6:V6"/>
    <mergeCell ref="Q7:S7"/>
    <mergeCell ref="Z6:AB6"/>
    <mergeCell ref="AF6:AH6"/>
    <mergeCell ref="AI6:AK6"/>
    <mergeCell ref="AL6:AN6"/>
    <mergeCell ref="AL7:AN7"/>
    <mergeCell ref="B7:D7"/>
    <mergeCell ref="E7:G7"/>
    <mergeCell ref="H7:J7"/>
    <mergeCell ref="K7:M7"/>
    <mergeCell ref="N7:P7"/>
    <mergeCell ref="AO7:AQ7"/>
    <mergeCell ref="AR7:AT7"/>
    <mergeCell ref="T7:V7"/>
    <mergeCell ref="W7:Y7"/>
    <mergeCell ref="Z7:AB7"/>
    <mergeCell ref="AC7:AE7"/>
    <mergeCell ref="AF7:AH7"/>
    <mergeCell ref="AI7:AK7"/>
  </mergeCells>
  <hyperlinks>
    <hyperlink ref="B1" location="Innhold!A1" display="Tilbake"/>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13"/>
  <sheetViews>
    <sheetView showGridLines="0" zoomScale="60" zoomScaleNormal="60" workbookViewId="0">
      <pane xSplit="1" ySplit="8" topLeftCell="B9" activePane="bottomRight" state="frozen"/>
      <selection activeCell="A4" sqref="A4"/>
      <selection pane="topRight" activeCell="A4" sqref="A4"/>
      <selection pane="bottomLeft" activeCell="A4" sqref="A4"/>
      <selection pane="bottomRight" activeCell="A4" sqref="A4"/>
    </sheetView>
  </sheetViews>
  <sheetFormatPr baseColWidth="10" defaultColWidth="11.42578125" defaultRowHeight="12.75" x14ac:dyDescent="0.2"/>
  <cols>
    <col min="1" max="1" width="92.140625" style="407" customWidth="1"/>
    <col min="2" max="40" width="11.7109375" style="407" customWidth="1"/>
    <col min="41" max="41" width="15.140625" style="407" bestFit="1" customWidth="1"/>
    <col min="42" max="42" width="13" style="407" bestFit="1" customWidth="1"/>
    <col min="43" max="43" width="11.7109375" style="407" customWidth="1"/>
    <col min="44" max="45" width="13" style="407" bestFit="1" customWidth="1"/>
    <col min="46" max="46" width="11.7109375" style="407" customWidth="1"/>
    <col min="47" max="16384" width="11.42578125" style="407"/>
  </cols>
  <sheetData>
    <row r="1" spans="1:63" ht="20.25" customHeight="1" x14ac:dyDescent="0.3">
      <c r="A1" s="404" t="s">
        <v>206</v>
      </c>
      <c r="B1" s="405" t="s">
        <v>64</v>
      </c>
      <c r="C1" s="406"/>
      <c r="D1" s="406"/>
      <c r="E1" s="406"/>
      <c r="F1" s="406"/>
      <c r="G1" s="406"/>
      <c r="H1" s="406"/>
      <c r="I1" s="406"/>
      <c r="J1" s="406"/>
      <c r="AU1" s="529"/>
    </row>
    <row r="2" spans="1:63" ht="20.100000000000001" customHeight="1" x14ac:dyDescent="0.3">
      <c r="A2" s="404" t="s">
        <v>207</v>
      </c>
      <c r="AU2" s="529"/>
    </row>
    <row r="3" spans="1:63" ht="20.100000000000001" customHeight="1" x14ac:dyDescent="0.3">
      <c r="A3" s="530" t="s">
        <v>208</v>
      </c>
      <c r="B3" s="531"/>
      <c r="C3" s="531"/>
      <c r="D3" s="531"/>
      <c r="E3" s="531"/>
      <c r="F3" s="531"/>
      <c r="G3" s="531"/>
      <c r="H3" s="531"/>
      <c r="I3" s="531"/>
      <c r="J3" s="531"/>
      <c r="AU3" s="532"/>
    </row>
    <row r="4" spans="1:63" ht="18.75" customHeight="1" x14ac:dyDescent="0.25">
      <c r="A4" s="412" t="s">
        <v>403</v>
      </c>
      <c r="B4" s="533"/>
      <c r="C4" s="533"/>
      <c r="D4" s="534"/>
      <c r="E4" s="533"/>
      <c r="F4" s="533"/>
      <c r="G4" s="534"/>
      <c r="H4" s="535"/>
      <c r="I4" s="536"/>
      <c r="J4" s="537"/>
      <c r="K4" s="416"/>
      <c r="L4" s="416"/>
      <c r="M4" s="416"/>
      <c r="N4" s="417"/>
      <c r="O4" s="416"/>
      <c r="P4" s="418"/>
      <c r="Q4" s="417"/>
      <c r="R4" s="416"/>
      <c r="S4" s="418"/>
      <c r="T4" s="417"/>
      <c r="U4" s="416"/>
      <c r="V4" s="418"/>
      <c r="W4" s="417"/>
      <c r="X4" s="416"/>
      <c r="Y4" s="418"/>
      <c r="Z4" s="417"/>
      <c r="AA4" s="416"/>
      <c r="AB4" s="418"/>
      <c r="AC4" s="417"/>
      <c r="AD4" s="416"/>
      <c r="AE4" s="418"/>
      <c r="AF4" s="417"/>
      <c r="AG4" s="416"/>
      <c r="AH4" s="418"/>
      <c r="AI4" s="417"/>
      <c r="AJ4" s="416"/>
      <c r="AK4" s="418"/>
      <c r="AL4" s="417"/>
      <c r="AM4" s="416"/>
      <c r="AN4" s="418"/>
      <c r="AO4" s="417"/>
      <c r="AP4" s="416"/>
      <c r="AQ4" s="418"/>
      <c r="AR4" s="417"/>
      <c r="AS4" s="416"/>
      <c r="AT4" s="418"/>
      <c r="AU4" s="538"/>
      <c r="AV4" s="539"/>
      <c r="AW4" s="539"/>
      <c r="AX4" s="539"/>
      <c r="AY4" s="539"/>
      <c r="AZ4" s="539"/>
      <c r="BA4" s="539"/>
      <c r="BB4" s="539"/>
      <c r="BC4" s="539"/>
      <c r="BD4" s="539"/>
      <c r="BE4" s="539"/>
      <c r="BF4" s="539"/>
      <c r="BG4" s="539"/>
      <c r="BH4" s="539"/>
      <c r="BI4" s="539"/>
      <c r="BJ4" s="539"/>
      <c r="BK4" s="539"/>
    </row>
    <row r="5" spans="1:63" ht="18.75" customHeight="1" x14ac:dyDescent="0.3">
      <c r="A5" s="423" t="s">
        <v>125</v>
      </c>
      <c r="B5" s="845" t="s">
        <v>209</v>
      </c>
      <c r="C5" s="846"/>
      <c r="D5" s="847"/>
      <c r="E5" s="845" t="s">
        <v>210</v>
      </c>
      <c r="F5" s="846"/>
      <c r="G5" s="847"/>
      <c r="H5" s="851" t="s">
        <v>211</v>
      </c>
      <c r="I5" s="852"/>
      <c r="J5" s="853"/>
      <c r="K5" s="845" t="s">
        <v>212</v>
      </c>
      <c r="L5" s="846"/>
      <c r="M5" s="847"/>
      <c r="N5" s="851" t="s">
        <v>213</v>
      </c>
      <c r="O5" s="852"/>
      <c r="P5" s="853"/>
      <c r="Q5" s="424" t="s">
        <v>213</v>
      </c>
      <c r="R5" s="425"/>
      <c r="S5" s="426"/>
      <c r="T5" s="845" t="s">
        <v>76</v>
      </c>
      <c r="U5" s="846"/>
      <c r="V5" s="847"/>
      <c r="W5" s="424"/>
      <c r="X5" s="425"/>
      <c r="Y5" s="426"/>
      <c r="Z5" s="845" t="s">
        <v>214</v>
      </c>
      <c r="AA5" s="846"/>
      <c r="AB5" s="847"/>
      <c r="AC5" s="424"/>
      <c r="AD5" s="425"/>
      <c r="AE5" s="426"/>
      <c r="AF5" s="845" t="s">
        <v>88</v>
      </c>
      <c r="AG5" s="846"/>
      <c r="AH5" s="847"/>
      <c r="AI5" s="845"/>
      <c r="AJ5" s="846"/>
      <c r="AK5" s="847"/>
      <c r="AL5" s="845" t="s">
        <v>89</v>
      </c>
      <c r="AM5" s="846"/>
      <c r="AN5" s="847"/>
      <c r="AO5" s="845" t="s">
        <v>2</v>
      </c>
      <c r="AP5" s="846"/>
      <c r="AQ5" s="847"/>
      <c r="AR5" s="845" t="s">
        <v>2</v>
      </c>
      <c r="AS5" s="846"/>
      <c r="AT5" s="847"/>
      <c r="AU5" s="527"/>
      <c r="AV5" s="540"/>
      <c r="AW5" s="860"/>
      <c r="AX5" s="860"/>
      <c r="AY5" s="860"/>
      <c r="AZ5" s="860"/>
      <c r="BA5" s="860"/>
      <c r="BB5" s="860"/>
      <c r="BC5" s="860"/>
      <c r="BD5" s="860"/>
      <c r="BE5" s="860"/>
      <c r="BF5" s="860"/>
      <c r="BG5" s="860"/>
      <c r="BH5" s="860"/>
      <c r="BI5" s="860"/>
      <c r="BJ5" s="860"/>
      <c r="BK5" s="860"/>
    </row>
    <row r="6" spans="1:63" ht="21" customHeight="1" x14ac:dyDescent="0.3">
      <c r="A6" s="427"/>
      <c r="B6" s="839" t="s">
        <v>215</v>
      </c>
      <c r="C6" s="840"/>
      <c r="D6" s="841"/>
      <c r="E6" s="839" t="s">
        <v>216</v>
      </c>
      <c r="F6" s="840"/>
      <c r="G6" s="841"/>
      <c r="H6" s="848" t="s">
        <v>216</v>
      </c>
      <c r="I6" s="849"/>
      <c r="J6" s="850"/>
      <c r="K6" s="839" t="s">
        <v>217</v>
      </c>
      <c r="L6" s="840"/>
      <c r="M6" s="841"/>
      <c r="N6" s="848" t="s">
        <v>111</v>
      </c>
      <c r="O6" s="849"/>
      <c r="P6" s="850"/>
      <c r="Q6" s="839" t="s">
        <v>76</v>
      </c>
      <c r="R6" s="840"/>
      <c r="S6" s="841"/>
      <c r="T6" s="839" t="s">
        <v>218</v>
      </c>
      <c r="U6" s="840"/>
      <c r="V6" s="841"/>
      <c r="W6" s="839" t="s">
        <v>81</v>
      </c>
      <c r="X6" s="840"/>
      <c r="Y6" s="841"/>
      <c r="Z6" s="839" t="s">
        <v>215</v>
      </c>
      <c r="AA6" s="840"/>
      <c r="AB6" s="841"/>
      <c r="AC6" s="839" t="s">
        <v>87</v>
      </c>
      <c r="AD6" s="840"/>
      <c r="AE6" s="841"/>
      <c r="AF6" s="839" t="s">
        <v>219</v>
      </c>
      <c r="AG6" s="840"/>
      <c r="AH6" s="841"/>
      <c r="AI6" s="839" t="s">
        <v>83</v>
      </c>
      <c r="AJ6" s="840"/>
      <c r="AK6" s="841"/>
      <c r="AL6" s="839" t="s">
        <v>216</v>
      </c>
      <c r="AM6" s="840"/>
      <c r="AN6" s="841"/>
      <c r="AO6" s="839" t="s">
        <v>220</v>
      </c>
      <c r="AP6" s="840"/>
      <c r="AQ6" s="841"/>
      <c r="AR6" s="839" t="s">
        <v>221</v>
      </c>
      <c r="AS6" s="840"/>
      <c r="AT6" s="841"/>
      <c r="AU6" s="527"/>
      <c r="AV6" s="540"/>
      <c r="AW6" s="860"/>
      <c r="AX6" s="860"/>
      <c r="AY6" s="860"/>
      <c r="AZ6" s="860"/>
      <c r="BA6" s="860"/>
      <c r="BB6" s="860"/>
      <c r="BC6" s="860"/>
      <c r="BD6" s="860"/>
      <c r="BE6" s="860"/>
      <c r="BF6" s="860"/>
      <c r="BG6" s="860"/>
      <c r="BH6" s="860"/>
      <c r="BI6" s="860"/>
      <c r="BJ6" s="860"/>
      <c r="BK6" s="860"/>
    </row>
    <row r="7" spans="1:63" ht="18.75" customHeight="1" x14ac:dyDescent="0.3">
      <c r="A7" s="427"/>
      <c r="B7" s="541"/>
      <c r="C7" s="541"/>
      <c r="D7" s="428" t="s">
        <v>100</v>
      </c>
      <c r="E7" s="541"/>
      <c r="F7" s="541"/>
      <c r="G7" s="428" t="s">
        <v>100</v>
      </c>
      <c r="H7" s="541"/>
      <c r="I7" s="541"/>
      <c r="J7" s="428" t="s">
        <v>100</v>
      </c>
      <c r="K7" s="541"/>
      <c r="L7" s="541"/>
      <c r="M7" s="428" t="s">
        <v>100</v>
      </c>
      <c r="N7" s="541"/>
      <c r="O7" s="541"/>
      <c r="P7" s="428" t="s">
        <v>100</v>
      </c>
      <c r="Q7" s="541"/>
      <c r="R7" s="541"/>
      <c r="S7" s="428" t="s">
        <v>100</v>
      </c>
      <c r="T7" s="541"/>
      <c r="U7" s="541"/>
      <c r="V7" s="428" t="s">
        <v>100</v>
      </c>
      <c r="W7" s="541"/>
      <c r="X7" s="541"/>
      <c r="Y7" s="428" t="s">
        <v>100</v>
      </c>
      <c r="Z7" s="541"/>
      <c r="AA7" s="541"/>
      <c r="AB7" s="428" t="s">
        <v>100</v>
      </c>
      <c r="AC7" s="541"/>
      <c r="AD7" s="541"/>
      <c r="AE7" s="428" t="s">
        <v>100</v>
      </c>
      <c r="AF7" s="541"/>
      <c r="AG7" s="541"/>
      <c r="AH7" s="428" t="s">
        <v>100</v>
      </c>
      <c r="AI7" s="541"/>
      <c r="AJ7" s="541"/>
      <c r="AK7" s="428" t="s">
        <v>100</v>
      </c>
      <c r="AL7" s="541"/>
      <c r="AM7" s="541"/>
      <c r="AN7" s="428" t="s">
        <v>100</v>
      </c>
      <c r="AO7" s="541"/>
      <c r="AP7" s="541"/>
      <c r="AQ7" s="428" t="s">
        <v>100</v>
      </c>
      <c r="AR7" s="541"/>
      <c r="AS7" s="541"/>
      <c r="AT7" s="428" t="s">
        <v>100</v>
      </c>
      <c r="AU7" s="527"/>
      <c r="AV7" s="540"/>
      <c r="AW7" s="540"/>
      <c r="AX7" s="540"/>
      <c r="AY7" s="540"/>
      <c r="AZ7" s="540"/>
      <c r="BA7" s="540"/>
      <c r="BB7" s="540"/>
      <c r="BC7" s="540"/>
      <c r="BD7" s="540"/>
      <c r="BE7" s="540"/>
      <c r="BF7" s="540"/>
      <c r="BG7" s="540"/>
      <c r="BH7" s="540"/>
      <c r="BI7" s="540"/>
      <c r="BJ7" s="540"/>
      <c r="BK7" s="540"/>
    </row>
    <row r="8" spans="1:63" ht="18.75" customHeight="1" x14ac:dyDescent="0.25">
      <c r="A8" s="542" t="s">
        <v>222</v>
      </c>
      <c r="B8" s="543">
        <v>2015</v>
      </c>
      <c r="C8" s="543">
        <v>2016</v>
      </c>
      <c r="D8" s="431" t="s">
        <v>102</v>
      </c>
      <c r="E8" s="543">
        <v>2015</v>
      </c>
      <c r="F8" s="543">
        <v>2016</v>
      </c>
      <c r="G8" s="431" t="s">
        <v>102</v>
      </c>
      <c r="H8" s="543">
        <v>2015</v>
      </c>
      <c r="I8" s="543">
        <v>2016</v>
      </c>
      <c r="J8" s="431" t="s">
        <v>102</v>
      </c>
      <c r="K8" s="543">
        <v>2015</v>
      </c>
      <c r="L8" s="543">
        <v>2016</v>
      </c>
      <c r="M8" s="431" t="s">
        <v>102</v>
      </c>
      <c r="N8" s="543">
        <v>2015</v>
      </c>
      <c r="O8" s="543">
        <v>2016</v>
      </c>
      <c r="P8" s="431" t="s">
        <v>102</v>
      </c>
      <c r="Q8" s="543">
        <v>2015</v>
      </c>
      <c r="R8" s="543">
        <v>2016</v>
      </c>
      <c r="S8" s="431" t="s">
        <v>102</v>
      </c>
      <c r="T8" s="543">
        <v>2015</v>
      </c>
      <c r="U8" s="543">
        <v>2016</v>
      </c>
      <c r="V8" s="431" t="s">
        <v>102</v>
      </c>
      <c r="W8" s="543">
        <v>2015</v>
      </c>
      <c r="X8" s="543">
        <v>2016</v>
      </c>
      <c r="Y8" s="431" t="s">
        <v>102</v>
      </c>
      <c r="Z8" s="543">
        <v>2015</v>
      </c>
      <c r="AA8" s="543">
        <v>2016</v>
      </c>
      <c r="AB8" s="431" t="s">
        <v>102</v>
      </c>
      <c r="AC8" s="543">
        <v>2015</v>
      </c>
      <c r="AD8" s="543">
        <v>2016</v>
      </c>
      <c r="AE8" s="431" t="s">
        <v>102</v>
      </c>
      <c r="AF8" s="543">
        <v>2015</v>
      </c>
      <c r="AG8" s="543">
        <v>2016</v>
      </c>
      <c r="AH8" s="431" t="s">
        <v>102</v>
      </c>
      <c r="AI8" s="543">
        <v>2015</v>
      </c>
      <c r="AJ8" s="543">
        <v>2016</v>
      </c>
      <c r="AK8" s="431" t="s">
        <v>102</v>
      </c>
      <c r="AL8" s="543">
        <v>2015</v>
      </c>
      <c r="AM8" s="543">
        <v>2016</v>
      </c>
      <c r="AN8" s="431" t="s">
        <v>102</v>
      </c>
      <c r="AO8" s="543">
        <v>2015</v>
      </c>
      <c r="AP8" s="543">
        <v>2016</v>
      </c>
      <c r="AQ8" s="431" t="s">
        <v>102</v>
      </c>
      <c r="AR8" s="543">
        <v>2015</v>
      </c>
      <c r="AS8" s="543">
        <v>2016</v>
      </c>
      <c r="AT8" s="431" t="s">
        <v>102</v>
      </c>
      <c r="AU8" s="527"/>
      <c r="AV8" s="544"/>
      <c r="AW8" s="545"/>
      <c r="AX8" s="545"/>
      <c r="AY8" s="544"/>
      <c r="AZ8" s="545"/>
      <c r="BA8" s="545"/>
      <c r="BB8" s="544"/>
      <c r="BC8" s="545"/>
      <c r="BD8" s="545"/>
      <c r="BE8" s="544"/>
      <c r="BF8" s="545"/>
      <c r="BG8" s="545"/>
      <c r="BH8" s="544"/>
      <c r="BI8" s="545"/>
      <c r="BJ8" s="545"/>
      <c r="BK8" s="544"/>
    </row>
    <row r="9" spans="1:63" ht="18.75" customHeight="1" x14ac:dyDescent="0.3">
      <c r="A9" s="546"/>
      <c r="B9" s="547"/>
      <c r="C9" s="548"/>
      <c r="D9" s="548"/>
      <c r="E9" s="551"/>
      <c r="F9" s="552"/>
      <c r="G9" s="548"/>
      <c r="H9" s="551"/>
      <c r="I9" s="483"/>
      <c r="J9" s="548"/>
      <c r="K9" s="441"/>
      <c r="L9" s="442"/>
      <c r="M9" s="442"/>
      <c r="N9" s="549"/>
      <c r="O9" s="550"/>
      <c r="P9" s="443"/>
      <c r="Q9" s="441"/>
      <c r="R9" s="442"/>
      <c r="S9" s="443"/>
      <c r="T9" s="441"/>
      <c r="U9" s="442"/>
      <c r="V9" s="443"/>
      <c r="W9" s="441"/>
      <c r="X9" s="442"/>
      <c r="Y9" s="443"/>
      <c r="Z9" s="441"/>
      <c r="AA9" s="442"/>
      <c r="AB9" s="443"/>
      <c r="AC9" s="441"/>
      <c r="AD9" s="442"/>
      <c r="AE9" s="443"/>
      <c r="AF9" s="441"/>
      <c r="AG9" s="442"/>
      <c r="AH9" s="443"/>
      <c r="AI9" s="441"/>
      <c r="AJ9" s="442"/>
      <c r="AK9" s="443"/>
      <c r="AL9" s="441"/>
      <c r="AM9" s="442"/>
      <c r="AN9" s="443"/>
      <c r="AO9" s="442"/>
      <c r="AP9" s="442"/>
      <c r="AQ9" s="443"/>
      <c r="AR9" s="442"/>
      <c r="AS9" s="442"/>
      <c r="AT9" s="443"/>
      <c r="AU9" s="527"/>
      <c r="AV9" s="527"/>
    </row>
    <row r="10" spans="1:63" s="408" customFormat="1" ht="18.75" customHeight="1" x14ac:dyDescent="0.3">
      <c r="A10" s="480" t="s">
        <v>223</v>
      </c>
      <c r="B10" s="551"/>
      <c r="C10" s="483"/>
      <c r="D10" s="483"/>
      <c r="E10" s="551"/>
      <c r="F10" s="552"/>
      <c r="G10" s="483"/>
      <c r="H10" s="551"/>
      <c r="I10" s="483"/>
      <c r="J10" s="483"/>
      <c r="K10" s="441"/>
      <c r="L10" s="442"/>
      <c r="M10" s="442"/>
      <c r="N10" s="549"/>
      <c r="O10" s="550"/>
      <c r="P10" s="443"/>
      <c r="Q10" s="441"/>
      <c r="R10" s="442"/>
      <c r="S10" s="443"/>
      <c r="T10" s="441"/>
      <c r="U10" s="442"/>
      <c r="V10" s="443"/>
      <c r="W10" s="441"/>
      <c r="X10" s="442"/>
      <c r="Y10" s="443"/>
      <c r="Z10" s="441"/>
      <c r="AA10" s="442"/>
      <c r="AB10" s="443"/>
      <c r="AC10" s="441"/>
      <c r="AD10" s="442"/>
      <c r="AE10" s="443"/>
      <c r="AF10" s="441"/>
      <c r="AG10" s="442"/>
      <c r="AH10" s="443"/>
      <c r="AI10" s="441"/>
      <c r="AJ10" s="442"/>
      <c r="AK10" s="443"/>
      <c r="AL10" s="441"/>
      <c r="AM10" s="442"/>
      <c r="AN10" s="443"/>
      <c r="AO10" s="442"/>
      <c r="AP10" s="442"/>
      <c r="AQ10" s="443"/>
      <c r="AR10" s="442"/>
      <c r="AS10" s="442"/>
      <c r="AT10" s="443"/>
      <c r="AU10" s="411"/>
      <c r="AV10" s="411"/>
    </row>
    <row r="11" spans="1:63" s="408" customFormat="1" ht="18.75" customHeight="1" x14ac:dyDescent="0.3">
      <c r="A11" s="553"/>
      <c r="B11" s="551"/>
      <c r="C11" s="483"/>
      <c r="D11" s="483"/>
      <c r="E11" s="551"/>
      <c r="F11" s="552"/>
      <c r="G11" s="483"/>
      <c r="H11" s="551"/>
      <c r="I11" s="483"/>
      <c r="J11" s="483"/>
      <c r="K11" s="441"/>
      <c r="L11" s="442"/>
      <c r="M11" s="442"/>
      <c r="N11" s="549"/>
      <c r="O11" s="550"/>
      <c r="P11" s="443"/>
      <c r="Q11" s="441"/>
      <c r="R11" s="442"/>
      <c r="S11" s="443"/>
      <c r="T11" s="441"/>
      <c r="U11" s="442"/>
      <c r="V11" s="443"/>
      <c r="W11" s="441"/>
      <c r="X11" s="442"/>
      <c r="Y11" s="443"/>
      <c r="Z11" s="441"/>
      <c r="AA11" s="442"/>
      <c r="AB11" s="443"/>
      <c r="AC11" s="441"/>
      <c r="AD11" s="442"/>
      <c r="AE11" s="443"/>
      <c r="AF11" s="441"/>
      <c r="AG11" s="442"/>
      <c r="AH11" s="443"/>
      <c r="AI11" s="441"/>
      <c r="AJ11" s="442"/>
      <c r="AK11" s="443"/>
      <c r="AL11" s="441"/>
      <c r="AM11" s="442"/>
      <c r="AN11" s="443"/>
      <c r="AO11" s="442"/>
      <c r="AP11" s="442"/>
      <c r="AQ11" s="443"/>
      <c r="AR11" s="442"/>
      <c r="AS11" s="442"/>
      <c r="AT11" s="443"/>
      <c r="AU11" s="411"/>
      <c r="AV11" s="411"/>
    </row>
    <row r="12" spans="1:63" s="408" customFormat="1" ht="20.100000000000001" customHeight="1" x14ac:dyDescent="0.3">
      <c r="A12" s="480" t="s">
        <v>224</v>
      </c>
      <c r="B12" s="554"/>
      <c r="C12" s="555"/>
      <c r="D12" s="555"/>
      <c r="E12" s="554"/>
      <c r="F12" s="556"/>
      <c r="G12" s="555"/>
      <c r="H12" s="554"/>
      <c r="I12" s="555"/>
      <c r="J12" s="555"/>
      <c r="K12" s="441"/>
      <c r="L12" s="442"/>
      <c r="M12" s="442"/>
      <c r="N12" s="549"/>
      <c r="O12" s="550"/>
      <c r="P12" s="443"/>
      <c r="Q12" s="441"/>
      <c r="R12" s="442"/>
      <c r="S12" s="443"/>
      <c r="T12" s="441"/>
      <c r="U12" s="442"/>
      <c r="V12" s="443"/>
      <c r="W12" s="441"/>
      <c r="X12" s="442"/>
      <c r="Y12" s="443"/>
      <c r="Z12" s="441"/>
      <c r="AA12" s="442"/>
      <c r="AB12" s="443"/>
      <c r="AC12" s="441"/>
      <c r="AD12" s="442"/>
      <c r="AE12" s="443"/>
      <c r="AF12" s="441"/>
      <c r="AG12" s="442"/>
      <c r="AH12" s="443"/>
      <c r="AI12" s="441"/>
      <c r="AJ12" s="442"/>
      <c r="AK12" s="443"/>
      <c r="AL12" s="441"/>
      <c r="AM12" s="442"/>
      <c r="AN12" s="443"/>
      <c r="AO12" s="442"/>
      <c r="AP12" s="442"/>
      <c r="AQ12" s="443"/>
      <c r="AR12" s="442"/>
      <c r="AS12" s="442"/>
      <c r="AT12" s="443"/>
      <c r="AU12" s="411"/>
      <c r="AV12" s="411"/>
    </row>
    <row r="13" spans="1:63" s="473" customFormat="1" ht="20.100000000000001" customHeight="1" x14ac:dyDescent="0.3">
      <c r="A13" s="480" t="s">
        <v>225</v>
      </c>
      <c r="B13" s="557"/>
      <c r="C13" s="558"/>
      <c r="D13" s="558"/>
      <c r="E13" s="557"/>
      <c r="F13" s="559"/>
      <c r="G13" s="558"/>
      <c r="H13" s="557"/>
      <c r="I13" s="558"/>
      <c r="J13" s="558"/>
      <c r="K13" s="560"/>
      <c r="L13" s="561"/>
      <c r="M13" s="561"/>
      <c r="N13" s="562"/>
      <c r="O13" s="563"/>
      <c r="P13" s="451"/>
      <c r="Q13" s="560"/>
      <c r="R13" s="561"/>
      <c r="S13" s="451"/>
      <c r="T13" s="560"/>
      <c r="U13" s="561"/>
      <c r="V13" s="451"/>
      <c r="W13" s="560"/>
      <c r="X13" s="561"/>
      <c r="Y13" s="451"/>
      <c r="Z13" s="560"/>
      <c r="AA13" s="561"/>
      <c r="AB13" s="451"/>
      <c r="AC13" s="560"/>
      <c r="AD13" s="561"/>
      <c r="AE13" s="451"/>
      <c r="AF13" s="560"/>
      <c r="AG13" s="561"/>
      <c r="AH13" s="451"/>
      <c r="AI13" s="560"/>
      <c r="AJ13" s="561"/>
      <c r="AK13" s="451"/>
      <c r="AL13" s="560"/>
      <c r="AM13" s="561"/>
      <c r="AN13" s="451"/>
      <c r="AO13" s="561"/>
      <c r="AP13" s="561"/>
      <c r="AQ13" s="451"/>
      <c r="AR13" s="561"/>
      <c r="AS13" s="561"/>
      <c r="AT13" s="451"/>
      <c r="AU13" s="564"/>
      <c r="AV13" s="564"/>
    </row>
    <row r="14" spans="1:63" s="473" customFormat="1" ht="20.100000000000001" customHeight="1" x14ac:dyDescent="0.3">
      <c r="A14" s="440" t="s">
        <v>226</v>
      </c>
      <c r="B14" s="470"/>
      <c r="C14" s="451"/>
      <c r="D14" s="451"/>
      <c r="E14" s="470"/>
      <c r="F14" s="472"/>
      <c r="G14" s="451"/>
      <c r="H14" s="470"/>
      <c r="I14" s="451"/>
      <c r="J14" s="451"/>
      <c r="K14" s="560"/>
      <c r="L14" s="561"/>
      <c r="M14" s="561"/>
      <c r="N14" s="562"/>
      <c r="O14" s="563"/>
      <c r="P14" s="451"/>
      <c r="Q14" s="560">
        <v>893.24788575000002</v>
      </c>
      <c r="R14" s="561">
        <v>1002.73402075</v>
      </c>
      <c r="S14" s="451">
        <f t="shared" ref="S14:S28" si="0">IF(Q14=0, "    ---- ", IF(ABS(ROUND(100/Q14*R14-100,1))&lt;999,ROUND(100/Q14*R14-100,1),IF(ROUND(100/Q14*R14-100,1)&gt;999,999,-999)))</f>
        <v>12.3</v>
      </c>
      <c r="T14" s="560"/>
      <c r="U14" s="561"/>
      <c r="V14" s="451"/>
      <c r="W14" s="560"/>
      <c r="X14" s="561"/>
      <c r="Y14" s="451"/>
      <c r="Z14" s="560"/>
      <c r="AA14" s="561"/>
      <c r="AB14" s="451"/>
      <c r="AC14" s="560"/>
      <c r="AD14" s="561"/>
      <c r="AE14" s="451"/>
      <c r="AF14" s="560"/>
      <c r="AG14" s="561"/>
      <c r="AH14" s="451"/>
      <c r="AI14" s="560">
        <v>0.218</v>
      </c>
      <c r="AJ14" s="561">
        <v>1.581</v>
      </c>
      <c r="AK14" s="451">
        <f t="shared" ref="AK14:AK28" si="1">IF(AI14=0, "    ---- ", IF(ABS(ROUND(100/AI14*AJ14-100,1))&lt;999,ROUND(100/AI14*AJ14-100,1),IF(ROUND(100/AI14*AJ14-100,1)&gt;999,999,-999)))</f>
        <v>625.20000000000005</v>
      </c>
      <c r="AL14" s="560"/>
      <c r="AM14" s="561"/>
      <c r="AN14" s="451"/>
      <c r="AO14" s="561">
        <f>B14+E14+H14+K14+Q14+T14+W14+Z14+AF14+AI14+AL14</f>
        <v>893.46588574999998</v>
      </c>
      <c r="AP14" s="561">
        <f t="shared" ref="AO14:AP29" si="2">C14+F14+I14+L14+R14+U14+X14+AA14+AG14+AJ14+AM14</f>
        <v>1004.31502075</v>
      </c>
      <c r="AQ14" s="451">
        <f t="shared" ref="AQ14:AQ28" si="3">IF(AO14=0, "    ---- ", IF(ABS(ROUND(100/AO14*AP14-100,1))&lt;999,ROUND(100/AO14*AP14-100,1),IF(ROUND(100/AO14*AP14-100,1)&gt;999,999,-999)))</f>
        <v>12.4</v>
      </c>
      <c r="AR14" s="561">
        <f t="shared" ref="AR14:AS29" si="4">B14+E14+H14+K14+N14+Q14+T14+W14+Z14+AC14+AF14+AI14+AL14</f>
        <v>893.46588574999998</v>
      </c>
      <c r="AS14" s="561">
        <f t="shared" si="4"/>
        <v>1004.31502075</v>
      </c>
      <c r="AT14" s="451">
        <f t="shared" ref="AT14:AT29" si="5">IF(AR14=0, "    ---- ", IF(ABS(ROUND(100/AR14*AS14-100,1))&lt;999,ROUND(100/AR14*AS14-100,1),IF(ROUND(100/AR14*AS14-100,1)&gt;999,999,-999)))</f>
        <v>12.4</v>
      </c>
      <c r="AU14" s="564"/>
      <c r="AV14" s="564"/>
    </row>
    <row r="15" spans="1:63" s="473" customFormat="1" ht="20.100000000000001" customHeight="1" x14ac:dyDescent="0.3">
      <c r="A15" s="440" t="s">
        <v>227</v>
      </c>
      <c r="B15" s="470"/>
      <c r="C15" s="451"/>
      <c r="D15" s="451"/>
      <c r="E15" s="470">
        <v>114</v>
      </c>
      <c r="F15" s="472">
        <v>52.564</v>
      </c>
      <c r="G15" s="451">
        <f t="shared" ref="G15:G28" si="6">IF(E15=0, "    ---- ", IF(ABS(ROUND(100/E15*F15-100,1))&lt;999,ROUND(100/E15*F15-100,1),IF(ROUND(100/E15*F15-100,1)&gt;999,999,-999)))</f>
        <v>-53.9</v>
      </c>
      <c r="H15" s="470"/>
      <c r="I15" s="451"/>
      <c r="J15" s="451"/>
      <c r="K15" s="560"/>
      <c r="L15" s="561"/>
      <c r="M15" s="561"/>
      <c r="N15" s="562"/>
      <c r="O15" s="563"/>
      <c r="P15" s="451"/>
      <c r="Q15" s="560">
        <v>5411</v>
      </c>
      <c r="R15" s="561">
        <v>5904.3542231199999</v>
      </c>
      <c r="S15" s="451">
        <f t="shared" si="0"/>
        <v>9.1</v>
      </c>
      <c r="T15" s="560"/>
      <c r="U15" s="561"/>
      <c r="V15" s="451"/>
      <c r="W15" s="560">
        <v>2.1</v>
      </c>
      <c r="X15" s="561">
        <v>0</v>
      </c>
      <c r="Y15" s="451">
        <f t="shared" ref="Y15" si="7">IF(W15=0, "    ---- ", IF(ABS(ROUND(100/W15*X15-100,1))&lt;999,ROUND(100/W15*X15-100,1),IF(ROUND(100/W15*X15-100,1)&gt;999,999,-999)))</f>
        <v>-100</v>
      </c>
      <c r="Z15" s="560">
        <v>833</v>
      </c>
      <c r="AA15" s="561">
        <v>974</v>
      </c>
      <c r="AB15" s="451">
        <f t="shared" ref="AB15:AB28" si="8">IF(Z15=0, "    ---- ", IF(ABS(ROUND(100/Z15*AA15-100,1))&lt;999,ROUND(100/Z15*AA15-100,1),IF(ROUND(100/Z15*AA15-100,1)&gt;999,999,-999)))</f>
        <v>16.899999999999999</v>
      </c>
      <c r="AC15" s="560"/>
      <c r="AD15" s="561"/>
      <c r="AE15" s="451"/>
      <c r="AF15" s="560"/>
      <c r="AG15" s="561"/>
      <c r="AH15" s="451"/>
      <c r="AI15" s="560">
        <v>750.41099999999994</v>
      </c>
      <c r="AJ15" s="561">
        <v>830.89300000000003</v>
      </c>
      <c r="AK15" s="451">
        <f t="shared" si="1"/>
        <v>10.7</v>
      </c>
      <c r="AL15" s="560">
        <v>16232.2</v>
      </c>
      <c r="AM15" s="561">
        <v>13433.8</v>
      </c>
      <c r="AN15" s="451">
        <f t="shared" ref="AN15:AN28" si="9">IF(AL15=0, "    ---- ", IF(ABS(ROUND(100/AL15*AM15-100,1))&lt;999,ROUND(100/AL15*AM15-100,1),IF(ROUND(100/AL15*AM15-100,1)&gt;999,999,-999)))</f>
        <v>-17.2</v>
      </c>
      <c r="AO15" s="561">
        <f t="shared" si="2"/>
        <v>23342.711000000003</v>
      </c>
      <c r="AP15" s="561">
        <f t="shared" si="2"/>
        <v>21195.611223119999</v>
      </c>
      <c r="AQ15" s="451">
        <f t="shared" si="3"/>
        <v>-9.1999999999999993</v>
      </c>
      <c r="AR15" s="561">
        <f t="shared" si="4"/>
        <v>23342.711000000003</v>
      </c>
      <c r="AS15" s="561">
        <f t="shared" si="4"/>
        <v>21195.611223119999</v>
      </c>
      <c r="AT15" s="451">
        <f t="shared" si="5"/>
        <v>-9.1999999999999993</v>
      </c>
      <c r="AU15" s="564"/>
      <c r="AV15" s="564"/>
    </row>
    <row r="16" spans="1:63" s="473" customFormat="1" ht="20.100000000000001" customHeight="1" x14ac:dyDescent="0.3">
      <c r="A16" s="440" t="s">
        <v>228</v>
      </c>
      <c r="B16" s="470"/>
      <c r="C16" s="451"/>
      <c r="D16" s="451"/>
      <c r="E16" s="470">
        <v>4264</v>
      </c>
      <c r="F16" s="472">
        <v>4976.8469999999998</v>
      </c>
      <c r="G16" s="451">
        <f t="shared" si="6"/>
        <v>16.7</v>
      </c>
      <c r="H16" s="470">
        <v>21.568999999999999</v>
      </c>
      <c r="I16" s="451">
        <v>29.327999999999999</v>
      </c>
      <c r="J16" s="451">
        <f t="shared" ref="J16" si="10">IF(H16=0, "    ---- ", IF(ABS(ROUND(100/H16*I16-100,1))&lt;999,ROUND(100/H16*I16-100,1),IF(ROUND(100/H16*I16-100,1)&gt;999,999,-999)))</f>
        <v>36</v>
      </c>
      <c r="K16" s="560"/>
      <c r="L16" s="561"/>
      <c r="M16" s="561"/>
      <c r="N16" s="562"/>
      <c r="O16" s="563"/>
      <c r="P16" s="451"/>
      <c r="Q16" s="561">
        <v>16304.367695699999</v>
      </c>
      <c r="R16" s="561">
        <v>13808.26976988</v>
      </c>
      <c r="S16" s="451">
        <f t="shared" si="0"/>
        <v>-15.3</v>
      </c>
      <c r="T16" s="560"/>
      <c r="U16" s="561">
        <v>158.6</v>
      </c>
      <c r="V16" s="443" t="str">
        <f>IF(T16=0, "    ---- ", IF(ABS(ROUND(100/T16*U16-100,1))&lt;999,ROUND(100/T16*U16-100,1),IF(ROUND(100/T16*U16-100,1)&gt;999,999,-999)))</f>
        <v xml:space="preserve">    ---- </v>
      </c>
      <c r="W16" s="560"/>
      <c r="X16" s="561"/>
      <c r="Y16" s="451"/>
      <c r="Z16" s="560">
        <v>3869</v>
      </c>
      <c r="AA16" s="561">
        <v>4158</v>
      </c>
      <c r="AB16" s="451">
        <f t="shared" si="8"/>
        <v>7.5</v>
      </c>
      <c r="AC16" s="560"/>
      <c r="AD16" s="561"/>
      <c r="AE16" s="451"/>
      <c r="AF16" s="560"/>
      <c r="AG16" s="561"/>
      <c r="AH16" s="451"/>
      <c r="AI16" s="560">
        <v>871.22199999999998</v>
      </c>
      <c r="AJ16" s="561">
        <v>984.54899999999998</v>
      </c>
      <c r="AK16" s="451">
        <f t="shared" si="1"/>
        <v>13</v>
      </c>
      <c r="AL16" s="560">
        <v>2675.2</v>
      </c>
      <c r="AM16" s="561">
        <v>3011.6000000000004</v>
      </c>
      <c r="AN16" s="451">
        <f t="shared" si="9"/>
        <v>12.6</v>
      </c>
      <c r="AO16" s="561">
        <f t="shared" si="2"/>
        <v>28005.358695700001</v>
      </c>
      <c r="AP16" s="561">
        <f t="shared" si="2"/>
        <v>27127.193769879996</v>
      </c>
      <c r="AQ16" s="451">
        <f t="shared" si="3"/>
        <v>-3.1</v>
      </c>
      <c r="AR16" s="561">
        <f t="shared" si="4"/>
        <v>28005.358695700001</v>
      </c>
      <c r="AS16" s="561">
        <f t="shared" si="4"/>
        <v>27127.193769879996</v>
      </c>
      <c r="AT16" s="451">
        <f t="shared" si="5"/>
        <v>-3.1</v>
      </c>
      <c r="AU16" s="564"/>
      <c r="AV16" s="564"/>
    </row>
    <row r="17" spans="1:49" s="473" customFormat="1" ht="20.100000000000001" customHeight="1" x14ac:dyDescent="0.3">
      <c r="A17" s="440" t="s">
        <v>229</v>
      </c>
      <c r="B17" s="470"/>
      <c r="C17" s="451"/>
      <c r="D17" s="451"/>
      <c r="E17" s="470">
        <v>3106</v>
      </c>
      <c r="F17" s="472">
        <v>3120.069</v>
      </c>
      <c r="G17" s="451">
        <f t="shared" si="6"/>
        <v>0.5</v>
      </c>
      <c r="H17" s="470"/>
      <c r="I17" s="451"/>
      <c r="J17" s="451"/>
      <c r="K17" s="560"/>
      <c r="L17" s="561"/>
      <c r="M17" s="561"/>
      <c r="N17" s="562"/>
      <c r="O17" s="563"/>
      <c r="P17" s="451"/>
      <c r="Q17" s="560">
        <v>10013.094342549999</v>
      </c>
      <c r="R17" s="561">
        <v>6459.7292929300002</v>
      </c>
      <c r="S17" s="451">
        <f t="shared" si="0"/>
        <v>-35.5</v>
      </c>
      <c r="T17" s="560"/>
      <c r="U17" s="561"/>
      <c r="V17" s="451"/>
      <c r="W17" s="560"/>
      <c r="X17" s="561"/>
      <c r="Y17" s="451"/>
      <c r="Z17" s="560">
        <v>408</v>
      </c>
      <c r="AA17" s="561">
        <v>404</v>
      </c>
      <c r="AB17" s="451">
        <f t="shared" si="8"/>
        <v>-1</v>
      </c>
      <c r="AC17" s="560"/>
      <c r="AD17" s="561"/>
      <c r="AE17" s="451"/>
      <c r="AF17" s="560"/>
      <c r="AG17" s="561"/>
      <c r="AH17" s="451"/>
      <c r="AI17" s="560">
        <v>227.76300000000001</v>
      </c>
      <c r="AJ17" s="561">
        <v>178.91399999999999</v>
      </c>
      <c r="AK17" s="451">
        <f t="shared" si="1"/>
        <v>-21.4</v>
      </c>
      <c r="AL17" s="560"/>
      <c r="AM17" s="561"/>
      <c r="AN17" s="451"/>
      <c r="AO17" s="561">
        <f t="shared" si="2"/>
        <v>13754.85734255</v>
      </c>
      <c r="AP17" s="561">
        <f t="shared" si="2"/>
        <v>10162.71229293</v>
      </c>
      <c r="AQ17" s="451">
        <f t="shared" si="3"/>
        <v>-26.1</v>
      </c>
      <c r="AR17" s="561">
        <f t="shared" si="4"/>
        <v>13754.85734255</v>
      </c>
      <c r="AS17" s="561">
        <f t="shared" si="4"/>
        <v>10162.71229293</v>
      </c>
      <c r="AT17" s="451">
        <f t="shared" si="5"/>
        <v>-26.1</v>
      </c>
      <c r="AU17" s="564"/>
      <c r="AV17" s="564"/>
    </row>
    <row r="18" spans="1:49" s="473" customFormat="1" ht="20.100000000000001" customHeight="1" x14ac:dyDescent="0.3">
      <c r="A18" s="440" t="s">
        <v>230</v>
      </c>
      <c r="B18" s="470"/>
      <c r="C18" s="451"/>
      <c r="D18" s="451"/>
      <c r="E18" s="470">
        <v>3106</v>
      </c>
      <c r="F18" s="472">
        <v>3120.069</v>
      </c>
      <c r="G18" s="451">
        <f t="shared" si="6"/>
        <v>0.5</v>
      </c>
      <c r="H18" s="470">
        <v>21.568999999999999</v>
      </c>
      <c r="I18" s="451">
        <v>29.327999999999999</v>
      </c>
      <c r="J18" s="451">
        <f t="shared" ref="J18" si="11">IF(H18=0, "    ---- ", IF(ABS(ROUND(100/H18*I18-100,1))&lt;999,ROUND(100/H18*I18-100,1),IF(ROUND(100/H18*I18-100,1)&gt;999,999,-999)))</f>
        <v>36</v>
      </c>
      <c r="K18" s="560"/>
      <c r="L18" s="561"/>
      <c r="M18" s="561"/>
      <c r="N18" s="562"/>
      <c r="O18" s="563"/>
      <c r="P18" s="451"/>
      <c r="Q18" s="560">
        <v>10013.094342549999</v>
      </c>
      <c r="R18" s="561">
        <v>6459.7292929300002</v>
      </c>
      <c r="S18" s="451">
        <f t="shared" si="0"/>
        <v>-35.5</v>
      </c>
      <c r="T18" s="560"/>
      <c r="U18" s="561"/>
      <c r="V18" s="451"/>
      <c r="W18" s="560"/>
      <c r="X18" s="561"/>
      <c r="Y18" s="451"/>
      <c r="Z18" s="560"/>
      <c r="AA18" s="561"/>
      <c r="AB18" s="451"/>
      <c r="AC18" s="560"/>
      <c r="AD18" s="561"/>
      <c r="AE18" s="451"/>
      <c r="AF18" s="560"/>
      <c r="AG18" s="561"/>
      <c r="AH18" s="451"/>
      <c r="AI18" s="560">
        <v>46.455785870000021</v>
      </c>
      <c r="AJ18" s="561">
        <v>27.966272480000015</v>
      </c>
      <c r="AK18" s="451">
        <f t="shared" si="1"/>
        <v>-39.799999999999997</v>
      </c>
      <c r="AL18" s="560"/>
      <c r="AM18" s="561"/>
      <c r="AN18" s="451"/>
      <c r="AO18" s="561">
        <f t="shared" si="2"/>
        <v>13187.119128419999</v>
      </c>
      <c r="AP18" s="561">
        <f t="shared" si="2"/>
        <v>9637.0925654099992</v>
      </c>
      <c r="AQ18" s="451">
        <f t="shared" si="3"/>
        <v>-26.9</v>
      </c>
      <c r="AR18" s="561">
        <f t="shared" si="4"/>
        <v>13187.119128419999</v>
      </c>
      <c r="AS18" s="561">
        <f t="shared" si="4"/>
        <v>9637.0925654099992</v>
      </c>
      <c r="AT18" s="451">
        <f t="shared" si="5"/>
        <v>-26.9</v>
      </c>
      <c r="AU18" s="564"/>
      <c r="AV18" s="564"/>
    </row>
    <row r="19" spans="1:49" s="473" customFormat="1" ht="20.100000000000001" customHeight="1" x14ac:dyDescent="0.3">
      <c r="A19" s="440" t="s">
        <v>231</v>
      </c>
      <c r="B19" s="470"/>
      <c r="C19" s="451"/>
      <c r="D19" s="451"/>
      <c r="E19" s="470">
        <v>1158</v>
      </c>
      <c r="F19" s="472">
        <v>1856.778</v>
      </c>
      <c r="G19" s="451">
        <f t="shared" si="6"/>
        <v>60.3</v>
      </c>
      <c r="H19" s="470"/>
      <c r="I19" s="451"/>
      <c r="J19" s="451"/>
      <c r="K19" s="560"/>
      <c r="L19" s="561"/>
      <c r="M19" s="561"/>
      <c r="N19" s="562"/>
      <c r="O19" s="563"/>
      <c r="P19" s="451"/>
      <c r="Q19" s="560">
        <v>6291.2733531499998</v>
      </c>
      <c r="R19" s="561">
        <v>7348.5404769500001</v>
      </c>
      <c r="S19" s="451">
        <f t="shared" si="0"/>
        <v>16.8</v>
      </c>
      <c r="T19" s="560"/>
      <c r="U19" s="561">
        <v>158.6</v>
      </c>
      <c r="V19" s="443" t="str">
        <f>IF(T19=0, "    ---- ", IF(ABS(ROUND(100/T19*U19-100,1))&lt;999,ROUND(100/T19*U19-100,1),IF(ROUND(100/T19*U19-100,1)&gt;999,999,-999)))</f>
        <v xml:space="preserve">    ---- </v>
      </c>
      <c r="W19" s="560"/>
      <c r="X19" s="561"/>
      <c r="Y19" s="451"/>
      <c r="Z19" s="560">
        <v>3461</v>
      </c>
      <c r="AA19" s="561">
        <v>3754</v>
      </c>
      <c r="AB19" s="451">
        <f t="shared" si="8"/>
        <v>8.5</v>
      </c>
      <c r="AC19" s="560"/>
      <c r="AD19" s="561"/>
      <c r="AE19" s="451"/>
      <c r="AF19" s="560"/>
      <c r="AG19" s="561"/>
      <c r="AH19" s="451"/>
      <c r="AI19" s="560">
        <v>643.45899999999995</v>
      </c>
      <c r="AJ19" s="561">
        <v>805.63499999999999</v>
      </c>
      <c r="AK19" s="451">
        <f t="shared" si="1"/>
        <v>25.2</v>
      </c>
      <c r="AL19" s="560">
        <v>2675.2</v>
      </c>
      <c r="AM19" s="561">
        <v>3011.6000000000004</v>
      </c>
      <c r="AN19" s="451">
        <f t="shared" si="9"/>
        <v>12.6</v>
      </c>
      <c r="AO19" s="561">
        <f t="shared" si="2"/>
        <v>14228.932353150001</v>
      </c>
      <c r="AP19" s="561">
        <f t="shared" si="2"/>
        <v>16935.153476949999</v>
      </c>
      <c r="AQ19" s="451">
        <f t="shared" si="3"/>
        <v>19</v>
      </c>
      <c r="AR19" s="561">
        <f t="shared" si="4"/>
        <v>14228.932353150001</v>
      </c>
      <c r="AS19" s="561">
        <f t="shared" si="4"/>
        <v>16935.153476949999</v>
      </c>
      <c r="AT19" s="451">
        <f t="shared" si="5"/>
        <v>19</v>
      </c>
      <c r="AU19" s="564"/>
      <c r="AV19" s="564"/>
    </row>
    <row r="20" spans="1:49" s="473" customFormat="1" ht="20.100000000000001" customHeight="1" x14ac:dyDescent="0.3">
      <c r="A20" s="440" t="s">
        <v>232</v>
      </c>
      <c r="B20" s="470">
        <v>152.76599999999999</v>
      </c>
      <c r="C20" s="451">
        <v>158.20600000000002</v>
      </c>
      <c r="D20" s="451">
        <f>IF(B20=0, "    ---- ", IF(ABS(ROUND(100/B20*C20-100,1))&lt;999,ROUND(100/B20*C20-100,1),IF(ROUND(100/B20*C20-100,1)&gt;999,999,-999)))</f>
        <v>3.6</v>
      </c>
      <c r="E20" s="470">
        <v>22695</v>
      </c>
      <c r="F20" s="472">
        <v>24263.949999999997</v>
      </c>
      <c r="G20" s="451">
        <f t="shared" si="6"/>
        <v>6.9</v>
      </c>
      <c r="H20" s="470">
        <v>116.48599999999999</v>
      </c>
      <c r="I20" s="451">
        <v>203.03200000000001</v>
      </c>
      <c r="J20" s="451">
        <f t="shared" ref="J20:J28" si="12">IF(H20=0, "    ---- ", IF(ABS(ROUND(100/H20*I20-100,1))&lt;999,ROUND(100/H20*I20-100,1),IF(ROUND(100/H20*I20-100,1)&gt;999,999,-999)))</f>
        <v>74.3</v>
      </c>
      <c r="K20" s="560">
        <v>386.04500000000002</v>
      </c>
      <c r="L20" s="561">
        <v>698.5</v>
      </c>
      <c r="M20" s="561">
        <f t="shared" ref="M20:M28" si="13">IF(K20=0, "    ---- ", IF(ABS(ROUND(100/K20*L20-100,1))&lt;999,ROUND(100/K20*L20-100,1),IF(ROUND(100/K20*L20-100,1)&gt;999,999,-999)))</f>
        <v>80.900000000000006</v>
      </c>
      <c r="N20" s="562"/>
      <c r="O20" s="563"/>
      <c r="P20" s="451"/>
      <c r="Q20" s="561">
        <v>9458.4536927400004</v>
      </c>
      <c r="R20" s="561">
        <v>11051.681975349999</v>
      </c>
      <c r="S20" s="451">
        <f t="shared" si="0"/>
        <v>16.8</v>
      </c>
      <c r="T20" s="560">
        <v>301.89999999999998</v>
      </c>
      <c r="U20" s="561">
        <v>148</v>
      </c>
      <c r="V20" s="451">
        <f t="shared" ref="V20:V28" si="14">IF(T20=0, "    ---- ", IF(ABS(ROUND(100/T20*U20-100,1))&lt;999,ROUND(100/T20*U20-100,1),IF(ROUND(100/T20*U20-100,1)&gt;999,999,-999)))</f>
        <v>-51</v>
      </c>
      <c r="W20" s="560">
        <v>7432.3</v>
      </c>
      <c r="X20" s="561">
        <v>8480.8799999999992</v>
      </c>
      <c r="Y20" s="451">
        <f t="shared" ref="Y20:Y28" si="15">IF(W20=0, "    ---- ", IF(ABS(ROUND(100/W20*X20-100,1))&lt;999,ROUND(100/W20*X20-100,1),IF(ROUND(100/W20*X20-100,1)&gt;999,999,-999)))</f>
        <v>14.1</v>
      </c>
      <c r="Z20" s="560">
        <v>1933</v>
      </c>
      <c r="AA20" s="561">
        <v>2870</v>
      </c>
      <c r="AB20" s="451">
        <f t="shared" si="8"/>
        <v>48.5</v>
      </c>
      <c r="AC20" s="560"/>
      <c r="AD20" s="561"/>
      <c r="AE20" s="451"/>
      <c r="AF20" s="560">
        <v>425.13424856</v>
      </c>
      <c r="AG20" s="561"/>
      <c r="AH20" s="451">
        <f t="shared" ref="AH20:AH28" si="16">IF(AF20=0, "    ---- ", IF(ABS(ROUND(100/AF20*AG20-100,1))&lt;999,ROUND(100/AF20*AG20-100,1),IF(ROUND(100/AF20*AG20-100,1)&gt;999,999,-999)))</f>
        <v>-100</v>
      </c>
      <c r="AI20" s="560">
        <v>2663.1849999999999</v>
      </c>
      <c r="AJ20" s="561">
        <v>4004.9769999999999</v>
      </c>
      <c r="AK20" s="451">
        <f t="shared" si="1"/>
        <v>50.4</v>
      </c>
      <c r="AL20" s="560">
        <v>11360.2</v>
      </c>
      <c r="AM20" s="561">
        <v>14543.6</v>
      </c>
      <c r="AN20" s="451">
        <f t="shared" si="9"/>
        <v>28</v>
      </c>
      <c r="AO20" s="561">
        <f t="shared" si="2"/>
        <v>56924.469941300005</v>
      </c>
      <c r="AP20" s="561">
        <f t="shared" si="2"/>
        <v>66422.826975349992</v>
      </c>
      <c r="AQ20" s="451">
        <f t="shared" si="3"/>
        <v>16.7</v>
      </c>
      <c r="AR20" s="561">
        <f t="shared" si="4"/>
        <v>56924.469941300005</v>
      </c>
      <c r="AS20" s="561">
        <f t="shared" si="4"/>
        <v>66422.826975349992</v>
      </c>
      <c r="AT20" s="451">
        <f t="shared" si="5"/>
        <v>16.7</v>
      </c>
      <c r="AU20" s="564"/>
      <c r="AV20" s="564"/>
    </row>
    <row r="21" spans="1:49" s="473" customFormat="1" ht="20.100000000000001" customHeight="1" x14ac:dyDescent="0.3">
      <c r="A21" s="440" t="s">
        <v>233</v>
      </c>
      <c r="B21" s="470">
        <v>2.4980000000000002</v>
      </c>
      <c r="C21" s="451">
        <v>2.6320000000000001</v>
      </c>
      <c r="D21" s="451">
        <f>IF(B21=0, "    ---- ", IF(ABS(ROUND(100/B21*C21-100,1))&lt;999,ROUND(100/B21*C21-100,1),IF(ROUND(100/B21*C21-100,1)&gt;999,999,-999)))</f>
        <v>5.4</v>
      </c>
      <c r="E21" s="470">
        <v>951</v>
      </c>
      <c r="F21" s="472">
        <v>1005.317</v>
      </c>
      <c r="G21" s="451">
        <f t="shared" si="6"/>
        <v>5.7</v>
      </c>
      <c r="H21" s="470">
        <v>14.29</v>
      </c>
      <c r="I21" s="451">
        <v>25.468</v>
      </c>
      <c r="J21" s="451">
        <f t="shared" si="12"/>
        <v>78.2</v>
      </c>
      <c r="K21" s="560">
        <v>11.853999999999999</v>
      </c>
      <c r="L21" s="561">
        <v>13</v>
      </c>
      <c r="M21" s="561">
        <f t="shared" si="13"/>
        <v>9.6999999999999993</v>
      </c>
      <c r="N21" s="562"/>
      <c r="O21" s="563"/>
      <c r="P21" s="451"/>
      <c r="Q21" s="560">
        <v>414.5172</v>
      </c>
      <c r="R21" s="561">
        <v>433.78537499999999</v>
      </c>
      <c r="S21" s="451">
        <f t="shared" si="0"/>
        <v>4.5999999999999996</v>
      </c>
      <c r="T21" s="560">
        <v>15</v>
      </c>
      <c r="U21" s="561">
        <v>11.6</v>
      </c>
      <c r="V21" s="451">
        <f t="shared" si="14"/>
        <v>-22.7</v>
      </c>
      <c r="W21" s="560">
        <v>10</v>
      </c>
      <c r="X21" s="561">
        <v>6.31</v>
      </c>
      <c r="Y21" s="451">
        <f t="shared" si="15"/>
        <v>-36.9</v>
      </c>
      <c r="Z21" s="560">
        <v>469</v>
      </c>
      <c r="AA21" s="561">
        <v>1149</v>
      </c>
      <c r="AB21" s="451"/>
      <c r="AC21" s="560"/>
      <c r="AD21" s="561"/>
      <c r="AE21" s="451"/>
      <c r="AF21" s="560">
        <v>133.35124453</v>
      </c>
      <c r="AG21" s="561"/>
      <c r="AH21" s="451">
        <f t="shared" si="16"/>
        <v>-100</v>
      </c>
      <c r="AI21" s="560">
        <v>1.3149999999999999</v>
      </c>
      <c r="AJ21" s="561">
        <v>1.278</v>
      </c>
      <c r="AK21" s="451">
        <f t="shared" si="1"/>
        <v>-2.8</v>
      </c>
      <c r="AL21" s="560">
        <v>63.7</v>
      </c>
      <c r="AM21" s="561">
        <v>82.5</v>
      </c>
      <c r="AN21" s="451">
        <f t="shared" si="9"/>
        <v>29.5</v>
      </c>
      <c r="AO21" s="561">
        <f t="shared" si="2"/>
        <v>2086.5254445300002</v>
      </c>
      <c r="AP21" s="561">
        <f t="shared" si="2"/>
        <v>2730.8903749999995</v>
      </c>
      <c r="AQ21" s="451">
        <f t="shared" si="3"/>
        <v>30.9</v>
      </c>
      <c r="AR21" s="561">
        <f t="shared" si="4"/>
        <v>2086.5254445300002</v>
      </c>
      <c r="AS21" s="561">
        <f t="shared" si="4"/>
        <v>2730.8903749999995</v>
      </c>
      <c r="AT21" s="451">
        <f t="shared" si="5"/>
        <v>30.9</v>
      </c>
      <c r="AU21" s="564"/>
      <c r="AV21" s="564"/>
    </row>
    <row r="22" spans="1:49" s="473" customFormat="1" ht="20.100000000000001" customHeight="1" x14ac:dyDescent="0.3">
      <c r="A22" s="440" t="s">
        <v>234</v>
      </c>
      <c r="B22" s="470">
        <v>150.268</v>
      </c>
      <c r="C22" s="451">
        <v>155.57400000000001</v>
      </c>
      <c r="D22" s="451">
        <f>IF(B22=0, "    ---- ", IF(ABS(ROUND(100/B22*C22-100,1))&lt;999,ROUND(100/B22*C22-100,1),IF(ROUND(100/B22*C22-100,1)&gt;999,999,-999)))</f>
        <v>3.5</v>
      </c>
      <c r="E22" s="470">
        <v>21964</v>
      </c>
      <c r="F22" s="472">
        <v>23277.512999999999</v>
      </c>
      <c r="G22" s="451">
        <f t="shared" si="6"/>
        <v>6</v>
      </c>
      <c r="H22" s="470">
        <v>90.606999999999999</v>
      </c>
      <c r="I22" s="451">
        <v>155.11000000000001</v>
      </c>
      <c r="J22" s="451">
        <f t="shared" si="12"/>
        <v>71.2</v>
      </c>
      <c r="K22" s="560">
        <v>279.71300000000002</v>
      </c>
      <c r="L22" s="561">
        <v>589.5</v>
      </c>
      <c r="M22" s="561">
        <f t="shared" si="13"/>
        <v>110.8</v>
      </c>
      <c r="N22" s="562"/>
      <c r="O22" s="563"/>
      <c r="P22" s="451"/>
      <c r="Q22" s="560">
        <v>7476.1794227600003</v>
      </c>
      <c r="R22" s="561">
        <v>8933.5494021699997</v>
      </c>
      <c r="S22" s="451">
        <f t="shared" si="0"/>
        <v>19.5</v>
      </c>
      <c r="T22" s="560">
        <v>285.7</v>
      </c>
      <c r="U22" s="561">
        <v>128.6</v>
      </c>
      <c r="V22" s="451">
        <f t="shared" si="14"/>
        <v>-55</v>
      </c>
      <c r="W22" s="560">
        <v>7421.3</v>
      </c>
      <c r="X22" s="561">
        <v>8474.24</v>
      </c>
      <c r="Y22" s="451">
        <f t="shared" si="15"/>
        <v>14.2</v>
      </c>
      <c r="Z22" s="560">
        <v>1464</v>
      </c>
      <c r="AA22" s="561">
        <v>1721</v>
      </c>
      <c r="AB22" s="451">
        <f t="shared" si="8"/>
        <v>17.600000000000001</v>
      </c>
      <c r="AC22" s="560"/>
      <c r="AD22" s="561"/>
      <c r="AE22" s="451"/>
      <c r="AF22" s="560">
        <v>290.38470892000004</v>
      </c>
      <c r="AG22" s="561"/>
      <c r="AH22" s="451">
        <f t="shared" si="16"/>
        <v>-100</v>
      </c>
      <c r="AI22" s="560">
        <v>2686.2570000000001</v>
      </c>
      <c r="AJ22" s="561">
        <v>3980.643</v>
      </c>
      <c r="AK22" s="451">
        <f t="shared" si="1"/>
        <v>48.2</v>
      </c>
      <c r="AL22" s="560">
        <v>9786.6</v>
      </c>
      <c r="AM22" s="561">
        <v>13529.1</v>
      </c>
      <c r="AN22" s="451">
        <f t="shared" si="9"/>
        <v>38.200000000000003</v>
      </c>
      <c r="AO22" s="561">
        <f t="shared" si="2"/>
        <v>51895.009131679995</v>
      </c>
      <c r="AP22" s="561">
        <f t="shared" si="2"/>
        <v>60944.829402169991</v>
      </c>
      <c r="AQ22" s="451">
        <f t="shared" si="3"/>
        <v>17.399999999999999</v>
      </c>
      <c r="AR22" s="561">
        <f t="shared" si="4"/>
        <v>51895.009131679995</v>
      </c>
      <c r="AS22" s="561">
        <f t="shared" si="4"/>
        <v>60944.829402169991</v>
      </c>
      <c r="AT22" s="451">
        <f t="shared" si="5"/>
        <v>17.399999999999999</v>
      </c>
      <c r="AU22" s="564"/>
      <c r="AV22" s="564"/>
    </row>
    <row r="23" spans="1:49" s="473" customFormat="1" ht="20.100000000000001" customHeight="1" x14ac:dyDescent="0.3">
      <c r="A23" s="440" t="s">
        <v>235</v>
      </c>
      <c r="B23" s="470"/>
      <c r="C23" s="451"/>
      <c r="D23" s="451"/>
      <c r="E23" s="470">
        <v>37</v>
      </c>
      <c r="F23" s="472">
        <v>3.2490000000000001</v>
      </c>
      <c r="G23" s="451">
        <f t="shared" si="6"/>
        <v>-91.2</v>
      </c>
      <c r="H23" s="470"/>
      <c r="I23" s="451"/>
      <c r="J23" s="451"/>
      <c r="K23" s="560"/>
      <c r="L23" s="561"/>
      <c r="M23" s="561"/>
      <c r="N23" s="562"/>
      <c r="O23" s="563"/>
      <c r="P23" s="451"/>
      <c r="Q23" s="560">
        <v>924.60424627999998</v>
      </c>
      <c r="R23" s="561">
        <v>1025.36056138</v>
      </c>
      <c r="S23" s="451">
        <f t="shared" si="0"/>
        <v>10.9</v>
      </c>
      <c r="T23" s="560">
        <v>1.2</v>
      </c>
      <c r="U23" s="561">
        <v>7.8</v>
      </c>
      <c r="V23" s="451">
        <f t="shared" si="14"/>
        <v>550</v>
      </c>
      <c r="W23" s="560">
        <v>1</v>
      </c>
      <c r="X23" s="561">
        <v>0.33</v>
      </c>
      <c r="Y23" s="451">
        <f t="shared" si="15"/>
        <v>-67</v>
      </c>
      <c r="Z23" s="560"/>
      <c r="AA23" s="561"/>
      <c r="AB23" s="451"/>
      <c r="AC23" s="560"/>
      <c r="AD23" s="561"/>
      <c r="AE23" s="451"/>
      <c r="AF23" s="560">
        <v>1.3982951100000001</v>
      </c>
      <c r="AG23" s="561"/>
      <c r="AH23" s="451">
        <f t="shared" si="16"/>
        <v>-100</v>
      </c>
      <c r="AI23" s="560"/>
      <c r="AJ23" s="561"/>
      <c r="AK23" s="451"/>
      <c r="AL23" s="560"/>
      <c r="AM23" s="561"/>
      <c r="AN23" s="451"/>
      <c r="AO23" s="561">
        <f t="shared" si="2"/>
        <v>965.20254139000008</v>
      </c>
      <c r="AP23" s="561">
        <f t="shared" si="2"/>
        <v>1036.7395613799999</v>
      </c>
      <c r="AQ23" s="451">
        <f t="shared" si="3"/>
        <v>7.4</v>
      </c>
      <c r="AR23" s="561">
        <f t="shared" si="4"/>
        <v>965.20254139000008</v>
      </c>
      <c r="AS23" s="561">
        <f t="shared" si="4"/>
        <v>1036.7395613799999</v>
      </c>
      <c r="AT23" s="451">
        <f t="shared" si="5"/>
        <v>7.4</v>
      </c>
      <c r="AU23" s="564"/>
      <c r="AV23" s="564"/>
    </row>
    <row r="24" spans="1:49" s="473" customFormat="1" ht="20.100000000000001" customHeight="1" x14ac:dyDescent="0.3">
      <c r="A24" s="440" t="s">
        <v>236</v>
      </c>
      <c r="B24" s="470"/>
      <c r="C24" s="451"/>
      <c r="D24" s="451"/>
      <c r="E24" s="470">
        <v>82</v>
      </c>
      <c r="F24" s="472">
        <v>0</v>
      </c>
      <c r="G24" s="451">
        <f t="shared" si="6"/>
        <v>-100</v>
      </c>
      <c r="H24" s="470"/>
      <c r="I24" s="451"/>
      <c r="J24" s="451"/>
      <c r="K24" s="560"/>
      <c r="L24" s="561"/>
      <c r="M24" s="561"/>
      <c r="N24" s="562"/>
      <c r="O24" s="563"/>
      <c r="P24" s="451"/>
      <c r="Q24" s="560">
        <v>614.44692078999992</v>
      </c>
      <c r="R24" s="561">
        <v>644.7874156900001</v>
      </c>
      <c r="S24" s="451">
        <f t="shared" si="0"/>
        <v>4.9000000000000004</v>
      </c>
      <c r="T24" s="560"/>
      <c r="U24" s="561"/>
      <c r="V24" s="451"/>
      <c r="W24" s="560"/>
      <c r="X24" s="561"/>
      <c r="Y24" s="451"/>
      <c r="Z24" s="560"/>
      <c r="AA24" s="561"/>
      <c r="AB24" s="451"/>
      <c r="AC24" s="560"/>
      <c r="AD24" s="561"/>
      <c r="AE24" s="451"/>
      <c r="AF24" s="560"/>
      <c r="AG24" s="561"/>
      <c r="AH24" s="451"/>
      <c r="AI24" s="560"/>
      <c r="AJ24" s="561"/>
      <c r="AK24" s="451"/>
      <c r="AL24" s="560">
        <v>1263.9000000000001</v>
      </c>
      <c r="AM24" s="561">
        <v>932</v>
      </c>
      <c r="AN24" s="451">
        <f t="shared" si="9"/>
        <v>-26.3</v>
      </c>
      <c r="AO24" s="561">
        <f t="shared" si="2"/>
        <v>1960.34692079</v>
      </c>
      <c r="AP24" s="561">
        <f t="shared" si="2"/>
        <v>1576.7874156900002</v>
      </c>
      <c r="AQ24" s="451">
        <f t="shared" si="3"/>
        <v>-19.600000000000001</v>
      </c>
      <c r="AR24" s="561">
        <f t="shared" si="4"/>
        <v>1960.34692079</v>
      </c>
      <c r="AS24" s="561">
        <f t="shared" si="4"/>
        <v>1576.7874156900002</v>
      </c>
      <c r="AT24" s="451">
        <f t="shared" si="5"/>
        <v>-19.600000000000001</v>
      </c>
      <c r="AU24" s="564"/>
      <c r="AV24" s="564"/>
    </row>
    <row r="25" spans="1:49" s="473" customFormat="1" ht="20.100000000000001" customHeight="1" x14ac:dyDescent="0.3">
      <c r="A25" s="440" t="s">
        <v>237</v>
      </c>
      <c r="B25" s="470"/>
      <c r="C25" s="451"/>
      <c r="D25" s="451"/>
      <c r="E25" s="470">
        <v>-339</v>
      </c>
      <c r="F25" s="472">
        <v>-22.129000000000001</v>
      </c>
      <c r="G25" s="451">
        <f t="shared" si="6"/>
        <v>-93.5</v>
      </c>
      <c r="H25" s="470">
        <v>11.589</v>
      </c>
      <c r="I25" s="451">
        <v>22.454000000000001</v>
      </c>
      <c r="J25" s="451">
        <f t="shared" si="12"/>
        <v>93.8</v>
      </c>
      <c r="K25" s="560">
        <v>94.477999999999994</v>
      </c>
      <c r="L25" s="561">
        <v>96</v>
      </c>
      <c r="M25" s="442">
        <f t="shared" ref="M25" si="17">IF(K25=0, "    ---- ", IF(ABS(ROUND(100/K25*L25-100,1))&lt;999,ROUND(100/K25*L25-100,1),IF(ROUND(100/K25*L25-100,1)&gt;999,999,-999)))</f>
        <v>1.6</v>
      </c>
      <c r="N25" s="562"/>
      <c r="O25" s="563"/>
      <c r="P25" s="451"/>
      <c r="Q25" s="560">
        <v>28.705902909999999</v>
      </c>
      <c r="R25" s="561">
        <v>14.19922111</v>
      </c>
      <c r="S25" s="451">
        <f t="shared" si="0"/>
        <v>-50.5</v>
      </c>
      <c r="T25" s="560"/>
      <c r="U25" s="561"/>
      <c r="V25" s="451"/>
      <c r="W25" s="560"/>
      <c r="X25" s="561"/>
      <c r="Y25" s="451"/>
      <c r="Z25" s="560"/>
      <c r="AA25" s="561"/>
      <c r="AB25" s="451"/>
      <c r="AC25" s="560"/>
      <c r="AD25" s="561"/>
      <c r="AE25" s="451"/>
      <c r="AF25" s="560"/>
      <c r="AG25" s="561"/>
      <c r="AH25" s="451"/>
      <c r="AI25" s="560">
        <v>-24.387</v>
      </c>
      <c r="AJ25" s="561">
        <v>23.056000000000001</v>
      </c>
      <c r="AK25" s="451">
        <f t="shared" si="1"/>
        <v>-194.5</v>
      </c>
      <c r="AL25" s="560">
        <v>246</v>
      </c>
      <c r="AM25" s="561"/>
      <c r="AN25" s="451">
        <f t="shared" si="9"/>
        <v>-100</v>
      </c>
      <c r="AO25" s="561">
        <f t="shared" si="2"/>
        <v>17.385902909999999</v>
      </c>
      <c r="AP25" s="561">
        <f t="shared" si="2"/>
        <v>133.58022111</v>
      </c>
      <c r="AQ25" s="451">
        <f t="shared" si="3"/>
        <v>668.3</v>
      </c>
      <c r="AR25" s="561">
        <f t="shared" si="4"/>
        <v>17.385902909999999</v>
      </c>
      <c r="AS25" s="561">
        <f t="shared" si="4"/>
        <v>133.58022111</v>
      </c>
      <c r="AT25" s="451">
        <f t="shared" si="5"/>
        <v>668.3</v>
      </c>
      <c r="AU25" s="564"/>
      <c r="AV25" s="564"/>
    </row>
    <row r="26" spans="1:49" s="473" customFormat="1" ht="20.100000000000001" customHeight="1" x14ac:dyDescent="0.3">
      <c r="A26" s="440" t="s">
        <v>238</v>
      </c>
      <c r="B26" s="470"/>
      <c r="C26" s="451"/>
      <c r="D26" s="451"/>
      <c r="E26" s="470"/>
      <c r="F26" s="472"/>
      <c r="G26" s="451"/>
      <c r="H26" s="470"/>
      <c r="I26" s="451"/>
      <c r="J26" s="451"/>
      <c r="K26" s="560"/>
      <c r="L26" s="561"/>
      <c r="M26" s="561"/>
      <c r="N26" s="562"/>
      <c r="O26" s="563"/>
      <c r="P26" s="451"/>
      <c r="Q26" s="560"/>
      <c r="R26" s="561"/>
      <c r="S26" s="451"/>
      <c r="T26" s="560"/>
      <c r="U26" s="561"/>
      <c r="V26" s="451"/>
      <c r="W26" s="560"/>
      <c r="X26" s="561"/>
      <c r="Y26" s="451"/>
      <c r="Z26" s="560"/>
      <c r="AA26" s="561"/>
      <c r="AB26" s="451"/>
      <c r="AC26" s="560"/>
      <c r="AD26" s="561"/>
      <c r="AE26" s="451"/>
      <c r="AF26" s="560">
        <v>2.3597683900000002</v>
      </c>
      <c r="AG26" s="561"/>
      <c r="AH26" s="451">
        <f t="shared" si="16"/>
        <v>-100</v>
      </c>
      <c r="AI26" s="560"/>
      <c r="AJ26" s="561"/>
      <c r="AK26" s="451"/>
      <c r="AL26" s="560"/>
      <c r="AM26" s="561"/>
      <c r="AN26" s="451"/>
      <c r="AO26" s="561">
        <f t="shared" si="2"/>
        <v>2.3597683900000002</v>
      </c>
      <c r="AP26" s="561">
        <f t="shared" si="2"/>
        <v>0</v>
      </c>
      <c r="AQ26" s="451">
        <f t="shared" si="3"/>
        <v>-100</v>
      </c>
      <c r="AR26" s="561">
        <f t="shared" si="4"/>
        <v>2.3597683900000002</v>
      </c>
      <c r="AS26" s="561">
        <f t="shared" si="4"/>
        <v>0</v>
      </c>
      <c r="AT26" s="451">
        <f t="shared" si="5"/>
        <v>-100</v>
      </c>
      <c r="AU26" s="564"/>
      <c r="AV26" s="564"/>
    </row>
    <row r="27" spans="1:49" s="473" customFormat="1" ht="20.100000000000001" customHeight="1" x14ac:dyDescent="0.3">
      <c r="A27" s="509" t="s">
        <v>239</v>
      </c>
      <c r="B27" s="470">
        <v>152.76599999999999</v>
      </c>
      <c r="C27" s="451">
        <v>158.20600000000002</v>
      </c>
      <c r="D27" s="451">
        <f>IF(B27=0, "    ---- ", IF(ABS(ROUND(100/B27*C27-100,1))&lt;999,ROUND(100/B27*C27-100,1),IF(ROUND(100/B27*C27-100,1)&gt;999,999,-999)))</f>
        <v>3.6</v>
      </c>
      <c r="E27" s="470">
        <v>27073</v>
      </c>
      <c r="F27" s="472">
        <v>29293.360999999997</v>
      </c>
      <c r="G27" s="451">
        <f t="shared" si="6"/>
        <v>8.1999999999999993</v>
      </c>
      <c r="H27" s="470">
        <v>138.05499999999998</v>
      </c>
      <c r="I27" s="451">
        <v>232.36</v>
      </c>
      <c r="J27" s="451">
        <f t="shared" si="12"/>
        <v>68.3</v>
      </c>
      <c r="K27" s="560">
        <v>386.04500000000002</v>
      </c>
      <c r="L27" s="561">
        <v>698.5</v>
      </c>
      <c r="M27" s="561">
        <f t="shared" si="13"/>
        <v>80.900000000000006</v>
      </c>
      <c r="N27" s="562"/>
      <c r="O27" s="563"/>
      <c r="P27" s="451"/>
      <c r="Q27" s="561">
        <v>32067.069274189998</v>
      </c>
      <c r="R27" s="561">
        <v>31767.039989099998</v>
      </c>
      <c r="S27" s="451">
        <f t="shared" si="0"/>
        <v>-0.9</v>
      </c>
      <c r="T27" s="560">
        <v>301.89999999999998</v>
      </c>
      <c r="U27" s="561">
        <v>306.60000000000002</v>
      </c>
      <c r="V27" s="451">
        <f t="shared" si="14"/>
        <v>1.6</v>
      </c>
      <c r="W27" s="560">
        <v>7434.4000000000005</v>
      </c>
      <c r="X27" s="561">
        <v>8480.8799999999992</v>
      </c>
      <c r="Y27" s="451">
        <f t="shared" si="15"/>
        <v>14.1</v>
      </c>
      <c r="Z27" s="560">
        <v>6635</v>
      </c>
      <c r="AA27" s="561">
        <v>8002</v>
      </c>
      <c r="AB27" s="451">
        <f t="shared" si="8"/>
        <v>20.6</v>
      </c>
      <c r="AC27" s="560"/>
      <c r="AD27" s="561"/>
      <c r="AE27" s="451"/>
      <c r="AF27" s="560">
        <v>427.49401695</v>
      </c>
      <c r="AG27" s="561"/>
      <c r="AH27" s="451">
        <f t="shared" si="16"/>
        <v>-100</v>
      </c>
      <c r="AI27" s="560">
        <v>4285.0360000000001</v>
      </c>
      <c r="AJ27" s="561">
        <v>5822</v>
      </c>
      <c r="AK27" s="451">
        <f t="shared" si="1"/>
        <v>35.9</v>
      </c>
      <c r="AL27" s="560">
        <v>30267.600000000002</v>
      </c>
      <c r="AM27" s="561">
        <v>30989</v>
      </c>
      <c r="AN27" s="451">
        <f t="shared" si="9"/>
        <v>2.4</v>
      </c>
      <c r="AO27" s="561">
        <f t="shared" si="2"/>
        <v>109168.36529114001</v>
      </c>
      <c r="AP27" s="561">
        <f t="shared" si="2"/>
        <v>115749.94698909999</v>
      </c>
      <c r="AQ27" s="451">
        <f t="shared" si="3"/>
        <v>6</v>
      </c>
      <c r="AR27" s="561">
        <f t="shared" si="4"/>
        <v>109168.36529114001</v>
      </c>
      <c r="AS27" s="561">
        <f t="shared" si="4"/>
        <v>115749.94698909999</v>
      </c>
      <c r="AT27" s="451">
        <f t="shared" si="5"/>
        <v>6</v>
      </c>
      <c r="AU27" s="564"/>
      <c r="AV27" s="564"/>
    </row>
    <row r="28" spans="1:49" s="473" customFormat="1" ht="20.100000000000001" customHeight="1" x14ac:dyDescent="0.3">
      <c r="A28" s="440" t="s">
        <v>240</v>
      </c>
      <c r="B28" s="470">
        <v>168.685</v>
      </c>
      <c r="C28" s="451">
        <v>242.00899999999999</v>
      </c>
      <c r="D28" s="451">
        <f>IF(B28=0, "    ---- ", IF(ABS(ROUND(100/B28*C28-100,1))&lt;999,ROUND(100/B28*C28-100,1),IF(ROUND(100/B28*C28-100,1)&gt;999,999,-999)))</f>
        <v>43.5</v>
      </c>
      <c r="E28" s="470">
        <v>640</v>
      </c>
      <c r="F28" s="472">
        <v>695.78300000000002</v>
      </c>
      <c r="G28" s="451">
        <f t="shared" si="6"/>
        <v>8.6999999999999993</v>
      </c>
      <c r="H28" s="470">
        <v>94.926000000000002</v>
      </c>
      <c r="I28" s="451">
        <v>69.959000000000003</v>
      </c>
      <c r="J28" s="451">
        <f t="shared" si="12"/>
        <v>-26.3</v>
      </c>
      <c r="K28" s="560">
        <v>263.73699999999997</v>
      </c>
      <c r="L28" s="561">
        <v>372.7</v>
      </c>
      <c r="M28" s="561">
        <f t="shared" si="13"/>
        <v>41.3</v>
      </c>
      <c r="N28" s="562">
        <v>143</v>
      </c>
      <c r="O28" s="563">
        <v>138</v>
      </c>
      <c r="P28" s="451">
        <f t="shared" ref="P28" si="18">IF(N28=0, "    ---- ", IF(ABS(ROUND(100/N28*O28-100,1))&lt;999,ROUND(100/N28*O28-100,1),IF(ROUND(100/N28*O28-100,1)&gt;999,999,-999)))</f>
        <v>-3.5</v>
      </c>
      <c r="Q28" s="560">
        <v>1906</v>
      </c>
      <c r="R28" s="561">
        <v>2422.9324600700002</v>
      </c>
      <c r="S28" s="451">
        <f t="shared" si="0"/>
        <v>27.1</v>
      </c>
      <c r="T28" s="560">
        <v>23.2</v>
      </c>
      <c r="U28" s="561">
        <v>50.3</v>
      </c>
      <c r="V28" s="451">
        <f t="shared" si="14"/>
        <v>116.8</v>
      </c>
      <c r="W28" s="560">
        <v>406.1</v>
      </c>
      <c r="X28" s="561">
        <v>885.61</v>
      </c>
      <c r="Y28" s="451">
        <f t="shared" si="15"/>
        <v>118.1</v>
      </c>
      <c r="Z28" s="560">
        <v>682</v>
      </c>
      <c r="AA28" s="561">
        <v>485.89</v>
      </c>
      <c r="AB28" s="451">
        <f t="shared" si="8"/>
        <v>-28.8</v>
      </c>
      <c r="AC28" s="560">
        <v>31</v>
      </c>
      <c r="AD28" s="561">
        <v>51</v>
      </c>
      <c r="AE28" s="451">
        <f>IF(AC28=0, "    ---- ", IF(ABS(ROUND(100/AC28*AD28-100,1))&lt;999,ROUND(100/AC28*AD28-100,1),IF(ROUND(100/AC28*AD28-100,1)&gt;999,999,-999)))</f>
        <v>64.5</v>
      </c>
      <c r="AF28" s="560">
        <v>23.840723739999998</v>
      </c>
      <c r="AG28" s="561"/>
      <c r="AH28" s="451">
        <f t="shared" si="16"/>
        <v>-100</v>
      </c>
      <c r="AI28" s="560">
        <v>555.10699999999997</v>
      </c>
      <c r="AJ28" s="561">
        <v>608.07799999999997</v>
      </c>
      <c r="AK28" s="451">
        <f t="shared" si="1"/>
        <v>9.5</v>
      </c>
      <c r="AL28" s="560">
        <v>4421</v>
      </c>
      <c r="AM28" s="561">
        <v>2880.5</v>
      </c>
      <c r="AN28" s="451">
        <f t="shared" si="9"/>
        <v>-34.799999999999997</v>
      </c>
      <c r="AO28" s="561">
        <f t="shared" si="2"/>
        <v>9184.5957237399998</v>
      </c>
      <c r="AP28" s="561">
        <f t="shared" si="2"/>
        <v>8713.7614600699999</v>
      </c>
      <c r="AQ28" s="451">
        <f t="shared" si="3"/>
        <v>-5.0999999999999996</v>
      </c>
      <c r="AR28" s="561">
        <f t="shared" si="4"/>
        <v>9358.5957237399998</v>
      </c>
      <c r="AS28" s="561">
        <f t="shared" si="4"/>
        <v>8902.7614600699999</v>
      </c>
      <c r="AT28" s="451">
        <f t="shared" si="5"/>
        <v>-4.9000000000000004</v>
      </c>
      <c r="AU28" s="564"/>
      <c r="AV28" s="564"/>
    </row>
    <row r="29" spans="1:49" s="473" customFormat="1" ht="20.100000000000001" customHeight="1" x14ac:dyDescent="0.3">
      <c r="A29" s="440" t="s">
        <v>241</v>
      </c>
      <c r="B29" s="470">
        <v>321.45100000000002</v>
      </c>
      <c r="C29" s="451">
        <v>400.21500000000003</v>
      </c>
      <c r="D29" s="451">
        <f>IF(B29=0, "    ---- ", IF(ABS(ROUND(100/B29*C29-100,1))&lt;999,ROUND(100/B29*C29-100,1),IF(ROUND(100/B29*C29-100,1)&gt;999,999,-999)))</f>
        <v>24.5</v>
      </c>
      <c r="E29" s="470">
        <v>27713</v>
      </c>
      <c r="F29" s="472">
        <v>29989.143999999997</v>
      </c>
      <c r="G29" s="451">
        <f>IF(E29=0, "    ---- ", IF(ABS(ROUND(100/E29*F29-100,1))&lt;999,ROUND(100/E29*F29-100,1),IF(ROUND(100/E29*F29-100,1)&gt;999,999,-999)))</f>
        <v>8.1999999999999993</v>
      </c>
      <c r="H29" s="470">
        <v>232.98099999999999</v>
      </c>
      <c r="I29" s="451">
        <v>302.31900000000002</v>
      </c>
      <c r="J29" s="451">
        <f>IF(H29=0, "    ---- ", IF(ABS(ROUND(100/H29*I29-100,1))&lt;999,ROUND(100/H29*I29-100,1),IF(ROUND(100/H29*I29-100,1)&gt;999,999,-999)))</f>
        <v>29.8</v>
      </c>
      <c r="K29" s="470">
        <v>649.78199999999993</v>
      </c>
      <c r="L29" s="451">
        <v>1071.2</v>
      </c>
      <c r="M29" s="451">
        <f>IF(K29=0, "    ---- ", IF(ABS(ROUND(100/K29*L29-100,1))&lt;999,ROUND(100/K29*L29-100,1),IF(ROUND(100/K29*L29-100,1)&gt;999,999,-999)))</f>
        <v>64.900000000000006</v>
      </c>
      <c r="N29" s="470">
        <v>143</v>
      </c>
      <c r="O29" s="451">
        <v>138</v>
      </c>
      <c r="P29" s="451">
        <f>IF(N29=0, "    ---- ", IF(ABS(ROUND(100/N29*O29-100,1))&lt;999,ROUND(100/N29*O29-100,1),IF(ROUND(100/N29*O29-100,1)&gt;999,999,-999)))</f>
        <v>-3.5</v>
      </c>
      <c r="Q29" s="451">
        <v>33973.069274189998</v>
      </c>
      <c r="R29" s="451">
        <v>34189.972449169996</v>
      </c>
      <c r="S29" s="451">
        <f>IF(Q29=0, "    ---- ", IF(ABS(ROUND(100/Q29*R29-100,1))&lt;999,ROUND(100/Q29*R29-100,1),IF(ROUND(100/Q29*R29-100,1)&gt;999,999,-999)))</f>
        <v>0.6</v>
      </c>
      <c r="T29" s="470">
        <v>325.09999999999997</v>
      </c>
      <c r="U29" s="451">
        <v>356.90000000000003</v>
      </c>
      <c r="V29" s="451">
        <f>IF(T29=0, "    ---- ", IF(ABS(ROUND(100/T29*U29-100,1))&lt;999,ROUND(100/T29*U29-100,1),IF(ROUND(100/T29*U29-100,1)&gt;999,999,-999)))</f>
        <v>9.8000000000000007</v>
      </c>
      <c r="W29" s="470">
        <v>7840.5000000000009</v>
      </c>
      <c r="X29" s="451">
        <v>9366.49</v>
      </c>
      <c r="Y29" s="451">
        <f>IF(W29=0, "    ---- ", IF(ABS(ROUND(100/W29*X29-100,1))&lt;999,ROUND(100/W29*X29-100,1),IF(ROUND(100/W29*X29-100,1)&gt;999,999,-999)))</f>
        <v>19.5</v>
      </c>
      <c r="Z29" s="470">
        <v>7317</v>
      </c>
      <c r="AA29" s="451">
        <v>8487.89</v>
      </c>
      <c r="AB29" s="451">
        <f>IF(Z29=0, "    ---- ", IF(ABS(ROUND(100/Z29*AA29-100,1))&lt;999,ROUND(100/Z29*AA29-100,1),IF(ROUND(100/Z29*AA29-100,1)&gt;999,999,-999)))</f>
        <v>16</v>
      </c>
      <c r="AC29" s="470">
        <v>31</v>
      </c>
      <c r="AD29" s="451">
        <v>51</v>
      </c>
      <c r="AE29" s="451">
        <f>IF(AC29=0, "    ---- ", IF(ABS(ROUND(100/AC29*AD29-100,1))&lt;999,ROUND(100/AC29*AD29-100,1),IF(ROUND(100/AC29*AD29-100,1)&gt;999,999,-999)))</f>
        <v>64.5</v>
      </c>
      <c r="AF29" s="470">
        <v>451.33474068999999</v>
      </c>
      <c r="AG29" s="451"/>
      <c r="AH29" s="451">
        <f>IF(AF29=0, "    ---- ", IF(ABS(ROUND(100/AF29*AG29-100,1))&lt;999,ROUND(100/AF29*AG29-100,1),IF(ROUND(100/AF29*AG29-100,1)&gt;999,999,-999)))</f>
        <v>-100</v>
      </c>
      <c r="AI29" s="470">
        <v>4840.143</v>
      </c>
      <c r="AJ29" s="451">
        <v>6430.0779999999995</v>
      </c>
      <c r="AK29" s="451">
        <f>IF(AI29=0, "    ---- ", IF(ABS(ROUND(100/AI29*AJ29-100,1))&lt;999,ROUND(100/AI29*AJ29-100,1),IF(ROUND(100/AI29*AJ29-100,1)&gt;999,999,-999)))</f>
        <v>32.799999999999997</v>
      </c>
      <c r="AL29" s="470">
        <v>34688.600000000006</v>
      </c>
      <c r="AM29" s="451">
        <v>33869.5</v>
      </c>
      <c r="AN29" s="451">
        <f>IF(AL29=0, "    ---- ", IF(ABS(ROUND(100/AL29*AM29-100,1))&lt;999,ROUND(100/AL29*AM29-100,1),IF(ROUND(100/AL29*AM29-100,1)&gt;999,999,-999)))</f>
        <v>-2.4</v>
      </c>
      <c r="AO29" s="561">
        <f t="shared" si="2"/>
        <v>118352.96101488</v>
      </c>
      <c r="AP29" s="561">
        <f t="shared" si="2"/>
        <v>124463.70844916998</v>
      </c>
      <c r="AQ29" s="451">
        <f>IF(AO29=0, "    ---- ", IF(ABS(ROUND(100/AO29*AP29-100,1))&lt;999,ROUND(100/AO29*AP29-100,1),IF(ROUND(100/AO29*AP29-100,1)&gt;999,999,-999)))</f>
        <v>5.2</v>
      </c>
      <c r="AR29" s="561">
        <f>B29+E29+H29+K29+N29+Q29+T29+W29+Z29+AC29+AF29+AI29+AL29</f>
        <v>118526.96101488</v>
      </c>
      <c r="AS29" s="561">
        <f t="shared" si="4"/>
        <v>124652.70844916998</v>
      </c>
      <c r="AT29" s="565">
        <f t="shared" si="5"/>
        <v>5.2</v>
      </c>
      <c r="AU29" s="564"/>
      <c r="AV29" s="564"/>
      <c r="AW29" s="566"/>
    </row>
    <row r="30" spans="1:49" s="408" customFormat="1" ht="20.100000000000001" customHeight="1" x14ac:dyDescent="0.3">
      <c r="A30" s="440"/>
      <c r="B30" s="441"/>
      <c r="C30" s="442"/>
      <c r="D30" s="454"/>
      <c r="E30" s="441"/>
      <c r="F30" s="444"/>
      <c r="G30" s="454"/>
      <c r="H30" s="441"/>
      <c r="I30" s="442"/>
      <c r="J30" s="454"/>
      <c r="K30" s="453"/>
      <c r="L30" s="454"/>
      <c r="M30" s="442"/>
      <c r="N30" s="441"/>
      <c r="O30" s="442"/>
      <c r="P30" s="443"/>
      <c r="Q30" s="441"/>
      <c r="R30" s="442"/>
      <c r="S30" s="443"/>
      <c r="T30" s="441"/>
      <c r="U30" s="442"/>
      <c r="V30" s="443"/>
      <c r="W30" s="441"/>
      <c r="X30" s="442"/>
      <c r="Y30" s="443"/>
      <c r="Z30" s="441"/>
      <c r="AA30" s="442"/>
      <c r="AB30" s="443"/>
      <c r="AC30" s="441"/>
      <c r="AD30" s="442"/>
      <c r="AE30" s="443"/>
      <c r="AF30" s="441"/>
      <c r="AG30" s="442"/>
      <c r="AH30" s="443"/>
      <c r="AI30" s="441"/>
      <c r="AJ30" s="442"/>
      <c r="AK30" s="443"/>
      <c r="AL30" s="441"/>
      <c r="AM30" s="442"/>
      <c r="AN30" s="443"/>
      <c r="AO30" s="442"/>
      <c r="AP30" s="442"/>
      <c r="AQ30" s="443"/>
      <c r="AR30" s="442"/>
      <c r="AS30" s="442"/>
      <c r="AT30" s="567"/>
      <c r="AU30" s="411"/>
      <c r="AV30" s="411"/>
    </row>
    <row r="31" spans="1:49" s="408" customFormat="1" ht="20.100000000000001" customHeight="1" x14ac:dyDescent="0.3">
      <c r="A31" s="480" t="s">
        <v>242</v>
      </c>
      <c r="B31" s="453"/>
      <c r="C31" s="454"/>
      <c r="D31" s="454"/>
      <c r="E31" s="453"/>
      <c r="F31" s="456"/>
      <c r="G31" s="454"/>
      <c r="H31" s="453"/>
      <c r="I31" s="454"/>
      <c r="J31" s="454"/>
      <c r="K31" s="453"/>
      <c r="L31" s="454"/>
      <c r="M31" s="442"/>
      <c r="N31" s="453"/>
      <c r="O31" s="454"/>
      <c r="P31" s="443"/>
      <c r="Q31" s="453"/>
      <c r="R31" s="454"/>
      <c r="S31" s="443"/>
      <c r="T31" s="453"/>
      <c r="U31" s="454"/>
      <c r="V31" s="443"/>
      <c r="W31" s="453"/>
      <c r="X31" s="454"/>
      <c r="Y31" s="443"/>
      <c r="Z31" s="453"/>
      <c r="AA31" s="454"/>
      <c r="AB31" s="443"/>
      <c r="AC31" s="453"/>
      <c r="AD31" s="454"/>
      <c r="AE31" s="443"/>
      <c r="AF31" s="453"/>
      <c r="AG31" s="454"/>
      <c r="AH31" s="443"/>
      <c r="AI31" s="453"/>
      <c r="AJ31" s="454"/>
      <c r="AK31" s="443"/>
      <c r="AL31" s="453"/>
      <c r="AM31" s="454"/>
      <c r="AN31" s="443"/>
      <c r="AO31" s="442"/>
      <c r="AP31" s="442"/>
      <c r="AQ31" s="443"/>
      <c r="AR31" s="442"/>
      <c r="AS31" s="442"/>
      <c r="AT31" s="567"/>
      <c r="AU31" s="411"/>
      <c r="AV31" s="411"/>
    </row>
    <row r="32" spans="1:49" s="408" customFormat="1" ht="20.100000000000001" customHeight="1" x14ac:dyDescent="0.3">
      <c r="A32" s="480" t="s">
        <v>243</v>
      </c>
      <c r="B32" s="453"/>
      <c r="C32" s="454"/>
      <c r="D32" s="443"/>
      <c r="E32" s="453"/>
      <c r="F32" s="456"/>
      <c r="G32" s="443"/>
      <c r="H32" s="453"/>
      <c r="I32" s="454"/>
      <c r="J32" s="443"/>
      <c r="K32" s="453"/>
      <c r="L32" s="454"/>
      <c r="M32" s="442"/>
      <c r="N32" s="453"/>
      <c r="O32" s="454"/>
      <c r="P32" s="443"/>
      <c r="Q32" s="453"/>
      <c r="R32" s="454"/>
      <c r="S32" s="443"/>
      <c r="T32" s="453"/>
      <c r="U32" s="454"/>
      <c r="V32" s="443"/>
      <c r="W32" s="453"/>
      <c r="X32" s="454"/>
      <c r="Y32" s="443"/>
      <c r="Z32" s="453"/>
      <c r="AA32" s="454"/>
      <c r="AB32" s="443"/>
      <c r="AC32" s="453"/>
      <c r="AD32" s="454"/>
      <c r="AE32" s="443"/>
      <c r="AF32" s="453"/>
      <c r="AG32" s="454"/>
      <c r="AH32" s="443"/>
      <c r="AI32" s="453"/>
      <c r="AJ32" s="454"/>
      <c r="AK32" s="443"/>
      <c r="AL32" s="453"/>
      <c r="AM32" s="454"/>
      <c r="AN32" s="443"/>
      <c r="AO32" s="442"/>
      <c r="AP32" s="442"/>
      <c r="AQ32" s="443"/>
      <c r="AR32" s="442"/>
      <c r="AS32" s="442"/>
      <c r="AT32" s="567"/>
      <c r="AU32" s="411"/>
      <c r="AV32" s="411"/>
    </row>
    <row r="33" spans="1:49" s="408" customFormat="1" ht="20.100000000000001" customHeight="1" x14ac:dyDescent="0.3">
      <c r="A33" s="440" t="s">
        <v>244</v>
      </c>
      <c r="B33" s="453"/>
      <c r="C33" s="454"/>
      <c r="D33" s="454"/>
      <c r="E33" s="453">
        <v>15</v>
      </c>
      <c r="F33" s="456">
        <v>45.475999999999999</v>
      </c>
      <c r="G33" s="454">
        <f t="shared" ref="G33:G91" si="19">IF(E33=0, "    ---- ", IF(ABS(ROUND(100/E33*F33-100,1))&lt;999,ROUND(100/E33*F33-100,1),IF(ROUND(100/E33*F33-100,1)&gt;999,999,-999)))</f>
        <v>203.2</v>
      </c>
      <c r="H33" s="453"/>
      <c r="I33" s="454"/>
      <c r="J33" s="454"/>
      <c r="K33" s="453"/>
      <c r="L33" s="454"/>
      <c r="M33" s="442"/>
      <c r="N33" s="453"/>
      <c r="O33" s="454"/>
      <c r="P33" s="443"/>
      <c r="Q33" s="453"/>
      <c r="R33" s="454"/>
      <c r="S33" s="443"/>
      <c r="T33" s="453"/>
      <c r="U33" s="454"/>
      <c r="V33" s="443"/>
      <c r="W33" s="453"/>
      <c r="X33" s="454">
        <v>1.9699999999999998E-6</v>
      </c>
      <c r="Y33" s="443" t="str">
        <f t="shared" ref="Y33:Y91" si="20">IF(W33=0, "    ---- ", IF(ABS(ROUND(100/W33*X33-100,1))&lt;999,ROUND(100/W33*X33-100,1),IF(ROUND(100/W33*X33-100,1)&gt;999,999,-999)))</f>
        <v xml:space="preserve">    ---- </v>
      </c>
      <c r="Z33" s="453"/>
      <c r="AA33" s="454"/>
      <c r="AB33" s="443"/>
      <c r="AC33" s="453"/>
      <c r="AD33" s="454"/>
      <c r="AE33" s="443"/>
      <c r="AF33" s="453"/>
      <c r="AG33" s="454"/>
      <c r="AH33" s="443"/>
      <c r="AI33" s="453">
        <v>1.016</v>
      </c>
      <c r="AJ33" s="454">
        <v>1.0049999999999999</v>
      </c>
      <c r="AK33" s="443">
        <f t="shared" ref="AK33:AK91" si="21">IF(AI33=0, "    ---- ", IF(ABS(ROUND(100/AI33*AJ33-100,1))&lt;999,ROUND(100/AI33*AJ33-100,1),IF(ROUND(100/AI33*AJ33-100,1)&gt;999,999,-999)))</f>
        <v>-1.1000000000000001</v>
      </c>
      <c r="AL33" s="453"/>
      <c r="AM33" s="454"/>
      <c r="AN33" s="443"/>
      <c r="AO33" s="442">
        <f t="shared" ref="AO33:AP46" si="22">B33+E33+H33+K33+Q33+T33+W33+Z33+AF33+AI33+AL33</f>
        <v>16.015999999999998</v>
      </c>
      <c r="AP33" s="442">
        <f t="shared" si="22"/>
        <v>46.481001970000001</v>
      </c>
      <c r="AQ33" s="443">
        <f t="shared" ref="AQ33:AQ91" si="23">IF(AO33=0, "    ---- ", IF(ABS(ROUND(100/AO33*AP33-100,1))&lt;999,ROUND(100/AO33*AP33-100,1),IF(ROUND(100/AO33*AP33-100,1)&gt;999,999,-999)))</f>
        <v>190.2</v>
      </c>
      <c r="AR33" s="442">
        <f t="shared" ref="AR33:AS91" si="24">B33+E33+H33+K33+N33+Q33+T33+W33+Z33+AC33+AF33+AI33+AL33</f>
        <v>16.015999999999998</v>
      </c>
      <c r="AS33" s="442">
        <f t="shared" si="24"/>
        <v>46.481001970000001</v>
      </c>
      <c r="AT33" s="567">
        <f t="shared" ref="AT33:AT91" si="25">IF(AR33=0, "    ---- ", IF(ABS(ROUND(100/AR33*AS33-100,1))&lt;999,ROUND(100/AR33*AS33-100,1),IF(ROUND(100/AR33*AS33-100,1)&gt;999,999,-999)))</f>
        <v>190.2</v>
      </c>
      <c r="AU33" s="411"/>
      <c r="AV33" s="411"/>
      <c r="AW33" s="568"/>
    </row>
    <row r="34" spans="1:49" s="408" customFormat="1" ht="20.100000000000001" customHeight="1" x14ac:dyDescent="0.3">
      <c r="A34" s="440" t="s">
        <v>245</v>
      </c>
      <c r="B34" s="453"/>
      <c r="C34" s="454"/>
      <c r="D34" s="454"/>
      <c r="E34" s="453">
        <v>22414</v>
      </c>
      <c r="F34" s="456">
        <v>20361.511999999999</v>
      </c>
      <c r="G34" s="454">
        <f t="shared" si="19"/>
        <v>-9.1999999999999993</v>
      </c>
      <c r="H34" s="453"/>
      <c r="I34" s="454"/>
      <c r="J34" s="454"/>
      <c r="K34" s="453"/>
      <c r="L34" s="454"/>
      <c r="M34" s="442"/>
      <c r="N34" s="453"/>
      <c r="O34" s="454"/>
      <c r="P34" s="443"/>
      <c r="Q34" s="453">
        <v>53749.829303539998</v>
      </c>
      <c r="R34" s="454">
        <v>55603.937209849995</v>
      </c>
      <c r="S34" s="443">
        <f>IF(Q34=0, "    ---- ", IF(ABS(ROUND(100/Q34*R34-100,1))&lt;999,ROUND(100/Q34*R34-100,1),IF(ROUND(100/Q34*R34-100,1)&gt;999,999,-999)))</f>
        <v>3.4</v>
      </c>
      <c r="T34" s="453">
        <v>167.8</v>
      </c>
      <c r="U34" s="454">
        <v>186.4</v>
      </c>
      <c r="V34" s="443">
        <f>IF(T34=0, "    ---- ", IF(ABS(ROUND(100/T34*U34-100,1))&lt;999,ROUND(100/T34*U34-100,1),IF(ROUND(100/T34*U34-100,1)&gt;999,999,-999)))</f>
        <v>11.1</v>
      </c>
      <c r="W34" s="453">
        <v>7522</v>
      </c>
      <c r="X34" s="454">
        <v>5149.5883254199998</v>
      </c>
      <c r="Y34" s="443">
        <f t="shared" si="20"/>
        <v>-31.5</v>
      </c>
      <c r="Z34" s="453">
        <v>11085</v>
      </c>
      <c r="AA34" s="454">
        <v>12427</v>
      </c>
      <c r="AB34" s="443">
        <f t="shared" ref="AB34:AB42" si="26">IF(Z34=0, "    ---- ", IF(ABS(ROUND(100/Z34*AA34-100,1))&lt;999,ROUND(100/Z34*AA34-100,1),IF(ROUND(100/Z34*AA34-100,1)&gt;999,999,-999)))</f>
        <v>12.1</v>
      </c>
      <c r="AC34" s="453"/>
      <c r="AD34" s="454"/>
      <c r="AE34" s="443"/>
      <c r="AF34" s="453"/>
      <c r="AG34" s="454"/>
      <c r="AH34" s="443"/>
      <c r="AI34" s="453">
        <v>3496.3980000000001</v>
      </c>
      <c r="AJ34" s="454">
        <v>3621.5390000000002</v>
      </c>
      <c r="AK34" s="443">
        <f t="shared" si="21"/>
        <v>3.6</v>
      </c>
      <c r="AL34" s="453">
        <v>22148.7</v>
      </c>
      <c r="AM34" s="454">
        <v>20883.8</v>
      </c>
      <c r="AN34" s="443">
        <f t="shared" ref="AN34:AN91" si="27">IF(AL34=0, "    ---- ", IF(ABS(ROUND(100/AL34*AM34-100,1))&lt;999,ROUND(100/AL34*AM34-100,1),IF(ROUND(100/AL34*AM34-100,1)&gt;999,999,-999)))</f>
        <v>-5.7</v>
      </c>
      <c r="AO34" s="442">
        <f t="shared" si="22"/>
        <v>120583.72730354</v>
      </c>
      <c r="AP34" s="442">
        <f t="shared" si="22"/>
        <v>118233.77653526999</v>
      </c>
      <c r="AQ34" s="443">
        <f t="shared" si="23"/>
        <v>-1.9</v>
      </c>
      <c r="AR34" s="442">
        <f t="shared" si="24"/>
        <v>120583.72730354</v>
      </c>
      <c r="AS34" s="442">
        <f t="shared" si="24"/>
        <v>118233.77653526999</v>
      </c>
      <c r="AT34" s="567">
        <f t="shared" si="25"/>
        <v>-1.9</v>
      </c>
      <c r="AU34" s="411"/>
      <c r="AV34" s="411"/>
      <c r="AW34" s="568"/>
    </row>
    <row r="35" spans="1:49" s="408" customFormat="1" ht="20.100000000000001" customHeight="1" x14ac:dyDescent="0.3">
      <c r="A35" s="440" t="s">
        <v>246</v>
      </c>
      <c r="B35" s="453"/>
      <c r="C35" s="454"/>
      <c r="D35" s="454"/>
      <c r="E35" s="453">
        <v>108871</v>
      </c>
      <c r="F35" s="456">
        <v>114967.38099999999</v>
      </c>
      <c r="G35" s="454">
        <f t="shared" si="19"/>
        <v>5.6</v>
      </c>
      <c r="H35" s="453">
        <v>104.83199999999999</v>
      </c>
      <c r="I35" s="454">
        <v>96.968999999999994</v>
      </c>
      <c r="J35" s="451">
        <f t="shared" ref="J35" si="28">IF(H35=0, "    ---- ", IF(ABS(ROUND(100/H35*I35-100,1))&lt;999,ROUND(100/H35*I35-100,1),IF(ROUND(100/H35*I35-100,1)&gt;999,999,-999)))</f>
        <v>-7.5</v>
      </c>
      <c r="K35" s="453">
        <v>3183.6870000000004</v>
      </c>
      <c r="L35" s="454">
        <v>3180.2</v>
      </c>
      <c r="M35" s="442">
        <f>IF(K35=0, "    ---- ", IF(ABS(ROUND(100/K35*L35-100,1))&lt;999,ROUND(100/K35*L35-100,1),IF(ROUND(100/K35*L35-100,1)&gt;999,999,-999)))</f>
        <v>-0.1</v>
      </c>
      <c r="N35" s="453"/>
      <c r="O35" s="454"/>
      <c r="P35" s="443"/>
      <c r="Q35" s="454">
        <v>162587.86600462999</v>
      </c>
      <c r="R35" s="454">
        <v>175587.53778126999</v>
      </c>
      <c r="S35" s="443">
        <f>IF(Q35=0, "    ---- ", IF(ABS(ROUND(100/Q35*R35-100,1))&lt;999,ROUND(100/Q35*R35-100,1),IF(ROUND(100/Q35*R35-100,1)&gt;999,999,-999)))</f>
        <v>8</v>
      </c>
      <c r="T35" s="453">
        <v>686.4</v>
      </c>
      <c r="U35" s="454">
        <v>748.8</v>
      </c>
      <c r="V35" s="443">
        <f>IF(T35=0, "    ---- ", IF(ABS(ROUND(100/T35*U35-100,1))&lt;999,ROUND(100/T35*U35-100,1),IF(ROUND(100/T35*U35-100,1)&gt;999,999,-999)))</f>
        <v>9.1</v>
      </c>
      <c r="W35" s="453">
        <v>20088</v>
      </c>
      <c r="X35" s="454">
        <v>24724.689359600001</v>
      </c>
      <c r="Y35" s="443">
        <f t="shared" si="20"/>
        <v>23.1</v>
      </c>
      <c r="Z35" s="453">
        <v>18627</v>
      </c>
      <c r="AA35" s="454">
        <v>19779</v>
      </c>
      <c r="AB35" s="443">
        <f t="shared" si="26"/>
        <v>6.2</v>
      </c>
      <c r="AC35" s="453"/>
      <c r="AD35" s="454"/>
      <c r="AE35" s="443"/>
      <c r="AF35" s="453">
        <v>1938.6301438099999</v>
      </c>
      <c r="AG35" s="454"/>
      <c r="AH35" s="443">
        <f>IF(AF35=0, "    ---- ", IF(ABS(ROUND(100/AF35*AG35-100,1))&lt;999,ROUND(100/AF35*AG35-100,1),IF(ROUND(100/AF35*AG35-100,1)&gt;999,999,-999)))</f>
        <v>-100</v>
      </c>
      <c r="AI35" s="453">
        <v>6601.473</v>
      </c>
      <c r="AJ35" s="454">
        <v>7357.8519999999999</v>
      </c>
      <c r="AK35" s="443">
        <f t="shared" si="21"/>
        <v>11.5</v>
      </c>
      <c r="AL35" s="453">
        <v>95099.3</v>
      </c>
      <c r="AM35" s="454">
        <v>113782.3</v>
      </c>
      <c r="AN35" s="443">
        <f t="shared" si="27"/>
        <v>19.600000000000001</v>
      </c>
      <c r="AO35" s="442">
        <f t="shared" si="22"/>
        <v>417788.18814843998</v>
      </c>
      <c r="AP35" s="442">
        <f t="shared" si="22"/>
        <v>460224.72914086998</v>
      </c>
      <c r="AQ35" s="443">
        <f t="shared" si="23"/>
        <v>10.199999999999999</v>
      </c>
      <c r="AR35" s="442">
        <f t="shared" si="24"/>
        <v>417788.18814843998</v>
      </c>
      <c r="AS35" s="442">
        <f t="shared" si="24"/>
        <v>460224.72914086998</v>
      </c>
      <c r="AT35" s="567">
        <f t="shared" si="25"/>
        <v>10.199999999999999</v>
      </c>
      <c r="AU35" s="411"/>
      <c r="AV35" s="411"/>
      <c r="AW35" s="568"/>
    </row>
    <row r="36" spans="1:49" s="408" customFormat="1" ht="20.100000000000001" customHeight="1" x14ac:dyDescent="0.3">
      <c r="A36" s="440" t="s">
        <v>247</v>
      </c>
      <c r="B36" s="453"/>
      <c r="C36" s="454"/>
      <c r="D36" s="443"/>
      <c r="E36" s="453">
        <v>84494</v>
      </c>
      <c r="F36" s="456">
        <v>79543.942999999999</v>
      </c>
      <c r="G36" s="443">
        <f t="shared" si="19"/>
        <v>-5.9</v>
      </c>
      <c r="H36" s="453"/>
      <c r="I36" s="454"/>
      <c r="J36" s="443"/>
      <c r="K36" s="453">
        <v>61.079000000000001</v>
      </c>
      <c r="L36" s="454">
        <v>30.5</v>
      </c>
      <c r="M36" s="442">
        <f>IF(K36=0, "    ---- ", IF(ABS(ROUND(100/K36*L36-100,1))&lt;999,ROUND(100/K36*L36-100,1),IF(ROUND(100/K36*L36-100,1)&gt;999,999,-999)))</f>
        <v>-50.1</v>
      </c>
      <c r="N36" s="453"/>
      <c r="O36" s="454"/>
      <c r="P36" s="443"/>
      <c r="Q36" s="453">
        <v>24757.628750979999</v>
      </c>
      <c r="R36" s="454">
        <v>25927.675700069998</v>
      </c>
      <c r="S36" s="443">
        <f>IF(Q36=0, "    ---- ", IF(ABS(ROUND(100/Q36*R36-100,1))&lt;999,ROUND(100/Q36*R36-100,1),IF(ROUND(100/Q36*R36-100,1)&gt;999,999,-999)))</f>
        <v>4.7</v>
      </c>
      <c r="T36" s="453">
        <v>108.4</v>
      </c>
      <c r="U36" s="454">
        <v>91.9</v>
      </c>
      <c r="V36" s="443">
        <f>IF(T36=0, "    ---- ", IF(ABS(ROUND(100/T36*U36-100,1))&lt;999,ROUND(100/T36*U36-100,1),IF(ROUND(100/T36*U36-100,1)&gt;999,999,-999)))</f>
        <v>-15.2</v>
      </c>
      <c r="W36" s="453">
        <v>1866</v>
      </c>
      <c r="X36" s="454">
        <v>517.58819247000008</v>
      </c>
      <c r="Y36" s="443">
        <f t="shared" si="20"/>
        <v>-72.3</v>
      </c>
      <c r="Z36" s="453">
        <v>3866</v>
      </c>
      <c r="AA36" s="454">
        <v>2576</v>
      </c>
      <c r="AB36" s="443">
        <f t="shared" si="26"/>
        <v>-33.4</v>
      </c>
      <c r="AC36" s="453"/>
      <c r="AD36" s="454"/>
      <c r="AE36" s="443"/>
      <c r="AF36" s="453"/>
      <c r="AG36" s="454"/>
      <c r="AH36" s="443"/>
      <c r="AI36" s="453">
        <v>2146.13</v>
      </c>
      <c r="AJ36" s="454">
        <v>1721.3610000000001</v>
      </c>
      <c r="AK36" s="443">
        <f t="shared" si="21"/>
        <v>-19.8</v>
      </c>
      <c r="AL36" s="453">
        <v>15648.3</v>
      </c>
      <c r="AM36" s="454">
        <v>15643.7</v>
      </c>
      <c r="AN36" s="443">
        <f t="shared" si="27"/>
        <v>0</v>
      </c>
      <c r="AO36" s="442">
        <f t="shared" si="22"/>
        <v>132947.53775098</v>
      </c>
      <c r="AP36" s="442">
        <f t="shared" si="22"/>
        <v>126052.66789253999</v>
      </c>
      <c r="AQ36" s="443">
        <f t="shared" si="23"/>
        <v>-5.2</v>
      </c>
      <c r="AR36" s="442">
        <f t="shared" si="24"/>
        <v>132947.53775098</v>
      </c>
      <c r="AS36" s="442">
        <f t="shared" si="24"/>
        <v>126052.66789253999</v>
      </c>
      <c r="AT36" s="567">
        <f t="shared" si="25"/>
        <v>-5.2</v>
      </c>
      <c r="AU36" s="411"/>
      <c r="AV36" s="411"/>
      <c r="AW36" s="568"/>
    </row>
    <row r="37" spans="1:49" s="408" customFormat="1" ht="20.100000000000001" customHeight="1" x14ac:dyDescent="0.3">
      <c r="A37" s="440" t="s">
        <v>230</v>
      </c>
      <c r="B37" s="453"/>
      <c r="C37" s="454"/>
      <c r="D37" s="454"/>
      <c r="E37" s="453">
        <v>84494</v>
      </c>
      <c r="F37" s="456">
        <v>79543.942999999999</v>
      </c>
      <c r="G37" s="454">
        <f t="shared" si="19"/>
        <v>-5.9</v>
      </c>
      <c r="H37" s="453"/>
      <c r="I37" s="454">
        <v>96.968999999999994</v>
      </c>
      <c r="J37" s="451" t="str">
        <f t="shared" ref="J37" si="29">IF(H37=0, "    ---- ", IF(ABS(ROUND(100/H37*I37-100,1))&lt;999,ROUND(100/H37*I37-100,1),IF(ROUND(100/H37*I37-100,1)&gt;999,999,-999)))</f>
        <v xml:space="preserve">    ---- </v>
      </c>
      <c r="K37" s="453">
        <v>61.079000000000001</v>
      </c>
      <c r="L37" s="454">
        <v>30.5</v>
      </c>
      <c r="M37" s="442">
        <f>IF(K37=0, "    ---- ", IF(ABS(ROUND(100/K37*L37-100,1))&lt;999,ROUND(100/K37*L37-100,1),IF(ROUND(100/K37*L37-100,1)&gt;999,999,-999)))</f>
        <v>-50.1</v>
      </c>
      <c r="N37" s="453"/>
      <c r="O37" s="454"/>
      <c r="P37" s="443"/>
      <c r="Q37" s="453">
        <v>24757.628750979999</v>
      </c>
      <c r="R37" s="454">
        <v>25927.675700069998</v>
      </c>
      <c r="S37" s="443">
        <f>IF(Q37=0, "    ---- ", IF(ABS(ROUND(100/Q37*R37-100,1))&lt;999,ROUND(100/Q37*R37-100,1),IF(ROUND(100/Q37*R37-100,1)&gt;999,999,-999)))</f>
        <v>4.7</v>
      </c>
      <c r="T37" s="453"/>
      <c r="U37" s="454"/>
      <c r="V37" s="443"/>
      <c r="W37" s="453">
        <v>1866</v>
      </c>
      <c r="X37" s="454">
        <v>517.58819247000008</v>
      </c>
      <c r="Y37" s="443">
        <f t="shared" si="20"/>
        <v>-72.3</v>
      </c>
      <c r="Z37" s="453"/>
      <c r="AA37" s="454"/>
      <c r="AB37" s="443" t="str">
        <f t="shared" si="26"/>
        <v xml:space="preserve">    ---- </v>
      </c>
      <c r="AC37" s="453"/>
      <c r="AD37" s="454"/>
      <c r="AE37" s="443"/>
      <c r="AF37" s="453"/>
      <c r="AG37" s="454"/>
      <c r="AH37" s="443"/>
      <c r="AI37" s="453">
        <v>280.77785185999983</v>
      </c>
      <c r="AJ37" s="454">
        <v>180.96577637999985</v>
      </c>
      <c r="AK37" s="443">
        <f t="shared" si="21"/>
        <v>-35.5</v>
      </c>
      <c r="AL37" s="453">
        <v>15648.3</v>
      </c>
      <c r="AM37" s="454">
        <v>15643.7</v>
      </c>
      <c r="AN37" s="443">
        <f t="shared" si="27"/>
        <v>0</v>
      </c>
      <c r="AO37" s="442">
        <f t="shared" si="22"/>
        <v>127107.78560284</v>
      </c>
      <c r="AP37" s="442">
        <f t="shared" si="22"/>
        <v>121941.34166891999</v>
      </c>
      <c r="AQ37" s="443">
        <f t="shared" si="23"/>
        <v>-4.0999999999999996</v>
      </c>
      <c r="AR37" s="442">
        <f t="shared" si="24"/>
        <v>127107.78560284</v>
      </c>
      <c r="AS37" s="442">
        <f t="shared" si="24"/>
        <v>121941.34166891999</v>
      </c>
      <c r="AT37" s="567">
        <f t="shared" si="25"/>
        <v>-4.0999999999999996</v>
      </c>
      <c r="AU37" s="411"/>
      <c r="AV37" s="411"/>
      <c r="AW37" s="568"/>
    </row>
    <row r="38" spans="1:49" s="408" customFormat="1" ht="20.100000000000001" customHeight="1" x14ac:dyDescent="0.3">
      <c r="A38" s="440" t="s">
        <v>248</v>
      </c>
      <c r="B38" s="453"/>
      <c r="C38" s="454"/>
      <c r="D38" s="454"/>
      <c r="E38" s="453">
        <v>24377</v>
      </c>
      <c r="F38" s="456">
        <v>35423.438000000002</v>
      </c>
      <c r="G38" s="454"/>
      <c r="H38" s="453"/>
      <c r="I38" s="454"/>
      <c r="J38" s="454"/>
      <c r="K38" s="453">
        <v>3122.6080000000002</v>
      </c>
      <c r="L38" s="454">
        <v>3149.7</v>
      </c>
      <c r="M38" s="442">
        <f t="shared" ref="M38:M57" si="30">IF(K38=0, "    ---- ", IF(ABS(ROUND(100/K38*L38-100,1))&lt;999,ROUND(100/K38*L38-100,1),IF(ROUND(100/K38*L38-100,1)&gt;999,999,-999)))</f>
        <v>0.9</v>
      </c>
      <c r="N38" s="453"/>
      <c r="O38" s="454"/>
      <c r="P38" s="443"/>
      <c r="Q38" s="453">
        <v>137830.23725365</v>
      </c>
      <c r="R38" s="454">
        <v>149659.8620812</v>
      </c>
      <c r="S38" s="443">
        <f t="shared" ref="S38:S45" si="31">IF(Q38=0, "    ---- ", IF(ABS(ROUND(100/Q38*R38-100,1))&lt;999,ROUND(100/Q38*R38-100,1),IF(ROUND(100/Q38*R38-100,1)&gt;999,999,-999)))</f>
        <v>8.6</v>
      </c>
      <c r="T38" s="453">
        <v>578</v>
      </c>
      <c r="U38" s="454">
        <v>656.9</v>
      </c>
      <c r="V38" s="443">
        <f>IF(T38=0, "    ---- ", IF(ABS(ROUND(100/T38*U38-100,1))&lt;999,ROUND(100/T38*U38-100,1),IF(ROUND(100/T38*U38-100,1)&gt;999,999,-999)))</f>
        <v>13.7</v>
      </c>
      <c r="W38" s="453">
        <v>18222</v>
      </c>
      <c r="X38" s="454">
        <v>24207.10116713</v>
      </c>
      <c r="Y38" s="443">
        <f t="shared" si="20"/>
        <v>32.799999999999997</v>
      </c>
      <c r="Z38" s="453">
        <v>14761</v>
      </c>
      <c r="AA38" s="454">
        <v>17203</v>
      </c>
      <c r="AB38" s="443">
        <f t="shared" si="26"/>
        <v>16.5</v>
      </c>
      <c r="AC38" s="453"/>
      <c r="AD38" s="454"/>
      <c r="AE38" s="443"/>
      <c r="AF38" s="453">
        <v>1938.6301438099999</v>
      </c>
      <c r="AG38" s="454"/>
      <c r="AH38" s="443">
        <f t="shared" ref="AH38:AH46" si="32">IF(AF38=0, "    ---- ", IF(ABS(ROUND(100/AF38*AG38-100,1))&lt;999,ROUND(100/AF38*AG38-100,1),IF(ROUND(100/AF38*AG38-100,1)&gt;999,999,-999)))</f>
        <v>-100</v>
      </c>
      <c r="AI38" s="453">
        <v>4455.3429999999998</v>
      </c>
      <c r="AJ38" s="454">
        <v>5636.491</v>
      </c>
      <c r="AK38" s="443">
        <f t="shared" si="21"/>
        <v>26.5</v>
      </c>
      <c r="AL38" s="453">
        <v>79451</v>
      </c>
      <c r="AM38" s="454">
        <v>98138.6</v>
      </c>
      <c r="AN38" s="443">
        <f t="shared" si="27"/>
        <v>23.5</v>
      </c>
      <c r="AO38" s="442">
        <f t="shared" si="22"/>
        <v>284735.81839746004</v>
      </c>
      <c r="AP38" s="442">
        <f t="shared" si="22"/>
        <v>334075.09224833001</v>
      </c>
      <c r="AQ38" s="443">
        <f t="shared" si="23"/>
        <v>17.3</v>
      </c>
      <c r="AR38" s="442">
        <f t="shared" si="24"/>
        <v>284735.81839746004</v>
      </c>
      <c r="AS38" s="442">
        <f t="shared" si="24"/>
        <v>334075.09224833001</v>
      </c>
      <c r="AT38" s="567">
        <f t="shared" si="25"/>
        <v>17.3</v>
      </c>
      <c r="AU38" s="411"/>
      <c r="AV38" s="411"/>
      <c r="AW38" s="568"/>
    </row>
    <row r="39" spans="1:49" s="408" customFormat="1" ht="20.100000000000001" customHeight="1" x14ac:dyDescent="0.3">
      <c r="A39" s="440" t="s">
        <v>249</v>
      </c>
      <c r="B39" s="453">
        <v>893.95900000000006</v>
      </c>
      <c r="C39" s="454">
        <v>937.09</v>
      </c>
      <c r="D39" s="454">
        <f>IF(B39=0, "    ---- ", IF(ABS(ROUND(100/B39*C39-100,1))&lt;999,ROUND(100/B39*C39-100,1),IF(ROUND(100/B39*C39-100,1)&gt;999,999,-999)))</f>
        <v>4.8</v>
      </c>
      <c r="E39" s="453">
        <v>80425</v>
      </c>
      <c r="F39" s="456">
        <v>73415.672000000006</v>
      </c>
      <c r="G39" s="454">
        <f t="shared" si="19"/>
        <v>-8.6999999999999993</v>
      </c>
      <c r="H39" s="454">
        <v>566.16099999999994</v>
      </c>
      <c r="I39" s="454">
        <v>671.28600000000006</v>
      </c>
      <c r="J39" s="454">
        <f t="shared" ref="J39:J46" si="33">IF(H39=0, "    ---- ", IF(ABS(ROUND(100/H39*I39-100,1))&lt;999,ROUND(100/H39*I39-100,1),IF(ROUND(100/H39*I39-100,1)&gt;999,999,-999)))</f>
        <v>18.600000000000001</v>
      </c>
      <c r="K39" s="453">
        <v>1700.0849999999998</v>
      </c>
      <c r="L39" s="454">
        <v>2223.48</v>
      </c>
      <c r="M39" s="442">
        <f t="shared" si="30"/>
        <v>30.8</v>
      </c>
      <c r="N39" s="453"/>
      <c r="O39" s="454"/>
      <c r="P39" s="443"/>
      <c r="Q39" s="454">
        <v>205497.46441674998</v>
      </c>
      <c r="R39" s="454">
        <v>229097.36049390002</v>
      </c>
      <c r="S39" s="443">
        <f t="shared" si="31"/>
        <v>11.5</v>
      </c>
      <c r="T39" s="453">
        <v>581.1</v>
      </c>
      <c r="U39" s="454">
        <v>605.4</v>
      </c>
      <c r="V39" s="443">
        <f>IF(T39=0, "    ---- ", IF(ABS(ROUND(100/T39*U39-100,1))&lt;999,ROUND(100/T39*U39-100,1),IF(ROUND(100/T39*U39-100,1)&gt;999,999,-999)))</f>
        <v>4.2</v>
      </c>
      <c r="W39" s="453">
        <v>20780.2</v>
      </c>
      <c r="X39" s="454">
        <v>19363.156535590002</v>
      </c>
      <c r="Y39" s="443">
        <f t="shared" si="20"/>
        <v>-6.8</v>
      </c>
      <c r="Z39" s="453">
        <v>42326</v>
      </c>
      <c r="AA39" s="454">
        <v>42979</v>
      </c>
      <c r="AB39" s="443">
        <f t="shared" si="26"/>
        <v>1.5</v>
      </c>
      <c r="AC39" s="453"/>
      <c r="AD39" s="454"/>
      <c r="AE39" s="443"/>
      <c r="AF39" s="453">
        <v>6603.8957508299991</v>
      </c>
      <c r="AG39" s="454"/>
      <c r="AH39" s="443">
        <f t="shared" si="32"/>
        <v>-100</v>
      </c>
      <c r="AI39" s="453">
        <v>9827.8689999999988</v>
      </c>
      <c r="AJ39" s="454">
        <v>9944.5210000000006</v>
      </c>
      <c r="AK39" s="443">
        <f t="shared" si="21"/>
        <v>1.2</v>
      </c>
      <c r="AL39" s="453">
        <v>62567.199999999997</v>
      </c>
      <c r="AM39" s="454">
        <v>49073.2</v>
      </c>
      <c r="AN39" s="443">
        <f t="shared" si="27"/>
        <v>-21.6</v>
      </c>
      <c r="AO39" s="442">
        <f t="shared" si="22"/>
        <v>431768.93416757998</v>
      </c>
      <c r="AP39" s="442">
        <f t="shared" si="22"/>
        <v>428310.16602949006</v>
      </c>
      <c r="AQ39" s="443">
        <f t="shared" si="23"/>
        <v>-0.8</v>
      </c>
      <c r="AR39" s="442">
        <f t="shared" si="24"/>
        <v>431768.93416757998</v>
      </c>
      <c r="AS39" s="442">
        <f t="shared" si="24"/>
        <v>428310.16602949006</v>
      </c>
      <c r="AT39" s="567">
        <f t="shared" si="25"/>
        <v>-0.8</v>
      </c>
      <c r="AU39" s="411"/>
      <c r="AV39" s="411"/>
      <c r="AW39" s="568"/>
    </row>
    <row r="40" spans="1:49" s="408" customFormat="1" ht="20.100000000000001" customHeight="1" x14ac:dyDescent="0.3">
      <c r="A40" s="440" t="s">
        <v>250</v>
      </c>
      <c r="B40" s="453">
        <v>20.824999999999999</v>
      </c>
      <c r="C40" s="454">
        <v>22.154</v>
      </c>
      <c r="D40" s="443">
        <f>IF(B40=0, "    ---- ", IF(ABS(ROUND(100/B40*C40-100,1))&lt;999,ROUND(100/B40*C40-100,1),IF(ROUND(100/B40*C40-100,1)&gt;999,999,-999)))</f>
        <v>6.4</v>
      </c>
      <c r="E40" s="453">
        <v>6825</v>
      </c>
      <c r="F40" s="456">
        <v>12069.698</v>
      </c>
      <c r="G40" s="443">
        <f t="shared" si="19"/>
        <v>76.8</v>
      </c>
      <c r="H40" s="453">
        <v>69.451999999999998</v>
      </c>
      <c r="I40" s="454">
        <v>84.204999999999998</v>
      </c>
      <c r="J40" s="443">
        <f t="shared" si="33"/>
        <v>21.2</v>
      </c>
      <c r="K40" s="453"/>
      <c r="L40" s="454">
        <v>734.1</v>
      </c>
      <c r="M40" s="442" t="str">
        <f t="shared" si="30"/>
        <v xml:space="preserve">    ---- </v>
      </c>
      <c r="N40" s="453"/>
      <c r="O40" s="454"/>
      <c r="P40" s="443"/>
      <c r="Q40" s="453">
        <v>82289.722784130005</v>
      </c>
      <c r="R40" s="454">
        <v>93531.449896730002</v>
      </c>
      <c r="S40" s="443">
        <f t="shared" si="31"/>
        <v>13.7</v>
      </c>
      <c r="T40" s="453">
        <v>141.6</v>
      </c>
      <c r="U40" s="454">
        <v>161.19999999999999</v>
      </c>
      <c r="V40" s="443">
        <f>IF(T40=0, "    ---- ", IF(ABS(ROUND(100/T40*U40-100,1))&lt;999,ROUND(100/T40*U40-100,1),IF(ROUND(100/T40*U40-100,1)&gt;999,999,-999)))</f>
        <v>13.8</v>
      </c>
      <c r="W40" s="453">
        <v>5470</v>
      </c>
      <c r="X40" s="454">
        <v>5099.4539491800006</v>
      </c>
      <c r="Y40" s="443">
        <f t="shared" si="20"/>
        <v>-6.8</v>
      </c>
      <c r="Z40" s="453">
        <v>21916</v>
      </c>
      <c r="AA40" s="454">
        <v>22576</v>
      </c>
      <c r="AB40" s="443">
        <f t="shared" si="26"/>
        <v>3</v>
      </c>
      <c r="AC40" s="453"/>
      <c r="AD40" s="454"/>
      <c r="AE40" s="443"/>
      <c r="AF40" s="453">
        <v>2075.95403102</v>
      </c>
      <c r="AG40" s="454"/>
      <c r="AH40" s="443">
        <f t="shared" si="32"/>
        <v>-100</v>
      </c>
      <c r="AI40" s="453">
        <v>2770.3049999999998</v>
      </c>
      <c r="AJ40" s="454">
        <v>2829.3380000000002</v>
      </c>
      <c r="AK40" s="443">
        <f t="shared" si="21"/>
        <v>2.1</v>
      </c>
      <c r="AL40" s="453">
        <v>12225.7</v>
      </c>
      <c r="AM40" s="454">
        <v>10501.4</v>
      </c>
      <c r="AN40" s="443">
        <f t="shared" si="27"/>
        <v>-14.1</v>
      </c>
      <c r="AO40" s="442">
        <f t="shared" si="22"/>
        <v>133804.55881515</v>
      </c>
      <c r="AP40" s="442">
        <f t="shared" si="22"/>
        <v>147608.99884590998</v>
      </c>
      <c r="AQ40" s="443">
        <f t="shared" si="23"/>
        <v>10.3</v>
      </c>
      <c r="AR40" s="442">
        <f t="shared" si="24"/>
        <v>133804.55881515</v>
      </c>
      <c r="AS40" s="442">
        <f t="shared" si="24"/>
        <v>147608.99884590998</v>
      </c>
      <c r="AT40" s="567">
        <f t="shared" si="25"/>
        <v>10.3</v>
      </c>
      <c r="AU40" s="411"/>
      <c r="AV40" s="411"/>
      <c r="AW40" s="568"/>
    </row>
    <row r="41" spans="1:49" s="408" customFormat="1" ht="20.100000000000001" customHeight="1" x14ac:dyDescent="0.3">
      <c r="A41" s="440" t="s">
        <v>251</v>
      </c>
      <c r="B41" s="453">
        <v>850.84</v>
      </c>
      <c r="C41" s="454">
        <v>896.04100000000005</v>
      </c>
      <c r="D41" s="454">
        <f>IF(B41=0, "    ---- ", IF(ABS(ROUND(100/B41*C41-100,1))&lt;999,ROUND(100/B41*C41-100,1),IF(ROUND(100/B41*C41-100,1)&gt;999,999,-999)))</f>
        <v>5.3</v>
      </c>
      <c r="E41" s="453">
        <v>61708</v>
      </c>
      <c r="F41" s="456">
        <v>56559.379000000001</v>
      </c>
      <c r="G41" s="454">
        <f t="shared" si="19"/>
        <v>-8.3000000000000007</v>
      </c>
      <c r="H41" s="453">
        <v>440.38299999999998</v>
      </c>
      <c r="I41" s="454">
        <v>512.84100000000001</v>
      </c>
      <c r="J41" s="454">
        <f>IF(H41=0, "    ---- ", IF(ABS(ROUND(100/H41*I41-100,1))&lt;999,ROUND(100/H41*I41-100,1),IF(ROUND(100/H41*I41-100,1)&gt;999,999,-999)))</f>
        <v>16.5</v>
      </c>
      <c r="K41" s="453">
        <v>1502.7529999999999</v>
      </c>
      <c r="L41" s="454">
        <v>1357.2</v>
      </c>
      <c r="M41" s="442">
        <f t="shared" si="30"/>
        <v>-9.6999999999999993</v>
      </c>
      <c r="N41" s="453"/>
      <c r="O41" s="454"/>
      <c r="P41" s="443"/>
      <c r="Q41" s="453">
        <v>108382.66062766001</v>
      </c>
      <c r="R41" s="454">
        <v>123574.31912714</v>
      </c>
      <c r="S41" s="443">
        <f t="shared" si="31"/>
        <v>14</v>
      </c>
      <c r="T41" s="453">
        <v>425.2</v>
      </c>
      <c r="U41" s="454">
        <v>437</v>
      </c>
      <c r="V41" s="443">
        <f>IF(T41=0, "    ---- ", IF(ABS(ROUND(100/T41*U41-100,1))&lt;999,ROUND(100/T41*U41-100,1),IF(ROUND(100/T41*U41-100,1)&gt;999,999,-999)))</f>
        <v>2.8</v>
      </c>
      <c r="W41" s="453">
        <v>15028</v>
      </c>
      <c r="X41" s="454">
        <v>13860.65361743</v>
      </c>
      <c r="Y41" s="443">
        <f t="shared" si="20"/>
        <v>-7.8</v>
      </c>
      <c r="Z41" s="453">
        <v>18381</v>
      </c>
      <c r="AA41" s="454">
        <v>18628</v>
      </c>
      <c r="AB41" s="443">
        <f t="shared" si="26"/>
        <v>1.3</v>
      </c>
      <c r="AC41" s="453"/>
      <c r="AD41" s="454"/>
      <c r="AE41" s="443"/>
      <c r="AF41" s="453">
        <v>4488.3077696999999</v>
      </c>
      <c r="AG41" s="454"/>
      <c r="AH41" s="443">
        <f t="shared" si="32"/>
        <v>-100</v>
      </c>
      <c r="AI41" s="453">
        <v>6935.5309999999999</v>
      </c>
      <c r="AJ41" s="454">
        <v>6809.6189999999997</v>
      </c>
      <c r="AK41" s="443">
        <f t="shared" si="21"/>
        <v>-1.8</v>
      </c>
      <c r="AL41" s="453">
        <v>48113.7</v>
      </c>
      <c r="AM41" s="454">
        <v>38444.1</v>
      </c>
      <c r="AN41" s="443">
        <f t="shared" si="27"/>
        <v>-20.100000000000001</v>
      </c>
      <c r="AO41" s="442">
        <f t="shared" si="22"/>
        <v>266256.37539736001</v>
      </c>
      <c r="AP41" s="442">
        <f t="shared" si="22"/>
        <v>261079.15274457002</v>
      </c>
      <c r="AQ41" s="443">
        <f t="shared" si="23"/>
        <v>-1.9</v>
      </c>
      <c r="AR41" s="442">
        <f t="shared" si="24"/>
        <v>266256.37539736001</v>
      </c>
      <c r="AS41" s="442">
        <f t="shared" si="24"/>
        <v>261079.15274457002</v>
      </c>
      <c r="AT41" s="567">
        <f t="shared" si="25"/>
        <v>-1.9</v>
      </c>
      <c r="AU41" s="411"/>
      <c r="AV41" s="411"/>
      <c r="AW41" s="568"/>
    </row>
    <row r="42" spans="1:49" s="408" customFormat="1" ht="20.100000000000001" customHeight="1" x14ac:dyDescent="0.3">
      <c r="A42" s="440" t="s">
        <v>252</v>
      </c>
      <c r="B42" s="453"/>
      <c r="C42" s="454"/>
      <c r="D42" s="454"/>
      <c r="E42" s="453">
        <v>10612</v>
      </c>
      <c r="F42" s="456">
        <v>3495</v>
      </c>
      <c r="G42" s="454">
        <f t="shared" si="19"/>
        <v>-67.099999999999994</v>
      </c>
      <c r="H42" s="453"/>
      <c r="I42" s="454"/>
      <c r="J42" s="454"/>
      <c r="K42" s="453">
        <v>5.5910000000000002</v>
      </c>
      <c r="L42" s="454">
        <v>0.2</v>
      </c>
      <c r="M42" s="442">
        <f t="shared" si="30"/>
        <v>-96.4</v>
      </c>
      <c r="N42" s="453"/>
      <c r="O42" s="454"/>
      <c r="P42" s="443"/>
      <c r="Q42" s="453">
        <v>12070.984748469999</v>
      </c>
      <c r="R42" s="454">
        <v>9654.3752367099987</v>
      </c>
      <c r="S42" s="443">
        <f t="shared" si="31"/>
        <v>-20</v>
      </c>
      <c r="T42" s="453">
        <v>14.3</v>
      </c>
      <c r="U42" s="454">
        <v>5.9</v>
      </c>
      <c r="V42" s="443">
        <f>IF(T42=0, "    ---- ", IF(ABS(ROUND(100/T42*U42-100,1))&lt;999,ROUND(100/T42*U42-100,1),IF(ROUND(100/T42*U42-100,1)&gt;999,999,-999)))</f>
        <v>-58.7</v>
      </c>
      <c r="W42" s="453"/>
      <c r="X42" s="454"/>
      <c r="Y42" s="443"/>
      <c r="Z42" s="453">
        <v>242</v>
      </c>
      <c r="AA42" s="454">
        <v>100</v>
      </c>
      <c r="AB42" s="443">
        <f t="shared" si="26"/>
        <v>-58.7</v>
      </c>
      <c r="AC42" s="453"/>
      <c r="AD42" s="454"/>
      <c r="AE42" s="443"/>
      <c r="AF42" s="453">
        <v>11.879346269999999</v>
      </c>
      <c r="AG42" s="454"/>
      <c r="AH42" s="443">
        <f t="shared" si="32"/>
        <v>-100</v>
      </c>
      <c r="AI42" s="453"/>
      <c r="AJ42" s="454"/>
      <c r="AK42" s="443"/>
      <c r="AL42" s="453"/>
      <c r="AM42" s="454"/>
      <c r="AN42" s="443"/>
      <c r="AO42" s="442">
        <f t="shared" si="22"/>
        <v>22956.755094740001</v>
      </c>
      <c r="AP42" s="442">
        <f t="shared" si="22"/>
        <v>13255.475236709999</v>
      </c>
      <c r="AQ42" s="443">
        <f t="shared" si="23"/>
        <v>-42.3</v>
      </c>
      <c r="AR42" s="442">
        <f t="shared" si="24"/>
        <v>22956.755094740001</v>
      </c>
      <c r="AS42" s="442">
        <f t="shared" si="24"/>
        <v>13255.475236709999</v>
      </c>
      <c r="AT42" s="567">
        <f t="shared" si="25"/>
        <v>-42.3</v>
      </c>
      <c r="AU42" s="411"/>
      <c r="AV42" s="411"/>
      <c r="AW42" s="568"/>
    </row>
    <row r="43" spans="1:49" s="408" customFormat="1" ht="20.100000000000001" customHeight="1" x14ac:dyDescent="0.3">
      <c r="A43" s="440" t="s">
        <v>253</v>
      </c>
      <c r="B43" s="453">
        <v>0.995</v>
      </c>
      <c r="C43" s="454">
        <v>0.379</v>
      </c>
      <c r="D43" s="454">
        <f>IF(B43=0, "    ---- ", IF(ABS(ROUND(100/B43*C43-100,1))&lt;999,ROUND(100/B43*C43-100,1),IF(ROUND(100/B43*C43-100,1)&gt;999,999,-999)))</f>
        <v>-61.9</v>
      </c>
      <c r="E43" s="453">
        <v>310</v>
      </c>
      <c r="F43" s="456">
        <v>334.03100000000001</v>
      </c>
      <c r="G43" s="454">
        <f t="shared" si="19"/>
        <v>7.8</v>
      </c>
      <c r="H43" s="453"/>
      <c r="I43" s="454"/>
      <c r="J43" s="454"/>
      <c r="K43" s="453"/>
      <c r="L43" s="454"/>
      <c r="M43" s="442"/>
      <c r="N43" s="453"/>
      <c r="O43" s="454"/>
      <c r="P43" s="443"/>
      <c r="Q43" s="453">
        <v>491.87275693999999</v>
      </c>
      <c r="R43" s="454">
        <v>936.76059715999997</v>
      </c>
      <c r="S43" s="443">
        <f t="shared" si="31"/>
        <v>90.4</v>
      </c>
      <c r="T43" s="453"/>
      <c r="U43" s="454"/>
      <c r="V43" s="443"/>
      <c r="W43" s="453"/>
      <c r="X43" s="454">
        <v>231.62344098</v>
      </c>
      <c r="Y43" s="443" t="str">
        <f t="shared" si="20"/>
        <v xml:space="preserve">    ---- </v>
      </c>
      <c r="Z43" s="453"/>
      <c r="AA43" s="454"/>
      <c r="AB43" s="443"/>
      <c r="AC43" s="453"/>
      <c r="AD43" s="454"/>
      <c r="AE43" s="443"/>
      <c r="AF43" s="453"/>
      <c r="AG43" s="454"/>
      <c r="AH43" s="443"/>
      <c r="AI43" s="453">
        <v>0.52300000000000002</v>
      </c>
      <c r="AJ43" s="454">
        <v>4.7270000000000003</v>
      </c>
      <c r="AK43" s="443">
        <f t="shared" si="21"/>
        <v>803.8</v>
      </c>
      <c r="AL43" s="453">
        <v>225.3</v>
      </c>
      <c r="AM43" s="454">
        <v>127.7</v>
      </c>
      <c r="AN43" s="443">
        <f t="shared" si="27"/>
        <v>-43.3</v>
      </c>
      <c r="AO43" s="442">
        <f t="shared" si="22"/>
        <v>1028.69075694</v>
      </c>
      <c r="AP43" s="442">
        <f t="shared" si="22"/>
        <v>1635.22103814</v>
      </c>
      <c r="AQ43" s="443">
        <f t="shared" si="23"/>
        <v>59</v>
      </c>
      <c r="AR43" s="442">
        <f t="shared" si="24"/>
        <v>1028.69075694</v>
      </c>
      <c r="AS43" s="442">
        <f t="shared" si="24"/>
        <v>1635.22103814</v>
      </c>
      <c r="AT43" s="567">
        <f t="shared" si="25"/>
        <v>59</v>
      </c>
      <c r="AU43" s="411"/>
      <c r="AV43" s="411"/>
      <c r="AW43" s="568"/>
    </row>
    <row r="44" spans="1:49" s="408" customFormat="1" ht="20.100000000000001" customHeight="1" x14ac:dyDescent="0.3">
      <c r="A44" s="440" t="s">
        <v>254</v>
      </c>
      <c r="B44" s="453">
        <v>21.298999999999999</v>
      </c>
      <c r="C44" s="454">
        <v>18.515999999999998</v>
      </c>
      <c r="D44" s="454">
        <f>IF(B44=0, "    ---- ", IF(ABS(ROUND(100/B44*C44-100,1))&lt;999,ROUND(100/B44*C44-100,1),IF(ROUND(100/B44*C44-100,1)&gt;999,999,-999)))</f>
        <v>-13.1</v>
      </c>
      <c r="E44" s="453">
        <v>970</v>
      </c>
      <c r="F44" s="456">
        <v>957.56399999999996</v>
      </c>
      <c r="G44" s="454">
        <f t="shared" si="19"/>
        <v>-1.3</v>
      </c>
      <c r="H44" s="453">
        <v>56.326000000000001</v>
      </c>
      <c r="I44" s="454">
        <v>74.239999999999995</v>
      </c>
      <c r="J44" s="454">
        <f t="shared" si="33"/>
        <v>31.8</v>
      </c>
      <c r="K44" s="453">
        <v>191.74100000000001</v>
      </c>
      <c r="L44" s="454">
        <v>131.97999999999999</v>
      </c>
      <c r="M44" s="442">
        <f t="shared" si="30"/>
        <v>-31.2</v>
      </c>
      <c r="N44" s="453"/>
      <c r="O44" s="454"/>
      <c r="P44" s="443"/>
      <c r="Q44" s="453">
        <v>2262.2234995500003</v>
      </c>
      <c r="R44" s="454">
        <v>1400.45563616</v>
      </c>
      <c r="S44" s="443">
        <f t="shared" si="31"/>
        <v>-38.1</v>
      </c>
      <c r="T44" s="453"/>
      <c r="U44" s="454">
        <v>1.3</v>
      </c>
      <c r="V44" s="443" t="str">
        <f>IF(T44=0, "    ---- ", IF(ABS(ROUND(100/T44*U44-100,1))&lt;999,ROUND(100/T44*U44-100,1),IF(ROUND(100/T44*U44-100,1)&gt;999,999,-999)))</f>
        <v xml:space="preserve">    ---- </v>
      </c>
      <c r="W44" s="453">
        <v>282.2</v>
      </c>
      <c r="X44" s="454">
        <v>171.42552800000001</v>
      </c>
      <c r="Y44" s="443">
        <f t="shared" si="20"/>
        <v>-39.299999999999997</v>
      </c>
      <c r="Z44" s="453">
        <v>1787</v>
      </c>
      <c r="AA44" s="454">
        <v>1675</v>
      </c>
      <c r="AB44" s="443">
        <f>IF(Z44=0, "    ---- ", IF(ABS(ROUND(100/Z44*AA44-100,1))&lt;999,ROUND(100/Z44*AA44-100,1),IF(ROUND(100/Z44*AA44-100,1)&gt;999,999,-999)))</f>
        <v>-6.3</v>
      </c>
      <c r="AC44" s="453"/>
      <c r="AD44" s="454"/>
      <c r="AE44" s="443"/>
      <c r="AF44" s="453">
        <v>27.754603840000001</v>
      </c>
      <c r="AG44" s="454"/>
      <c r="AH44" s="443">
        <f t="shared" si="32"/>
        <v>-100</v>
      </c>
      <c r="AI44" s="453">
        <v>121.51</v>
      </c>
      <c r="AJ44" s="454">
        <v>300.83699999999999</v>
      </c>
      <c r="AK44" s="443">
        <f t="shared" si="21"/>
        <v>147.6</v>
      </c>
      <c r="AL44" s="453">
        <v>2002.5</v>
      </c>
      <c r="AM44" s="454"/>
      <c r="AN44" s="443">
        <f t="shared" si="27"/>
        <v>-100</v>
      </c>
      <c r="AO44" s="442">
        <f t="shared" si="22"/>
        <v>7722.5541033899999</v>
      </c>
      <c r="AP44" s="442">
        <f t="shared" si="22"/>
        <v>4731.3181641600004</v>
      </c>
      <c r="AQ44" s="443">
        <f t="shared" si="23"/>
        <v>-38.700000000000003</v>
      </c>
      <c r="AR44" s="442">
        <f t="shared" si="24"/>
        <v>7722.5541033899999</v>
      </c>
      <c r="AS44" s="442">
        <f t="shared" si="24"/>
        <v>4731.3181641600004</v>
      </c>
      <c r="AT44" s="567">
        <f t="shared" si="25"/>
        <v>-38.700000000000003</v>
      </c>
      <c r="AU44" s="411"/>
      <c r="AV44" s="411"/>
      <c r="AW44" s="568"/>
    </row>
    <row r="45" spans="1:49" s="408" customFormat="1" ht="20.100000000000001" customHeight="1" x14ac:dyDescent="0.3">
      <c r="A45" s="509" t="s">
        <v>255</v>
      </c>
      <c r="B45" s="453">
        <v>893.95900000000006</v>
      </c>
      <c r="C45" s="454">
        <v>937.09</v>
      </c>
      <c r="D45" s="443">
        <f>IF(B45=0, "    ---- ", IF(ABS(ROUND(100/B45*C45-100,1))&lt;999,ROUND(100/B45*C45-100,1),IF(ROUND(100/B45*C45-100,1)&gt;999,999,-999)))</f>
        <v>4.8</v>
      </c>
      <c r="E45" s="453">
        <v>211725</v>
      </c>
      <c r="F45" s="456">
        <v>208790.04100000003</v>
      </c>
      <c r="G45" s="443">
        <f t="shared" si="19"/>
        <v>-1.4</v>
      </c>
      <c r="H45" s="454">
        <v>670.99299999999994</v>
      </c>
      <c r="I45" s="454">
        <v>768.25500000000011</v>
      </c>
      <c r="J45" s="443">
        <f t="shared" si="33"/>
        <v>14.5</v>
      </c>
      <c r="K45" s="453">
        <v>4883.7719999999999</v>
      </c>
      <c r="L45" s="454">
        <v>5403.68</v>
      </c>
      <c r="M45" s="442">
        <f t="shared" si="30"/>
        <v>10.6</v>
      </c>
      <c r="N45" s="453"/>
      <c r="O45" s="454"/>
      <c r="P45" s="443"/>
      <c r="Q45" s="454">
        <v>421835.15972491994</v>
      </c>
      <c r="R45" s="454">
        <v>460288.83548502001</v>
      </c>
      <c r="S45" s="443">
        <f t="shared" si="31"/>
        <v>9.1</v>
      </c>
      <c r="T45" s="453">
        <v>1435.3000000000002</v>
      </c>
      <c r="U45" s="454">
        <v>1540.6</v>
      </c>
      <c r="V45" s="443">
        <f>IF(T45=0, "    ---- ", IF(ABS(ROUND(100/T45*U45-100,1))&lt;999,ROUND(100/T45*U45-100,1),IF(ROUND(100/T45*U45-100,1)&gt;999,999,-999)))</f>
        <v>7.3</v>
      </c>
      <c r="W45" s="453">
        <v>48390.2</v>
      </c>
      <c r="X45" s="454">
        <v>49237.434222580006</v>
      </c>
      <c r="Y45" s="443">
        <f t="shared" si="20"/>
        <v>1.8</v>
      </c>
      <c r="Z45" s="453">
        <v>72038</v>
      </c>
      <c r="AA45" s="454">
        <v>75185</v>
      </c>
      <c r="AB45" s="443">
        <f>IF(Z45=0, "    ---- ", IF(ABS(ROUND(100/Z45*AA45-100,1))&lt;999,ROUND(100/Z45*AA45-100,1),IF(ROUND(100/Z45*AA45-100,1)&gt;999,999,-999)))</f>
        <v>4.4000000000000004</v>
      </c>
      <c r="AC45" s="453"/>
      <c r="AD45" s="454"/>
      <c r="AE45" s="443"/>
      <c r="AF45" s="453">
        <v>8542.525894639999</v>
      </c>
      <c r="AG45" s="454"/>
      <c r="AH45" s="443">
        <f t="shared" si="32"/>
        <v>-100</v>
      </c>
      <c r="AI45" s="453">
        <v>19926.756000000001</v>
      </c>
      <c r="AJ45" s="454">
        <v>20924.917000000001</v>
      </c>
      <c r="AK45" s="443">
        <f t="shared" si="21"/>
        <v>5</v>
      </c>
      <c r="AL45" s="453">
        <v>179815.2</v>
      </c>
      <c r="AM45" s="454">
        <v>183739.3</v>
      </c>
      <c r="AN45" s="443">
        <f t="shared" si="27"/>
        <v>2.2000000000000002</v>
      </c>
      <c r="AO45" s="442">
        <f t="shared" si="22"/>
        <v>970156.86561956001</v>
      </c>
      <c r="AP45" s="442">
        <f t="shared" si="22"/>
        <v>1006815.1527076</v>
      </c>
      <c r="AQ45" s="443">
        <f t="shared" si="23"/>
        <v>3.8</v>
      </c>
      <c r="AR45" s="442">
        <f t="shared" si="24"/>
        <v>970156.86561956001</v>
      </c>
      <c r="AS45" s="442">
        <f t="shared" si="24"/>
        <v>1006815.1527076</v>
      </c>
      <c r="AT45" s="567">
        <f t="shared" si="25"/>
        <v>3.8</v>
      </c>
      <c r="AU45" s="411"/>
      <c r="AV45" s="411"/>
      <c r="AW45" s="568"/>
    </row>
    <row r="46" spans="1:49" s="408" customFormat="1" ht="20.100000000000001" customHeight="1" x14ac:dyDescent="0.3">
      <c r="A46" s="480" t="s">
        <v>390</v>
      </c>
      <c r="B46" s="453">
        <v>115.25</v>
      </c>
      <c r="C46" s="454">
        <v>106.992</v>
      </c>
      <c r="D46" s="443">
        <f>IF(B46=0, "    ---- ", IF(ABS(ROUND(100/B46*C46-100,1))&lt;999,ROUND(100/B46*C46-100,1),IF(ROUND(100/B46*C46-100,1)&gt;999,999,-999)))</f>
        <v>-7.2</v>
      </c>
      <c r="E46" s="453"/>
      <c r="F46" s="456"/>
      <c r="G46" s="443"/>
      <c r="H46" s="453">
        <v>77.888000000000005</v>
      </c>
      <c r="I46" s="454">
        <v>89.576999999999998</v>
      </c>
      <c r="J46" s="443">
        <f t="shared" si="33"/>
        <v>15</v>
      </c>
      <c r="K46" s="453"/>
      <c r="L46" s="454">
        <v>25.16</v>
      </c>
      <c r="M46" s="442" t="str">
        <f t="shared" si="30"/>
        <v xml:space="preserve">    ---- </v>
      </c>
      <c r="N46" s="453"/>
      <c r="O46" s="454"/>
      <c r="P46" s="443"/>
      <c r="Q46" s="453"/>
      <c r="R46" s="454"/>
      <c r="S46" s="443"/>
      <c r="T46" s="453"/>
      <c r="U46" s="454"/>
      <c r="V46" s="443"/>
      <c r="W46" s="453">
        <v>83</v>
      </c>
      <c r="X46" s="454">
        <v>88.2</v>
      </c>
      <c r="Y46" s="443">
        <f t="shared" si="20"/>
        <v>6.3</v>
      </c>
      <c r="Z46" s="453"/>
      <c r="AA46" s="454"/>
      <c r="AB46" s="443"/>
      <c r="AC46" s="453"/>
      <c r="AD46" s="454"/>
      <c r="AE46" s="443"/>
      <c r="AF46" s="453">
        <v>28.073235789999998</v>
      </c>
      <c r="AG46" s="454"/>
      <c r="AH46" s="443">
        <f t="shared" si="32"/>
        <v>-100</v>
      </c>
      <c r="AI46" s="453">
        <v>367.21199999999999</v>
      </c>
      <c r="AJ46" s="454">
        <v>415.24299999999999</v>
      </c>
      <c r="AK46" s="443">
        <f t="shared" si="21"/>
        <v>13.1</v>
      </c>
      <c r="AL46" s="453"/>
      <c r="AM46" s="454">
        <v>106.2</v>
      </c>
      <c r="AN46" s="443" t="str">
        <f t="shared" si="27"/>
        <v xml:space="preserve">    ---- </v>
      </c>
      <c r="AO46" s="442">
        <f t="shared" si="22"/>
        <v>671.42323579000004</v>
      </c>
      <c r="AP46" s="442">
        <f t="shared" si="22"/>
        <v>831.37200000000007</v>
      </c>
      <c r="AQ46" s="443">
        <f t="shared" si="23"/>
        <v>23.8</v>
      </c>
      <c r="AR46" s="442">
        <f t="shared" si="24"/>
        <v>671.42323579000004</v>
      </c>
      <c r="AS46" s="442">
        <f t="shared" si="24"/>
        <v>831.37200000000007</v>
      </c>
      <c r="AT46" s="567">
        <f t="shared" si="25"/>
        <v>23.8</v>
      </c>
      <c r="AU46" s="411"/>
      <c r="AV46" s="411"/>
      <c r="AW46" s="568"/>
    </row>
    <row r="47" spans="1:49" s="408" customFormat="1" ht="20.100000000000001" customHeight="1" x14ac:dyDescent="0.3">
      <c r="A47" s="480" t="s">
        <v>256</v>
      </c>
      <c r="B47" s="453"/>
      <c r="C47" s="454"/>
      <c r="D47" s="454"/>
      <c r="E47" s="453"/>
      <c r="F47" s="456"/>
      <c r="G47" s="454"/>
      <c r="H47" s="453"/>
      <c r="I47" s="454"/>
      <c r="J47" s="454"/>
      <c r="K47" s="453"/>
      <c r="L47" s="454"/>
      <c r="M47" s="442"/>
      <c r="N47" s="453"/>
      <c r="O47" s="454"/>
      <c r="P47" s="443"/>
      <c r="Q47" s="453"/>
      <c r="R47" s="454"/>
      <c r="S47" s="443"/>
      <c r="T47" s="453"/>
      <c r="U47" s="454"/>
      <c r="V47" s="443"/>
      <c r="W47" s="453"/>
      <c r="X47" s="454"/>
      <c r="Y47" s="443"/>
      <c r="Z47" s="453"/>
      <c r="AA47" s="454"/>
      <c r="AB47" s="443"/>
      <c r="AC47" s="453"/>
      <c r="AD47" s="454"/>
      <c r="AE47" s="443"/>
      <c r="AF47" s="453"/>
      <c r="AG47" s="454"/>
      <c r="AH47" s="443"/>
      <c r="AI47" s="453"/>
      <c r="AJ47" s="454"/>
      <c r="AK47" s="443"/>
      <c r="AL47" s="453"/>
      <c r="AM47" s="454"/>
      <c r="AN47" s="443"/>
      <c r="AO47" s="442"/>
      <c r="AP47" s="442"/>
      <c r="AQ47" s="443"/>
      <c r="AR47" s="442"/>
      <c r="AS47" s="442"/>
      <c r="AT47" s="567"/>
      <c r="AU47" s="411"/>
      <c r="AV47" s="411"/>
      <c r="AW47" s="568"/>
    </row>
    <row r="48" spans="1:49" s="408" customFormat="1" ht="20.100000000000001" customHeight="1" x14ac:dyDescent="0.3">
      <c r="A48" s="440" t="s">
        <v>257</v>
      </c>
      <c r="B48" s="453"/>
      <c r="C48" s="454"/>
      <c r="D48" s="454"/>
      <c r="E48" s="453"/>
      <c r="F48" s="456"/>
      <c r="G48" s="454"/>
      <c r="H48" s="453"/>
      <c r="I48" s="454"/>
      <c r="J48" s="454"/>
      <c r="K48" s="453"/>
      <c r="L48" s="454"/>
      <c r="M48" s="442"/>
      <c r="N48" s="453"/>
      <c r="O48" s="454"/>
      <c r="P48" s="443"/>
      <c r="Q48" s="453"/>
      <c r="R48" s="454"/>
      <c r="S48" s="443"/>
      <c r="T48" s="453"/>
      <c r="U48" s="454"/>
      <c r="V48" s="443"/>
      <c r="W48" s="453"/>
      <c r="X48" s="454"/>
      <c r="Y48" s="443"/>
      <c r="Z48" s="453"/>
      <c r="AA48" s="454"/>
      <c r="AB48" s="443"/>
      <c r="AC48" s="453"/>
      <c r="AD48" s="454"/>
      <c r="AE48" s="443"/>
      <c r="AF48" s="453"/>
      <c r="AG48" s="454"/>
      <c r="AH48" s="443"/>
      <c r="AI48" s="453"/>
      <c r="AJ48" s="454"/>
      <c r="AK48" s="443"/>
      <c r="AL48" s="453"/>
      <c r="AM48" s="454"/>
      <c r="AN48" s="443"/>
      <c r="AO48" s="442">
        <f t="shared" ref="AO48:AP62" si="34">B48+E48+H48+K48+Q48+T48+W48+Z48+AF48+AI48+AL48</f>
        <v>0</v>
      </c>
      <c r="AP48" s="442">
        <f t="shared" si="34"/>
        <v>0</v>
      </c>
      <c r="AQ48" s="443" t="str">
        <f t="shared" si="23"/>
        <v xml:space="preserve">    ---- </v>
      </c>
      <c r="AR48" s="442">
        <f t="shared" si="24"/>
        <v>0</v>
      </c>
      <c r="AS48" s="442">
        <f t="shared" si="24"/>
        <v>0</v>
      </c>
      <c r="AT48" s="567" t="str">
        <f t="shared" si="25"/>
        <v xml:space="preserve">    ---- </v>
      </c>
      <c r="AU48" s="411"/>
      <c r="AV48" s="411"/>
      <c r="AW48" s="568"/>
    </row>
    <row r="49" spans="1:49" s="408" customFormat="1" ht="20.100000000000001" customHeight="1" x14ac:dyDescent="0.3">
      <c r="A49" s="440" t="s">
        <v>258</v>
      </c>
      <c r="B49" s="453"/>
      <c r="C49" s="454"/>
      <c r="D49" s="454"/>
      <c r="E49" s="453"/>
      <c r="F49" s="456"/>
      <c r="G49" s="454"/>
      <c r="H49" s="453"/>
      <c r="I49" s="454"/>
      <c r="J49" s="454"/>
      <c r="K49" s="453"/>
      <c r="L49" s="454"/>
      <c r="M49" s="442"/>
      <c r="N49" s="453"/>
      <c r="O49" s="454"/>
      <c r="P49" s="443"/>
      <c r="Q49" s="453">
        <v>263.91805569000002</v>
      </c>
      <c r="R49" s="454">
        <v>272.24023388000001</v>
      </c>
      <c r="S49" s="443">
        <f t="shared" ref="S49:S60" si="35">IF(Q49=0, "    ---- ", IF(ABS(ROUND(100/Q49*R49-100,1))&lt;999,ROUND(100/Q49*R49-100,1),IF(ROUND(100/Q49*R49-100,1)&gt;999,999,-999)))</f>
        <v>3.2</v>
      </c>
      <c r="T49" s="453"/>
      <c r="U49" s="454"/>
      <c r="V49" s="443"/>
      <c r="W49" s="453"/>
      <c r="X49" s="454"/>
      <c r="Y49" s="443"/>
      <c r="Z49" s="453"/>
      <c r="AA49" s="454"/>
      <c r="AB49" s="443"/>
      <c r="AC49" s="453"/>
      <c r="AD49" s="454"/>
      <c r="AE49" s="443"/>
      <c r="AF49" s="453"/>
      <c r="AG49" s="454"/>
      <c r="AH49" s="443"/>
      <c r="AI49" s="453"/>
      <c r="AJ49" s="454"/>
      <c r="AK49" s="443"/>
      <c r="AL49" s="453">
        <v>2424</v>
      </c>
      <c r="AM49" s="454">
        <v>2974.2</v>
      </c>
      <c r="AN49" s="443">
        <f t="shared" si="27"/>
        <v>22.7</v>
      </c>
      <c r="AO49" s="442">
        <f t="shared" si="34"/>
        <v>2687.9180556900001</v>
      </c>
      <c r="AP49" s="442">
        <f t="shared" si="34"/>
        <v>3246.4402338800001</v>
      </c>
      <c r="AQ49" s="443">
        <f t="shared" si="23"/>
        <v>20.8</v>
      </c>
      <c r="AR49" s="442">
        <f t="shared" si="24"/>
        <v>2687.9180556900001</v>
      </c>
      <c r="AS49" s="442">
        <f t="shared" si="24"/>
        <v>3246.4402338800001</v>
      </c>
      <c r="AT49" s="567">
        <f t="shared" si="25"/>
        <v>20.8</v>
      </c>
      <c r="AU49" s="411"/>
      <c r="AV49" s="411"/>
      <c r="AW49" s="568"/>
    </row>
    <row r="50" spans="1:49" s="408" customFormat="1" ht="20.100000000000001" customHeight="1" x14ac:dyDescent="0.3">
      <c r="A50" s="440" t="s">
        <v>259</v>
      </c>
      <c r="B50" s="453"/>
      <c r="C50" s="454"/>
      <c r="D50" s="454"/>
      <c r="E50" s="453"/>
      <c r="F50" s="456"/>
      <c r="G50" s="454"/>
      <c r="H50" s="453"/>
      <c r="I50" s="454"/>
      <c r="J50" s="454"/>
      <c r="K50" s="453"/>
      <c r="L50" s="454"/>
      <c r="M50" s="442"/>
      <c r="N50" s="453"/>
      <c r="O50" s="454"/>
      <c r="P50" s="443"/>
      <c r="Q50" s="454">
        <v>678.47050480999997</v>
      </c>
      <c r="R50" s="454">
        <v>737.82598879</v>
      </c>
      <c r="S50" s="443">
        <f t="shared" si="35"/>
        <v>8.6999999999999993</v>
      </c>
      <c r="T50" s="453"/>
      <c r="U50" s="454"/>
      <c r="V50" s="443"/>
      <c r="W50" s="453"/>
      <c r="X50" s="454"/>
      <c r="Y50" s="443"/>
      <c r="Z50" s="453"/>
      <c r="AA50" s="454"/>
      <c r="AB50" s="443"/>
      <c r="AC50" s="453"/>
      <c r="AD50" s="454"/>
      <c r="AE50" s="443"/>
      <c r="AF50" s="453"/>
      <c r="AG50" s="454"/>
      <c r="AH50" s="443"/>
      <c r="AI50" s="453"/>
      <c r="AJ50" s="454"/>
      <c r="AK50" s="443"/>
      <c r="AL50" s="453"/>
      <c r="AM50" s="454">
        <v>282.89999999999998</v>
      </c>
      <c r="AN50" s="443" t="str">
        <f t="shared" si="27"/>
        <v xml:space="preserve">    ---- </v>
      </c>
      <c r="AO50" s="442">
        <f t="shared" si="34"/>
        <v>678.47050480999997</v>
      </c>
      <c r="AP50" s="442">
        <f t="shared" si="34"/>
        <v>1020.72598879</v>
      </c>
      <c r="AQ50" s="443">
        <f t="shared" si="23"/>
        <v>50.4</v>
      </c>
      <c r="AR50" s="442">
        <f t="shared" si="24"/>
        <v>678.47050480999997</v>
      </c>
      <c r="AS50" s="442">
        <f t="shared" si="24"/>
        <v>1020.72598879</v>
      </c>
      <c r="AT50" s="567">
        <f t="shared" si="25"/>
        <v>50.4</v>
      </c>
      <c r="AU50" s="411"/>
      <c r="AV50" s="411"/>
      <c r="AW50" s="568"/>
    </row>
    <row r="51" spans="1:49" s="408" customFormat="1" ht="20.100000000000001" customHeight="1" x14ac:dyDescent="0.3">
      <c r="A51" s="440" t="s">
        <v>260</v>
      </c>
      <c r="B51" s="453"/>
      <c r="C51" s="454"/>
      <c r="D51" s="443"/>
      <c r="E51" s="453"/>
      <c r="F51" s="456"/>
      <c r="G51" s="443"/>
      <c r="H51" s="453"/>
      <c r="I51" s="454"/>
      <c r="J51" s="443"/>
      <c r="K51" s="453"/>
      <c r="L51" s="454"/>
      <c r="M51" s="442"/>
      <c r="N51" s="453"/>
      <c r="O51" s="454"/>
      <c r="P51" s="443"/>
      <c r="Q51" s="453">
        <v>135.80730702000002</v>
      </c>
      <c r="R51" s="454">
        <v>119.52241793</v>
      </c>
      <c r="S51" s="443">
        <f t="shared" si="35"/>
        <v>-12</v>
      </c>
      <c r="T51" s="453"/>
      <c r="U51" s="454"/>
      <c r="V51" s="443"/>
      <c r="W51" s="453"/>
      <c r="X51" s="454"/>
      <c r="Y51" s="443"/>
      <c r="Z51" s="453"/>
      <c r="AA51" s="454"/>
      <c r="AB51" s="443"/>
      <c r="AC51" s="453"/>
      <c r="AD51" s="454"/>
      <c r="AE51" s="443"/>
      <c r="AF51" s="453"/>
      <c r="AG51" s="454"/>
      <c r="AH51" s="443"/>
      <c r="AI51" s="453"/>
      <c r="AJ51" s="454"/>
      <c r="AK51" s="443"/>
      <c r="AL51" s="453"/>
      <c r="AM51" s="454"/>
      <c r="AN51" s="443"/>
      <c r="AO51" s="442">
        <f t="shared" si="34"/>
        <v>135.80730702000002</v>
      </c>
      <c r="AP51" s="442">
        <f t="shared" si="34"/>
        <v>119.52241793</v>
      </c>
      <c r="AQ51" s="443">
        <f t="shared" si="23"/>
        <v>-12</v>
      </c>
      <c r="AR51" s="442">
        <f t="shared" si="24"/>
        <v>135.80730702000002</v>
      </c>
      <c r="AS51" s="442">
        <f t="shared" si="24"/>
        <v>119.52241793</v>
      </c>
      <c r="AT51" s="567">
        <f t="shared" si="25"/>
        <v>-12</v>
      </c>
      <c r="AU51" s="411"/>
      <c r="AV51" s="411"/>
      <c r="AW51" s="568"/>
    </row>
    <row r="52" spans="1:49" s="473" customFormat="1" ht="20.100000000000001" customHeight="1" x14ac:dyDescent="0.3">
      <c r="A52" s="440" t="s">
        <v>230</v>
      </c>
      <c r="B52" s="470"/>
      <c r="C52" s="451"/>
      <c r="D52" s="451"/>
      <c r="E52" s="470"/>
      <c r="F52" s="472"/>
      <c r="G52" s="451"/>
      <c r="H52" s="470"/>
      <c r="I52" s="451"/>
      <c r="J52" s="451"/>
      <c r="K52" s="470"/>
      <c r="L52" s="451"/>
      <c r="M52" s="561"/>
      <c r="N52" s="470"/>
      <c r="O52" s="451"/>
      <c r="P52" s="451"/>
      <c r="Q52" s="470">
        <v>135.80730702000002</v>
      </c>
      <c r="R52" s="451">
        <v>119.52241793</v>
      </c>
      <c r="S52" s="443">
        <f>IF(Q52=0, "    ---- ", IF(ABS(ROUND(100/Q52*R52-100,1))&lt;999,ROUND(100/Q52*R52-100,1),IF(ROUND(100/Q52*R52-100,1)&gt;999,999,-999)))</f>
        <v>-12</v>
      </c>
      <c r="T52" s="470"/>
      <c r="U52" s="451"/>
      <c r="V52" s="451"/>
      <c r="W52" s="470"/>
      <c r="X52" s="451"/>
      <c r="Y52" s="451"/>
      <c r="Z52" s="470"/>
      <c r="AA52" s="451"/>
      <c r="AB52" s="451"/>
      <c r="AC52" s="470"/>
      <c r="AD52" s="451"/>
      <c r="AE52" s="451"/>
      <c r="AF52" s="470"/>
      <c r="AG52" s="451"/>
      <c r="AH52" s="451"/>
      <c r="AI52" s="470"/>
      <c r="AJ52" s="451"/>
      <c r="AK52" s="451"/>
      <c r="AL52" s="470"/>
      <c r="AM52" s="451"/>
      <c r="AN52" s="451"/>
      <c r="AO52" s="561">
        <f t="shared" si="34"/>
        <v>135.80730702000002</v>
      </c>
      <c r="AP52" s="561">
        <f t="shared" si="34"/>
        <v>119.52241793</v>
      </c>
      <c r="AQ52" s="451">
        <f t="shared" si="23"/>
        <v>-12</v>
      </c>
      <c r="AR52" s="561">
        <f>B52+E52+H52+K52+N52+Q52+T52+W52+Z52+AC52+AF52+AI52+AL52</f>
        <v>135.80730702000002</v>
      </c>
      <c r="AS52" s="561">
        <f>C52+F52+I52+L52+O52+R52+U52+X52+AA52+AD52+AG52+AJ52+AM52</f>
        <v>119.52241793</v>
      </c>
      <c r="AT52" s="565">
        <f t="shared" si="25"/>
        <v>-12</v>
      </c>
      <c r="AU52" s="564"/>
      <c r="AV52" s="564"/>
      <c r="AW52" s="566"/>
    </row>
    <row r="53" spans="1:49" s="408" customFormat="1" ht="20.100000000000001" customHeight="1" x14ac:dyDescent="0.3">
      <c r="A53" s="440" t="s">
        <v>261</v>
      </c>
      <c r="B53" s="453"/>
      <c r="C53" s="454"/>
      <c r="D53" s="454"/>
      <c r="E53" s="453"/>
      <c r="F53" s="456"/>
      <c r="G53" s="454"/>
      <c r="H53" s="453"/>
      <c r="I53" s="454"/>
      <c r="J53" s="454"/>
      <c r="K53" s="453"/>
      <c r="L53" s="454"/>
      <c r="M53" s="442"/>
      <c r="N53" s="453"/>
      <c r="O53" s="454"/>
      <c r="P53" s="443"/>
      <c r="Q53" s="453">
        <v>542.66319778999991</v>
      </c>
      <c r="R53" s="454">
        <v>618.30357086000004</v>
      </c>
      <c r="S53" s="443">
        <f t="shared" si="35"/>
        <v>13.9</v>
      </c>
      <c r="T53" s="453"/>
      <c r="U53" s="454"/>
      <c r="V53" s="443"/>
      <c r="W53" s="453"/>
      <c r="X53" s="454"/>
      <c r="Y53" s="443"/>
      <c r="Z53" s="453"/>
      <c r="AA53" s="454"/>
      <c r="AB53" s="443"/>
      <c r="AC53" s="453"/>
      <c r="AD53" s="454"/>
      <c r="AE53" s="443"/>
      <c r="AF53" s="453"/>
      <c r="AG53" s="454"/>
      <c r="AH53" s="443"/>
      <c r="AI53" s="453"/>
      <c r="AJ53" s="454"/>
      <c r="AK53" s="443"/>
      <c r="AL53" s="453"/>
      <c r="AM53" s="454">
        <v>282.89999999999998</v>
      </c>
      <c r="AN53" s="443" t="str">
        <f t="shared" si="27"/>
        <v xml:space="preserve">    ---- </v>
      </c>
      <c r="AO53" s="442">
        <f t="shared" si="34"/>
        <v>542.66319778999991</v>
      </c>
      <c r="AP53" s="442">
        <f t="shared" si="34"/>
        <v>901.20357086000001</v>
      </c>
      <c r="AQ53" s="443">
        <f t="shared" si="23"/>
        <v>66.099999999999994</v>
      </c>
      <c r="AR53" s="442">
        <f>B53+E53+H53+K53+N53+Q53+T53+W53+Z53+AC53+AF53+AI53+AL53</f>
        <v>542.66319778999991</v>
      </c>
      <c r="AS53" s="442">
        <f t="shared" si="24"/>
        <v>901.20357086000001</v>
      </c>
      <c r="AT53" s="567">
        <f t="shared" si="25"/>
        <v>66.099999999999994</v>
      </c>
      <c r="AU53" s="411"/>
      <c r="AV53" s="411"/>
      <c r="AW53" s="568"/>
    </row>
    <row r="54" spans="1:49" s="408" customFormat="1" ht="20.100000000000001" customHeight="1" x14ac:dyDescent="0.3">
      <c r="A54" s="440" t="s">
        <v>262</v>
      </c>
      <c r="B54" s="453">
        <v>12330.572</v>
      </c>
      <c r="C54" s="454">
        <v>14037.344999999999</v>
      </c>
      <c r="D54" s="454">
        <f>IF(B54=0, "    ---- ", IF(ABS(ROUND(100/B54*C54-100,1))&lt;999,ROUND(100/B54*C54-100,1),IF(ROUND(100/B54*C54-100,1)&gt;999,999,-999)))</f>
        <v>13.8</v>
      </c>
      <c r="E54" s="453">
        <v>49678</v>
      </c>
      <c r="F54" s="456">
        <v>60220.194000000003</v>
      </c>
      <c r="G54" s="454">
        <f t="shared" si="19"/>
        <v>21.2</v>
      </c>
      <c r="H54" s="453">
        <v>2345.8090000000002</v>
      </c>
      <c r="I54" s="454">
        <v>2680.7439999999997</v>
      </c>
      <c r="J54" s="454">
        <f>IF(H54=0, "    ---- ", IF(ABS(ROUND(100/H54*I54-100,1))&lt;999,ROUND(100/H54*I54-100,1),IF(ROUND(100/H54*I54-100,1)&gt;999,999,-999)))</f>
        <v>14.3</v>
      </c>
      <c r="K54" s="453">
        <v>15155.47</v>
      </c>
      <c r="L54" s="454">
        <v>17827.650000000001</v>
      </c>
      <c r="M54" s="442">
        <f t="shared" si="30"/>
        <v>17.600000000000001</v>
      </c>
      <c r="N54" s="453"/>
      <c r="O54" s="454"/>
      <c r="P54" s="443"/>
      <c r="Q54" s="454">
        <v>1107.5441265500001</v>
      </c>
      <c r="R54" s="454">
        <v>1174.3004724700004</v>
      </c>
      <c r="S54" s="443">
        <f t="shared" si="35"/>
        <v>6</v>
      </c>
      <c r="T54" s="453">
        <v>1182.5</v>
      </c>
      <c r="U54" s="454">
        <v>1673.8000000000002</v>
      </c>
      <c r="V54" s="443">
        <f>IF(T54=0, "    ---- ", IF(ABS(ROUND(100/T54*U54-100,1))&lt;999,ROUND(100/T54*U54-100,1),IF(ROUND(100/T54*U54-100,1)&gt;999,999,-999)))</f>
        <v>41.5</v>
      </c>
      <c r="W54" s="453">
        <v>39157.699999999997</v>
      </c>
      <c r="X54" s="454">
        <v>47300.72</v>
      </c>
      <c r="Y54" s="443">
        <f t="shared" si="20"/>
        <v>20.8</v>
      </c>
      <c r="Z54" s="453"/>
      <c r="AA54" s="454"/>
      <c r="AB54" s="443"/>
      <c r="AC54" s="453">
        <v>1611</v>
      </c>
      <c r="AD54" s="454">
        <v>1764</v>
      </c>
      <c r="AE54" s="443">
        <f>IF(AC54=0, "    ---- ", IF(ABS(ROUND(100/AC54*AD54-100,1))&lt;999,ROUND(100/AC54*AD54-100,1),IF(ROUND(100/AC54*AD54-100,1)&gt;999,999,-999)))</f>
        <v>9.5</v>
      </c>
      <c r="AF54" s="453">
        <v>561.27960910000002</v>
      </c>
      <c r="AG54" s="454"/>
      <c r="AH54" s="443">
        <f>IF(AF54=0, "    ---- ", IF(ABS(ROUND(100/AF54*AG54-100,1))&lt;999,ROUND(100/AF54*AG54-100,1),IF(ROUND(100/AF54*AG54-100,1)&gt;999,999,-999)))</f>
        <v>-100</v>
      </c>
      <c r="AI54" s="453">
        <v>15566.876</v>
      </c>
      <c r="AJ54" s="454">
        <v>19262.904000000002</v>
      </c>
      <c r="AK54" s="443">
        <f t="shared" si="21"/>
        <v>23.7</v>
      </c>
      <c r="AL54" s="453">
        <v>51975.499999999993</v>
      </c>
      <c r="AM54" s="454">
        <v>61506.100000000006</v>
      </c>
      <c r="AN54" s="443">
        <f t="shared" si="27"/>
        <v>18.3</v>
      </c>
      <c r="AO54" s="442">
        <f t="shared" si="34"/>
        <v>189061.25073564998</v>
      </c>
      <c r="AP54" s="442">
        <f t="shared" si="34"/>
        <v>225683.75747247005</v>
      </c>
      <c r="AQ54" s="443">
        <f t="shared" si="23"/>
        <v>19.399999999999999</v>
      </c>
      <c r="AR54" s="442">
        <f t="shared" ref="AR54:AS64" si="36">B54+E54+H54+K54+N54+Q54+T54+W54+Z54+AC54+AF54+AI54+AL54</f>
        <v>190672.25073564998</v>
      </c>
      <c r="AS54" s="442">
        <f t="shared" si="24"/>
        <v>227447.75747247005</v>
      </c>
      <c r="AT54" s="567">
        <f t="shared" si="25"/>
        <v>19.3</v>
      </c>
      <c r="AU54" s="411"/>
      <c r="AV54" s="411"/>
      <c r="AW54" s="568"/>
    </row>
    <row r="55" spans="1:49" s="408" customFormat="1" ht="20.100000000000001" customHeight="1" x14ac:dyDescent="0.3">
      <c r="A55" s="440" t="s">
        <v>263</v>
      </c>
      <c r="B55" s="453">
        <v>7239.3490000000002</v>
      </c>
      <c r="C55" s="454">
        <v>8240.9349999999995</v>
      </c>
      <c r="D55" s="454">
        <f>IF(B55=0, "    ---- ", IF(ABS(ROUND(100/B55*C55-100,1))&lt;999,ROUND(100/B55*C55-100,1),IF(ROUND(100/B55*C55-100,1)&gt;999,999,-999)))</f>
        <v>13.8</v>
      </c>
      <c r="E55" s="453">
        <v>25803</v>
      </c>
      <c r="F55" s="456">
        <v>31463.717000000001</v>
      </c>
      <c r="G55" s="454">
        <f t="shared" si="19"/>
        <v>21.9</v>
      </c>
      <c r="H55" s="453">
        <v>1281.134</v>
      </c>
      <c r="I55" s="454">
        <v>1475.595</v>
      </c>
      <c r="J55" s="454">
        <f>IF(H55=0, "    ---- ", IF(ABS(ROUND(100/H55*I55-100,1))&lt;999,ROUND(100/H55*I55-100,1),IF(ROUND(100/H55*I55-100,1)&gt;999,999,-999)))</f>
        <v>15.2</v>
      </c>
      <c r="K55" s="453">
        <v>13720.596</v>
      </c>
      <c r="L55" s="454">
        <v>16002.8</v>
      </c>
      <c r="M55" s="442">
        <f t="shared" si="30"/>
        <v>16.600000000000001</v>
      </c>
      <c r="N55" s="453"/>
      <c r="O55" s="454"/>
      <c r="P55" s="443"/>
      <c r="Q55" s="453">
        <v>459.43555214999998</v>
      </c>
      <c r="R55" s="454">
        <v>518.66368894000004</v>
      </c>
      <c r="S55" s="443">
        <f t="shared" si="35"/>
        <v>12.9</v>
      </c>
      <c r="T55" s="453">
        <v>582.70000000000005</v>
      </c>
      <c r="U55" s="454">
        <v>893</v>
      </c>
      <c r="V55" s="443">
        <f>IF(T55=0, "    ---- ", IF(ABS(ROUND(100/T55*U55-100,1))&lt;999,ROUND(100/T55*U55-100,1),IF(ROUND(100/T55*U55-100,1)&gt;999,999,-999)))</f>
        <v>53.3</v>
      </c>
      <c r="W55" s="453">
        <v>39067.4</v>
      </c>
      <c r="X55" s="454">
        <v>47289.68</v>
      </c>
      <c r="Y55" s="443">
        <f t="shared" si="20"/>
        <v>21</v>
      </c>
      <c r="Z55" s="453"/>
      <c r="AA55" s="454"/>
      <c r="AB55" s="443"/>
      <c r="AC55" s="453">
        <v>1611</v>
      </c>
      <c r="AD55" s="454">
        <v>1764</v>
      </c>
      <c r="AE55" s="443">
        <f>IF(AC55=0, "    ---- ", IF(ABS(ROUND(100/AC55*AD55-100,1))&lt;999,ROUND(100/AC55*AD55-100,1),IF(ROUND(100/AC55*AD55-100,1)&gt;999,999,-999)))</f>
        <v>9.5</v>
      </c>
      <c r="AF55" s="453">
        <v>274.74165019999998</v>
      </c>
      <c r="AG55" s="454"/>
      <c r="AH55" s="443">
        <f>IF(AF55=0, "    ---- ", IF(ABS(ROUND(100/AF55*AG55-100,1))&lt;999,ROUND(100/AF55*AG55-100,1),IF(ROUND(100/AF55*AG55-100,1)&gt;999,999,-999)))</f>
        <v>-100</v>
      </c>
      <c r="AI55" s="453">
        <v>8749.7060000000001</v>
      </c>
      <c r="AJ55" s="454">
        <v>10873.314</v>
      </c>
      <c r="AK55" s="443">
        <f t="shared" si="21"/>
        <v>24.3</v>
      </c>
      <c r="AL55" s="453">
        <v>32040.799999999999</v>
      </c>
      <c r="AM55" s="454">
        <v>39625.800000000003</v>
      </c>
      <c r="AN55" s="443">
        <f t="shared" si="27"/>
        <v>23.7</v>
      </c>
      <c r="AO55" s="442">
        <f t="shared" si="34"/>
        <v>129218.86220234999</v>
      </c>
      <c r="AP55" s="442">
        <f t="shared" si="34"/>
        <v>156383.50468894001</v>
      </c>
      <c r="AQ55" s="443">
        <f t="shared" si="23"/>
        <v>21</v>
      </c>
      <c r="AR55" s="442">
        <f t="shared" si="36"/>
        <v>130829.86220234999</v>
      </c>
      <c r="AS55" s="442">
        <f t="shared" si="24"/>
        <v>158147.50468894001</v>
      </c>
      <c r="AT55" s="567">
        <f t="shared" si="25"/>
        <v>20.9</v>
      </c>
      <c r="AU55" s="411"/>
      <c r="AV55" s="411"/>
      <c r="AW55" s="568"/>
    </row>
    <row r="56" spans="1:49" s="408" customFormat="1" ht="20.100000000000001" customHeight="1" x14ac:dyDescent="0.3">
      <c r="A56" s="440" t="s">
        <v>264</v>
      </c>
      <c r="B56" s="453">
        <v>5020.2730000000001</v>
      </c>
      <c r="C56" s="454">
        <v>5718.7489999999998</v>
      </c>
      <c r="D56" s="454">
        <f>IF(B56=0, "    ---- ", IF(ABS(ROUND(100/B56*C56-100,1))&lt;999,ROUND(100/B56*C56-100,1),IF(ROUND(100/B56*C56-100,1)&gt;999,999,-999)))</f>
        <v>13.9</v>
      </c>
      <c r="E56" s="453">
        <v>22365</v>
      </c>
      <c r="F56" s="456">
        <v>27161.313999999998</v>
      </c>
      <c r="G56" s="454">
        <f t="shared" si="19"/>
        <v>21.4</v>
      </c>
      <c r="H56" s="453">
        <v>143.44499999999999</v>
      </c>
      <c r="I56" s="454">
        <v>157.453</v>
      </c>
      <c r="J56" s="454">
        <f>IF(H56=0, "    ---- ", IF(ABS(ROUND(100/H56*I56-100,1))&lt;999,ROUND(100/H56*I56-100,1),IF(ROUND(100/H56*I56-100,1)&gt;999,999,-999)))</f>
        <v>9.8000000000000007</v>
      </c>
      <c r="K56" s="453">
        <v>1389.0229999999999</v>
      </c>
      <c r="L56" s="454">
        <v>1777.2</v>
      </c>
      <c r="M56" s="442">
        <f t="shared" si="30"/>
        <v>27.9</v>
      </c>
      <c r="N56" s="453"/>
      <c r="O56" s="454"/>
      <c r="P56" s="443"/>
      <c r="Q56" s="453">
        <v>599.26225815999999</v>
      </c>
      <c r="R56" s="454">
        <v>619.69967838000002</v>
      </c>
      <c r="S56" s="443">
        <f t="shared" si="35"/>
        <v>3.4</v>
      </c>
      <c r="T56" s="453">
        <v>590.5</v>
      </c>
      <c r="U56" s="454">
        <v>769.4</v>
      </c>
      <c r="V56" s="443">
        <f>IF(T56=0, "    ---- ", IF(ABS(ROUND(100/T56*U56-100,1))&lt;999,ROUND(100/T56*U56-100,1),IF(ROUND(100/T56*U56-100,1)&gt;999,999,-999)))</f>
        <v>30.3</v>
      </c>
      <c r="W56" s="453"/>
      <c r="X56" s="454"/>
      <c r="Y56" s="443"/>
      <c r="Z56" s="453"/>
      <c r="AA56" s="454"/>
      <c r="AB56" s="443"/>
      <c r="AC56" s="453"/>
      <c r="AD56" s="454"/>
      <c r="AE56" s="443"/>
      <c r="AF56" s="453">
        <v>277.03644717999998</v>
      </c>
      <c r="AG56" s="454"/>
      <c r="AH56" s="443">
        <f>IF(AF56=0, "    ---- ", IF(ABS(ROUND(100/AF56*AG56-100,1))&lt;999,ROUND(100/AF56*AG56-100,1),IF(ROUND(100/AF56*AG56-100,1)&gt;999,999,-999)))</f>
        <v>-100</v>
      </c>
      <c r="AI56" s="453">
        <v>6817.9579999999996</v>
      </c>
      <c r="AJ56" s="454">
        <v>8349.107</v>
      </c>
      <c r="AK56" s="443">
        <f t="shared" si="21"/>
        <v>22.5</v>
      </c>
      <c r="AL56" s="453">
        <v>19746.599999999999</v>
      </c>
      <c r="AM56" s="454">
        <v>21806.799999999999</v>
      </c>
      <c r="AN56" s="443">
        <f t="shared" si="27"/>
        <v>10.4</v>
      </c>
      <c r="AO56" s="442">
        <f t="shared" si="34"/>
        <v>56949.097705339998</v>
      </c>
      <c r="AP56" s="442">
        <f t="shared" si="34"/>
        <v>66359.72267838</v>
      </c>
      <c r="AQ56" s="443">
        <f t="shared" si="23"/>
        <v>16.5</v>
      </c>
      <c r="AR56" s="442">
        <f t="shared" si="36"/>
        <v>56949.097705339998</v>
      </c>
      <c r="AS56" s="442">
        <f t="shared" si="24"/>
        <v>66359.72267838</v>
      </c>
      <c r="AT56" s="567">
        <f t="shared" si="25"/>
        <v>16.5</v>
      </c>
      <c r="AU56" s="411"/>
      <c r="AV56" s="411"/>
      <c r="AW56" s="568"/>
    </row>
    <row r="57" spans="1:49" s="408" customFormat="1" ht="20.100000000000001" customHeight="1" x14ac:dyDescent="0.3">
      <c r="A57" s="440" t="s">
        <v>265</v>
      </c>
      <c r="B57" s="453"/>
      <c r="C57" s="454"/>
      <c r="D57" s="443"/>
      <c r="E57" s="453">
        <v>1510</v>
      </c>
      <c r="F57" s="456">
        <v>1595.163</v>
      </c>
      <c r="G57" s="443">
        <f t="shared" si="19"/>
        <v>5.6</v>
      </c>
      <c r="H57" s="453"/>
      <c r="I57" s="454"/>
      <c r="J57" s="443"/>
      <c r="K57" s="453">
        <v>32.976999999999997</v>
      </c>
      <c r="L57" s="454">
        <v>38.200000000000003</v>
      </c>
      <c r="M57" s="443">
        <f t="shared" si="30"/>
        <v>15.8</v>
      </c>
      <c r="N57" s="453"/>
      <c r="O57" s="454"/>
      <c r="P57" s="443"/>
      <c r="Q57" s="453">
        <v>46.736934179999999</v>
      </c>
      <c r="R57" s="454">
        <v>33.657214429999996</v>
      </c>
      <c r="S57" s="443">
        <f t="shared" si="35"/>
        <v>-28</v>
      </c>
      <c r="T57" s="453">
        <v>9.3000000000000007</v>
      </c>
      <c r="U57" s="454">
        <v>9</v>
      </c>
      <c r="V57" s="443">
        <f>IF(T57=0, "    ---- ", IF(ABS(ROUND(100/T57*U57-100,1))&lt;999,ROUND(100/T57*U57-100,1),IF(ROUND(100/T57*U57-100,1)&gt;999,999,-999)))</f>
        <v>-3.2</v>
      </c>
      <c r="W57" s="453">
        <v>0.2</v>
      </c>
      <c r="X57" s="454">
        <v>0</v>
      </c>
      <c r="Y57" s="443">
        <f t="shared" si="20"/>
        <v>-100</v>
      </c>
      <c r="Z57" s="453"/>
      <c r="AA57" s="454"/>
      <c r="AB57" s="443"/>
      <c r="AC57" s="453"/>
      <c r="AD57" s="454"/>
      <c r="AE57" s="443"/>
      <c r="AF57" s="453"/>
      <c r="AG57" s="454"/>
      <c r="AH57" s="443"/>
      <c r="AI57" s="453"/>
      <c r="AJ57" s="454"/>
      <c r="AK57" s="443"/>
      <c r="AL57" s="453"/>
      <c r="AM57" s="454"/>
      <c r="AN57" s="443"/>
      <c r="AO57" s="442">
        <f t="shared" si="34"/>
        <v>1599.21393418</v>
      </c>
      <c r="AP57" s="442">
        <f t="shared" si="34"/>
        <v>1676.0202144300001</v>
      </c>
      <c r="AQ57" s="443">
        <f t="shared" si="23"/>
        <v>4.8</v>
      </c>
      <c r="AR57" s="442">
        <f t="shared" si="36"/>
        <v>1599.21393418</v>
      </c>
      <c r="AS57" s="442">
        <f t="shared" si="24"/>
        <v>1676.0202144300001</v>
      </c>
      <c r="AT57" s="567">
        <f t="shared" si="25"/>
        <v>4.8</v>
      </c>
      <c r="AU57" s="411"/>
      <c r="AV57" s="411"/>
      <c r="AW57" s="568"/>
    </row>
    <row r="58" spans="1:49" s="408" customFormat="1" ht="20.100000000000001" customHeight="1" x14ac:dyDescent="0.3">
      <c r="A58" s="440" t="s">
        <v>266</v>
      </c>
      <c r="B58" s="453"/>
      <c r="C58" s="454"/>
      <c r="D58" s="443"/>
      <c r="E58" s="453"/>
      <c r="F58" s="456"/>
      <c r="G58" s="443"/>
      <c r="H58" s="453"/>
      <c r="I58" s="454"/>
      <c r="J58" s="443"/>
      <c r="K58" s="453"/>
      <c r="L58" s="454"/>
      <c r="M58" s="443"/>
      <c r="N58" s="453"/>
      <c r="O58" s="454"/>
      <c r="P58" s="443"/>
      <c r="Q58" s="453">
        <v>0.94609736</v>
      </c>
      <c r="R58" s="454">
        <v>2.27989073</v>
      </c>
      <c r="S58" s="443">
        <f t="shared" si="35"/>
        <v>141</v>
      </c>
      <c r="T58" s="453"/>
      <c r="U58" s="454"/>
      <c r="V58" s="443"/>
      <c r="W58" s="453"/>
      <c r="X58" s="454"/>
      <c r="Y58" s="443"/>
      <c r="Z58" s="453"/>
      <c r="AA58" s="454"/>
      <c r="AB58" s="443"/>
      <c r="AC58" s="453"/>
      <c r="AD58" s="454"/>
      <c r="AE58" s="443"/>
      <c r="AF58" s="453"/>
      <c r="AG58" s="454"/>
      <c r="AH58" s="443"/>
      <c r="AI58" s="453"/>
      <c r="AJ58" s="454"/>
      <c r="AK58" s="443"/>
      <c r="AL58" s="453">
        <v>9.5</v>
      </c>
      <c r="AM58" s="454">
        <v>73.5</v>
      </c>
      <c r="AN58" s="443">
        <f t="shared" si="27"/>
        <v>673.7</v>
      </c>
      <c r="AO58" s="442">
        <f t="shared" si="34"/>
        <v>10.44609736</v>
      </c>
      <c r="AP58" s="442">
        <f t="shared" si="34"/>
        <v>75.779890730000005</v>
      </c>
      <c r="AQ58" s="443">
        <f t="shared" si="23"/>
        <v>625.4</v>
      </c>
      <c r="AR58" s="442">
        <f t="shared" si="36"/>
        <v>10.44609736</v>
      </c>
      <c r="AS58" s="442">
        <f t="shared" si="24"/>
        <v>75.779890730000005</v>
      </c>
      <c r="AT58" s="567">
        <f t="shared" si="25"/>
        <v>625.4</v>
      </c>
      <c r="AU58" s="411"/>
      <c r="AV58" s="411"/>
      <c r="AW58" s="568"/>
    </row>
    <row r="59" spans="1:49" s="408" customFormat="1" ht="20.100000000000001" customHeight="1" x14ac:dyDescent="0.3">
      <c r="A59" s="440" t="s">
        <v>267</v>
      </c>
      <c r="B59" s="453">
        <v>70.95</v>
      </c>
      <c r="C59" s="454">
        <v>77.661000000000001</v>
      </c>
      <c r="D59" s="443">
        <f>IF(B59=0, "    ---- ", IF(ABS(ROUND(100/B59*C59-100,1))&lt;999,ROUND(100/B59*C59-100,1),IF(ROUND(100/B59*C59-100,1)&gt;999,999,-999)))</f>
        <v>9.5</v>
      </c>
      <c r="E59" s="453"/>
      <c r="F59" s="456"/>
      <c r="G59" s="443"/>
      <c r="H59" s="453">
        <v>921.23</v>
      </c>
      <c r="I59" s="454">
        <v>1047.6959999999999</v>
      </c>
      <c r="J59" s="443">
        <f>IF(H59=0, "    ---- ", IF(ABS(ROUND(100/H59*I59-100,1))&lt;999,ROUND(100/H59*I59-100,1),IF(ROUND(100/H59*I59-100,1)&gt;999,999,-999)))</f>
        <v>13.7</v>
      </c>
      <c r="K59" s="453">
        <v>12.874000000000001</v>
      </c>
      <c r="L59" s="454">
        <v>9.4499999999999993</v>
      </c>
      <c r="M59" s="443">
        <f>IF(K59=0, "    ---- ", IF(ABS(ROUND(100/K59*L59-100,1))&lt;999,ROUND(100/K59*L59-100,1),IF(ROUND(100/K59*L59-100,1)&gt;999,999,-999)))</f>
        <v>-26.6</v>
      </c>
      <c r="N59" s="453"/>
      <c r="O59" s="454"/>
      <c r="P59" s="443"/>
      <c r="Q59" s="453">
        <v>1.1632846999999999</v>
      </c>
      <c r="R59" s="454">
        <v>-1E-8</v>
      </c>
      <c r="S59" s="443">
        <f t="shared" si="35"/>
        <v>-100</v>
      </c>
      <c r="T59" s="453"/>
      <c r="U59" s="454">
        <v>2.4</v>
      </c>
      <c r="V59" s="443" t="str">
        <f>IF(T59=0, "    ---- ", IF(ABS(ROUND(100/T59*U59-100,1))&lt;999,ROUND(100/T59*U59-100,1),IF(ROUND(100/T59*U59-100,1)&gt;999,999,-999)))</f>
        <v xml:space="preserve">    ---- </v>
      </c>
      <c r="W59" s="453">
        <v>90.1</v>
      </c>
      <c r="X59" s="454">
        <v>11.04</v>
      </c>
      <c r="Y59" s="443">
        <f t="shared" si="20"/>
        <v>-87.7</v>
      </c>
      <c r="Z59" s="453"/>
      <c r="AA59" s="454"/>
      <c r="AB59" s="443"/>
      <c r="AC59" s="453"/>
      <c r="AD59" s="454"/>
      <c r="AE59" s="443"/>
      <c r="AF59" s="453">
        <v>9.5015117199999999</v>
      </c>
      <c r="AG59" s="454"/>
      <c r="AH59" s="443">
        <f>IF(AF59=0, "    ---- ", IF(ABS(ROUND(100/AF59*AG59-100,1))&lt;999,ROUND(100/AF59*AG59-100,1),IF(ROUND(100/AF59*AG59-100,1)&gt;999,999,-999)))</f>
        <v>-100</v>
      </c>
      <c r="AI59" s="453">
        <v>-0.78800000000000003</v>
      </c>
      <c r="AJ59" s="454">
        <v>40.482999999999997</v>
      </c>
      <c r="AK59" s="443">
        <f t="shared" si="21"/>
        <v>-999</v>
      </c>
      <c r="AL59" s="453">
        <v>178.6</v>
      </c>
      <c r="AM59" s="454"/>
      <c r="AN59" s="443">
        <f t="shared" si="27"/>
        <v>-100</v>
      </c>
      <c r="AO59" s="442">
        <f t="shared" si="34"/>
        <v>1283.63079642</v>
      </c>
      <c r="AP59" s="442">
        <f t="shared" si="34"/>
        <v>1188.7299999900001</v>
      </c>
      <c r="AQ59" s="443">
        <f t="shared" si="23"/>
        <v>-7.4</v>
      </c>
      <c r="AR59" s="442">
        <f t="shared" si="36"/>
        <v>1283.63079642</v>
      </c>
      <c r="AS59" s="442">
        <f t="shared" si="24"/>
        <v>1188.7299999900001</v>
      </c>
      <c r="AT59" s="567">
        <f t="shared" si="25"/>
        <v>-7.4</v>
      </c>
      <c r="AU59" s="411"/>
      <c r="AV59" s="411"/>
      <c r="AW59" s="568"/>
    </row>
    <row r="60" spans="1:49" s="408" customFormat="1" ht="20.100000000000001" customHeight="1" x14ac:dyDescent="0.3">
      <c r="A60" s="509" t="s">
        <v>268</v>
      </c>
      <c r="B60" s="453">
        <v>12330.572</v>
      </c>
      <c r="C60" s="454">
        <v>14037.344999999999</v>
      </c>
      <c r="D60" s="443">
        <f>IF(B60=0, "    ---- ", IF(ABS(ROUND(100/B60*C60-100,1))&lt;999,ROUND(100/B60*C60-100,1),IF(ROUND(100/B60*C60-100,1)&gt;999,999,-999)))</f>
        <v>13.8</v>
      </c>
      <c r="E60" s="453">
        <v>49678</v>
      </c>
      <c r="F60" s="456">
        <v>60220.194000000003</v>
      </c>
      <c r="G60" s="443">
        <f t="shared" si="19"/>
        <v>21.2</v>
      </c>
      <c r="H60" s="453">
        <v>2345.8090000000002</v>
      </c>
      <c r="I60" s="454">
        <v>2680.7439999999997</v>
      </c>
      <c r="J60" s="443">
        <f>IF(H60=0, "    ---- ", IF(ABS(ROUND(100/H60*I60-100,1))&lt;999,ROUND(100/H60*I60-100,1),IF(ROUND(100/H60*I60-100,1)&gt;999,999,-999)))</f>
        <v>14.3</v>
      </c>
      <c r="K60" s="453">
        <v>15155.47</v>
      </c>
      <c r="L60" s="454">
        <v>17827.650000000001</v>
      </c>
      <c r="M60" s="443">
        <f>IF(K60=0, "    ---- ", IF(ABS(ROUND(100/K60*L60-100,1))&lt;999,ROUND(100/K60*L60-100,1),IF(ROUND(100/K60*L60-100,1)&gt;999,999,-999)))</f>
        <v>17.600000000000001</v>
      </c>
      <c r="N60" s="453"/>
      <c r="O60" s="454"/>
      <c r="P60" s="443"/>
      <c r="Q60" s="454">
        <v>2049.9326870499999</v>
      </c>
      <c r="R60" s="454">
        <v>2184.3666951400005</v>
      </c>
      <c r="S60" s="443">
        <f t="shared" si="35"/>
        <v>6.6</v>
      </c>
      <c r="T60" s="453">
        <v>1182.5</v>
      </c>
      <c r="U60" s="454">
        <v>1673.8000000000002</v>
      </c>
      <c r="V60" s="443">
        <f>IF(T60=0, "    ---- ", IF(ABS(ROUND(100/T60*U60-100,1))&lt;999,ROUND(100/T60*U60-100,1),IF(ROUND(100/T60*U60-100,1)&gt;999,999,-999)))</f>
        <v>41.5</v>
      </c>
      <c r="W60" s="453">
        <v>39157.699999999997</v>
      </c>
      <c r="X60" s="454">
        <v>47300.72</v>
      </c>
      <c r="Y60" s="443">
        <f t="shared" si="20"/>
        <v>20.8</v>
      </c>
      <c r="Z60" s="453"/>
      <c r="AA60" s="454"/>
      <c r="AB60" s="443"/>
      <c r="AC60" s="453">
        <v>1611</v>
      </c>
      <c r="AD60" s="454">
        <v>1764</v>
      </c>
      <c r="AE60" s="443">
        <f>IF(AC60=0, "    ---- ", IF(ABS(ROUND(100/AC60*AD60-100,1))&lt;999,ROUND(100/AC60*AD60-100,1),IF(ROUND(100/AC60*AD60-100,1)&gt;999,999,-999)))</f>
        <v>9.5</v>
      </c>
      <c r="AF60" s="453">
        <v>561.27960910000002</v>
      </c>
      <c r="AG60" s="454"/>
      <c r="AH60" s="443">
        <f>IF(AF60=0, "    ---- ", IF(ABS(ROUND(100/AF60*AG60-100,1))&lt;999,ROUND(100/AF60*AG60-100,1),IF(ROUND(100/AF60*AG60-100,1)&gt;999,999,-999)))</f>
        <v>-100</v>
      </c>
      <c r="AI60" s="453">
        <v>15566.876</v>
      </c>
      <c r="AJ60" s="454">
        <v>19262.904000000002</v>
      </c>
      <c r="AK60" s="443">
        <f t="shared" si="21"/>
        <v>23.7</v>
      </c>
      <c r="AL60" s="453">
        <v>54399.499999999993</v>
      </c>
      <c r="AM60" s="454">
        <v>64763.200000000004</v>
      </c>
      <c r="AN60" s="443">
        <f t="shared" si="27"/>
        <v>19.100000000000001</v>
      </c>
      <c r="AO60" s="442">
        <f t="shared" si="34"/>
        <v>192427.63929614998</v>
      </c>
      <c r="AP60" s="442">
        <f t="shared" si="34"/>
        <v>229950.92369514002</v>
      </c>
      <c r="AQ60" s="443">
        <f t="shared" si="23"/>
        <v>19.5</v>
      </c>
      <c r="AR60" s="442">
        <f t="shared" si="36"/>
        <v>194038.63929614998</v>
      </c>
      <c r="AS60" s="442">
        <f t="shared" si="24"/>
        <v>231714.92369514002</v>
      </c>
      <c r="AT60" s="567">
        <f t="shared" si="25"/>
        <v>19.399999999999999</v>
      </c>
      <c r="AU60" s="411"/>
      <c r="AV60" s="411"/>
      <c r="AW60" s="568"/>
    </row>
    <row r="61" spans="1:49" s="408" customFormat="1" ht="20.100000000000001" customHeight="1" x14ac:dyDescent="0.3">
      <c r="A61" s="480" t="s">
        <v>391</v>
      </c>
      <c r="B61" s="453"/>
      <c r="C61" s="454"/>
      <c r="D61" s="443"/>
      <c r="E61" s="453"/>
      <c r="F61" s="456"/>
      <c r="G61" s="443"/>
      <c r="H61" s="453"/>
      <c r="I61" s="454"/>
      <c r="J61" s="443"/>
      <c r="K61" s="453"/>
      <c r="L61" s="454"/>
      <c r="M61" s="443"/>
      <c r="N61" s="453"/>
      <c r="O61" s="454"/>
      <c r="P61" s="443"/>
      <c r="Q61" s="453"/>
      <c r="R61" s="454"/>
      <c r="S61" s="443"/>
      <c r="T61" s="453"/>
      <c r="U61" s="454"/>
      <c r="V61" s="443"/>
      <c r="W61" s="453"/>
      <c r="X61" s="454"/>
      <c r="Y61" s="443"/>
      <c r="Z61" s="453"/>
      <c r="AA61" s="454"/>
      <c r="AB61" s="443"/>
      <c r="AC61" s="453"/>
      <c r="AD61" s="454"/>
      <c r="AE61" s="443"/>
      <c r="AF61" s="453">
        <v>0.83667846999999995</v>
      </c>
      <c r="AG61" s="454"/>
      <c r="AH61" s="443">
        <f>IF(AF61=0, "    ---- ", IF(ABS(ROUND(100/AF61*AG61-100,1))&lt;999,ROUND(100/AF61*AG61-100,1),IF(ROUND(100/AF61*AG61-100,1)&gt;999,999,-999)))</f>
        <v>-100</v>
      </c>
      <c r="AI61" s="453"/>
      <c r="AJ61" s="454"/>
      <c r="AK61" s="443"/>
      <c r="AL61" s="453"/>
      <c r="AM61" s="454"/>
      <c r="AN61" s="443"/>
      <c r="AO61" s="442">
        <f t="shared" si="34"/>
        <v>0.83667846999999995</v>
      </c>
      <c r="AP61" s="442">
        <f t="shared" si="34"/>
        <v>0</v>
      </c>
      <c r="AQ61" s="443">
        <f t="shared" si="23"/>
        <v>-100</v>
      </c>
      <c r="AR61" s="442">
        <f t="shared" si="36"/>
        <v>0.83667846999999995</v>
      </c>
      <c r="AS61" s="442">
        <f t="shared" si="24"/>
        <v>0</v>
      </c>
      <c r="AT61" s="567">
        <f t="shared" si="25"/>
        <v>-100</v>
      </c>
      <c r="AU61" s="411"/>
      <c r="AV61" s="411"/>
      <c r="AW61" s="568"/>
    </row>
    <row r="62" spans="1:49" s="408" customFormat="1" ht="20.100000000000001" customHeight="1" x14ac:dyDescent="0.3">
      <c r="A62" s="440" t="s">
        <v>269</v>
      </c>
      <c r="B62" s="453">
        <v>13339.781000000001</v>
      </c>
      <c r="C62" s="454">
        <v>15081.427</v>
      </c>
      <c r="D62" s="443">
        <f>IF(B62=0, "    ---- ", IF(ABS(ROUND(100/B62*C62-100,1))&lt;999,ROUND(100/B62*C62-100,1),IF(ROUND(100/B62*C62-100,1)&gt;999,999,-999)))</f>
        <v>13.1</v>
      </c>
      <c r="E62" s="453">
        <v>261403</v>
      </c>
      <c r="F62" s="456">
        <v>269010.23500000004</v>
      </c>
      <c r="G62" s="443">
        <f t="shared" si="19"/>
        <v>2.9</v>
      </c>
      <c r="H62" s="453">
        <v>3094.69</v>
      </c>
      <c r="I62" s="454">
        <v>3538.576</v>
      </c>
      <c r="J62" s="443">
        <f>IF(H62=0, "    ---- ", IF(ABS(ROUND(100/H62*I62-100,1))&lt;999,ROUND(100/H62*I62-100,1),IF(ROUND(100/H62*I62-100,1)&gt;999,999,-999)))</f>
        <v>14.3</v>
      </c>
      <c r="K62" s="453">
        <v>20039.241999999998</v>
      </c>
      <c r="L62" s="454">
        <v>23256.49</v>
      </c>
      <c r="M62" s="443">
        <f>IF(K62=0, "    ---- ", IF(ABS(ROUND(100/K62*L62-100,1))&lt;999,ROUND(100/K62*L62-100,1),IF(ROUND(100/K62*L62-100,1)&gt;999,999,-999)))</f>
        <v>16.100000000000001</v>
      </c>
      <c r="N62" s="453"/>
      <c r="O62" s="454"/>
      <c r="P62" s="443"/>
      <c r="Q62" s="454">
        <v>423885.09241196996</v>
      </c>
      <c r="R62" s="454">
        <v>462473.20218016003</v>
      </c>
      <c r="S62" s="443">
        <f>IF(Q62=0, "    ---- ", IF(ABS(ROUND(100/Q62*R62-100,1))&lt;999,ROUND(100/Q62*R62-100,1),IF(ROUND(100/Q62*R62-100,1)&gt;999,999,-999)))</f>
        <v>9.1</v>
      </c>
      <c r="T62" s="453">
        <v>2617.8000000000002</v>
      </c>
      <c r="U62" s="454">
        <v>3214.4</v>
      </c>
      <c r="V62" s="443">
        <f>IF(T62=0, "    ---- ", IF(ABS(ROUND(100/T62*U62-100,1))&lt;999,ROUND(100/T62*U62-100,1),IF(ROUND(100/T62*U62-100,1)&gt;999,999,-999)))</f>
        <v>22.8</v>
      </c>
      <c r="W62" s="453">
        <v>87630.9</v>
      </c>
      <c r="X62" s="454">
        <v>96626.354222580005</v>
      </c>
      <c r="Y62" s="443">
        <f t="shared" si="20"/>
        <v>10.3</v>
      </c>
      <c r="Z62" s="453">
        <v>72038</v>
      </c>
      <c r="AA62" s="454">
        <v>75185</v>
      </c>
      <c r="AB62" s="443">
        <f>IF(Z62=0, "    ---- ", IF(ABS(ROUND(100/Z62*AA62-100,1))&lt;999,ROUND(100/Z62*AA62-100,1),IF(ROUND(100/Z62*AA62-100,1)&gt;999,999,-999)))</f>
        <v>4.4000000000000004</v>
      </c>
      <c r="AC62" s="453">
        <v>1611</v>
      </c>
      <c r="AD62" s="454">
        <v>1764</v>
      </c>
      <c r="AE62" s="443">
        <f>IF(AC62=0, "    ---- ", IF(ABS(ROUND(100/AC62*AD62-100,1))&lt;999,ROUND(100/AC62*AD62-100,1),IF(ROUND(100/AC62*AD62-100,1)&gt;999,999,-999)))</f>
        <v>9.5</v>
      </c>
      <c r="AF62" s="453">
        <v>9132.715417999998</v>
      </c>
      <c r="AG62" s="454"/>
      <c r="AH62" s="443">
        <f>IF(AF62=0, "    ---- ", IF(ABS(ROUND(100/AF62*AG62-100,1))&lt;999,ROUND(100/AF62*AG62-100,1),IF(ROUND(100/AF62*AG62-100,1)&gt;999,999,-999)))</f>
        <v>-100</v>
      </c>
      <c r="AI62" s="453">
        <v>35860.843999999997</v>
      </c>
      <c r="AJ62" s="454">
        <v>40603.063999999998</v>
      </c>
      <c r="AK62" s="443">
        <f t="shared" si="21"/>
        <v>13.2</v>
      </c>
      <c r="AL62" s="453">
        <v>234214.7</v>
      </c>
      <c r="AM62" s="454">
        <v>248608.7</v>
      </c>
      <c r="AN62" s="443">
        <f t="shared" si="27"/>
        <v>6.1</v>
      </c>
      <c r="AO62" s="442">
        <f t="shared" si="34"/>
        <v>1163256.7648299702</v>
      </c>
      <c r="AP62" s="442">
        <f t="shared" si="34"/>
        <v>1237597.4484027401</v>
      </c>
      <c r="AQ62" s="443">
        <f t="shared" si="23"/>
        <v>6.4</v>
      </c>
      <c r="AR62" s="442">
        <f t="shared" si="36"/>
        <v>1164867.7648299702</v>
      </c>
      <c r="AS62" s="442">
        <f t="shared" si="24"/>
        <v>1239361.4484027401</v>
      </c>
      <c r="AT62" s="567">
        <f t="shared" si="25"/>
        <v>6.4</v>
      </c>
      <c r="AU62" s="411"/>
      <c r="AV62" s="569"/>
      <c r="AW62" s="568"/>
    </row>
    <row r="63" spans="1:49" s="479" customFormat="1" ht="20.100000000000001" customHeight="1" x14ac:dyDescent="0.3">
      <c r="A63" s="480"/>
      <c r="B63" s="554"/>
      <c r="C63" s="555"/>
      <c r="D63" s="483"/>
      <c r="E63" s="554"/>
      <c r="F63" s="556"/>
      <c r="G63" s="483"/>
      <c r="H63" s="554"/>
      <c r="I63" s="555"/>
      <c r="J63" s="483"/>
      <c r="K63" s="554"/>
      <c r="L63" s="555"/>
      <c r="M63" s="570"/>
      <c r="N63" s="554"/>
      <c r="O63" s="555"/>
      <c r="P63" s="483"/>
      <c r="Q63" s="554"/>
      <c r="R63" s="555"/>
      <c r="S63" s="483"/>
      <c r="T63" s="554"/>
      <c r="U63" s="555"/>
      <c r="V63" s="483"/>
      <c r="W63" s="554"/>
      <c r="X63" s="555"/>
      <c r="Y63" s="483"/>
      <c r="Z63" s="554"/>
      <c r="AA63" s="555"/>
      <c r="AB63" s="483"/>
      <c r="AC63" s="554"/>
      <c r="AD63" s="555"/>
      <c r="AE63" s="483"/>
      <c r="AF63" s="554"/>
      <c r="AG63" s="555"/>
      <c r="AH63" s="483"/>
      <c r="AI63" s="554"/>
      <c r="AJ63" s="555"/>
      <c r="AK63" s="483"/>
      <c r="AL63" s="554"/>
      <c r="AM63" s="555"/>
      <c r="AN63" s="483"/>
      <c r="AO63" s="570"/>
      <c r="AP63" s="570"/>
      <c r="AQ63" s="483"/>
      <c r="AR63" s="570"/>
      <c r="AS63" s="570"/>
      <c r="AT63" s="571"/>
      <c r="AU63" s="572"/>
      <c r="AV63" s="572"/>
      <c r="AW63" s="573"/>
    </row>
    <row r="64" spans="1:49" s="479" customFormat="1" ht="20.100000000000001" customHeight="1" x14ac:dyDescent="0.3">
      <c r="A64" s="480" t="s">
        <v>270</v>
      </c>
      <c r="B64" s="555">
        <v>13661.232</v>
      </c>
      <c r="C64" s="555">
        <v>15481.642</v>
      </c>
      <c r="D64" s="483">
        <f>IF(B64=0, "    ---- ", IF(ABS(ROUND(100/B64*C64-100,1))&lt;999,ROUND(100/B64*C64-100,1),IF(ROUND(100/B64*C64-100,1)&gt;999,999,-999)))</f>
        <v>13.3</v>
      </c>
      <c r="E64" s="556">
        <v>289116</v>
      </c>
      <c r="F64" s="556">
        <v>298999.37900000002</v>
      </c>
      <c r="G64" s="483">
        <f t="shared" si="19"/>
        <v>3.4</v>
      </c>
      <c r="H64" s="554">
        <v>3327.6710000000003</v>
      </c>
      <c r="I64" s="555">
        <v>3840.895</v>
      </c>
      <c r="J64" s="483">
        <f>IF(H64=0, "    ---- ", IF(ABS(ROUND(100/H64*I64-100,1))&lt;999,ROUND(100/H64*I64-100,1),IF(ROUND(100/H64*I64-100,1)&gt;999,999,-999)))</f>
        <v>15.4</v>
      </c>
      <c r="K64" s="554">
        <v>20689.023999999998</v>
      </c>
      <c r="L64" s="555">
        <v>24327.690000000002</v>
      </c>
      <c r="M64" s="570">
        <f>IF(K64=0, "    ---- ", IF(ABS(ROUND(100/K64*L64-100,1))&lt;999,ROUND(100/K64*L64-100,1),IF(ROUND(100/K64*L64-100,1)&gt;999,999,-999)))</f>
        <v>17.600000000000001</v>
      </c>
      <c r="N64" s="554">
        <v>143</v>
      </c>
      <c r="O64" s="555">
        <v>138</v>
      </c>
      <c r="P64" s="483">
        <f>IF(N64=0, "    ---- ", IF(ABS(ROUND(100/N64*O64-100,1))&lt;999,ROUND(100/N64*O64-100,1),IF(ROUND(100/N64*O64-100,1)&gt;999,999,-999)))</f>
        <v>-3.5</v>
      </c>
      <c r="Q64" s="555">
        <v>457858.16168615996</v>
      </c>
      <c r="R64" s="555">
        <v>496663.17462933005</v>
      </c>
      <c r="S64" s="483">
        <f>IF(Q64=0, "    ---- ", IF(ABS(ROUND(100/Q64*R64-100,1))&lt;999,ROUND(100/Q64*R64-100,1),IF(ROUND(100/Q64*R64-100,1)&gt;999,999,-999)))</f>
        <v>8.5</v>
      </c>
      <c r="T64" s="554">
        <v>2942.9</v>
      </c>
      <c r="U64" s="555">
        <v>3571.3</v>
      </c>
      <c r="V64" s="483">
        <f>IF(T64=0, "    ---- ", IF(ABS(ROUND(100/T64*U64-100,1))&lt;999,ROUND(100/T64*U64-100,1),IF(ROUND(100/T64*U64-100,1)&gt;999,999,-999)))</f>
        <v>21.4</v>
      </c>
      <c r="W64" s="555">
        <v>95471.4</v>
      </c>
      <c r="X64" s="555">
        <v>105992.84422258001</v>
      </c>
      <c r="Y64" s="483">
        <f t="shared" si="20"/>
        <v>11</v>
      </c>
      <c r="Z64" s="554">
        <v>79355</v>
      </c>
      <c r="AA64" s="555">
        <v>83672.89</v>
      </c>
      <c r="AB64" s="483">
        <f>IF(Z64=0, "    ---- ", IF(ABS(ROUND(100/Z64*AA64-100,1))&lt;999,ROUND(100/Z64*AA64-100,1),IF(ROUND(100/Z64*AA64-100,1)&gt;999,999,-999)))</f>
        <v>5.4</v>
      </c>
      <c r="AC64" s="554">
        <v>1642</v>
      </c>
      <c r="AD64" s="555">
        <v>1815</v>
      </c>
      <c r="AE64" s="483">
        <f>IF(AC64=0, "    ---- ", IF(ABS(ROUND(100/AC64*AD64-100,1))&lt;999,ROUND(100/AC64*AD64-100,1),IF(ROUND(100/AC64*AD64-100,1)&gt;999,999,-999)))</f>
        <v>10.5</v>
      </c>
      <c r="AF64" s="554">
        <v>9584</v>
      </c>
      <c r="AG64" s="555"/>
      <c r="AH64" s="483">
        <f>IF(AF64=0, "    ---- ", IF(ABS(ROUND(100/AF64*AG64-100,1))&lt;999,ROUND(100/AF64*AG64-100,1),IF(ROUND(100/AF64*AG64-100,1)&gt;999,999,-999)))</f>
        <v>-100</v>
      </c>
      <c r="AI64" s="555">
        <v>40700.986999999994</v>
      </c>
      <c r="AJ64" s="555">
        <v>47033.142</v>
      </c>
      <c r="AK64" s="483">
        <f t="shared" si="21"/>
        <v>15.6</v>
      </c>
      <c r="AL64" s="555">
        <v>268903.30000000005</v>
      </c>
      <c r="AM64" s="555">
        <v>282478.2</v>
      </c>
      <c r="AN64" s="483">
        <f t="shared" si="27"/>
        <v>5</v>
      </c>
      <c r="AO64" s="574">
        <f>B64+E64+H64+K64+Q64+T64+W64+Z64+AF64+AI64+AL64</f>
        <v>1281609.6756861601</v>
      </c>
      <c r="AP64" s="570">
        <f>C64+F64+I64+L64+R64+U64+X64+AA64+AG64+AJ64+AM64</f>
        <v>1362061.1568519101</v>
      </c>
      <c r="AQ64" s="483">
        <f t="shared" si="23"/>
        <v>6.3</v>
      </c>
      <c r="AR64" s="574">
        <f t="shared" si="36"/>
        <v>1283394.6756861601</v>
      </c>
      <c r="AS64" s="570">
        <f t="shared" si="36"/>
        <v>1364014.1568519101</v>
      </c>
      <c r="AT64" s="571">
        <f t="shared" si="25"/>
        <v>6.3</v>
      </c>
      <c r="AU64" s="572"/>
      <c r="AV64" s="572"/>
      <c r="AW64" s="568"/>
    </row>
    <row r="65" spans="1:49" s="408" customFormat="1" ht="20.100000000000001" customHeight="1" x14ac:dyDescent="0.3">
      <c r="A65" s="575"/>
      <c r="B65" s="453"/>
      <c r="C65" s="454"/>
      <c r="D65" s="443"/>
      <c r="E65" s="453"/>
      <c r="F65" s="456"/>
      <c r="G65" s="443"/>
      <c r="H65" s="453"/>
      <c r="I65" s="454"/>
      <c r="J65" s="443"/>
      <c r="K65" s="453"/>
      <c r="L65" s="454"/>
      <c r="M65" s="442"/>
      <c r="N65" s="453"/>
      <c r="O65" s="454"/>
      <c r="P65" s="443"/>
      <c r="Q65" s="453"/>
      <c r="R65" s="454"/>
      <c r="S65" s="443"/>
      <c r="T65" s="453"/>
      <c r="U65" s="454"/>
      <c r="V65" s="443"/>
      <c r="W65" s="453"/>
      <c r="X65" s="454"/>
      <c r="Y65" s="443"/>
      <c r="Z65" s="453"/>
      <c r="AA65" s="454"/>
      <c r="AB65" s="443"/>
      <c r="AC65" s="453"/>
      <c r="AD65" s="454"/>
      <c r="AE65" s="443"/>
      <c r="AF65" s="453"/>
      <c r="AG65" s="454"/>
      <c r="AH65" s="443"/>
      <c r="AI65" s="453"/>
      <c r="AJ65" s="454"/>
      <c r="AK65" s="443"/>
      <c r="AL65" s="453"/>
      <c r="AM65" s="454"/>
      <c r="AN65" s="443"/>
      <c r="AO65" s="442"/>
      <c r="AP65" s="442"/>
      <c r="AQ65" s="443"/>
      <c r="AR65" s="442"/>
      <c r="AS65" s="442"/>
      <c r="AT65" s="567"/>
      <c r="AU65" s="411"/>
      <c r="AV65" s="411"/>
      <c r="AW65" s="568"/>
    </row>
    <row r="66" spans="1:49" s="408" customFormat="1" ht="20.100000000000001" customHeight="1" x14ac:dyDescent="0.3">
      <c r="A66" s="480" t="s">
        <v>271</v>
      </c>
      <c r="B66" s="453"/>
      <c r="C66" s="454"/>
      <c r="D66" s="443"/>
      <c r="E66" s="453"/>
      <c r="F66" s="456"/>
      <c r="G66" s="443"/>
      <c r="H66" s="453"/>
      <c r="I66" s="454"/>
      <c r="J66" s="443"/>
      <c r="K66" s="453"/>
      <c r="L66" s="454"/>
      <c r="M66" s="442"/>
      <c r="N66" s="453"/>
      <c r="O66" s="454"/>
      <c r="P66" s="443"/>
      <c r="Q66" s="453"/>
      <c r="R66" s="454"/>
      <c r="S66" s="443"/>
      <c r="T66" s="453"/>
      <c r="U66" s="454"/>
      <c r="V66" s="443"/>
      <c r="W66" s="453"/>
      <c r="X66" s="454"/>
      <c r="Y66" s="443"/>
      <c r="Z66" s="453"/>
      <c r="AA66" s="454"/>
      <c r="AB66" s="443"/>
      <c r="AC66" s="453"/>
      <c r="AD66" s="454"/>
      <c r="AE66" s="443"/>
      <c r="AF66" s="453"/>
      <c r="AG66" s="454"/>
      <c r="AH66" s="443"/>
      <c r="AI66" s="453"/>
      <c r="AJ66" s="454"/>
      <c r="AK66" s="443"/>
      <c r="AL66" s="453"/>
      <c r="AM66" s="454"/>
      <c r="AN66" s="443"/>
      <c r="AO66" s="442"/>
      <c r="AP66" s="442"/>
      <c r="AQ66" s="443"/>
      <c r="AR66" s="442"/>
      <c r="AS66" s="442"/>
      <c r="AT66" s="567"/>
      <c r="AU66" s="411"/>
      <c r="AV66" s="411"/>
      <c r="AW66" s="568"/>
    </row>
    <row r="67" spans="1:49" s="408" customFormat="1" ht="20.100000000000001" customHeight="1" x14ac:dyDescent="0.3">
      <c r="A67" s="480"/>
      <c r="B67" s="453"/>
      <c r="C67" s="454"/>
      <c r="D67" s="443"/>
      <c r="E67" s="453"/>
      <c r="F67" s="456"/>
      <c r="G67" s="443"/>
      <c r="H67" s="453"/>
      <c r="I67" s="454"/>
      <c r="J67" s="443"/>
      <c r="K67" s="453"/>
      <c r="L67" s="454"/>
      <c r="M67" s="442"/>
      <c r="N67" s="453"/>
      <c r="O67" s="454"/>
      <c r="P67" s="443"/>
      <c r="Q67" s="453"/>
      <c r="R67" s="454"/>
      <c r="S67" s="443"/>
      <c r="T67" s="453"/>
      <c r="U67" s="454"/>
      <c r="V67" s="443"/>
      <c r="W67" s="453"/>
      <c r="X67" s="454"/>
      <c r="Y67" s="443"/>
      <c r="Z67" s="453"/>
      <c r="AA67" s="454"/>
      <c r="AB67" s="443"/>
      <c r="AC67" s="453"/>
      <c r="AD67" s="454"/>
      <c r="AE67" s="443"/>
      <c r="AF67" s="453"/>
      <c r="AG67" s="454"/>
      <c r="AH67" s="443"/>
      <c r="AI67" s="453"/>
      <c r="AJ67" s="454"/>
      <c r="AK67" s="443"/>
      <c r="AL67" s="453"/>
      <c r="AM67" s="454"/>
      <c r="AN67" s="443"/>
      <c r="AO67" s="442"/>
      <c r="AP67" s="442"/>
      <c r="AQ67" s="443"/>
      <c r="AR67" s="442"/>
      <c r="AS67" s="442"/>
      <c r="AT67" s="567"/>
      <c r="AU67" s="411"/>
      <c r="AV67" s="411"/>
      <c r="AW67" s="568"/>
    </row>
    <row r="68" spans="1:49" s="408" customFormat="1" ht="20.100000000000001" customHeight="1" x14ac:dyDescent="0.3">
      <c r="A68" s="440" t="s">
        <v>272</v>
      </c>
      <c r="B68" s="453">
        <v>141.16</v>
      </c>
      <c r="C68" s="454">
        <v>141.16</v>
      </c>
      <c r="D68" s="443">
        <f>IF(B68=0, "    ---- ", IF(ABS(ROUND(100/B68*C68-100,1))&lt;999,ROUND(100/B68*C68-100,1),IF(ROUND(100/B68*C68-100,1)&gt;999,999,-999)))</f>
        <v>0</v>
      </c>
      <c r="E68" s="455">
        <v>7766</v>
      </c>
      <c r="F68" s="456">
        <v>7765.924</v>
      </c>
      <c r="G68" s="443">
        <f t="shared" si="19"/>
        <v>0</v>
      </c>
      <c r="H68" s="453">
        <v>175</v>
      </c>
      <c r="I68" s="454">
        <v>175</v>
      </c>
      <c r="J68" s="443">
        <f>IF(H68=0, "    ---- ", IF(ABS(ROUND(100/H68*I68-100,1))&lt;999,ROUND(100/H68*I68-100,1),IF(ROUND(100/H68*I68-100,1)&gt;999,999,-999)))</f>
        <v>0</v>
      </c>
      <c r="K68" s="453">
        <v>119.67400000000001</v>
      </c>
      <c r="L68" s="454">
        <v>119.72199999999999</v>
      </c>
      <c r="M68" s="442">
        <f>IF(K68=0, "    ---- ", IF(ABS(ROUND(100/K68*L68-100,1))&lt;999,ROUND(100/K68*L68-100,1),IF(ROUND(100/K68*L68-100,1)&gt;999,999,-999)))</f>
        <v>0</v>
      </c>
      <c r="N68" s="453">
        <v>5</v>
      </c>
      <c r="O68" s="454">
        <v>5</v>
      </c>
      <c r="P68" s="443">
        <f>IF(N68=0, "    ---- ", IF(ABS(ROUND(100/N68*O68-100,1))&lt;999,ROUND(100/N68*O68-100,1),IF(ROUND(100/N68*O68-100,1)&gt;999,999,-999)))</f>
        <v>0</v>
      </c>
      <c r="Q68" s="453">
        <v>10422.416628999999</v>
      </c>
      <c r="R68" s="454">
        <v>11725.542097</v>
      </c>
      <c r="S68" s="443">
        <f t="shared" ref="S68:S79" si="37">IF(Q68=0, "    ---- ", IF(ABS(ROUND(100/Q68*R68-100,1))&lt;999,ROUND(100/Q68*R68-100,1),IF(ROUND(100/Q68*R68-100,1)&gt;999,999,-999)))</f>
        <v>12.5</v>
      </c>
      <c r="T68" s="453">
        <v>476.3</v>
      </c>
      <c r="U68" s="454">
        <v>501.3</v>
      </c>
      <c r="V68" s="443">
        <f>IF(T68=0, "    ---- ", IF(ABS(ROUND(100/T68*U68-100,1))&lt;999,ROUND(100/T68*U68-100,1),IF(ROUND(100/T68*U68-100,1)&gt;999,999,-999)))</f>
        <v>5.2</v>
      </c>
      <c r="W68" s="453">
        <v>1127</v>
      </c>
      <c r="X68" s="454">
        <v>1126.76</v>
      </c>
      <c r="Y68" s="443">
        <f t="shared" si="20"/>
        <v>0</v>
      </c>
      <c r="Z68" s="453">
        <v>1430</v>
      </c>
      <c r="AA68" s="454">
        <v>1430</v>
      </c>
      <c r="AB68" s="443">
        <f>IF(Z68=0, "    ---- ", IF(ABS(ROUND(100/Z68*AA68-100,1))&lt;999,ROUND(100/Z68*AA68-100,1),IF(ROUND(100/Z68*AA68-100,1)&gt;999,999,-999)))</f>
        <v>0</v>
      </c>
      <c r="AC68" s="453">
        <v>49</v>
      </c>
      <c r="AD68" s="454">
        <v>49</v>
      </c>
      <c r="AE68" s="443">
        <f>IF(AC68=0, "    ---- ", IF(ABS(ROUND(100/AC68*AD68-100,1))&lt;999,ROUND(100/AC68*AD68-100,1),IF(ROUND(100/AC68*AD68-100,1)&gt;999,999,-999)))</f>
        <v>0</v>
      </c>
      <c r="AF68" s="453">
        <v>430.59303499000004</v>
      </c>
      <c r="AG68" s="454"/>
      <c r="AH68" s="443">
        <f>IF(AF68=0, "    ---- ", IF(ABS(ROUND(100/AF68*AG68-100,1))&lt;999,ROUND(100/AF68*AG68-100,1),IF(ROUND(100/AF68*AG68-100,1)&gt;999,999,-999)))</f>
        <v>-100</v>
      </c>
      <c r="AI68" s="453">
        <v>2072.7759999999998</v>
      </c>
      <c r="AJ68" s="454">
        <v>2491.1880000000001</v>
      </c>
      <c r="AK68" s="443">
        <f t="shared" si="21"/>
        <v>20.2</v>
      </c>
      <c r="AL68" s="453">
        <v>13251</v>
      </c>
      <c r="AM68" s="454">
        <v>13251</v>
      </c>
      <c r="AN68" s="443">
        <f t="shared" si="27"/>
        <v>0</v>
      </c>
      <c r="AO68" s="442">
        <f t="shared" ref="AO68:AP71" si="38">B68+E68+H68+K68+Q68+T68+W68+Z68+AF68+AI68+AL68</f>
        <v>37411.919663990004</v>
      </c>
      <c r="AP68" s="442">
        <f t="shared" si="38"/>
        <v>38727.596097000001</v>
      </c>
      <c r="AQ68" s="443">
        <f t="shared" si="23"/>
        <v>3.5</v>
      </c>
      <c r="AR68" s="442">
        <f t="shared" si="24"/>
        <v>37465.919663990004</v>
      </c>
      <c r="AS68" s="442">
        <f t="shared" si="24"/>
        <v>38781.596097000001</v>
      </c>
      <c r="AT68" s="567">
        <f t="shared" si="25"/>
        <v>3.5</v>
      </c>
      <c r="AU68" s="411"/>
      <c r="AV68" s="411"/>
      <c r="AW68" s="568"/>
    </row>
    <row r="69" spans="1:49" s="408" customFormat="1" ht="20.100000000000001" customHeight="1" x14ac:dyDescent="0.3">
      <c r="A69" s="440" t="s">
        <v>273</v>
      </c>
      <c r="B69" s="453">
        <v>168.46299999999999</v>
      </c>
      <c r="C69" s="454">
        <v>219.029</v>
      </c>
      <c r="D69" s="443">
        <f>IF(B69=0, "    ---- ", IF(ABS(ROUND(100/B69*C69-100,1))&lt;999,ROUND(100/B69*C69-100,1),IF(ROUND(100/B69*C69-100,1)&gt;999,999,-999)))</f>
        <v>30</v>
      </c>
      <c r="E69" s="455">
        <v>13316</v>
      </c>
      <c r="F69" s="456">
        <v>14805.883</v>
      </c>
      <c r="G69" s="443">
        <f t="shared" si="19"/>
        <v>11.2</v>
      </c>
      <c r="H69" s="453">
        <v>82.617000000000004</v>
      </c>
      <c r="I69" s="454">
        <v>90.613</v>
      </c>
      <c r="J69" s="443">
        <f>IF(H69=0, "    ---- ", IF(ABS(ROUND(100/H69*I69-100,1))&lt;999,ROUND(100/H69*I69-100,1),IF(ROUND(100/H69*I69-100,1)&gt;999,999,-999)))</f>
        <v>9.6999999999999993</v>
      </c>
      <c r="K69" s="453">
        <v>448.64</v>
      </c>
      <c r="L69" s="454">
        <v>533.69000000000005</v>
      </c>
      <c r="M69" s="442">
        <f>IF(K69=0, "    ---- ", IF(ABS(ROUND(100/K69*L69-100,1))&lt;999,ROUND(100/K69*L69-100,1),IF(ROUND(100/K69*L69-100,1)&gt;999,999,-999)))</f>
        <v>19</v>
      </c>
      <c r="N69" s="453">
        <v>43</v>
      </c>
      <c r="O69" s="454">
        <v>48</v>
      </c>
      <c r="P69" s="443">
        <f>IF(N69=0, "    ---- ", IF(ABS(ROUND(100/N69*O69-100,1))&lt;999,ROUND(100/N69*O69-100,1),IF(ROUND(100/N69*O69-100,1)&gt;999,999,-999)))</f>
        <v>11.6</v>
      </c>
      <c r="Q69" s="453">
        <v>13186</v>
      </c>
      <c r="R69" s="454">
        <v>16059.90389661</v>
      </c>
      <c r="S69" s="443">
        <f t="shared" si="37"/>
        <v>21.8</v>
      </c>
      <c r="T69" s="453">
        <v>-165.2</v>
      </c>
      <c r="U69" s="454">
        <v>-192.8</v>
      </c>
      <c r="V69" s="443">
        <f>IF(T69=0, "    ---- ", IF(ABS(ROUND(100/T69*U69-100,1))&lt;999,ROUND(100/T69*U69-100,1),IF(ROUND(100/T69*U69-100,1)&gt;999,999,-999)))</f>
        <v>16.7</v>
      </c>
      <c r="W69" s="453">
        <v>4263</v>
      </c>
      <c r="X69" s="454">
        <v>5426.85</v>
      </c>
      <c r="Y69" s="443">
        <f t="shared" si="20"/>
        <v>27.3</v>
      </c>
      <c r="Z69" s="453">
        <v>3786</v>
      </c>
      <c r="AA69" s="454">
        <v>5589</v>
      </c>
      <c r="AB69" s="443">
        <f>IF(Z69=0, "    ---- ", IF(ABS(ROUND(100/Z69*AA69-100,1))&lt;999,ROUND(100/Z69*AA69-100,1),IF(ROUND(100/Z69*AA69-100,1)&gt;999,999,-999)))</f>
        <v>47.6</v>
      </c>
      <c r="AC69" s="453">
        <v>-28</v>
      </c>
      <c r="AD69" s="454">
        <v>-20</v>
      </c>
      <c r="AE69" s="443">
        <f>IF(AC69=0, "    ---- ", IF(ABS(ROUND(100/AC69*AD69-100,1))&lt;999,ROUND(100/AC69*AD69-100,1),IF(ROUND(100/AC69*AD69-100,1)&gt;999,999,-999)))</f>
        <v>-28.6</v>
      </c>
      <c r="AF69" s="453">
        <v>8.0299815900001192</v>
      </c>
      <c r="AG69" s="454"/>
      <c r="AH69" s="443">
        <f>IF(AF69=0, "    ---- ", IF(ABS(ROUND(100/AF69*AG69-100,1))&lt;999,ROUND(100/AF69*AG69-100,1),IF(ROUND(100/AF69*AG69-100,1)&gt;999,999,-999)))</f>
        <v>-100</v>
      </c>
      <c r="AI69" s="453">
        <v>1463.008</v>
      </c>
      <c r="AJ69" s="454">
        <v>1083.4190000000001</v>
      </c>
      <c r="AK69" s="443">
        <f t="shared" si="21"/>
        <v>-25.9</v>
      </c>
      <c r="AL69" s="453">
        <v>9868.9</v>
      </c>
      <c r="AM69" s="454">
        <v>11182.2</v>
      </c>
      <c r="AN69" s="443">
        <f t="shared" si="27"/>
        <v>13.3</v>
      </c>
      <c r="AO69" s="442">
        <f t="shared" si="38"/>
        <v>46425.457981590007</v>
      </c>
      <c r="AP69" s="442">
        <f t="shared" si="38"/>
        <v>54797.787896610011</v>
      </c>
      <c r="AQ69" s="443">
        <f t="shared" si="23"/>
        <v>18</v>
      </c>
      <c r="AR69" s="442">
        <f t="shared" si="24"/>
        <v>46440.457981590007</v>
      </c>
      <c r="AS69" s="442">
        <f t="shared" si="24"/>
        <v>54825.787896610011</v>
      </c>
      <c r="AT69" s="567">
        <f t="shared" si="25"/>
        <v>18.100000000000001</v>
      </c>
      <c r="AU69" s="411"/>
      <c r="AV69" s="411"/>
      <c r="AW69" s="568"/>
    </row>
    <row r="70" spans="1:49" s="408" customFormat="1" ht="20.100000000000001" customHeight="1" x14ac:dyDescent="0.3">
      <c r="A70" s="440" t="s">
        <v>413</v>
      </c>
      <c r="B70" s="453">
        <v>3.4529999999999998</v>
      </c>
      <c r="C70" s="454">
        <v>3.4529999999999998</v>
      </c>
      <c r="D70" s="443"/>
      <c r="E70" s="455">
        <v>319</v>
      </c>
      <c r="F70" s="456">
        <v>406.78399999999999</v>
      </c>
      <c r="G70" s="443">
        <f>IF(E70=0, "    ---- ", IF(ABS(ROUND(100/E70*F70-100,1))&lt;999,ROUND(100/E70*F70-100,1),IF(ROUND(100/E70*F70-100,1)&gt;999,999,-999)))</f>
        <v>27.5</v>
      </c>
      <c r="H70" s="453"/>
      <c r="I70" s="454"/>
      <c r="J70" s="443"/>
      <c r="K70" s="453">
        <v>0</v>
      </c>
      <c r="L70" s="454">
        <v>0</v>
      </c>
      <c r="M70" s="443" t="str">
        <f>IF(K70=0, "    ---- ", IF(ABS(ROUND(100/K70*L70-100,1))&lt;999,ROUND(100/K70*L70-100,1),IF(ROUND(100/K70*L70-100,1)&gt;999,999,-999)))</f>
        <v xml:space="preserve">    ---- </v>
      </c>
      <c r="N70" s="453"/>
      <c r="O70" s="454"/>
      <c r="P70" s="443"/>
      <c r="Q70" s="453">
        <v>3363.8576670000002</v>
      </c>
      <c r="R70" s="454">
        <v>3906.802733</v>
      </c>
      <c r="S70" s="443">
        <f t="shared" si="37"/>
        <v>16.100000000000001</v>
      </c>
      <c r="T70" s="453">
        <v>4</v>
      </c>
      <c r="U70" s="454">
        <v>0</v>
      </c>
      <c r="V70" s="443">
        <f>IF(T70=0, "    ---- ", IF(ABS(ROUND(100/T70*U70-100,1))&lt;999,ROUND(100/T70*U70-100,1),IF(ROUND(100/T70*U70-100,1)&gt;999,999,-999)))</f>
        <v>-100</v>
      </c>
      <c r="W70" s="453">
        <v>142</v>
      </c>
      <c r="X70" s="454">
        <v>94.69</v>
      </c>
      <c r="Y70" s="443">
        <f t="shared" si="20"/>
        <v>-33.299999999999997</v>
      </c>
      <c r="Z70" s="453">
        <v>872</v>
      </c>
      <c r="AA70" s="454">
        <v>1085</v>
      </c>
      <c r="AB70" s="443">
        <f>IF(Z70=0, "    ---- ", IF(ABS(ROUND(100/Z70*AA70-100,1))&lt;999,ROUND(100/Z70*AA70-100,1),IF(ROUND(100/Z70*AA70-100,1)&gt;999,999,-999)))</f>
        <v>24.4</v>
      </c>
      <c r="AC70" s="453"/>
      <c r="AD70" s="454"/>
      <c r="AE70" s="443"/>
      <c r="AF70" s="453"/>
      <c r="AG70" s="454"/>
      <c r="AH70" s="443"/>
      <c r="AI70" s="453">
        <v>54.113</v>
      </c>
      <c r="AJ70" s="454">
        <v>24.343</v>
      </c>
      <c r="AK70" s="443">
        <f>IF(AI70=0, "    ---- ", IF(ABS(ROUND(100/AI70*AJ70-100,1))&lt;999,ROUND(100/AI70*AJ70-100,1),IF(ROUND(100/AI70*AJ70-100,1)&gt;999,999,-999)))</f>
        <v>-55</v>
      </c>
      <c r="AL70" s="453">
        <v>142.1</v>
      </c>
      <c r="AM70" s="454">
        <v>140.4</v>
      </c>
      <c r="AN70" s="443">
        <f t="shared" si="27"/>
        <v>-1.2</v>
      </c>
      <c r="AO70" s="442">
        <f t="shared" si="38"/>
        <v>4900.5236670000004</v>
      </c>
      <c r="AP70" s="442">
        <f t="shared" si="38"/>
        <v>5661.4727329999987</v>
      </c>
      <c r="AQ70" s="443">
        <f t="shared" si="23"/>
        <v>15.5</v>
      </c>
      <c r="AR70" s="442">
        <f t="shared" si="24"/>
        <v>4900.5236670000004</v>
      </c>
      <c r="AS70" s="442">
        <f t="shared" si="24"/>
        <v>5661.4727329999987</v>
      </c>
      <c r="AT70" s="567">
        <f t="shared" si="25"/>
        <v>15.5</v>
      </c>
      <c r="AU70" s="411"/>
      <c r="AV70" s="411"/>
      <c r="AW70" s="568"/>
    </row>
    <row r="71" spans="1:49" s="408" customFormat="1" ht="20.100000000000001" customHeight="1" x14ac:dyDescent="0.3">
      <c r="A71" s="440" t="s">
        <v>274</v>
      </c>
      <c r="B71" s="453"/>
      <c r="C71" s="454"/>
      <c r="D71" s="443"/>
      <c r="E71" s="455">
        <v>5500</v>
      </c>
      <c r="F71" s="456">
        <v>5500</v>
      </c>
      <c r="G71" s="443">
        <f t="shared" si="19"/>
        <v>0</v>
      </c>
      <c r="H71" s="453"/>
      <c r="I71" s="454"/>
      <c r="J71" s="443"/>
      <c r="K71" s="453"/>
      <c r="L71" s="454">
        <v>299.45999999999998</v>
      </c>
      <c r="M71" s="454" t="str">
        <f>IF(K71=0, "    ---- ", IF(ABS(ROUND(100/K71*L71-100,1))&lt;999,ROUND(100/K71*L71-100,1),IF(ROUND(100/K71*L71-100,1)&gt;999,999,-999)))</f>
        <v xml:space="preserve">    ---- </v>
      </c>
      <c r="N71" s="453"/>
      <c r="O71" s="454"/>
      <c r="P71" s="443"/>
      <c r="Q71" s="453">
        <v>11104.947692799999</v>
      </c>
      <c r="R71" s="454">
        <v>7870.4650699899994</v>
      </c>
      <c r="S71" s="443">
        <f t="shared" si="37"/>
        <v>-29.1</v>
      </c>
      <c r="T71" s="453"/>
      <c r="U71" s="454"/>
      <c r="V71" s="443"/>
      <c r="W71" s="453">
        <v>2830</v>
      </c>
      <c r="X71" s="454">
        <v>2830</v>
      </c>
      <c r="Y71" s="443">
        <f t="shared" si="20"/>
        <v>0</v>
      </c>
      <c r="Z71" s="453">
        <v>1240</v>
      </c>
      <c r="AA71" s="454">
        <v>1240</v>
      </c>
      <c r="AB71" s="443">
        <f>IF(Z71=0, "    ---- ", IF(ABS(ROUND(100/Z71*AA71-100,1))&lt;999,ROUND(100/Z71*AA71-100,1),IF(ROUND(100/Z71*AA71-100,1)&gt;999,999,-999)))</f>
        <v>0</v>
      </c>
      <c r="AC71" s="453"/>
      <c r="AD71" s="454"/>
      <c r="AE71" s="443"/>
      <c r="AF71" s="453"/>
      <c r="AG71" s="454"/>
      <c r="AH71" s="443"/>
      <c r="AI71" s="453">
        <v>200</v>
      </c>
      <c r="AJ71" s="454">
        <v>1000</v>
      </c>
      <c r="AK71" s="443">
        <f t="shared" si="21"/>
        <v>400</v>
      </c>
      <c r="AL71" s="453">
        <v>6756.5</v>
      </c>
      <c r="AM71" s="454">
        <v>7343.6</v>
      </c>
      <c r="AN71" s="443">
        <f t="shared" si="27"/>
        <v>8.6999999999999993</v>
      </c>
      <c r="AO71" s="442">
        <f t="shared" si="38"/>
        <v>27631.4476928</v>
      </c>
      <c r="AP71" s="442">
        <f t="shared" si="38"/>
        <v>26083.525069989999</v>
      </c>
      <c r="AQ71" s="443">
        <f t="shared" si="23"/>
        <v>-5.6</v>
      </c>
      <c r="AR71" s="442">
        <f t="shared" si="24"/>
        <v>27631.4476928</v>
      </c>
      <c r="AS71" s="442">
        <f t="shared" si="24"/>
        <v>26083.525069989999</v>
      </c>
      <c r="AT71" s="567">
        <f t="shared" si="25"/>
        <v>-5.6</v>
      </c>
      <c r="AU71" s="411"/>
      <c r="AW71" s="568"/>
    </row>
    <row r="72" spans="1:49" s="408" customFormat="1" ht="20.100000000000001" customHeight="1" x14ac:dyDescent="0.3">
      <c r="A72" s="440" t="s">
        <v>275</v>
      </c>
      <c r="B72" s="453"/>
      <c r="C72" s="454"/>
      <c r="D72" s="443"/>
      <c r="E72" s="455"/>
      <c r="F72" s="456"/>
      <c r="G72" s="443"/>
      <c r="H72" s="453"/>
      <c r="I72" s="454"/>
      <c r="J72" s="443"/>
      <c r="K72" s="453"/>
      <c r="L72" s="454"/>
      <c r="M72" s="442"/>
      <c r="N72" s="453"/>
      <c r="O72" s="454"/>
      <c r="P72" s="443"/>
      <c r="Q72" s="453"/>
      <c r="R72" s="454"/>
      <c r="S72" s="443"/>
      <c r="T72" s="453"/>
      <c r="U72" s="454"/>
      <c r="V72" s="443"/>
      <c r="W72" s="453"/>
      <c r="X72" s="454"/>
      <c r="Y72" s="443"/>
      <c r="Z72" s="453"/>
      <c r="AA72" s="454"/>
      <c r="AB72" s="443"/>
      <c r="AC72" s="453"/>
      <c r="AD72" s="454"/>
      <c r="AE72" s="443"/>
      <c r="AF72" s="453"/>
      <c r="AG72" s="454"/>
      <c r="AH72" s="443"/>
      <c r="AI72" s="453"/>
      <c r="AJ72" s="454"/>
      <c r="AK72" s="443"/>
      <c r="AL72" s="453"/>
      <c r="AM72" s="454"/>
      <c r="AN72" s="443"/>
      <c r="AO72" s="442"/>
      <c r="AP72" s="442"/>
      <c r="AQ72" s="443"/>
      <c r="AR72" s="442"/>
      <c r="AS72" s="442"/>
      <c r="AT72" s="567"/>
      <c r="AU72" s="411"/>
      <c r="AV72" s="411"/>
      <c r="AW72" s="568"/>
    </row>
    <row r="73" spans="1:49" s="408" customFormat="1" ht="20.100000000000001" customHeight="1" x14ac:dyDescent="0.3">
      <c r="A73" s="440" t="s">
        <v>414</v>
      </c>
      <c r="B73" s="453">
        <v>798.06100000000004</v>
      </c>
      <c r="C73" s="454">
        <v>829.51800000000003</v>
      </c>
      <c r="D73" s="443">
        <f t="shared" ref="D73:D77" si="39">IF(B73=0, "    ---- ", IF(ABS(ROUND(100/B73*C73-100,1))&lt;999,ROUND(100/B73*C73-100,1),IF(ROUND(100/B73*C73-100,1)&gt;999,999,-999)))</f>
        <v>3.9</v>
      </c>
      <c r="E73" s="455">
        <v>198513</v>
      </c>
      <c r="F73" s="456">
        <v>197796.557</v>
      </c>
      <c r="G73" s="443">
        <f t="shared" si="19"/>
        <v>-0.4</v>
      </c>
      <c r="H73" s="453">
        <v>613.33000000000004</v>
      </c>
      <c r="I73" s="454">
        <v>703.06899999999996</v>
      </c>
      <c r="J73" s="443">
        <f>IF(H73=0, "    ---- ", IF(ABS(ROUND(100/H73*I73-100,1))&lt;999,ROUND(100/H73*I73-100,1),IF(ROUND(100/H73*I73-100,1)&gt;999,999,-999)))</f>
        <v>14.6</v>
      </c>
      <c r="K73" s="453">
        <v>4731</v>
      </c>
      <c r="L73" s="454">
        <v>5217.1100000000006</v>
      </c>
      <c r="M73" s="442">
        <f>IF(K73=0, "    ---- ", IF(ABS(ROUND(100/K73*L73-100,1))&lt;999,ROUND(100/K73*L73-100,1),IF(ROUND(100/K73*L73-100,1)&gt;999,999,-999)))</f>
        <v>10.3</v>
      </c>
      <c r="N73" s="453">
        <v>86</v>
      </c>
      <c r="O73" s="454">
        <v>78</v>
      </c>
      <c r="P73" s="443">
        <f>IF(N73=0, "    ---- ", IF(ABS(ROUND(100/N73*O73-100,1))&lt;999,ROUND(100/N73*O73-100,1),IF(ROUND(100/N73*O73-100,1)&gt;999,999,-999)))</f>
        <v>-9.3000000000000007</v>
      </c>
      <c r="Q73" s="453">
        <v>353401</v>
      </c>
      <c r="R73" s="454">
        <v>380658.20580628997</v>
      </c>
      <c r="S73" s="443">
        <f t="shared" si="37"/>
        <v>7.7</v>
      </c>
      <c r="T73" s="453">
        <v>1323.5</v>
      </c>
      <c r="U73" s="454">
        <v>1426.7</v>
      </c>
      <c r="V73" s="443">
        <f>IF(T73=0, "    ---- ", IF(ABS(ROUND(100/T73*U73-100,1))&lt;999,ROUND(100/T73*U73-100,1),IF(ROUND(100/T73*U73-100,1)&gt;999,999,-999)))</f>
        <v>7.8</v>
      </c>
      <c r="W73" s="453">
        <v>44414</v>
      </c>
      <c r="X73" s="454">
        <v>44953.63</v>
      </c>
      <c r="Y73" s="443">
        <f t="shared" si="20"/>
        <v>1.2</v>
      </c>
      <c r="Z73" s="453">
        <v>55958</v>
      </c>
      <c r="AA73" s="454">
        <v>57973</v>
      </c>
      <c r="AB73" s="443">
        <f>IF(Z73=0, "    ---- ", IF(ABS(ROUND(100/Z73*AA73-100,1))&lt;999,ROUND(100/Z73*AA73-100,1),IF(ROUND(100/Z73*AA73-100,1)&gt;999,999,-999)))</f>
        <v>3.6</v>
      </c>
      <c r="AC73" s="453"/>
      <c r="AD73" s="454"/>
      <c r="AE73" s="443"/>
      <c r="AF73" s="453">
        <v>7904.3338249300004</v>
      </c>
      <c r="AG73" s="454"/>
      <c r="AH73" s="443">
        <f>IF(AF73=0, "    ---- ", IF(ABS(ROUND(100/AF73*AG73-100,1))&lt;999,ROUND(100/AF73*AG73-100,1),IF(ROUND(100/AF73*AG73-100,1)&gt;999,999,-999)))</f>
        <v>-100</v>
      </c>
      <c r="AI73" s="453">
        <v>17485.199999999997</v>
      </c>
      <c r="AJ73" s="454">
        <v>18385.452000000001</v>
      </c>
      <c r="AK73" s="443">
        <f t="shared" si="21"/>
        <v>5.0999999999999996</v>
      </c>
      <c r="AL73" s="453">
        <v>166959</v>
      </c>
      <c r="AM73" s="454">
        <v>168883.69999999998</v>
      </c>
      <c r="AN73" s="443">
        <f t="shared" si="27"/>
        <v>1.2</v>
      </c>
      <c r="AO73" s="442">
        <f t="shared" ref="AO73:AP79" si="40">B73+E73+H73+K73+Q73+T73+W73+Z73+AF73+AI73+AL73</f>
        <v>852100.42482492991</v>
      </c>
      <c r="AP73" s="442">
        <f t="shared" si="40"/>
        <v>876826.94180628995</v>
      </c>
      <c r="AQ73" s="443">
        <f t="shared" si="23"/>
        <v>2.9</v>
      </c>
      <c r="AR73" s="442">
        <f t="shared" si="24"/>
        <v>852186.42482492991</v>
      </c>
      <c r="AS73" s="442">
        <f t="shared" si="24"/>
        <v>876904.94180628995</v>
      </c>
      <c r="AT73" s="567">
        <f t="shared" si="25"/>
        <v>2.9</v>
      </c>
      <c r="AU73" s="411"/>
      <c r="AV73" s="411"/>
      <c r="AW73" s="568"/>
    </row>
    <row r="74" spans="1:49" s="408" customFormat="1" ht="20.100000000000001" customHeight="1" x14ac:dyDescent="0.3">
      <c r="A74" s="440" t="s">
        <v>276</v>
      </c>
      <c r="B74" s="453">
        <v>14.231</v>
      </c>
      <c r="C74" s="454">
        <v>14.471</v>
      </c>
      <c r="D74" s="443">
        <f t="shared" si="39"/>
        <v>1.7</v>
      </c>
      <c r="E74" s="455">
        <v>6089</v>
      </c>
      <c r="F74" s="456">
        <v>6751.674</v>
      </c>
      <c r="G74" s="443">
        <f t="shared" si="19"/>
        <v>10.9</v>
      </c>
      <c r="H74" s="453">
        <v>0.24</v>
      </c>
      <c r="I74" s="454">
        <v>1.587</v>
      </c>
      <c r="J74" s="443">
        <f>IF(H74=0, "    ---- ", IF(ABS(ROUND(100/H74*I74-100,1))&lt;999,ROUND(100/H74*I74-100,1),IF(ROUND(100/H74*I74-100,1)&gt;999,999,-999)))</f>
        <v>561.29999999999995</v>
      </c>
      <c r="K74" s="453">
        <v>143.09</v>
      </c>
      <c r="L74" s="454">
        <v>164.39</v>
      </c>
      <c r="M74" s="442">
        <f>IF(K74=0, "    ---- ", IF(ABS(ROUND(100/K74*L74-100,1))&lt;999,ROUND(100/K74*L74-100,1),IF(ROUND(100/K74*L74-100,1)&gt;999,999,-999)))</f>
        <v>14.9</v>
      </c>
      <c r="N74" s="453"/>
      <c r="O74" s="454"/>
      <c r="P74" s="443"/>
      <c r="Q74" s="453">
        <v>20170.345658999999</v>
      </c>
      <c r="R74" s="454">
        <v>24291.653251</v>
      </c>
      <c r="S74" s="443">
        <f t="shared" si="37"/>
        <v>20.399999999999999</v>
      </c>
      <c r="T74" s="453">
        <v>37.700000000000003</v>
      </c>
      <c r="U74" s="454">
        <v>47.6</v>
      </c>
      <c r="V74" s="443">
        <f>IF(T74=0, "    ---- ", IF(ABS(ROUND(100/T74*U74-100,1))&lt;999,ROUND(100/T74*U74-100,1),IF(ROUND(100/T74*U74-100,1)&gt;999,999,-999)))</f>
        <v>26.3</v>
      </c>
      <c r="W74" s="453">
        <v>1200</v>
      </c>
      <c r="X74" s="454">
        <v>1338.81</v>
      </c>
      <c r="Y74" s="443">
        <f t="shared" si="20"/>
        <v>11.6</v>
      </c>
      <c r="Z74" s="453">
        <v>2093</v>
      </c>
      <c r="AA74" s="454">
        <v>4068</v>
      </c>
      <c r="AB74" s="443">
        <f>IF(Z74=0, "    ---- ", IF(ABS(ROUND(100/Z74*AA74-100,1))&lt;999,ROUND(100/Z74*AA74-100,1),IF(ROUND(100/Z74*AA74-100,1)&gt;999,999,-999)))</f>
        <v>94.4</v>
      </c>
      <c r="AC74" s="453"/>
      <c r="AD74" s="454"/>
      <c r="AE74" s="443"/>
      <c r="AF74" s="453">
        <v>113.49933281999999</v>
      </c>
      <c r="AG74" s="454"/>
      <c r="AH74" s="443">
        <f>IF(AF74=0, "    ---- ", IF(ABS(ROUND(100/AF74*AG74-100,1))&lt;999,ROUND(100/AF74*AG74-100,1),IF(ROUND(100/AF74*AG74-100,1)&gt;999,999,-999)))</f>
        <v>-100</v>
      </c>
      <c r="AI74" s="453">
        <v>550.10500000000002</v>
      </c>
      <c r="AJ74" s="454">
        <v>616.14</v>
      </c>
      <c r="AK74" s="443">
        <f t="shared" si="21"/>
        <v>12</v>
      </c>
      <c r="AL74" s="453">
        <v>5159.6000000000004</v>
      </c>
      <c r="AM74" s="454">
        <v>6793.7</v>
      </c>
      <c r="AN74" s="443">
        <f t="shared" si="27"/>
        <v>31.7</v>
      </c>
      <c r="AO74" s="442">
        <f t="shared" si="40"/>
        <v>35570.810991819999</v>
      </c>
      <c r="AP74" s="442">
        <f t="shared" si="40"/>
        <v>44088.025250999999</v>
      </c>
      <c r="AQ74" s="443">
        <f t="shared" si="23"/>
        <v>23.9</v>
      </c>
      <c r="AR74" s="442">
        <f t="shared" si="24"/>
        <v>35570.810991819999</v>
      </c>
      <c r="AS74" s="442">
        <f t="shared" si="24"/>
        <v>44088.025250999999</v>
      </c>
      <c r="AT74" s="567">
        <f t="shared" si="25"/>
        <v>23.9</v>
      </c>
      <c r="AU74" s="411"/>
      <c r="AV74" s="411"/>
      <c r="AW74" s="568"/>
    </row>
    <row r="75" spans="1:49" s="408" customFormat="1" ht="20.100000000000001" customHeight="1" x14ac:dyDescent="0.3">
      <c r="A75" s="440" t="s">
        <v>277</v>
      </c>
      <c r="B75" s="453">
        <v>14.045</v>
      </c>
      <c r="C75" s="454">
        <v>28.567</v>
      </c>
      <c r="D75" s="443">
        <f t="shared" si="39"/>
        <v>103.4</v>
      </c>
      <c r="E75" s="455">
        <v>2294</v>
      </c>
      <c r="F75" s="456">
        <v>2424.2280000000001</v>
      </c>
      <c r="G75" s="443">
        <f t="shared" si="19"/>
        <v>5.7</v>
      </c>
      <c r="H75" s="453"/>
      <c r="I75" s="454"/>
      <c r="J75" s="443"/>
      <c r="K75" s="453">
        <v>0</v>
      </c>
      <c r="L75" s="454">
        <v>26.9</v>
      </c>
      <c r="M75" s="442" t="str">
        <f>IF(K75=0, "    ---- ", IF(ABS(ROUND(100/K75*L75-100,1))&lt;999,ROUND(100/K75*L75-100,1),IF(ROUND(100/K75*L75-100,1)&gt;999,999,-999)))</f>
        <v xml:space="preserve">    ---- </v>
      </c>
      <c r="N75" s="453"/>
      <c r="O75" s="454"/>
      <c r="P75" s="443"/>
      <c r="Q75" s="453">
        <v>21471.932133999999</v>
      </c>
      <c r="R75" s="576">
        <v>28337.312049</v>
      </c>
      <c r="S75" s="443">
        <f t="shared" si="37"/>
        <v>32</v>
      </c>
      <c r="T75" s="453">
        <v>56.6</v>
      </c>
      <c r="U75" s="454">
        <v>66.8</v>
      </c>
      <c r="V75" s="443">
        <f>IF(T75=0, "    ---- ", IF(ABS(ROUND(100/T75*U75-100,1))&lt;999,ROUND(100/T75*U75-100,1),IF(ROUND(100/T75*U75-100,1)&gt;999,999,-999)))</f>
        <v>18</v>
      </c>
      <c r="W75" s="453">
        <v>894</v>
      </c>
      <c r="X75" s="454">
        <v>1061.3599999999999</v>
      </c>
      <c r="Y75" s="443">
        <f t="shared" si="20"/>
        <v>18.7</v>
      </c>
      <c r="Z75" s="453">
        <v>9340</v>
      </c>
      <c r="AA75" s="454">
        <v>9271</v>
      </c>
      <c r="AB75" s="443">
        <f>IF(Z75=0, "    ---- ", IF(ABS(ROUND(100/Z75*AA75-100,1))&lt;999,ROUND(100/Z75*AA75-100,1),IF(ROUND(100/Z75*AA75-100,1)&gt;999,999,-999)))</f>
        <v>-0.7</v>
      </c>
      <c r="AC75" s="453"/>
      <c r="AD75" s="454"/>
      <c r="AE75" s="443"/>
      <c r="AF75" s="453">
        <v>329.26693137000001</v>
      </c>
      <c r="AG75" s="454"/>
      <c r="AH75" s="443">
        <f>IF(AF75=0, "    ---- ", IF(ABS(ROUND(100/AF75*AG75-100,1))&lt;999,ROUND(100/AF75*AG75-100,1),IF(ROUND(100/AF75*AG75-100,1)&gt;999,999,-999)))</f>
        <v>-100</v>
      </c>
      <c r="AI75" s="453">
        <v>1717.056</v>
      </c>
      <c r="AJ75" s="454">
        <v>1892.39</v>
      </c>
      <c r="AK75" s="443">
        <f t="shared" si="21"/>
        <v>10.199999999999999</v>
      </c>
      <c r="AL75" s="453">
        <v>4520</v>
      </c>
      <c r="AM75" s="454">
        <v>2683.5</v>
      </c>
      <c r="AN75" s="443">
        <f t="shared" si="27"/>
        <v>-40.6</v>
      </c>
      <c r="AO75" s="442">
        <f t="shared" si="40"/>
        <v>40636.900065369999</v>
      </c>
      <c r="AP75" s="442">
        <f t="shared" si="40"/>
        <v>45792.057048999995</v>
      </c>
      <c r="AQ75" s="443">
        <f t="shared" si="23"/>
        <v>12.7</v>
      </c>
      <c r="AR75" s="442">
        <f t="shared" si="24"/>
        <v>40636.900065369999</v>
      </c>
      <c r="AS75" s="442">
        <f t="shared" si="24"/>
        <v>45792.057048999995</v>
      </c>
      <c r="AT75" s="567">
        <f t="shared" si="25"/>
        <v>12.7</v>
      </c>
      <c r="AU75" s="411"/>
      <c r="AV75" s="411"/>
      <c r="AW75" s="568"/>
    </row>
    <row r="76" spans="1:49" s="408" customFormat="1" ht="20.100000000000001" customHeight="1" x14ac:dyDescent="0.3">
      <c r="A76" s="440" t="s">
        <v>415</v>
      </c>
      <c r="B76" s="453">
        <v>16.036000000000001</v>
      </c>
      <c r="C76" s="454">
        <v>16.712</v>
      </c>
      <c r="D76" s="443">
        <f t="shared" si="39"/>
        <v>4.2</v>
      </c>
      <c r="E76" s="455">
        <v>1779</v>
      </c>
      <c r="F76" s="456">
        <v>1152.451</v>
      </c>
      <c r="G76" s="443">
        <f t="shared" si="19"/>
        <v>-35.200000000000003</v>
      </c>
      <c r="H76" s="453"/>
      <c r="I76" s="454"/>
      <c r="J76" s="443"/>
      <c r="K76" s="453">
        <v>3.6190000000000002</v>
      </c>
      <c r="L76" s="454">
        <v>1.165</v>
      </c>
      <c r="M76" s="454">
        <f>IF(K76=0, "    ---- ", IF(ABS(ROUND(100/K76*L76-100,1))&lt;999,ROUND(100/K76*L76-100,1),IF(ROUND(100/K76*L76-100,1)&gt;999,999,-999)))</f>
        <v>-67.8</v>
      </c>
      <c r="N76" s="453"/>
      <c r="O76" s="454"/>
      <c r="P76" s="443"/>
      <c r="Q76" s="453">
        <v>15284.221261000001</v>
      </c>
      <c r="R76" s="454">
        <v>16906.649821999999</v>
      </c>
      <c r="S76" s="443">
        <f t="shared" si="37"/>
        <v>10.6</v>
      </c>
      <c r="T76" s="453">
        <v>18.3</v>
      </c>
      <c r="U76" s="454">
        <v>26.2</v>
      </c>
      <c r="V76" s="443">
        <f>IF(T76=0, "    ---- ", IF(ABS(ROUND(100/T76*U76-100,1))&lt;999,ROUND(100/T76*U76-100,1),IF(ROUND(100/T76*U76-100,1)&gt;999,999,-999)))</f>
        <v>43.2</v>
      </c>
      <c r="W76" s="453">
        <v>729</v>
      </c>
      <c r="X76" s="454">
        <v>465.07</v>
      </c>
      <c r="Y76" s="443">
        <f t="shared" si="20"/>
        <v>-36.200000000000003</v>
      </c>
      <c r="Z76" s="453">
        <v>1847</v>
      </c>
      <c r="AA76" s="454"/>
      <c r="AB76" s="443"/>
      <c r="AC76" s="453"/>
      <c r="AD76" s="454"/>
      <c r="AE76" s="443"/>
      <c r="AF76" s="453"/>
      <c r="AG76" s="454"/>
      <c r="AH76" s="443"/>
      <c r="AI76" s="453">
        <v>375.62200000000001</v>
      </c>
      <c r="AJ76" s="454">
        <v>358.97199999999998</v>
      </c>
      <c r="AK76" s="443">
        <f t="shared" si="21"/>
        <v>-4.4000000000000004</v>
      </c>
      <c r="AL76" s="453">
        <v>2713.2</v>
      </c>
      <c r="AM76" s="454">
        <v>2671.2</v>
      </c>
      <c r="AN76" s="443">
        <f t="shared" si="27"/>
        <v>-1.5</v>
      </c>
      <c r="AO76" s="442">
        <f t="shared" si="40"/>
        <v>22765.998261000001</v>
      </c>
      <c r="AP76" s="442">
        <f t="shared" si="40"/>
        <v>21598.419822000003</v>
      </c>
      <c r="AQ76" s="443">
        <f t="shared" si="23"/>
        <v>-5.0999999999999996</v>
      </c>
      <c r="AR76" s="442">
        <f t="shared" si="24"/>
        <v>22765.998261000001</v>
      </c>
      <c r="AS76" s="442">
        <f t="shared" si="24"/>
        <v>21598.419822000003</v>
      </c>
      <c r="AT76" s="567">
        <f t="shared" si="25"/>
        <v>-5.0999999999999996</v>
      </c>
      <c r="AU76" s="411"/>
      <c r="AV76" s="411"/>
      <c r="AW76" s="568"/>
    </row>
    <row r="77" spans="1:49" s="408" customFormat="1" ht="20.100000000000001" customHeight="1" x14ac:dyDescent="0.3">
      <c r="A77" s="440" t="s">
        <v>416</v>
      </c>
      <c r="B77" s="453">
        <v>51.585999999999999</v>
      </c>
      <c r="C77" s="454">
        <v>47.822000000000003</v>
      </c>
      <c r="D77" s="443">
        <f t="shared" si="39"/>
        <v>-7.3</v>
      </c>
      <c r="E77" s="455">
        <v>275</v>
      </c>
      <c r="F77" s="456">
        <v>34.835000000000001</v>
      </c>
      <c r="G77" s="443">
        <f t="shared" si="19"/>
        <v>-87.3</v>
      </c>
      <c r="H77" s="453">
        <v>23.469000000000001</v>
      </c>
      <c r="I77" s="454">
        <v>19.602</v>
      </c>
      <c r="J77" s="443">
        <f>IF(H77=0, "    ---- ", IF(ABS(ROUND(100/H77*I77-100,1))&lt;999,ROUND(100/H77*I77-100,1),IF(ROUND(100/H77*I77-100,1)&gt;999,999,-999)))</f>
        <v>-16.5</v>
      </c>
      <c r="K77" s="453"/>
      <c r="L77" s="454"/>
      <c r="M77" s="442"/>
      <c r="N77" s="453"/>
      <c r="O77" s="454"/>
      <c r="P77" s="443"/>
      <c r="Q77" s="453"/>
      <c r="R77" s="454"/>
      <c r="S77" s="443"/>
      <c r="T77" s="453"/>
      <c r="U77" s="454"/>
      <c r="V77" s="443"/>
      <c r="W77" s="453">
        <v>47</v>
      </c>
      <c r="X77" s="454">
        <v>703.69999999999993</v>
      </c>
      <c r="Y77" s="443">
        <f t="shared" si="20"/>
        <v>999</v>
      </c>
      <c r="Z77" s="453">
        <v>654</v>
      </c>
      <c r="AA77" s="454">
        <v>2267</v>
      </c>
      <c r="AB77" s="443">
        <f>IF(Z77=0, "    ---- ", IF(ABS(ROUND(100/Z77*AA77-100,1))&lt;999,ROUND(100/Z77*AA77-100,1),IF(ROUND(100/Z77*AA77-100,1)&gt;999,999,-999)))</f>
        <v>246.6</v>
      </c>
      <c r="AC77" s="453"/>
      <c r="AD77" s="454"/>
      <c r="AE77" s="443"/>
      <c r="AF77" s="453"/>
      <c r="AG77" s="454"/>
      <c r="AH77" s="443"/>
      <c r="AI77" s="453">
        <v>51.762999999999998</v>
      </c>
      <c r="AJ77" s="454"/>
      <c r="AK77" s="443">
        <f t="shared" si="21"/>
        <v>-100</v>
      </c>
      <c r="AL77" s="453">
        <v>829.2</v>
      </c>
      <c r="AM77" s="454">
        <v>683.5</v>
      </c>
      <c r="AN77" s="443">
        <f t="shared" si="27"/>
        <v>-17.600000000000001</v>
      </c>
      <c r="AO77" s="442">
        <f t="shared" si="40"/>
        <v>1932.018</v>
      </c>
      <c r="AP77" s="442">
        <f t="shared" si="40"/>
        <v>3756.4589999999998</v>
      </c>
      <c r="AQ77" s="443">
        <f t="shared" si="23"/>
        <v>94.4</v>
      </c>
      <c r="AR77" s="442">
        <f t="shared" si="24"/>
        <v>1932.018</v>
      </c>
      <c r="AS77" s="442">
        <f t="shared" si="24"/>
        <v>3756.4589999999998</v>
      </c>
      <c r="AT77" s="567">
        <f t="shared" si="25"/>
        <v>94.4</v>
      </c>
      <c r="AU77" s="411"/>
      <c r="AV77" s="411"/>
      <c r="AW77" s="568"/>
    </row>
    <row r="78" spans="1:49" s="408" customFormat="1" ht="20.100000000000001" customHeight="1" x14ac:dyDescent="0.3">
      <c r="A78" s="440" t="s">
        <v>278</v>
      </c>
      <c r="B78" s="453"/>
      <c r="C78" s="454"/>
      <c r="D78" s="443"/>
      <c r="E78" s="455"/>
      <c r="F78" s="456"/>
      <c r="G78" s="443"/>
      <c r="H78" s="453"/>
      <c r="I78" s="454"/>
      <c r="J78" s="443"/>
      <c r="K78" s="453"/>
      <c r="L78" s="454"/>
      <c r="M78" s="442"/>
      <c r="N78" s="453"/>
      <c r="O78" s="454"/>
      <c r="P78" s="443"/>
      <c r="Q78" s="453"/>
      <c r="R78" s="454"/>
      <c r="S78" s="443"/>
      <c r="T78" s="453"/>
      <c r="U78" s="454"/>
      <c r="V78" s="443"/>
      <c r="W78" s="453"/>
      <c r="X78" s="454"/>
      <c r="Y78" s="443"/>
      <c r="Z78" s="453"/>
      <c r="AA78" s="454">
        <v>424</v>
      </c>
      <c r="AB78" s="443" t="str">
        <f>IF(Z78=0, "    ---- ", IF(ABS(ROUND(100/Z78*AA78-100,1))&lt;999,ROUND(100/Z78*AA78-100,1),IF(ROUND(100/Z78*AA78-100,1)&gt;999,999,-999)))</f>
        <v xml:space="preserve">    ---- </v>
      </c>
      <c r="AC78" s="453"/>
      <c r="AD78" s="454"/>
      <c r="AE78" s="443"/>
      <c r="AF78" s="453"/>
      <c r="AG78" s="454"/>
      <c r="AH78" s="443"/>
      <c r="AI78" s="453"/>
      <c r="AJ78" s="454"/>
      <c r="AK78" s="443"/>
      <c r="AL78" s="453"/>
      <c r="AM78" s="454"/>
      <c r="AN78" s="443"/>
      <c r="AO78" s="442">
        <f t="shared" si="40"/>
        <v>0</v>
      </c>
      <c r="AP78" s="442">
        <f t="shared" si="40"/>
        <v>424</v>
      </c>
      <c r="AQ78" s="443" t="str">
        <f t="shared" si="23"/>
        <v xml:space="preserve">    ---- </v>
      </c>
      <c r="AR78" s="442">
        <f t="shared" si="24"/>
        <v>0</v>
      </c>
      <c r="AS78" s="442">
        <f t="shared" si="24"/>
        <v>424</v>
      </c>
      <c r="AT78" s="567" t="str">
        <f t="shared" si="25"/>
        <v xml:space="preserve">    ---- </v>
      </c>
      <c r="AU78" s="411"/>
      <c r="AV78" s="411"/>
      <c r="AW78" s="568"/>
    </row>
    <row r="79" spans="1:49" s="408" customFormat="1" ht="20.100000000000001" customHeight="1" x14ac:dyDescent="0.3">
      <c r="A79" s="509" t="s">
        <v>279</v>
      </c>
      <c r="B79" s="454">
        <v>893.95900000000006</v>
      </c>
      <c r="C79" s="454">
        <v>937.09</v>
      </c>
      <c r="D79" s="443">
        <f>IF(B79=0, "    ---- ", IF(ABS(ROUND(100/B79*C79-100,1))&lt;999,ROUND(100/B79*C79-100,1),IF(ROUND(100/B79*C79-100,1)&gt;999,999,-999)))</f>
        <v>4.8</v>
      </c>
      <c r="E79" s="456">
        <v>208950</v>
      </c>
      <c r="F79" s="456">
        <v>208159.745</v>
      </c>
      <c r="G79" s="443">
        <f t="shared" si="19"/>
        <v>-0.4</v>
      </c>
      <c r="H79" s="454">
        <v>637.0390000000001</v>
      </c>
      <c r="I79" s="454">
        <v>724.25799999999992</v>
      </c>
      <c r="J79" s="443">
        <f>IF(H79=0, "    ---- ", IF(ABS(ROUND(100/H79*I79-100,1))&lt;999,ROUND(100/H79*I79-100,1),IF(ROUND(100/H79*I79-100,1)&gt;999,999,-999)))</f>
        <v>13.7</v>
      </c>
      <c r="K79" s="454">
        <v>4877.7089999999998</v>
      </c>
      <c r="L79" s="454">
        <v>5409.5650000000005</v>
      </c>
      <c r="M79" s="442">
        <f>IF(K79=0, "    ---- ", IF(ABS(ROUND(100/K79*L79-100,1))&lt;999,ROUND(100/K79*L79-100,1),IF(ROUND(100/K79*L79-100,1)&gt;999,999,-999)))</f>
        <v>10.9</v>
      </c>
      <c r="N79" s="454">
        <v>86</v>
      </c>
      <c r="O79" s="454">
        <v>78</v>
      </c>
      <c r="P79" s="443">
        <f>IF(N79=0, "    ---- ", IF(ABS(ROUND(100/N79*O79-100,1))&lt;999,ROUND(100/N79*O79-100,1),IF(ROUND(100/N79*O79-100,1)&gt;999,999,-999)))</f>
        <v>-9.3000000000000007</v>
      </c>
      <c r="Q79" s="451">
        <f>Q73+Q74+Q75+Q76</f>
        <v>410327.49905400001</v>
      </c>
      <c r="R79" s="454">
        <v>450193.82092828996</v>
      </c>
      <c r="S79" s="443">
        <f t="shared" si="37"/>
        <v>9.6999999999999993</v>
      </c>
      <c r="T79" s="454">
        <v>1436.1</v>
      </c>
      <c r="U79" s="454">
        <v>1567.3</v>
      </c>
      <c r="V79" s="443">
        <f>IF(T79=0, "    ---- ", IF(ABS(ROUND(100/T79*U79-100,1))&lt;999,ROUND(100/T79*U79-100,1),IF(ROUND(100/T79*U79-100,1)&gt;999,999,-999)))</f>
        <v>9.1</v>
      </c>
      <c r="W79" s="454">
        <v>47284</v>
      </c>
      <c r="X79" s="454">
        <v>48522.569999999992</v>
      </c>
      <c r="Y79" s="443">
        <f t="shared" si="20"/>
        <v>2.6</v>
      </c>
      <c r="Z79" s="454">
        <v>69892</v>
      </c>
      <c r="AA79" s="454">
        <v>74003</v>
      </c>
      <c r="AB79" s="443">
        <f>IF(Z79=0, "    ---- ", IF(ABS(ROUND(100/Z79*AA79-100,1))&lt;999,ROUND(100/Z79*AA79-100,1),IF(ROUND(100/Z79*AA79-100,1)&gt;999,999,-999)))</f>
        <v>5.9</v>
      </c>
      <c r="AC79" s="453"/>
      <c r="AD79" s="454"/>
      <c r="AE79" s="443"/>
      <c r="AF79" s="453">
        <v>8556.6983527800003</v>
      </c>
      <c r="AG79" s="454"/>
      <c r="AH79" s="443">
        <f>IF(AF79=0, "    ---- ", IF(ABS(ROUND(100/AF79*AG79-100,1))&lt;999,ROUND(100/AF79*AG79-100,1),IF(ROUND(100/AF79*AG79-100,1)&gt;999,999,-999)))</f>
        <v>-100</v>
      </c>
      <c r="AI79" s="454">
        <v>20179.745999999996</v>
      </c>
      <c r="AJ79" s="454">
        <v>21252.954000000002</v>
      </c>
      <c r="AK79" s="443">
        <f t="shared" si="21"/>
        <v>5.3</v>
      </c>
      <c r="AL79" s="454">
        <v>180181.00000000003</v>
      </c>
      <c r="AM79" s="454">
        <v>181715.6</v>
      </c>
      <c r="AN79" s="443">
        <f t="shared" si="27"/>
        <v>0.9</v>
      </c>
      <c r="AO79" s="442">
        <f t="shared" si="40"/>
        <v>953215.75040677993</v>
      </c>
      <c r="AP79" s="442">
        <f t="shared" si="40"/>
        <v>992485.90292828996</v>
      </c>
      <c r="AQ79" s="443">
        <f t="shared" si="23"/>
        <v>4.0999999999999996</v>
      </c>
      <c r="AR79" s="442">
        <f t="shared" si="24"/>
        <v>953301.75040677993</v>
      </c>
      <c r="AS79" s="442">
        <f t="shared" si="24"/>
        <v>992563.90292828996</v>
      </c>
      <c r="AT79" s="567">
        <f t="shared" si="25"/>
        <v>4.0999999999999996</v>
      </c>
      <c r="AU79" s="411"/>
      <c r="AV79" s="411"/>
      <c r="AW79" s="568"/>
    </row>
    <row r="80" spans="1:49" s="408" customFormat="1" ht="20.100000000000001" customHeight="1" x14ac:dyDescent="0.3">
      <c r="A80" s="440" t="s">
        <v>280</v>
      </c>
      <c r="B80" s="453"/>
      <c r="C80" s="454"/>
      <c r="D80" s="443"/>
      <c r="E80" s="455"/>
      <c r="F80" s="456"/>
      <c r="G80" s="443"/>
      <c r="H80" s="453"/>
      <c r="I80" s="454"/>
      <c r="J80" s="443"/>
      <c r="K80" s="453"/>
      <c r="L80" s="454"/>
      <c r="M80" s="442"/>
      <c r="N80" s="453"/>
      <c r="O80" s="454"/>
      <c r="P80" s="443"/>
      <c r="Q80" s="453"/>
      <c r="R80" s="454"/>
      <c r="S80" s="443"/>
      <c r="T80" s="453"/>
      <c r="U80" s="454"/>
      <c r="V80" s="443"/>
      <c r="W80" s="453"/>
      <c r="X80" s="454"/>
      <c r="Y80" s="443"/>
      <c r="Z80" s="453"/>
      <c r="AA80" s="454"/>
      <c r="AB80" s="443"/>
      <c r="AC80" s="453"/>
      <c r="AD80" s="454"/>
      <c r="AE80" s="443"/>
      <c r="AF80" s="453"/>
      <c r="AG80" s="454"/>
      <c r="AH80" s="443"/>
      <c r="AI80" s="453"/>
      <c r="AJ80" s="454"/>
      <c r="AK80" s="443"/>
      <c r="AL80" s="453"/>
      <c r="AM80" s="454"/>
      <c r="AN80" s="443"/>
      <c r="AO80" s="442"/>
      <c r="AP80" s="442"/>
      <c r="AQ80" s="443"/>
      <c r="AR80" s="442"/>
      <c r="AS80" s="442"/>
      <c r="AT80" s="567"/>
      <c r="AU80" s="411"/>
      <c r="AV80" s="411"/>
      <c r="AW80" s="568"/>
    </row>
    <row r="81" spans="1:49" s="408" customFormat="1" ht="20.100000000000001" customHeight="1" x14ac:dyDescent="0.3">
      <c r="A81" s="440" t="s">
        <v>417</v>
      </c>
      <c r="B81" s="453">
        <v>12236.491</v>
      </c>
      <c r="C81" s="454">
        <v>13937.968000000001</v>
      </c>
      <c r="D81" s="443">
        <f>IF(B81=0, "    ---- ", IF(ABS(ROUND(100/B81*C81-100,1))&lt;999,ROUND(100/B81*C81-100,1),IF(ROUND(100/B81*C81-100,1)&gt;999,999,-999)))</f>
        <v>13.9</v>
      </c>
      <c r="E81" s="455">
        <v>49119</v>
      </c>
      <c r="F81" s="456">
        <v>59589.591999999997</v>
      </c>
      <c r="G81" s="443">
        <f t="shared" si="19"/>
        <v>21.3</v>
      </c>
      <c r="H81" s="453">
        <v>2345.808</v>
      </c>
      <c r="I81" s="454">
        <v>2680.7440000000001</v>
      </c>
      <c r="J81" s="443">
        <f>IF(H81=0, "    ---- ", IF(ABS(ROUND(100/H81*I81-100,1))&lt;999,ROUND(100/H81*I81-100,1),IF(ROUND(100/H81*I81-100,1)&gt;999,999,-999)))</f>
        <v>14.3</v>
      </c>
      <c r="K81" s="453">
        <v>14862.968999999999</v>
      </c>
      <c r="L81" s="454">
        <v>17513.43</v>
      </c>
      <c r="M81" s="442">
        <f>IF(K81=0, "    ---- ", IF(ABS(ROUND(100/K81*L81-100,1))&lt;999,ROUND(100/K81*L81-100,1),IF(ROUND(100/K81*L81-100,1)&gt;999,999,-999)))</f>
        <v>17.8</v>
      </c>
      <c r="N81" s="453"/>
      <c r="O81" s="454">
        <v>2</v>
      </c>
      <c r="P81" s="443" t="str">
        <f>IF(N81=0, "    ---- ", IF(ABS(ROUND(100/N81*O81-100,1))&lt;999,ROUND(100/N81*O81-100,1),IF(ROUND(100/N81*O81-100,1)&gt;999,999,-999)))</f>
        <v xml:space="preserve">    ---- </v>
      </c>
      <c r="Q81" s="453">
        <v>1684</v>
      </c>
      <c r="R81" s="454">
        <v>1765.96595215</v>
      </c>
      <c r="S81" s="443">
        <f t="shared" ref="S81:S91" si="41">IF(Q81=0, "    ---- ", IF(ABS(ROUND(100/Q81*R81-100,1))&lt;999,ROUND(100/Q81*R81-100,1),IF(ROUND(100/Q81*R81-100,1)&gt;999,999,-999)))</f>
        <v>4.9000000000000004</v>
      </c>
      <c r="T81" s="453">
        <v>1174.8</v>
      </c>
      <c r="U81" s="454">
        <v>1665.3</v>
      </c>
      <c r="V81" s="443">
        <f>IF(T81=0, "    ---- ", IF(ABS(ROUND(100/T81*U81-100,1))&lt;999,ROUND(100/T81*U81-100,1),IF(ROUND(100/T81*U81-100,1)&gt;999,999,-999)))</f>
        <v>41.8</v>
      </c>
      <c r="W81" s="453">
        <v>39158</v>
      </c>
      <c r="X81" s="454">
        <v>47300.72</v>
      </c>
      <c r="Y81" s="443">
        <f t="shared" si="20"/>
        <v>20.8</v>
      </c>
      <c r="Z81" s="453"/>
      <c r="AA81" s="454"/>
      <c r="AB81" s="443"/>
      <c r="AC81" s="453">
        <v>1611</v>
      </c>
      <c r="AD81" s="454">
        <v>1764</v>
      </c>
      <c r="AE81" s="443">
        <f>IF(AC81=0, "    ---- ", IF(ABS(ROUND(100/AC81*AD81-100,1))&lt;999,ROUND(100/AC81*AD81-100,1),IF(ROUND(100/AC81*AD81-100,1)&gt;999,999,-999)))</f>
        <v>9.5</v>
      </c>
      <c r="AF81" s="453">
        <v>554.65576253999996</v>
      </c>
      <c r="AG81" s="454"/>
      <c r="AH81" s="443">
        <f>IF(AF81=0, "    ---- ", IF(ABS(ROUND(100/AF81*AG81-100,1))&lt;999,ROUND(100/AF81*AG81-100,1),IF(ROUND(100/AF81*AG81-100,1)&gt;999,999,-999)))</f>
        <v>-100</v>
      </c>
      <c r="AI81" s="453">
        <v>15244.021000000001</v>
      </c>
      <c r="AJ81" s="454">
        <v>18759.543000000001</v>
      </c>
      <c r="AK81" s="443">
        <f t="shared" si="21"/>
        <v>23.1</v>
      </c>
      <c r="AL81" s="453">
        <v>53894.2</v>
      </c>
      <c r="AM81" s="454">
        <v>65144.299999999996</v>
      </c>
      <c r="AN81" s="443">
        <f t="shared" si="27"/>
        <v>20.9</v>
      </c>
      <c r="AO81" s="442">
        <f t="shared" ref="AO81:AP89" si="42">B81+E81+H81+K81+Q81+T81+W81+Z81+AF81+AI81+AL81</f>
        <v>190273.94476253999</v>
      </c>
      <c r="AP81" s="442">
        <f t="shared" si="42"/>
        <v>228357.56295215001</v>
      </c>
      <c r="AQ81" s="443">
        <f t="shared" si="23"/>
        <v>20</v>
      </c>
      <c r="AR81" s="442">
        <f t="shared" si="24"/>
        <v>191884.94476253999</v>
      </c>
      <c r="AS81" s="442">
        <f t="shared" si="24"/>
        <v>230123.56295215001</v>
      </c>
      <c r="AT81" s="567">
        <f t="shared" si="25"/>
        <v>19.899999999999999</v>
      </c>
      <c r="AU81" s="411"/>
      <c r="AV81" s="411"/>
      <c r="AW81" s="568"/>
    </row>
    <row r="82" spans="1:49" s="408" customFormat="1" ht="20.100000000000001" customHeight="1" x14ac:dyDescent="0.3">
      <c r="A82" s="440" t="s">
        <v>418</v>
      </c>
      <c r="B82" s="453"/>
      <c r="C82" s="454"/>
      <c r="D82" s="443"/>
      <c r="E82" s="455"/>
      <c r="F82" s="456"/>
      <c r="G82" s="443"/>
      <c r="H82" s="453"/>
      <c r="I82" s="454"/>
      <c r="J82" s="443"/>
      <c r="K82" s="453"/>
      <c r="L82" s="454"/>
      <c r="M82" s="443"/>
      <c r="N82" s="453"/>
      <c r="O82" s="454"/>
      <c r="P82" s="443"/>
      <c r="Q82" s="453">
        <v>114.136776</v>
      </c>
      <c r="R82" s="454">
        <v>132.679419</v>
      </c>
      <c r="S82" s="443">
        <f t="shared" si="41"/>
        <v>16.2</v>
      </c>
      <c r="T82" s="453"/>
      <c r="U82" s="454"/>
      <c r="V82" s="443"/>
      <c r="W82" s="453"/>
      <c r="X82" s="454"/>
      <c r="Y82" s="443"/>
      <c r="Z82" s="453"/>
      <c r="AA82" s="454"/>
      <c r="AB82" s="443"/>
      <c r="AC82" s="453"/>
      <c r="AD82" s="454"/>
      <c r="AE82" s="443"/>
      <c r="AF82" s="453"/>
      <c r="AG82" s="454"/>
      <c r="AH82" s="443"/>
      <c r="AI82" s="453"/>
      <c r="AJ82" s="454"/>
      <c r="AK82" s="443"/>
      <c r="AL82" s="453"/>
      <c r="AM82" s="454"/>
      <c r="AN82" s="443"/>
      <c r="AO82" s="442">
        <f t="shared" si="42"/>
        <v>114.136776</v>
      </c>
      <c r="AP82" s="442">
        <f t="shared" si="42"/>
        <v>132.679419</v>
      </c>
      <c r="AQ82" s="443">
        <f t="shared" si="23"/>
        <v>16.2</v>
      </c>
      <c r="AR82" s="442">
        <f t="shared" si="24"/>
        <v>114.136776</v>
      </c>
      <c r="AS82" s="442">
        <f t="shared" si="24"/>
        <v>132.679419</v>
      </c>
      <c r="AT82" s="567">
        <f t="shared" si="25"/>
        <v>16.2</v>
      </c>
      <c r="AU82" s="411"/>
      <c r="AV82" s="411"/>
      <c r="AW82" s="568"/>
    </row>
    <row r="83" spans="1:49" s="408" customFormat="1" ht="20.100000000000001" customHeight="1" x14ac:dyDescent="0.3">
      <c r="A83" s="440" t="s">
        <v>419</v>
      </c>
      <c r="B83" s="447">
        <v>94.081999999999994</v>
      </c>
      <c r="C83" s="443">
        <v>99.378</v>
      </c>
      <c r="D83" s="443">
        <f>IF(B83=0, "    ---- ", IF(ABS(ROUND(100/B83*C83-100,1))&lt;999,ROUND(100/B83*C83-100,1),IF(ROUND(100/B83*C83-100,1)&gt;999,999,-999)))</f>
        <v>5.6</v>
      </c>
      <c r="E83" s="449">
        <v>559</v>
      </c>
      <c r="F83" s="450">
        <v>630.601</v>
      </c>
      <c r="G83" s="443">
        <f t="shared" si="19"/>
        <v>12.8</v>
      </c>
      <c r="H83" s="447"/>
      <c r="I83" s="443"/>
      <c r="J83" s="443"/>
      <c r="K83" s="447">
        <v>292.50200000000001</v>
      </c>
      <c r="L83" s="443">
        <v>314.27</v>
      </c>
      <c r="M83" s="443">
        <f>IF(K83=0, "    ---- ", IF(ABS(ROUND(100/K83*L83-100,1))&lt;999,ROUND(100/K83*L83-100,1),IF(ROUND(100/K83*L83-100,1)&gt;999,999,-999)))</f>
        <v>7.4</v>
      </c>
      <c r="N83" s="447"/>
      <c r="O83" s="443"/>
      <c r="P83" s="443"/>
      <c r="Q83" s="447">
        <v>237.714157</v>
      </c>
      <c r="R83" s="454">
        <v>282.82383499999997</v>
      </c>
      <c r="S83" s="443">
        <f t="shared" si="41"/>
        <v>19</v>
      </c>
      <c r="T83" s="447">
        <v>7.7</v>
      </c>
      <c r="U83" s="443">
        <v>8.4</v>
      </c>
      <c r="V83" s="443">
        <f>IF(T83=0, "    ---- ", IF(ABS(ROUND(100/T83*U83-100,1))&lt;999,ROUND(100/T83*U83-100,1),IF(ROUND(100/T83*U83-100,1)&gt;999,999,-999)))</f>
        <v>9.1</v>
      </c>
      <c r="W83" s="447"/>
      <c r="X83" s="443"/>
      <c r="Y83" s="443"/>
      <c r="Z83" s="447"/>
      <c r="AA83" s="443"/>
      <c r="AB83" s="443"/>
      <c r="AC83" s="447"/>
      <c r="AD83" s="443"/>
      <c r="AE83" s="443"/>
      <c r="AF83" s="447"/>
      <c r="AG83" s="443"/>
      <c r="AH83" s="443"/>
      <c r="AI83" s="447">
        <v>322.85300000000001</v>
      </c>
      <c r="AJ83" s="443">
        <v>396.90100000000001</v>
      </c>
      <c r="AK83" s="443">
        <f t="shared" si="21"/>
        <v>22.9</v>
      </c>
      <c r="AL83" s="447"/>
      <c r="AM83" s="443"/>
      <c r="AN83" s="443"/>
      <c r="AO83" s="442">
        <f t="shared" si="42"/>
        <v>1513.8511570000003</v>
      </c>
      <c r="AP83" s="442">
        <f t="shared" si="42"/>
        <v>1732.3738350000001</v>
      </c>
      <c r="AQ83" s="443">
        <f t="shared" si="23"/>
        <v>14.4</v>
      </c>
      <c r="AR83" s="442">
        <f t="shared" si="24"/>
        <v>1513.8511570000003</v>
      </c>
      <c r="AS83" s="442">
        <f t="shared" si="24"/>
        <v>1732.3738350000001</v>
      </c>
      <c r="AT83" s="567">
        <f t="shared" si="25"/>
        <v>14.4</v>
      </c>
      <c r="AU83" s="411"/>
      <c r="AV83" s="411"/>
      <c r="AW83" s="568"/>
    </row>
    <row r="84" spans="1:49" s="408" customFormat="1" ht="20.100000000000001" customHeight="1" x14ac:dyDescent="0.3">
      <c r="A84" s="440" t="s">
        <v>278</v>
      </c>
      <c r="B84" s="453"/>
      <c r="C84" s="454"/>
      <c r="D84" s="454"/>
      <c r="E84" s="455"/>
      <c r="F84" s="456"/>
      <c r="G84" s="454"/>
      <c r="H84" s="453"/>
      <c r="I84" s="454"/>
      <c r="J84" s="454"/>
      <c r="K84" s="453"/>
      <c r="L84" s="454"/>
      <c r="M84" s="442"/>
      <c r="N84" s="453"/>
      <c r="O84" s="454"/>
      <c r="P84" s="443"/>
      <c r="Q84" s="453"/>
      <c r="R84" s="454"/>
      <c r="S84" s="443"/>
      <c r="T84" s="453"/>
      <c r="U84" s="454"/>
      <c r="V84" s="443"/>
      <c r="W84" s="453"/>
      <c r="X84" s="454"/>
      <c r="Y84" s="443"/>
      <c r="Z84" s="453"/>
      <c r="AA84" s="454"/>
      <c r="AB84" s="443"/>
      <c r="AC84" s="453"/>
      <c r="AD84" s="454"/>
      <c r="AE84" s="454"/>
      <c r="AF84" s="453"/>
      <c r="AG84" s="454"/>
      <c r="AH84" s="454"/>
      <c r="AI84" s="453"/>
      <c r="AJ84" s="454"/>
      <c r="AK84" s="443"/>
      <c r="AL84" s="453"/>
      <c r="AM84" s="454"/>
      <c r="AN84" s="443"/>
      <c r="AO84" s="442">
        <f t="shared" si="42"/>
        <v>0</v>
      </c>
      <c r="AP84" s="442">
        <f t="shared" si="42"/>
        <v>0</v>
      </c>
      <c r="AQ84" s="443" t="str">
        <f t="shared" si="23"/>
        <v xml:space="preserve">    ---- </v>
      </c>
      <c r="AR84" s="442">
        <f t="shared" si="24"/>
        <v>0</v>
      </c>
      <c r="AS84" s="442">
        <f t="shared" si="24"/>
        <v>0</v>
      </c>
      <c r="AT84" s="567" t="str">
        <f t="shared" si="25"/>
        <v xml:space="preserve">    ---- </v>
      </c>
      <c r="AU84" s="411"/>
      <c r="AV84" s="411"/>
      <c r="AW84" s="568"/>
    </row>
    <row r="85" spans="1:49" s="408" customFormat="1" ht="20.100000000000001" customHeight="1" x14ac:dyDescent="0.3">
      <c r="A85" s="509" t="s">
        <v>281</v>
      </c>
      <c r="B85" s="454">
        <v>12330.573</v>
      </c>
      <c r="C85" s="454">
        <v>14037.346000000001</v>
      </c>
      <c r="D85" s="454">
        <f>IF(B85=0, "    ---- ", IF(ABS(ROUND(100/B85*C85-100,1))&lt;999,ROUND(100/B85*C85-100,1),IF(ROUND(100/B85*C85-100,1)&gt;999,999,-999)))</f>
        <v>13.8</v>
      </c>
      <c r="E85" s="456">
        <v>49678</v>
      </c>
      <c r="F85" s="456">
        <v>60220.192999999999</v>
      </c>
      <c r="G85" s="454">
        <f t="shared" si="19"/>
        <v>21.2</v>
      </c>
      <c r="H85" s="453">
        <v>2345.808</v>
      </c>
      <c r="I85" s="454">
        <v>2680.7440000000001</v>
      </c>
      <c r="J85" s="454">
        <f>IF(H85=0, "    ---- ", IF(ABS(ROUND(100/H85*I85-100,1))&lt;999,ROUND(100/H85*I85-100,1),IF(ROUND(100/H85*I85-100,1)&gt;999,999,-999)))</f>
        <v>14.3</v>
      </c>
      <c r="K85" s="453">
        <v>15155.471</v>
      </c>
      <c r="L85" s="454">
        <v>17827.7</v>
      </c>
      <c r="M85" s="442">
        <f>IF(K85=0, "    ---- ", IF(ABS(ROUND(100/K85*L85-100,1))&lt;999,ROUND(100/K85*L85-100,1),IF(ROUND(100/K85*L85-100,1)&gt;999,999,-999)))</f>
        <v>17.600000000000001</v>
      </c>
      <c r="N85" s="453"/>
      <c r="O85" s="454">
        <v>2</v>
      </c>
      <c r="P85" s="443" t="str">
        <f>IF(N85=0, "    ---- ", IF(ABS(ROUND(100/N85*O85-100,1))&lt;999,ROUND(100/N85*O85-100,1),IF(ROUND(100/N85*O85-100,1)&gt;999,999,-999)))</f>
        <v xml:space="preserve">    ---- </v>
      </c>
      <c r="Q85" s="454">
        <v>2035.8509330000002</v>
      </c>
      <c r="R85" s="454">
        <v>2181.46920615</v>
      </c>
      <c r="S85" s="443">
        <f t="shared" si="41"/>
        <v>7.2</v>
      </c>
      <c r="T85" s="453">
        <v>1182.5</v>
      </c>
      <c r="U85" s="454">
        <v>1673.7</v>
      </c>
      <c r="V85" s="443">
        <f>IF(T85=0, "    ---- ", IF(ABS(ROUND(100/T85*U85-100,1))&lt;999,ROUND(100/T85*U85-100,1),IF(ROUND(100/T85*U85-100,1)&gt;999,999,-999)))</f>
        <v>41.5</v>
      </c>
      <c r="W85" s="454">
        <v>39158</v>
      </c>
      <c r="X85" s="454">
        <v>47300.72</v>
      </c>
      <c r="Y85" s="443">
        <f t="shared" si="20"/>
        <v>20.8</v>
      </c>
      <c r="Z85" s="453"/>
      <c r="AA85" s="454"/>
      <c r="AB85" s="443"/>
      <c r="AC85" s="453">
        <v>1611</v>
      </c>
      <c r="AD85" s="454">
        <v>1764</v>
      </c>
      <c r="AE85" s="454">
        <f>IF(AC85=0, "    ---- ", IF(ABS(ROUND(100/AC85*AD85-100,1))&lt;999,ROUND(100/AC85*AD85-100,1),IF(ROUND(100/AC85*AD85-100,1)&gt;999,999,-999)))</f>
        <v>9.5</v>
      </c>
      <c r="AF85" s="453">
        <v>554.65576253999996</v>
      </c>
      <c r="AG85" s="454"/>
      <c r="AH85" s="454">
        <f>IF(AF85=0, "    ---- ", IF(ABS(ROUND(100/AF85*AG85-100,1))&lt;999,ROUND(100/AF85*AG85-100,1),IF(ROUND(100/AF85*AG85-100,1)&gt;999,999,-999)))</f>
        <v>-100</v>
      </c>
      <c r="AI85" s="454">
        <v>15566.874</v>
      </c>
      <c r="AJ85" s="454">
        <v>19156.444000000003</v>
      </c>
      <c r="AK85" s="443">
        <f t="shared" si="21"/>
        <v>23.1</v>
      </c>
      <c r="AL85" s="453">
        <v>53894.2</v>
      </c>
      <c r="AM85" s="454">
        <v>65144.299999999996</v>
      </c>
      <c r="AN85" s="443">
        <f t="shared" si="27"/>
        <v>20.9</v>
      </c>
      <c r="AO85" s="442">
        <f t="shared" si="42"/>
        <v>191901.93269554002</v>
      </c>
      <c r="AP85" s="442">
        <f t="shared" si="42"/>
        <v>230222.61620614998</v>
      </c>
      <c r="AQ85" s="443">
        <f t="shared" si="23"/>
        <v>20</v>
      </c>
      <c r="AR85" s="442">
        <f t="shared" si="24"/>
        <v>193512.93269554002</v>
      </c>
      <c r="AS85" s="442">
        <f t="shared" si="24"/>
        <v>231988.61620614998</v>
      </c>
      <c r="AT85" s="567">
        <f t="shared" si="25"/>
        <v>19.899999999999999</v>
      </c>
      <c r="AU85" s="411"/>
      <c r="AV85" s="411"/>
      <c r="AW85" s="568"/>
    </row>
    <row r="86" spans="1:49" s="408" customFormat="1" ht="20.100000000000001" customHeight="1" x14ac:dyDescent="0.3">
      <c r="A86" s="440" t="s">
        <v>282</v>
      </c>
      <c r="B86" s="453">
        <v>39.537999999999997</v>
      </c>
      <c r="C86" s="454">
        <v>36.920999999999999</v>
      </c>
      <c r="D86" s="443">
        <f>IF(B86=0, "    ---- ", IF(ABS(ROUND(100/B86*C86-100,1))&lt;999,ROUND(100/B86*C86-100,1),IF(ROUND(100/B86*C86-100,1)&gt;999,999,-999)))</f>
        <v>-6.6</v>
      </c>
      <c r="E86" s="455">
        <v>253</v>
      </c>
      <c r="F86" s="456">
        <v>851.28899999999999</v>
      </c>
      <c r="G86" s="443">
        <f t="shared" si="19"/>
        <v>236.5</v>
      </c>
      <c r="H86" s="453">
        <v>63.228999999999999</v>
      </c>
      <c r="I86" s="454">
        <v>26.202999999999999</v>
      </c>
      <c r="J86" s="443">
        <f>IF(H86=0, "    ---- ", IF(ABS(ROUND(100/H86*I86-100,1))&lt;999,ROUND(100/H86*I86-100,1),IF(ROUND(100/H86*I86-100,1)&gt;999,999,-999)))</f>
        <v>-58.6</v>
      </c>
      <c r="K86" s="453">
        <v>27.789000000000001</v>
      </c>
      <c r="L86" s="454">
        <v>26.3</v>
      </c>
      <c r="M86" s="443">
        <f>IF(K86=0, "    ---- ", IF(ABS(ROUND(100/K86*L86-100,1))&lt;999,ROUND(100/K86*L86-100,1),IF(ROUND(100/K86*L86-100,1)&gt;999,999,-999)))</f>
        <v>-5.4</v>
      </c>
      <c r="N86" s="453">
        <v>4</v>
      </c>
      <c r="O86" s="454">
        <v>2</v>
      </c>
      <c r="P86" s="443">
        <f>IF(N86=0, "    ---- ", IF(ABS(ROUND(100/N86*O86-100,1))&lt;999,ROUND(100/N86*O86-100,1),IF(ROUND(100/N86*O86-100,1)&gt;999,999,-999)))</f>
        <v>-50</v>
      </c>
      <c r="Q86" s="453">
        <v>869</v>
      </c>
      <c r="R86" s="454">
        <v>474.32001183999995</v>
      </c>
      <c r="S86" s="443">
        <f t="shared" si="41"/>
        <v>-45.4</v>
      </c>
      <c r="T86" s="453">
        <v>5.9</v>
      </c>
      <c r="U86" s="454">
        <v>6.5</v>
      </c>
      <c r="V86" s="443">
        <f>IF(T86=0, "    ---- ", IF(ABS(ROUND(100/T86*U86-100,1))&lt;999,ROUND(100/T86*U86-100,1),IF(ROUND(100/T86*U86-100,1)&gt;999,999,-999)))</f>
        <v>10.199999999999999</v>
      </c>
      <c r="W86" s="453">
        <v>436.5</v>
      </c>
      <c r="X86" s="454">
        <v>250.27</v>
      </c>
      <c r="Y86" s="443">
        <f t="shared" si="20"/>
        <v>-42.7</v>
      </c>
      <c r="Z86" s="453">
        <v>695</v>
      </c>
      <c r="AA86" s="454">
        <v>755</v>
      </c>
      <c r="AB86" s="443">
        <f>IF(Z86=0, "    ---- ", IF(ABS(ROUND(100/Z86*AA86-100,1))&lt;999,ROUND(100/Z86*AA86-100,1),IF(ROUND(100/Z86*AA86-100,1)&gt;999,999,-999)))</f>
        <v>8.6</v>
      </c>
      <c r="AC86" s="453"/>
      <c r="AD86" s="454"/>
      <c r="AE86" s="443"/>
      <c r="AF86" s="453">
        <v>15.354973380000001</v>
      </c>
      <c r="AG86" s="454"/>
      <c r="AH86" s="443">
        <f>IF(AF86=0, "    ---- ", IF(ABS(ROUND(100/AF86*AG86-100,1))&lt;999,ROUND(100/AF86*AG86-100,1),IF(ROUND(100/AF86*AG86-100,1)&gt;999,999,-999)))</f>
        <v>-100</v>
      </c>
      <c r="AI86" s="453">
        <v>574.92600000000004</v>
      </c>
      <c r="AJ86" s="454">
        <v>675.26300000000003</v>
      </c>
      <c r="AK86" s="443">
        <f t="shared" si="21"/>
        <v>17.5</v>
      </c>
      <c r="AL86" s="453">
        <v>196.5</v>
      </c>
      <c r="AM86" s="454">
        <v>58.9</v>
      </c>
      <c r="AN86" s="443">
        <f t="shared" si="27"/>
        <v>-70</v>
      </c>
      <c r="AO86" s="442">
        <f t="shared" si="42"/>
        <v>3176.7369733800001</v>
      </c>
      <c r="AP86" s="442">
        <f t="shared" si="42"/>
        <v>3160.9660118400002</v>
      </c>
      <c r="AQ86" s="443">
        <f t="shared" si="23"/>
        <v>-0.5</v>
      </c>
      <c r="AR86" s="442">
        <f t="shared" si="24"/>
        <v>3180.7369733800001</v>
      </c>
      <c r="AS86" s="442">
        <f t="shared" si="24"/>
        <v>3162.9660118400002</v>
      </c>
      <c r="AT86" s="567">
        <f t="shared" si="25"/>
        <v>-0.6</v>
      </c>
      <c r="AU86" s="411"/>
      <c r="AV86" s="411"/>
      <c r="AW86" s="568"/>
    </row>
    <row r="87" spans="1:49" s="408" customFormat="1" ht="20.100000000000001" customHeight="1" x14ac:dyDescent="0.3">
      <c r="A87" s="440" t="s">
        <v>420</v>
      </c>
      <c r="B87" s="453"/>
      <c r="C87" s="454"/>
      <c r="D87" s="443"/>
      <c r="E87" s="455"/>
      <c r="F87" s="456"/>
      <c r="G87" s="443"/>
      <c r="H87" s="453"/>
      <c r="I87" s="454"/>
      <c r="J87" s="443"/>
      <c r="K87" s="453"/>
      <c r="L87" s="454"/>
      <c r="M87" s="443"/>
      <c r="N87" s="453"/>
      <c r="O87" s="454"/>
      <c r="P87" s="443"/>
      <c r="Q87" s="453"/>
      <c r="R87" s="454"/>
      <c r="S87" s="443"/>
      <c r="T87" s="453"/>
      <c r="U87" s="454"/>
      <c r="V87" s="443"/>
      <c r="W87" s="453"/>
      <c r="X87" s="454"/>
      <c r="Y87" s="443"/>
      <c r="Z87" s="453"/>
      <c r="AA87" s="454"/>
      <c r="AB87" s="443"/>
      <c r="AC87" s="453"/>
      <c r="AD87" s="454"/>
      <c r="AE87" s="443"/>
      <c r="AF87" s="453">
        <v>2.3597679199999999</v>
      </c>
      <c r="AG87" s="454"/>
      <c r="AH87" s="443">
        <f>IF(AF87=0, "    ---- ", IF(ABS(ROUND(100/AF87*AG87-100,1))&lt;999,ROUND(100/AF87*AG87-100,1),IF(ROUND(100/AF87*AG87-100,1)&gt;999,999,-999)))</f>
        <v>-100</v>
      </c>
      <c r="AI87" s="453">
        <v>223.375</v>
      </c>
      <c r="AJ87" s="454">
        <v>250.524</v>
      </c>
      <c r="AK87" s="443">
        <f t="shared" si="21"/>
        <v>12.2</v>
      </c>
      <c r="AL87" s="453"/>
      <c r="AM87" s="454"/>
      <c r="AN87" s="443"/>
      <c r="AO87" s="442">
        <f t="shared" si="42"/>
        <v>225.73476792</v>
      </c>
      <c r="AP87" s="442">
        <f t="shared" si="42"/>
        <v>250.524</v>
      </c>
      <c r="AQ87" s="443">
        <f t="shared" si="23"/>
        <v>11</v>
      </c>
      <c r="AR87" s="442">
        <f t="shared" si="24"/>
        <v>225.73476792</v>
      </c>
      <c r="AS87" s="442">
        <f t="shared" si="24"/>
        <v>250.524</v>
      </c>
      <c r="AT87" s="567">
        <f t="shared" si="25"/>
        <v>11</v>
      </c>
      <c r="AU87" s="411"/>
      <c r="AV87" s="411"/>
      <c r="AW87" s="568"/>
    </row>
    <row r="88" spans="1:49" s="408" customFormat="1" ht="20.100000000000001" customHeight="1" x14ac:dyDescent="0.3">
      <c r="A88" s="440" t="s">
        <v>283</v>
      </c>
      <c r="B88" s="453">
        <v>70.864999999999995</v>
      </c>
      <c r="C88" s="454">
        <v>83.406000000000006</v>
      </c>
      <c r="D88" s="454">
        <f>IF(B88=0, "    ---- ", IF(ABS(ROUND(100/B88*C88-100,1))&lt;999,ROUND(100/B88*C88-100,1),IF(ROUND(100/B88*C88-100,1)&gt;999,999,-999)))</f>
        <v>17.7</v>
      </c>
      <c r="E88" s="455">
        <v>3413</v>
      </c>
      <c r="F88" s="456">
        <v>1503.144</v>
      </c>
      <c r="G88" s="454">
        <f t="shared" si="19"/>
        <v>-56</v>
      </c>
      <c r="H88" s="453"/>
      <c r="I88" s="454">
        <v>127.39100000000001</v>
      </c>
      <c r="J88" s="454" t="str">
        <f>IF(H88=0, "    ---- ", IF(ABS(ROUND(100/H88*I88-100,1))&lt;999,ROUND(100/H88*I88-100,1),IF(ROUND(100/H88*I88-100,1)&gt;999,999,-999)))</f>
        <v xml:space="preserve">    ---- </v>
      </c>
      <c r="K88" s="453">
        <v>49.904000000000003</v>
      </c>
      <c r="L88" s="454">
        <v>95.2</v>
      </c>
      <c r="M88" s="442">
        <f>IF(K88=0, "    ---- ", IF(ABS(ROUND(100/K88*L88-100,1))&lt;999,ROUND(100/K88*L88-100,1),IF(ROUND(100/K88*L88-100,1)&gt;999,999,-999)))</f>
        <v>90.8</v>
      </c>
      <c r="N88" s="453">
        <v>4</v>
      </c>
      <c r="O88" s="454">
        <v>2</v>
      </c>
      <c r="P88" s="443">
        <f>IF(N88=0, "    ---- ", IF(ABS(ROUND(100/N88*O88-100,1))&lt;999,ROUND(100/N88*O88-100,1),IF(ROUND(100/N88*O88-100,1)&gt;999,999,-999)))</f>
        <v>-50</v>
      </c>
      <c r="Q88" s="453">
        <v>9792.8943086800009</v>
      </c>
      <c r="R88" s="454">
        <v>8000.80554407</v>
      </c>
      <c r="S88" s="443">
        <f t="shared" si="41"/>
        <v>-18.3</v>
      </c>
      <c r="T88" s="453">
        <v>5.2</v>
      </c>
      <c r="U88" s="454">
        <v>13.1</v>
      </c>
      <c r="V88" s="443">
        <f>IF(T88=0, "    ---- ", IF(ABS(ROUND(100/T88*U88-100,1))&lt;999,ROUND(100/T88*U88-100,1),IF(ROUND(100/T88*U88-100,1)&gt;999,999,-999)))</f>
        <v>151.9</v>
      </c>
      <c r="W88" s="453">
        <v>331</v>
      </c>
      <c r="X88" s="454">
        <v>502.31</v>
      </c>
      <c r="Y88" s="443">
        <f t="shared" si="20"/>
        <v>51.8</v>
      </c>
      <c r="Z88" s="453">
        <v>1392</v>
      </c>
      <c r="AA88" s="454">
        <v>618</v>
      </c>
      <c r="AB88" s="443">
        <f>IF(Z88=0, "    ---- ", IF(ABS(ROUND(100/Z88*AA88-100,1))&lt;999,ROUND(100/Z88*AA88-100,1),IF(ROUND(100/Z88*AA88-100,1)&gt;999,999,-999)))</f>
        <v>-55.6</v>
      </c>
      <c r="AC88" s="453">
        <v>10</v>
      </c>
      <c r="AD88" s="454">
        <v>22</v>
      </c>
      <c r="AE88" s="443">
        <f>IF(AC88=0, "    ---- ", IF(ABS(ROUND(100/AC88*AD88-100,1))&lt;999,ROUND(100/AC88*AD88-100,1),IF(ROUND(100/AC88*AD88-100,1)&gt;999,999,-999)))</f>
        <v>120</v>
      </c>
      <c r="AF88" s="453">
        <v>9.1399152799999985</v>
      </c>
      <c r="AG88" s="454"/>
      <c r="AH88" s="443">
        <f>IF(AF88=0, "    ---- ", IF(ABS(ROUND(100/AF88*AG88-100,1))&lt;999,ROUND(100/AF88*AG88-100,1),IF(ROUND(100/AF88*AG88-100,1)&gt;999,999,-999)))</f>
        <v>-100</v>
      </c>
      <c r="AI88" s="453">
        <v>285.31</v>
      </c>
      <c r="AJ88" s="454">
        <v>978.84500000000003</v>
      </c>
      <c r="AK88" s="443">
        <f t="shared" si="21"/>
        <v>243.1</v>
      </c>
      <c r="AL88" s="453">
        <v>4504.1000000000004</v>
      </c>
      <c r="AM88" s="454">
        <v>3559</v>
      </c>
      <c r="AN88" s="443">
        <f t="shared" si="27"/>
        <v>-21</v>
      </c>
      <c r="AO88" s="442">
        <f t="shared" si="42"/>
        <v>19853.41322396</v>
      </c>
      <c r="AP88" s="442">
        <f t="shared" si="42"/>
        <v>15481.20154407</v>
      </c>
      <c r="AQ88" s="443">
        <f t="shared" si="23"/>
        <v>-22</v>
      </c>
      <c r="AR88" s="442">
        <f t="shared" si="24"/>
        <v>19867.41322396</v>
      </c>
      <c r="AS88" s="442">
        <f t="shared" si="24"/>
        <v>15505.20154407</v>
      </c>
      <c r="AT88" s="567">
        <f t="shared" si="25"/>
        <v>-22</v>
      </c>
      <c r="AU88" s="411"/>
      <c r="AV88" s="411"/>
      <c r="AW88" s="568"/>
    </row>
    <row r="89" spans="1:49" s="408" customFormat="1" ht="20.100000000000001" customHeight="1" x14ac:dyDescent="0.3">
      <c r="A89" s="440" t="s">
        <v>284</v>
      </c>
      <c r="B89" s="453">
        <v>16.675999999999998</v>
      </c>
      <c r="C89" s="454">
        <v>26.690999999999999</v>
      </c>
      <c r="D89" s="454">
        <f>IF(B89=0, "    ---- ", IF(ABS(ROUND(100/B89*C89-100,1))&lt;999,ROUND(100/B89*C89-100,1),IF(ROUND(100/B89*C89-100,1)&gt;999,999,-999)))</f>
        <v>60.1</v>
      </c>
      <c r="E89" s="455">
        <v>240</v>
      </c>
      <c r="F89" s="456">
        <v>193.2</v>
      </c>
      <c r="G89" s="454">
        <f t="shared" si="19"/>
        <v>-19.5</v>
      </c>
      <c r="H89" s="453">
        <v>23.978000000000002</v>
      </c>
      <c r="I89" s="454">
        <v>16.686</v>
      </c>
      <c r="J89" s="454">
        <f>IF(H89=0, "    ---- ", IF(ABS(ROUND(100/H89*I89-100,1))&lt;999,ROUND(100/H89*I89-100,1),IF(ROUND(100/H89*I89-100,1)&gt;999,999,-999)))</f>
        <v>-30.4</v>
      </c>
      <c r="K89" s="453">
        <v>10.006</v>
      </c>
      <c r="L89" s="454">
        <v>16.100000000000001</v>
      </c>
      <c r="M89" s="443">
        <f>IF(K89=0, "    ---- ", IF(ABS(ROUND(100/K89*L89-100,1))&lt;999,ROUND(100/K89*L89-100,1),IF(ROUND(100/K89*L89-100,1)&gt;999,999,-999)))</f>
        <v>60.9</v>
      </c>
      <c r="N89" s="453">
        <v>1</v>
      </c>
      <c r="O89" s="454">
        <v>1</v>
      </c>
      <c r="P89" s="443">
        <f>IF(N89=0, "    ---- ", IF(ABS(ROUND(100/N89*O89-100,1))&lt;999,ROUND(100/N89*O89-100,1),IF(ROUND(100/N89*O89-100,1)&gt;999,999,-999)))</f>
        <v>0</v>
      </c>
      <c r="Q89" s="453">
        <v>119.94262256</v>
      </c>
      <c r="R89" s="454">
        <v>156.84787581999998</v>
      </c>
      <c r="S89" s="443">
        <f t="shared" si="41"/>
        <v>30.8</v>
      </c>
      <c r="T89" s="453">
        <v>2.1</v>
      </c>
      <c r="U89" s="454">
        <v>2.2000000000000002</v>
      </c>
      <c r="V89" s="443">
        <f>IF(T89=0, "    ---- ", IF(ABS(ROUND(100/T89*U89-100,1))&lt;999,ROUND(100/T89*U89-100,1),IF(ROUND(100/T89*U89-100,1)&gt;999,999,-999)))</f>
        <v>4.8</v>
      </c>
      <c r="W89" s="453">
        <v>41</v>
      </c>
      <c r="X89" s="454">
        <v>33.36</v>
      </c>
      <c r="Y89" s="443">
        <f t="shared" si="20"/>
        <v>-18.600000000000001</v>
      </c>
      <c r="Z89" s="453">
        <v>48</v>
      </c>
      <c r="AA89" s="454">
        <v>38</v>
      </c>
      <c r="AB89" s="443">
        <f>IF(Z89=0, "    ---- ", IF(ABS(ROUND(100/Z89*AA89-100,1))&lt;999,ROUND(100/Z89*AA89-100,1),IF(ROUND(100/Z89*AA89-100,1)&gt;999,999,-999)))</f>
        <v>-20.8</v>
      </c>
      <c r="AC89" s="453"/>
      <c r="AD89" s="454"/>
      <c r="AE89" s="443"/>
      <c r="AF89" s="453">
        <v>7.2800982400000001</v>
      </c>
      <c r="AG89" s="454"/>
      <c r="AH89" s="443">
        <f>IF(AF89=0, "    ---- ", IF(ABS(ROUND(100/AF89*AG89-100,1))&lt;999,ROUND(100/AF89*AG89-100,1),IF(ROUND(100/AF89*AG89-100,1)&gt;999,999,-999)))</f>
        <v>-100</v>
      </c>
      <c r="AI89" s="453">
        <v>134.97300000000001</v>
      </c>
      <c r="AJ89" s="454">
        <v>144.505</v>
      </c>
      <c r="AK89" s="443">
        <f t="shared" si="21"/>
        <v>7.1</v>
      </c>
      <c r="AL89" s="453">
        <v>250.9</v>
      </c>
      <c r="AM89" s="454">
        <v>223.7</v>
      </c>
      <c r="AN89" s="443">
        <f t="shared" si="27"/>
        <v>-10.8</v>
      </c>
      <c r="AO89" s="442">
        <f t="shared" si="42"/>
        <v>894.85572079999997</v>
      </c>
      <c r="AP89" s="442">
        <f t="shared" si="42"/>
        <v>851.28987581999991</v>
      </c>
      <c r="AQ89" s="443">
        <f t="shared" si="23"/>
        <v>-4.9000000000000004</v>
      </c>
      <c r="AR89" s="442">
        <f t="shared" si="24"/>
        <v>895.85572079999997</v>
      </c>
      <c r="AS89" s="442">
        <f t="shared" si="24"/>
        <v>852.28987581999991</v>
      </c>
      <c r="AT89" s="567">
        <f t="shared" si="25"/>
        <v>-4.9000000000000004</v>
      </c>
      <c r="AU89" s="411"/>
      <c r="AV89" s="411"/>
      <c r="AW89" s="568"/>
    </row>
    <row r="90" spans="1:49" s="408" customFormat="1" ht="20.100000000000001" customHeight="1" x14ac:dyDescent="0.3">
      <c r="A90" s="440"/>
      <c r="B90" s="453"/>
      <c r="C90" s="454"/>
      <c r="D90" s="443"/>
      <c r="E90" s="455"/>
      <c r="F90" s="456"/>
      <c r="G90" s="443"/>
      <c r="H90" s="453"/>
      <c r="I90" s="454"/>
      <c r="J90" s="443"/>
      <c r="K90" s="453"/>
      <c r="L90" s="454"/>
      <c r="M90" s="443"/>
      <c r="N90" s="453"/>
      <c r="O90" s="454"/>
      <c r="P90" s="443"/>
      <c r="Q90" s="453"/>
      <c r="R90" s="454"/>
      <c r="S90" s="443"/>
      <c r="T90" s="453"/>
      <c r="U90" s="454"/>
      <c r="V90" s="443"/>
      <c r="W90" s="453"/>
      <c r="X90" s="454"/>
      <c r="Y90" s="443"/>
      <c r="Z90" s="453"/>
      <c r="AA90" s="454"/>
      <c r="AB90" s="443"/>
      <c r="AC90" s="453"/>
      <c r="AD90" s="454"/>
      <c r="AE90" s="443"/>
      <c r="AF90" s="453"/>
      <c r="AG90" s="454"/>
      <c r="AH90" s="443"/>
      <c r="AI90" s="453"/>
      <c r="AJ90" s="454"/>
      <c r="AK90" s="443"/>
      <c r="AL90" s="453"/>
      <c r="AM90" s="454"/>
      <c r="AN90" s="443"/>
      <c r="AO90" s="442"/>
      <c r="AP90" s="442"/>
      <c r="AQ90" s="443"/>
      <c r="AR90" s="442"/>
      <c r="AS90" s="442"/>
      <c r="AT90" s="567"/>
      <c r="AU90" s="411"/>
      <c r="AV90" s="411"/>
      <c r="AW90" s="568"/>
    </row>
    <row r="91" spans="1:49" s="479" customFormat="1" ht="20.100000000000001" customHeight="1" x14ac:dyDescent="0.3">
      <c r="A91" s="474" t="s">
        <v>285</v>
      </c>
      <c r="B91" s="577">
        <v>13661.234</v>
      </c>
      <c r="C91" s="577">
        <v>15481.643000000004</v>
      </c>
      <c r="D91" s="477">
        <f>IF(B91=0, "    ---- ", IF(ABS(ROUND(100/B91*C91-100,1))&lt;999,ROUND(100/B91*C91-100,1),IF(ROUND(100/B91*C91-100,1)&gt;999,999,-999)))</f>
        <v>13.3</v>
      </c>
      <c r="E91" s="578">
        <v>289116</v>
      </c>
      <c r="F91" s="578">
        <v>298999.37799999997</v>
      </c>
      <c r="G91" s="477">
        <f t="shared" si="19"/>
        <v>3.4</v>
      </c>
      <c r="H91" s="577">
        <f>SUM(H68+H69+H71+H79+H85+H86+H87+H88+H89)</f>
        <v>3327.6709999999998</v>
      </c>
      <c r="I91" s="577">
        <f>SUM(I68+I69+I71+I79+I85+I86+I87+I88+I89)</f>
        <v>3840.895</v>
      </c>
      <c r="J91" s="477">
        <f>IF(H91=0, "    ---- ", IF(ABS(ROUND(100/H91*I91-100,1))&lt;999,ROUND(100/H91*I91-100,1),IF(ROUND(100/H91*I91-100,1)&gt;999,999,-999)))</f>
        <v>15.4</v>
      </c>
      <c r="K91" s="577">
        <f>SUM(K68+K69+K71+K79+K85+K86+K87+K88+K89)</f>
        <v>20689.192999999999</v>
      </c>
      <c r="L91" s="577">
        <f>SUM(L68+L69+L71+L79+L85+L86+L87+L88+L89)</f>
        <v>24327.737000000001</v>
      </c>
      <c r="M91" s="477">
        <f>IF(K91=0, "    ---- ", IF(ABS(ROUND(100/K91*L91-100,1))&lt;999,ROUND(100/K91*L91-100,1),IF(ROUND(100/K91*L91-100,1)&gt;999,999,-999)))</f>
        <v>17.600000000000001</v>
      </c>
      <c r="N91" s="577">
        <f>SUM(N68+N69+N71+N79+N85+N86+N87+N88+N89)</f>
        <v>143</v>
      </c>
      <c r="O91" s="577">
        <f>SUM(O68+O69+O71+O79+O85+O86+O87+O88+O89)</f>
        <v>138</v>
      </c>
      <c r="P91" s="477">
        <f>IF(N91=0, "    ---- ", IF(ABS(ROUND(100/N91*O91-100,1))&lt;999,ROUND(100/N91*O91-100,1),IF(ROUND(100/N91*O91-100,1)&gt;999,999,-999)))</f>
        <v>-3.5</v>
      </c>
      <c r="Q91" s="577">
        <f>SUM(Q68+Q69+Q71+Q79+Q85+Q86+Q87+Q88+Q89)</f>
        <v>457858.55124004005</v>
      </c>
      <c r="R91" s="577">
        <f>SUM(R68+R69+R71+R79+R85+R86+R87+R88+R89)</f>
        <v>496663.17462976999</v>
      </c>
      <c r="S91" s="477">
        <f t="shared" si="41"/>
        <v>8.5</v>
      </c>
      <c r="T91" s="577">
        <f>SUM(T68+T69+T71+T79+T85+T86+T87+T88+T89)</f>
        <v>2942.8999999999996</v>
      </c>
      <c r="U91" s="577">
        <f>SUM(U68+U69+U71+U79+U85+U86+U87+U88+U89)</f>
        <v>3571.2999999999997</v>
      </c>
      <c r="V91" s="477">
        <f>IF(T91=0, "    ---- ", IF(ABS(ROUND(100/T91*U91-100,1))&lt;999,ROUND(100/T91*U91-100,1),IF(ROUND(100/T91*U91-100,1)&gt;999,999,-999)))</f>
        <v>21.4</v>
      </c>
      <c r="W91" s="579">
        <v>95470.5</v>
      </c>
      <c r="X91" s="577">
        <f>SUM(X68+X69+X71+X79+X85+X86+X87+X88+X89)</f>
        <v>105992.84</v>
      </c>
      <c r="Y91" s="477">
        <f t="shared" si="20"/>
        <v>11</v>
      </c>
      <c r="Z91" s="579">
        <v>79355</v>
      </c>
      <c r="AA91" s="577">
        <f>SUM(AA68+AA69+AA71+AA79+AA85+AA86+AA87+AA88+AA89)</f>
        <v>83673</v>
      </c>
      <c r="AB91" s="477">
        <f>IF(Z91=0, "    ---- ", IF(ABS(ROUND(100/Z91*AA91-100,1))&lt;999,ROUND(100/Z91*AA91-100,1),IF(ROUND(100/Z91*AA91-100,1)&gt;999,999,-999)))</f>
        <v>5.4</v>
      </c>
      <c r="AC91" s="579">
        <v>1642</v>
      </c>
      <c r="AD91" s="577">
        <f>SUM(AD68+AD69+AD71+AD79+AD85+AD86+AD87+AD88+AD89)</f>
        <v>1815</v>
      </c>
      <c r="AE91" s="477">
        <f>IF(AC91=0, "    ---- ", IF(ABS(ROUND(100/AC91*AD91-100,1))&lt;999,ROUND(100/AC91*AD91-100,1),IF(ROUND(100/AC91*AD91-100,1)&gt;999,999,-999)))</f>
        <v>10.5</v>
      </c>
      <c r="AF91" s="579">
        <v>9584.1118867200003</v>
      </c>
      <c r="AG91" s="577"/>
      <c r="AH91" s="477">
        <f>IF(AF91=0, "    ---- ", IF(ABS(ROUND(100/AF91*AG91-100,1))&lt;999,ROUND(100/AF91*AG91-100,1),IF(ROUND(100/AF91*AG91-100,1)&gt;999,999,-999)))</f>
        <v>-100</v>
      </c>
      <c r="AI91" s="577">
        <f>SUM(AI68+AI69+AI71+AI79+AI85+AI86+AI87+AI88+AI89)</f>
        <v>40700.98799999999</v>
      </c>
      <c r="AJ91" s="577">
        <f>SUM(AJ68+AJ69+AJ71+AJ79+AJ85+AJ86+AJ87+AJ88+AJ89)</f>
        <v>47033.142</v>
      </c>
      <c r="AK91" s="477">
        <f t="shared" si="21"/>
        <v>15.6</v>
      </c>
      <c r="AL91" s="577">
        <f>SUM(AL68+AL69+AL71+AL79+AL85+AL86+AL87+AL88+AL89)</f>
        <v>268903.10000000003</v>
      </c>
      <c r="AM91" s="577">
        <f>SUM(AM68+AM69+AM71+AM79+AM85+AM86+AM87+AM88+AM89)</f>
        <v>282478.30000000005</v>
      </c>
      <c r="AN91" s="477">
        <f t="shared" si="27"/>
        <v>5</v>
      </c>
      <c r="AO91" s="580">
        <f>B91+E91+H91+K91+Q91+T91+W91+Z91+AF91+AI91+AL91</f>
        <v>1281609.2491267601</v>
      </c>
      <c r="AP91" s="580">
        <f>C91+F91+I91+L91+R91+U91+X91+AA91+AG91+AJ91+AM91</f>
        <v>1362061.4096297701</v>
      </c>
      <c r="AQ91" s="477">
        <f t="shared" si="23"/>
        <v>6.3</v>
      </c>
      <c r="AR91" s="581">
        <f t="shared" si="24"/>
        <v>1283394.2491267601</v>
      </c>
      <c r="AS91" s="580">
        <f t="shared" si="24"/>
        <v>1364014.4096297701</v>
      </c>
      <c r="AT91" s="582">
        <f t="shared" si="25"/>
        <v>6.3</v>
      </c>
      <c r="AU91" s="572"/>
      <c r="AV91" s="411"/>
      <c r="AW91" s="568"/>
    </row>
    <row r="92" spans="1:49" ht="18.75" customHeight="1" x14ac:dyDescent="0.3">
      <c r="A92" s="492" t="s">
        <v>286</v>
      </c>
      <c r="B92" s="492"/>
      <c r="Q92" s="492"/>
      <c r="X92" s="583"/>
      <c r="Y92" s="583"/>
      <c r="Z92" s="583"/>
      <c r="AA92" s="583"/>
      <c r="AB92" s="583"/>
      <c r="AC92" s="583"/>
      <c r="AD92" s="583"/>
      <c r="AE92" s="583"/>
      <c r="AF92" s="583"/>
      <c r="AG92" s="583"/>
      <c r="AH92" s="583"/>
      <c r="AI92" s="492"/>
      <c r="AL92" s="492"/>
    </row>
    <row r="93" spans="1:49" ht="18.75" customHeight="1" x14ac:dyDescent="0.3">
      <c r="A93" s="492" t="s">
        <v>287</v>
      </c>
      <c r="Q93" s="492"/>
      <c r="X93" s="583"/>
      <c r="Y93" s="583"/>
      <c r="Z93" s="583"/>
      <c r="AA93" s="583"/>
      <c r="AB93" s="583"/>
      <c r="AC93" s="583"/>
      <c r="AD93" s="583"/>
      <c r="AE93" s="583"/>
      <c r="AF93" s="583"/>
      <c r="AG93" s="583"/>
      <c r="AH93" s="583"/>
      <c r="AI93" s="492"/>
      <c r="AL93" s="492"/>
    </row>
    <row r="94" spans="1:49" s="526" customFormat="1" ht="18.75" customHeight="1" x14ac:dyDescent="0.3">
      <c r="A94" s="492" t="s">
        <v>288</v>
      </c>
      <c r="Y94" s="584"/>
      <c r="Z94" s="584"/>
      <c r="AA94" s="584"/>
      <c r="AB94" s="584"/>
      <c r="AC94" s="584"/>
      <c r="AD94" s="584"/>
      <c r="AE94" s="584"/>
      <c r="AF94" s="584"/>
      <c r="AG94" s="584"/>
      <c r="AH94" s="584"/>
      <c r="AU94" s="525"/>
      <c r="AV94" s="525"/>
    </row>
    <row r="95" spans="1:49" s="526" customFormat="1" ht="18.75" x14ac:dyDescent="0.3">
      <c r="AU95" s="525"/>
      <c r="AV95" s="525"/>
    </row>
    <row r="96" spans="1:49" s="526" customFormat="1" ht="18.75" x14ac:dyDescent="0.3">
      <c r="A96" s="585"/>
      <c r="B96" s="586"/>
      <c r="C96" s="586"/>
      <c r="D96" s="585"/>
      <c r="E96" s="586"/>
      <c r="F96" s="586"/>
      <c r="G96" s="585"/>
      <c r="H96" s="586"/>
      <c r="I96" s="586"/>
      <c r="J96" s="585"/>
      <c r="K96" s="586"/>
      <c r="L96" s="586"/>
      <c r="M96" s="585"/>
      <c r="N96" s="586"/>
      <c r="O96" s="586"/>
      <c r="P96" s="585"/>
      <c r="Q96" s="586"/>
      <c r="R96" s="586"/>
      <c r="S96" s="585"/>
      <c r="T96" s="586"/>
      <c r="U96" s="586"/>
      <c r="V96" s="585"/>
      <c r="W96" s="586"/>
      <c r="X96" s="586"/>
      <c r="Y96" s="585"/>
      <c r="Z96" s="586"/>
      <c r="AA96" s="586"/>
      <c r="AB96" s="585"/>
      <c r="AC96" s="586"/>
      <c r="AD96" s="586"/>
      <c r="AE96" s="585"/>
      <c r="AF96" s="586"/>
      <c r="AG96" s="586"/>
      <c r="AH96" s="585"/>
      <c r="AI96" s="586"/>
      <c r="AJ96" s="586"/>
      <c r="AK96" s="585"/>
      <c r="AL96" s="586"/>
      <c r="AM96" s="586"/>
      <c r="AN96" s="585"/>
      <c r="AO96" s="586"/>
      <c r="AP96" s="586"/>
      <c r="AQ96" s="585"/>
      <c r="AR96" s="586"/>
      <c r="AS96" s="586"/>
      <c r="AT96" s="585"/>
      <c r="AV96" s="525"/>
    </row>
    <row r="97" s="526" customFormat="1" ht="18.75" x14ac:dyDescent="0.3"/>
    <row r="98" s="526" customFormat="1" ht="18.75" x14ac:dyDescent="0.3"/>
    <row r="99" s="526" customFormat="1" ht="18.75" x14ac:dyDescent="0.3"/>
    <row r="100" s="526" customFormat="1" ht="18.75" x14ac:dyDescent="0.3"/>
    <row r="101" s="526" customFormat="1" ht="18.75" x14ac:dyDescent="0.3"/>
    <row r="102" s="526" customFormat="1" ht="18.75" x14ac:dyDescent="0.3"/>
    <row r="103" s="526" customFormat="1" ht="18.75" x14ac:dyDescent="0.3"/>
    <row r="104" s="526" customFormat="1" ht="18.75" x14ac:dyDescent="0.3"/>
    <row r="105" s="526" customFormat="1" ht="18.75" x14ac:dyDescent="0.3"/>
    <row r="106" s="526" customFormat="1" ht="18.75" x14ac:dyDescent="0.3"/>
    <row r="107" s="526" customFormat="1" ht="18.75" x14ac:dyDescent="0.3"/>
    <row r="108" s="526" customFormat="1" ht="18.75" x14ac:dyDescent="0.3"/>
    <row r="109" s="526" customFormat="1" ht="18.75" x14ac:dyDescent="0.3"/>
    <row r="110" s="526" customFormat="1" ht="18.75" x14ac:dyDescent="0.3"/>
    <row r="111" s="526" customFormat="1" ht="18.75" x14ac:dyDescent="0.3"/>
    <row r="112" s="587" customFormat="1" ht="15.75" x14ac:dyDescent="0.25"/>
    <row r="113" s="587" customFormat="1" ht="15.75" x14ac:dyDescent="0.25"/>
  </sheetData>
  <mergeCells count="37">
    <mergeCell ref="T5:V5"/>
    <mergeCell ref="BI5:BK5"/>
    <mergeCell ref="Z5:AB5"/>
    <mergeCell ref="AF5:AH5"/>
    <mergeCell ref="AI5:AK5"/>
    <mergeCell ref="AL5:AN5"/>
    <mergeCell ref="AO5:AQ5"/>
    <mergeCell ref="AR5:AT5"/>
    <mergeCell ref="H6:J6"/>
    <mergeCell ref="K6:M6"/>
    <mergeCell ref="N6:P6"/>
    <mergeCell ref="H5:J5"/>
    <mergeCell ref="K5:M5"/>
    <mergeCell ref="N5:P5"/>
    <mergeCell ref="B5:D5"/>
    <mergeCell ref="E5:G5"/>
    <mergeCell ref="BC5:BE5"/>
    <mergeCell ref="BF5:BH5"/>
    <mergeCell ref="Q6:S6"/>
    <mergeCell ref="T6:V6"/>
    <mergeCell ref="W6:Y6"/>
    <mergeCell ref="Z6:AB6"/>
    <mergeCell ref="AC6:AE6"/>
    <mergeCell ref="BC6:BE6"/>
    <mergeCell ref="BF6:BH6"/>
    <mergeCell ref="AF6:AH6"/>
    <mergeCell ref="AW5:AY5"/>
    <mergeCell ref="AZ5:BB5"/>
    <mergeCell ref="B6:D6"/>
    <mergeCell ref="E6:G6"/>
    <mergeCell ref="BI6:BK6"/>
    <mergeCell ref="AI6:AK6"/>
    <mergeCell ref="AL6:AN6"/>
    <mergeCell ref="AO6:AQ6"/>
    <mergeCell ref="AR6:AT6"/>
    <mergeCell ref="AW6:AY6"/>
    <mergeCell ref="AZ6:BB6"/>
  </mergeCells>
  <hyperlinks>
    <hyperlink ref="B1" location="Innhold!A1" display="Tilbake"/>
  </hyperlinks>
  <pageMargins left="0.78740157480314965" right="0.78740157480314965" top="1.5748031496062993" bottom="0.98425196850393704" header="0.51181102362204722" footer="0.51181102362204722"/>
  <pageSetup paperSize="9" scale="40" fitToWidth="7" orientation="portrait" r:id="rId1"/>
  <headerFooter alignWithMargins="0"/>
  <rowBreaks count="1" manualBreakCount="1">
    <brk id="64" max="45" man="1"/>
  </rowBreaks>
  <colBreaks count="4" manualBreakCount="4">
    <brk id="10" min="1" max="79" man="1"/>
    <brk id="19" min="1" max="79" man="1"/>
    <brk id="28" min="1" max="79" man="1"/>
    <brk id="37" min="1" max="79"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7"/>
  <sheetViews>
    <sheetView showGridLines="0" zoomScale="60" zoomScaleNormal="60" workbookViewId="0">
      <pane xSplit="1" ySplit="8" topLeftCell="B9" activePane="bottomRight" state="frozen"/>
      <selection activeCell="AJ43" sqref="AJ43"/>
      <selection pane="topRight" activeCell="AJ43" sqref="AJ43"/>
      <selection pane="bottomLeft" activeCell="AJ43" sqref="AJ43"/>
      <selection pane="bottomRight" activeCell="A4" sqref="A4"/>
    </sheetView>
  </sheetViews>
  <sheetFormatPr baseColWidth="10" defaultColWidth="11.42578125" defaultRowHeight="12.75" x14ac:dyDescent="0.2"/>
  <cols>
    <col min="1" max="1" width="84.5703125" style="473" customWidth="1"/>
    <col min="2" max="40" width="11.7109375" style="473" customWidth="1"/>
    <col min="41" max="16384" width="11.42578125" style="473"/>
  </cols>
  <sheetData>
    <row r="1" spans="1:57" ht="20.25" customHeight="1" x14ac:dyDescent="0.3">
      <c r="A1" s="588" t="s">
        <v>206</v>
      </c>
      <c r="B1" s="405" t="s">
        <v>64</v>
      </c>
      <c r="AO1" s="795"/>
    </row>
    <row r="2" spans="1:57" ht="20.100000000000001" customHeight="1" x14ac:dyDescent="0.3">
      <c r="A2" s="588" t="s">
        <v>468</v>
      </c>
      <c r="AO2" s="795"/>
    </row>
    <row r="3" spans="1:57" ht="20.100000000000001" customHeight="1" x14ac:dyDescent="0.3">
      <c r="A3" s="591" t="s">
        <v>469</v>
      </c>
      <c r="AO3" s="796"/>
    </row>
    <row r="4" spans="1:57" ht="18.75" customHeight="1" x14ac:dyDescent="0.25">
      <c r="A4" s="702" t="s">
        <v>403</v>
      </c>
      <c r="B4" s="595"/>
      <c r="C4" s="593"/>
      <c r="D4" s="594"/>
      <c r="E4" s="593"/>
      <c r="F4" s="593"/>
      <c r="G4" s="593"/>
      <c r="H4" s="593"/>
      <c r="I4" s="593"/>
      <c r="J4" s="594"/>
      <c r="K4" s="595"/>
      <c r="L4" s="593"/>
      <c r="M4" s="594"/>
      <c r="N4" s="595"/>
      <c r="O4" s="593"/>
      <c r="P4" s="594"/>
      <c r="Q4" s="595"/>
      <c r="R4" s="593"/>
      <c r="S4" s="594"/>
      <c r="T4" s="595"/>
      <c r="U4" s="593"/>
      <c r="V4" s="594"/>
      <c r="W4" s="595"/>
      <c r="X4" s="593"/>
      <c r="Y4" s="594"/>
      <c r="Z4" s="595"/>
      <c r="AA4" s="593"/>
      <c r="AB4" s="594"/>
      <c r="AC4" s="595"/>
      <c r="AD4" s="593"/>
      <c r="AE4" s="594"/>
      <c r="AF4" s="595"/>
      <c r="AG4" s="593"/>
      <c r="AH4" s="594"/>
      <c r="AI4" s="595"/>
      <c r="AJ4" s="593"/>
      <c r="AK4" s="594"/>
      <c r="AL4" s="595"/>
      <c r="AM4" s="593"/>
      <c r="AN4" s="594"/>
      <c r="AO4" s="703"/>
      <c r="AP4" s="704"/>
      <c r="AQ4" s="704"/>
      <c r="AR4" s="704"/>
      <c r="AS4" s="704"/>
      <c r="AT4" s="704"/>
      <c r="AU4" s="704"/>
      <c r="AV4" s="704"/>
      <c r="AW4" s="704"/>
      <c r="AX4" s="704"/>
      <c r="AY4" s="704"/>
      <c r="AZ4" s="704"/>
      <c r="BA4" s="704"/>
      <c r="BB4" s="704"/>
      <c r="BC4" s="704"/>
      <c r="BD4" s="704"/>
      <c r="BE4" s="704"/>
    </row>
    <row r="5" spans="1:57" ht="18.75" customHeight="1" x14ac:dyDescent="0.3">
      <c r="A5" s="423" t="s">
        <v>470</v>
      </c>
      <c r="B5" s="845" t="s">
        <v>209</v>
      </c>
      <c r="C5" s="846"/>
      <c r="D5" s="847"/>
      <c r="E5" s="845" t="s">
        <v>210</v>
      </c>
      <c r="F5" s="846"/>
      <c r="G5" s="847"/>
      <c r="H5" s="845" t="s">
        <v>211</v>
      </c>
      <c r="I5" s="846"/>
      <c r="J5" s="847"/>
      <c r="K5" s="845" t="s">
        <v>212</v>
      </c>
      <c r="L5" s="846"/>
      <c r="M5" s="847"/>
      <c r="N5" s="845" t="s">
        <v>213</v>
      </c>
      <c r="O5" s="846"/>
      <c r="P5" s="847"/>
      <c r="Q5" s="424" t="s">
        <v>213</v>
      </c>
      <c r="R5" s="425"/>
      <c r="S5" s="426"/>
      <c r="T5" s="845" t="s">
        <v>76</v>
      </c>
      <c r="U5" s="846"/>
      <c r="V5" s="847"/>
      <c r="W5" s="424"/>
      <c r="X5" s="425"/>
      <c r="Y5" s="426"/>
      <c r="Z5" s="845" t="s">
        <v>214</v>
      </c>
      <c r="AA5" s="846"/>
      <c r="AB5" s="847"/>
      <c r="AC5" s="845" t="s">
        <v>88</v>
      </c>
      <c r="AD5" s="846"/>
      <c r="AE5" s="847"/>
      <c r="AF5" s="845"/>
      <c r="AG5" s="846"/>
      <c r="AH5" s="847"/>
      <c r="AI5" s="845" t="s">
        <v>89</v>
      </c>
      <c r="AJ5" s="846"/>
      <c r="AK5" s="847"/>
      <c r="AL5" s="845" t="s">
        <v>471</v>
      </c>
      <c r="AM5" s="846"/>
      <c r="AN5" s="847"/>
      <c r="AO5" s="564"/>
      <c r="AP5" s="705"/>
      <c r="AQ5" s="861"/>
      <c r="AR5" s="861"/>
      <c r="AS5" s="861"/>
      <c r="AT5" s="861"/>
      <c r="AU5" s="861"/>
      <c r="AV5" s="861"/>
      <c r="AW5" s="861"/>
      <c r="AX5" s="861"/>
      <c r="AY5" s="861"/>
      <c r="AZ5" s="861"/>
      <c r="BA5" s="861"/>
      <c r="BB5" s="861"/>
      <c r="BC5" s="861"/>
      <c r="BD5" s="861"/>
      <c r="BE5" s="861"/>
    </row>
    <row r="6" spans="1:57" ht="18.75" customHeight="1" x14ac:dyDescent="0.3">
      <c r="A6" s="427" t="s">
        <v>472</v>
      </c>
      <c r="B6" s="839" t="s">
        <v>215</v>
      </c>
      <c r="C6" s="840"/>
      <c r="D6" s="841"/>
      <c r="E6" s="839" t="s">
        <v>216</v>
      </c>
      <c r="F6" s="840"/>
      <c r="G6" s="841"/>
      <c r="H6" s="839" t="s">
        <v>216</v>
      </c>
      <c r="I6" s="840"/>
      <c r="J6" s="841"/>
      <c r="K6" s="839" t="s">
        <v>217</v>
      </c>
      <c r="L6" s="840"/>
      <c r="M6" s="841"/>
      <c r="N6" s="839" t="s">
        <v>111</v>
      </c>
      <c r="O6" s="840"/>
      <c r="P6" s="841"/>
      <c r="Q6" s="839" t="s">
        <v>76</v>
      </c>
      <c r="R6" s="840"/>
      <c r="S6" s="841"/>
      <c r="T6" s="839" t="s">
        <v>218</v>
      </c>
      <c r="U6" s="840"/>
      <c r="V6" s="841"/>
      <c r="W6" s="839" t="s">
        <v>81</v>
      </c>
      <c r="X6" s="840"/>
      <c r="Y6" s="841"/>
      <c r="Z6" s="839" t="s">
        <v>215</v>
      </c>
      <c r="AA6" s="840"/>
      <c r="AB6" s="841"/>
      <c r="AC6" s="839" t="s">
        <v>219</v>
      </c>
      <c r="AD6" s="840"/>
      <c r="AE6" s="841"/>
      <c r="AF6" s="839" t="s">
        <v>83</v>
      </c>
      <c r="AG6" s="840"/>
      <c r="AH6" s="841"/>
      <c r="AI6" s="839" t="s">
        <v>216</v>
      </c>
      <c r="AJ6" s="840"/>
      <c r="AK6" s="841"/>
      <c r="AL6" s="839" t="s">
        <v>473</v>
      </c>
      <c r="AM6" s="840"/>
      <c r="AN6" s="841"/>
      <c r="AO6" s="564"/>
      <c r="AP6" s="705"/>
      <c r="AQ6" s="861"/>
      <c r="AR6" s="861"/>
      <c r="AS6" s="861"/>
      <c r="AT6" s="861"/>
      <c r="AU6" s="861"/>
      <c r="AV6" s="861"/>
      <c r="AW6" s="861"/>
      <c r="AX6" s="861"/>
      <c r="AY6" s="861"/>
      <c r="AZ6" s="861"/>
      <c r="BA6" s="861"/>
      <c r="BB6" s="861"/>
      <c r="BC6" s="861"/>
      <c r="BD6" s="861"/>
      <c r="BE6" s="861"/>
    </row>
    <row r="7" spans="1:57" ht="18.75" customHeight="1" x14ac:dyDescent="0.3">
      <c r="A7" s="427"/>
      <c r="B7" s="541"/>
      <c r="C7" s="541"/>
      <c r="D7" s="428" t="s">
        <v>100</v>
      </c>
      <c r="E7" s="541"/>
      <c r="F7" s="541"/>
      <c r="G7" s="428" t="s">
        <v>100</v>
      </c>
      <c r="H7" s="541"/>
      <c r="I7" s="541"/>
      <c r="J7" s="428" t="s">
        <v>100</v>
      </c>
      <c r="K7" s="541"/>
      <c r="L7" s="541"/>
      <c r="M7" s="428" t="s">
        <v>100</v>
      </c>
      <c r="N7" s="541"/>
      <c r="O7" s="541"/>
      <c r="P7" s="428" t="s">
        <v>100</v>
      </c>
      <c r="Q7" s="541"/>
      <c r="R7" s="541"/>
      <c r="S7" s="428" t="s">
        <v>100</v>
      </c>
      <c r="T7" s="541"/>
      <c r="U7" s="541"/>
      <c r="V7" s="428" t="s">
        <v>100</v>
      </c>
      <c r="W7" s="541"/>
      <c r="X7" s="541"/>
      <c r="Y7" s="428" t="s">
        <v>100</v>
      </c>
      <c r="Z7" s="541"/>
      <c r="AA7" s="541"/>
      <c r="AB7" s="428" t="s">
        <v>100</v>
      </c>
      <c r="AC7" s="541"/>
      <c r="AD7" s="541"/>
      <c r="AE7" s="428" t="s">
        <v>100</v>
      </c>
      <c r="AF7" s="541"/>
      <c r="AG7" s="541"/>
      <c r="AH7" s="428" t="s">
        <v>100</v>
      </c>
      <c r="AI7" s="541"/>
      <c r="AJ7" s="541"/>
      <c r="AK7" s="428" t="s">
        <v>100</v>
      </c>
      <c r="AL7" s="541"/>
      <c r="AM7" s="541"/>
      <c r="AN7" s="428" t="s">
        <v>100</v>
      </c>
      <c r="AO7" s="564"/>
      <c r="AP7" s="705"/>
      <c r="AQ7" s="705"/>
      <c r="AR7" s="705"/>
      <c r="AS7" s="705"/>
      <c r="AT7" s="705"/>
      <c r="AU7" s="705"/>
      <c r="AV7" s="705"/>
      <c r="AW7" s="705"/>
      <c r="AX7" s="705"/>
      <c r="AY7" s="705"/>
      <c r="AZ7" s="705"/>
      <c r="BA7" s="705"/>
      <c r="BB7" s="705"/>
      <c r="BC7" s="705"/>
      <c r="BD7" s="705"/>
      <c r="BE7" s="705"/>
    </row>
    <row r="8" spans="1:57" ht="18.75" customHeight="1" x14ac:dyDescent="0.25">
      <c r="A8" s="596" t="s">
        <v>350</v>
      </c>
      <c r="B8" s="543">
        <v>2015</v>
      </c>
      <c r="C8" s="543">
        <v>2016</v>
      </c>
      <c r="D8" s="431" t="s">
        <v>102</v>
      </c>
      <c r="E8" s="543">
        <v>2015</v>
      </c>
      <c r="F8" s="543">
        <v>2016</v>
      </c>
      <c r="G8" s="431" t="s">
        <v>102</v>
      </c>
      <c r="H8" s="543">
        <v>2015</v>
      </c>
      <c r="I8" s="543">
        <v>2016</v>
      </c>
      <c r="J8" s="431" t="s">
        <v>102</v>
      </c>
      <c r="K8" s="543">
        <v>2015</v>
      </c>
      <c r="L8" s="543">
        <v>2016</v>
      </c>
      <c r="M8" s="431" t="s">
        <v>102</v>
      </c>
      <c r="N8" s="543">
        <v>2015</v>
      </c>
      <c r="O8" s="543">
        <v>2016</v>
      </c>
      <c r="P8" s="431" t="s">
        <v>102</v>
      </c>
      <c r="Q8" s="543">
        <v>2015</v>
      </c>
      <c r="R8" s="543">
        <v>2016</v>
      </c>
      <c r="S8" s="431" t="s">
        <v>102</v>
      </c>
      <c r="T8" s="543">
        <v>2015</v>
      </c>
      <c r="U8" s="543">
        <v>2016</v>
      </c>
      <c r="V8" s="431" t="s">
        <v>102</v>
      </c>
      <c r="W8" s="543">
        <v>2015</v>
      </c>
      <c r="X8" s="543">
        <v>2016</v>
      </c>
      <c r="Y8" s="431" t="s">
        <v>102</v>
      </c>
      <c r="Z8" s="543">
        <v>2015</v>
      </c>
      <c r="AA8" s="543">
        <v>2016</v>
      </c>
      <c r="AB8" s="431" t="s">
        <v>102</v>
      </c>
      <c r="AC8" s="543">
        <v>2015</v>
      </c>
      <c r="AD8" s="543">
        <v>2016</v>
      </c>
      <c r="AE8" s="431" t="s">
        <v>102</v>
      </c>
      <c r="AF8" s="543">
        <v>2015</v>
      </c>
      <c r="AG8" s="543">
        <v>2016</v>
      </c>
      <c r="AH8" s="431" t="s">
        <v>102</v>
      </c>
      <c r="AI8" s="543">
        <v>2015</v>
      </c>
      <c r="AJ8" s="543">
        <v>2016</v>
      </c>
      <c r="AK8" s="431" t="s">
        <v>102</v>
      </c>
      <c r="AL8" s="543">
        <v>2015</v>
      </c>
      <c r="AM8" s="543">
        <v>2016</v>
      </c>
      <c r="AN8" s="431" t="s">
        <v>102</v>
      </c>
      <c r="AO8" s="564"/>
      <c r="AP8" s="706"/>
      <c r="AQ8" s="707"/>
      <c r="AR8" s="707"/>
      <c r="AS8" s="706"/>
      <c r="AT8" s="707"/>
      <c r="AU8" s="707"/>
      <c r="AV8" s="706"/>
      <c r="AW8" s="707"/>
      <c r="AX8" s="707"/>
      <c r="AY8" s="706"/>
      <c r="AZ8" s="707"/>
      <c r="BA8" s="707"/>
      <c r="BB8" s="706"/>
      <c r="BC8" s="707"/>
      <c r="BD8" s="707"/>
      <c r="BE8" s="706"/>
    </row>
    <row r="9" spans="1:57" ht="18.75" customHeight="1" x14ac:dyDescent="0.3">
      <c r="A9" s="480"/>
      <c r="B9" s="560"/>
      <c r="C9" s="561"/>
      <c r="D9" s="451"/>
      <c r="E9" s="470"/>
      <c r="F9" s="451"/>
      <c r="G9" s="451"/>
      <c r="H9" s="470"/>
      <c r="I9" s="451"/>
      <c r="J9" s="451"/>
      <c r="K9" s="708"/>
      <c r="L9" s="528"/>
      <c r="M9" s="528"/>
      <c r="N9" s="562"/>
      <c r="O9" s="563"/>
      <c r="P9" s="451"/>
      <c r="Q9" s="560"/>
      <c r="R9" s="561"/>
      <c r="S9" s="451"/>
      <c r="T9" s="470"/>
      <c r="U9" s="451"/>
      <c r="V9" s="451"/>
      <c r="W9" s="470"/>
      <c r="X9" s="451"/>
      <c r="Y9" s="451"/>
      <c r="Z9" s="470"/>
      <c r="AA9" s="451"/>
      <c r="AB9" s="451"/>
      <c r="AC9" s="470"/>
      <c r="AD9" s="451"/>
      <c r="AE9" s="451"/>
      <c r="AF9" s="560"/>
      <c r="AG9" s="561"/>
      <c r="AH9" s="451"/>
      <c r="AI9" s="560"/>
      <c r="AJ9" s="561"/>
      <c r="AK9" s="451"/>
      <c r="AL9" s="561"/>
      <c r="AM9" s="561"/>
      <c r="AN9" s="451"/>
      <c r="AO9" s="564"/>
      <c r="AP9" s="564"/>
    </row>
    <row r="10" spans="1:57" ht="18.75" customHeight="1" x14ac:dyDescent="0.3">
      <c r="A10" s="480" t="s">
        <v>474</v>
      </c>
      <c r="B10" s="470"/>
      <c r="C10" s="451"/>
      <c r="D10" s="451"/>
      <c r="E10" s="470"/>
      <c r="F10" s="451"/>
      <c r="G10" s="451"/>
      <c r="H10" s="470"/>
      <c r="I10" s="451"/>
      <c r="J10" s="451"/>
      <c r="K10" s="709"/>
      <c r="L10" s="710"/>
      <c r="M10" s="710"/>
      <c r="N10" s="711"/>
      <c r="O10" s="712"/>
      <c r="P10" s="451"/>
      <c r="Q10" s="470"/>
      <c r="R10" s="451"/>
      <c r="S10" s="451"/>
      <c r="T10" s="470"/>
      <c r="U10" s="451"/>
      <c r="V10" s="451"/>
      <c r="W10" s="470"/>
      <c r="X10" s="451"/>
      <c r="Y10" s="451"/>
      <c r="Z10" s="470"/>
      <c r="AA10" s="451"/>
      <c r="AB10" s="451"/>
      <c r="AC10" s="470"/>
      <c r="AD10" s="451"/>
      <c r="AE10" s="451"/>
      <c r="AF10" s="470"/>
      <c r="AG10" s="451"/>
      <c r="AH10" s="451"/>
      <c r="AI10" s="470"/>
      <c r="AJ10" s="451"/>
      <c r="AK10" s="451"/>
      <c r="AL10" s="561"/>
      <c r="AM10" s="561"/>
      <c r="AN10" s="451"/>
      <c r="AO10" s="564"/>
      <c r="AP10" s="564"/>
    </row>
    <row r="11" spans="1:57" s="716" customFormat="1" ht="18.75" customHeight="1" x14ac:dyDescent="0.3">
      <c r="A11" s="713" t="s">
        <v>475</v>
      </c>
      <c r="B11" s="557">
        <v>40.170999999999999</v>
      </c>
      <c r="C11" s="558">
        <f>SUM(C12+C15+C18+C19+C21+C22)</f>
        <v>50.951000000000001</v>
      </c>
      <c r="D11" s="558">
        <f>IF(B11=0, "    ---- ", IF(ABS(ROUND(100/B11*C11-100,1))&lt;999,ROUND(100/B11*C11-100,1),IF(ROUND(100/B11*C11-100,1)&gt;999,999,-999)))</f>
        <v>26.8</v>
      </c>
      <c r="E11" s="557">
        <v>195836</v>
      </c>
      <c r="F11" s="558">
        <f>SUM(F12+F15+F18+F19+F21+F22)</f>
        <v>195217.06300000002</v>
      </c>
      <c r="G11" s="558">
        <f t="shared" ref="G11:G61" si="0">IF(E11=0, "    ---- ", IF(ABS(ROUND(100/E11*F11-100,1))&lt;999,ROUND(100/E11*F11-100,1),IF(ROUND(100/E11*F11-100,1)&gt;999,999,-999)))</f>
        <v>-0.3</v>
      </c>
      <c r="H11" s="557">
        <v>223.316</v>
      </c>
      <c r="I11" s="558">
        <f>SUM(I12+I15+I18+I19+I21+I22)</f>
        <v>269.262</v>
      </c>
      <c r="J11" s="558">
        <f>IF(H11=0, "    ---- ", IF(ABS(ROUND(100/H11*I11-100,1))&lt;999,ROUND(100/H11*I11-100,1),IF(ROUND(100/H11*I11-100,1)&gt;999,999,-999)))</f>
        <v>20.6</v>
      </c>
      <c r="K11" s="557">
        <v>3867.1749999999997</v>
      </c>
      <c r="L11" s="558">
        <f>SUM(L12+L15+L18+L19+L21+L22)</f>
        <v>4126.9619999999995</v>
      </c>
      <c r="M11" s="714">
        <f>IF(K11=0, "    ---- ", IF(ABS(ROUND(100/K11*L11-100,1))&lt;999,ROUND(100/K11*L11-100,1),IF(ROUND(100/K11*L11-100,1)&gt;999,999,-999)))</f>
        <v>6.7</v>
      </c>
      <c r="N11" s="557"/>
      <c r="O11" s="558"/>
      <c r="P11" s="558"/>
      <c r="Q11" s="558">
        <f>SUM(Q12+Q15+Q18+Q19+Q21+Q22)</f>
        <v>353401.02402863</v>
      </c>
      <c r="R11" s="558">
        <f>SUM(R12+R15+R18+R19+R21+R22)</f>
        <v>380658.23069846997</v>
      </c>
      <c r="S11" s="558">
        <f>IF(Q11=0, "    ---- ", IF(ABS(ROUND(100/Q11*R11-100,1))&lt;999,ROUND(100/Q11*R11-100,1),IF(ROUND(100/Q11*R11-100,1)&gt;999,999,-999)))</f>
        <v>7.7</v>
      </c>
      <c r="T11" s="557">
        <v>1293</v>
      </c>
      <c r="U11" s="558">
        <f>SUM(U12+U15+U18+U19+U21+U22)</f>
        <v>1426.7</v>
      </c>
      <c r="V11" s="558">
        <f>IF(T11=0, "    ---- ", IF(ABS(ROUND(100/T11*U11-100,1))&lt;999,ROUND(100/T11*U11-100,1),IF(ROUND(100/T11*U11-100,1)&gt;999,999,-999)))</f>
        <v>10.3</v>
      </c>
      <c r="W11" s="557">
        <v>43959</v>
      </c>
      <c r="X11" s="558">
        <f>SUM(X12+X15+X18+X19+X21+X22)</f>
        <v>44954.930700299999</v>
      </c>
      <c r="Y11" s="558">
        <f t="shared" ref="Y11:Y61" si="1">IF(W11=0, "    ---- ", IF(ABS(ROUND(100/W11*X11-100,1))&lt;999,ROUND(100/W11*X11-100,1),IF(ROUND(100/W11*X11-100,1)&gt;999,999,-999)))</f>
        <v>2.2999999999999998</v>
      </c>
      <c r="Z11" s="557">
        <v>55218</v>
      </c>
      <c r="AA11" s="558">
        <f>SUM(AA12+AA15+AA18+AA19+AA21+AA22)</f>
        <v>57973</v>
      </c>
      <c r="AB11" s="558">
        <f>IF(Z11=0, "    ---- ", IF(ABS(ROUND(100/Z11*AA11-100,1))&lt;999,ROUND(100/Z11*AA11-100,1),IF(ROUND(100/Z11*AA11-100,1)&gt;999,999,-999)))</f>
        <v>5</v>
      </c>
      <c r="AC11" s="557">
        <v>7904.3338249300004</v>
      </c>
      <c r="AD11" s="558"/>
      <c r="AE11" s="558">
        <f>IF(AC11=0, "    ---- ", IF(ABS(ROUND(100/AC11*AD11-100,1))&lt;999,ROUND(100/AC11*AD11-100,1),IF(ROUND(100/AC11*AD11-100,1)&gt;999,999,-999)))</f>
        <v>-100</v>
      </c>
      <c r="AF11" s="557">
        <v>14851.864</v>
      </c>
      <c r="AG11" s="558">
        <f>SUM(AG12+AG15+AG18+AG19+AG21+AG22)</f>
        <v>15430.261</v>
      </c>
      <c r="AH11" s="558">
        <f t="shared" ref="AH11:AH61" si="2">IF(AF11=0, "    ---- ", IF(ABS(ROUND(100/AF11*AG11-100,1))&lt;999,ROUND(100/AF11*AG11-100,1),IF(ROUND(100/AF11*AG11-100,1)&gt;999,999,-999)))</f>
        <v>3.9</v>
      </c>
      <c r="AI11" s="557">
        <v>165920</v>
      </c>
      <c r="AJ11" s="558">
        <f>SUM(AJ12+AJ15+AJ18+AJ19+AJ21+AJ22)</f>
        <v>168883.5</v>
      </c>
      <c r="AK11" s="558">
        <f t="shared" ref="AK11:AK61" si="3">IF(AI11=0, "    ---- ", IF(ABS(ROUND(100/AI11*AJ11-100,1))&lt;999,ROUND(100/AI11*AJ11-100,1),IF(ROUND(100/AI11*AJ11-100,1)&gt;999,999,-999)))</f>
        <v>1.8</v>
      </c>
      <c r="AL11" s="574">
        <f>+B11+E11+H11+K11+N11+Q11+T11+W11+Z11+AC11+AF11+AI11</f>
        <v>842513.88385355996</v>
      </c>
      <c r="AM11" s="574">
        <f>+C11+F11+I11+L11+O11+R11+U11+X11+AA11+AD11+AG11+AJ11</f>
        <v>868990.86039876996</v>
      </c>
      <c r="AN11" s="558">
        <f>IF(AL11=0, "    ---- ", IF(ABS(ROUND(100/AL11*AM11-100,1))&lt;999,ROUND(100/AL11*AM11-100,1),IF(ROUND(100/AL11*AM11-100,1)&gt;999,999,-999)))</f>
        <v>3.1</v>
      </c>
      <c r="AO11" s="715"/>
      <c r="AP11" s="715"/>
    </row>
    <row r="12" spans="1:57" ht="18.75" customHeight="1" x14ac:dyDescent="0.3">
      <c r="A12" s="440" t="s">
        <v>476</v>
      </c>
      <c r="B12" s="470">
        <v>23.611000000000001</v>
      </c>
      <c r="C12" s="451">
        <v>22.585999999999999</v>
      </c>
      <c r="D12" s="451">
        <f>IF(B12=0, "    ---- ", IF(ABS(ROUND(100/B12*C12-100,1))&lt;999,ROUND(100/B12*C12-100,1),IF(ROUND(100/B12*C12-100,1)&gt;999,999,-999)))</f>
        <v>-4.3</v>
      </c>
      <c r="E12" s="470">
        <v>17919</v>
      </c>
      <c r="F12" s="451">
        <v>16515.153999999999</v>
      </c>
      <c r="G12" s="451">
        <f t="shared" si="0"/>
        <v>-7.8</v>
      </c>
      <c r="H12" s="470"/>
      <c r="I12" s="451"/>
      <c r="J12" s="451"/>
      <c r="K12" s="470"/>
      <c r="L12" s="451"/>
      <c r="M12" s="710"/>
      <c r="N12" s="470"/>
      <c r="O12" s="451"/>
      <c r="P12" s="451"/>
      <c r="Q12" s="470"/>
      <c r="R12" s="451"/>
      <c r="S12" s="451"/>
      <c r="T12" s="470"/>
      <c r="U12" s="451"/>
      <c r="V12" s="451"/>
      <c r="W12" s="470">
        <v>649</v>
      </c>
      <c r="X12" s="451">
        <v>600.27552005999996</v>
      </c>
      <c r="Y12" s="451">
        <f t="shared" si="1"/>
        <v>-7.5</v>
      </c>
      <c r="Z12" s="470"/>
      <c r="AA12" s="451"/>
      <c r="AB12" s="451"/>
      <c r="AC12" s="470"/>
      <c r="AD12" s="451"/>
      <c r="AE12" s="451"/>
      <c r="AF12" s="470">
        <v>716.16000000000008</v>
      </c>
      <c r="AG12" s="451">
        <v>535.88599999999997</v>
      </c>
      <c r="AH12" s="451">
        <f t="shared" si="2"/>
        <v>-25.2</v>
      </c>
      <c r="AI12" s="470">
        <v>3581</v>
      </c>
      <c r="AJ12" s="451">
        <f>8943.2-4982.6</f>
        <v>3960.6000000000004</v>
      </c>
      <c r="AK12" s="451">
        <f t="shared" si="3"/>
        <v>10.6</v>
      </c>
      <c r="AL12" s="561">
        <f t="shared" ref="AL12:AM61" si="4">+B12+E12+H12+K12+N12+Q12+T12+W12+Z12+AC12+AF12+AI12</f>
        <v>22888.771000000001</v>
      </c>
      <c r="AM12" s="561">
        <f t="shared" si="4"/>
        <v>21634.501520059996</v>
      </c>
      <c r="AN12" s="451">
        <f t="shared" ref="AN12:AN61" si="5">IF(AL12=0, "    ---- ", IF(ABS(ROUND(100/AL12*AM12-100,1))&lt;999,ROUND(100/AL12*AM12-100,1),IF(ROUND(100/AL12*AM12-100,1)&gt;999,999,-999)))</f>
        <v>-5.5</v>
      </c>
      <c r="AO12" s="564"/>
      <c r="AP12" s="564"/>
    </row>
    <row r="13" spans="1:57" ht="18.75" customHeight="1" x14ac:dyDescent="0.3">
      <c r="A13" s="440" t="s">
        <v>477</v>
      </c>
      <c r="B13" s="560"/>
      <c r="C13" s="561"/>
      <c r="D13" s="451"/>
      <c r="E13" s="560">
        <v>5124</v>
      </c>
      <c r="F13" s="561">
        <v>4525.9979999999996</v>
      </c>
      <c r="G13" s="561">
        <f t="shared" si="0"/>
        <v>-11.7</v>
      </c>
      <c r="H13" s="560"/>
      <c r="I13" s="561"/>
      <c r="J13" s="451"/>
      <c r="K13" s="470"/>
      <c r="L13" s="451"/>
      <c r="M13" s="710"/>
      <c r="N13" s="560"/>
      <c r="O13" s="561"/>
      <c r="P13" s="451"/>
      <c r="Q13" s="560"/>
      <c r="R13" s="561"/>
      <c r="S13" s="451"/>
      <c r="T13" s="560"/>
      <c r="U13" s="561"/>
      <c r="V13" s="451"/>
      <c r="W13" s="560">
        <v>563</v>
      </c>
      <c r="X13" s="561">
        <v>429.16235352074648</v>
      </c>
      <c r="Y13" s="451">
        <f t="shared" si="1"/>
        <v>-23.8</v>
      </c>
      <c r="Z13" s="560"/>
      <c r="AA13" s="561"/>
      <c r="AB13" s="451"/>
      <c r="AC13" s="560"/>
      <c r="AD13" s="561"/>
      <c r="AE13" s="451"/>
      <c r="AF13" s="560">
        <v>342.70600000000002</v>
      </c>
      <c r="AG13" s="561">
        <v>317.37599999999998</v>
      </c>
      <c r="AH13" s="451">
        <f t="shared" si="2"/>
        <v>-7.4</v>
      </c>
      <c r="AI13" s="560">
        <v>2389</v>
      </c>
      <c r="AJ13" s="561">
        <v>2527</v>
      </c>
      <c r="AK13" s="451">
        <f t="shared" si="3"/>
        <v>5.8</v>
      </c>
      <c r="AL13" s="561">
        <f t="shared" si="4"/>
        <v>8418.7060000000001</v>
      </c>
      <c r="AM13" s="561">
        <f t="shared" si="4"/>
        <v>7799.5363535207462</v>
      </c>
      <c r="AN13" s="451">
        <f t="shared" si="5"/>
        <v>-7.4</v>
      </c>
      <c r="AO13" s="564"/>
      <c r="AP13" s="564"/>
    </row>
    <row r="14" spans="1:57" ht="18.75" customHeight="1" x14ac:dyDescent="0.3">
      <c r="A14" s="440" t="s">
        <v>478</v>
      </c>
      <c r="B14" s="560"/>
      <c r="C14" s="561"/>
      <c r="D14" s="451"/>
      <c r="E14" s="560">
        <v>12795</v>
      </c>
      <c r="F14" s="561">
        <v>11989.156999999999</v>
      </c>
      <c r="G14" s="561">
        <f t="shared" si="0"/>
        <v>-6.3</v>
      </c>
      <c r="H14" s="560"/>
      <c r="I14" s="561"/>
      <c r="J14" s="451"/>
      <c r="K14" s="560"/>
      <c r="L14" s="561"/>
      <c r="M14" s="451"/>
      <c r="N14" s="560"/>
      <c r="O14" s="561"/>
      <c r="P14" s="451"/>
      <c r="Q14" s="560"/>
      <c r="R14" s="561"/>
      <c r="S14" s="451"/>
      <c r="T14" s="560"/>
      <c r="U14" s="561"/>
      <c r="V14" s="451"/>
      <c r="W14" s="560">
        <v>81</v>
      </c>
      <c r="X14" s="561">
        <v>60.113166539253498</v>
      </c>
      <c r="Y14" s="451">
        <f t="shared" si="1"/>
        <v>-25.8</v>
      </c>
      <c r="Z14" s="560"/>
      <c r="AA14" s="561"/>
      <c r="AB14" s="451"/>
      <c r="AC14" s="560"/>
      <c r="AD14" s="561"/>
      <c r="AE14" s="451"/>
      <c r="AF14" s="560">
        <v>232.70599999999999</v>
      </c>
      <c r="AG14" s="561">
        <v>218.36</v>
      </c>
      <c r="AH14" s="451">
        <f t="shared" si="2"/>
        <v>-6.2</v>
      </c>
      <c r="AI14" s="560"/>
      <c r="AJ14" s="561"/>
      <c r="AK14" s="451"/>
      <c r="AL14" s="451">
        <f t="shared" si="4"/>
        <v>13108.706</v>
      </c>
      <c r="AM14" s="451">
        <f t="shared" si="4"/>
        <v>12267.630166539253</v>
      </c>
      <c r="AN14" s="451">
        <f t="shared" si="5"/>
        <v>-6.4</v>
      </c>
      <c r="AO14" s="564"/>
      <c r="AP14" s="564"/>
    </row>
    <row r="15" spans="1:57" ht="18.75" customHeight="1" x14ac:dyDescent="0.3">
      <c r="A15" s="440" t="s">
        <v>479</v>
      </c>
      <c r="B15" s="470">
        <v>2.1459999999999999</v>
      </c>
      <c r="C15" s="451">
        <v>2.3730000000000002</v>
      </c>
      <c r="D15" s="451">
        <f>IF(B15=0, "    ---- ", IF(ABS(ROUND(100/B15*C15-100,1))&lt;999,ROUND(100/B15*C15-100,1),IF(ROUND(100/B15*C15-100,1)&gt;999,999,-999)))</f>
        <v>10.6</v>
      </c>
      <c r="E15" s="470">
        <v>28315</v>
      </c>
      <c r="F15" s="451">
        <v>27134.745999999999</v>
      </c>
      <c r="G15" s="710">
        <f t="shared" si="0"/>
        <v>-4.2</v>
      </c>
      <c r="H15" s="470">
        <v>150.80500000000001</v>
      </c>
      <c r="I15" s="451">
        <v>197.499</v>
      </c>
      <c r="J15" s="451">
        <f>IF(H15=0, "    ---- ", IF(ABS(ROUND(100/H15*I15-100,1))&lt;999,ROUND(100/H15*I15-100,1),IF(ROUND(100/H15*I15-100,1)&gt;999,999,-999)))</f>
        <v>31</v>
      </c>
      <c r="K15" s="470">
        <v>250.91200000000001</v>
      </c>
      <c r="L15" s="451">
        <v>340.99599999999998</v>
      </c>
      <c r="M15" s="451">
        <f>IF(K15=0, "    ---- ", IF(ABS(ROUND(100/K15*L15-100,1))&lt;999,ROUND(100/K15*L15-100,1),IF(ROUND(100/K15*L15-100,1)&gt;999,999,-999)))</f>
        <v>35.9</v>
      </c>
      <c r="N15" s="470"/>
      <c r="O15" s="451"/>
      <c r="P15" s="451"/>
      <c r="Q15" s="470"/>
      <c r="R15" s="451"/>
      <c r="S15" s="451"/>
      <c r="T15" s="470"/>
      <c r="U15" s="451"/>
      <c r="V15" s="451"/>
      <c r="W15" s="470">
        <v>4115</v>
      </c>
      <c r="X15" s="451">
        <v>3870.4491399100002</v>
      </c>
      <c r="Y15" s="451">
        <f t="shared" si="1"/>
        <v>-5.9</v>
      </c>
      <c r="Z15" s="470"/>
      <c r="AA15" s="451"/>
      <c r="AB15" s="710"/>
      <c r="AC15" s="470"/>
      <c r="AD15" s="451"/>
      <c r="AE15" s="710"/>
      <c r="AF15" s="470">
        <v>4050.2609999999995</v>
      </c>
      <c r="AG15" s="451">
        <v>4041.9850000000001</v>
      </c>
      <c r="AH15" s="451">
        <f t="shared" si="2"/>
        <v>-0.2</v>
      </c>
      <c r="AI15" s="470">
        <v>11536</v>
      </c>
      <c r="AJ15" s="451">
        <f>14525.7-3579.9</f>
        <v>10945.800000000001</v>
      </c>
      <c r="AK15" s="451">
        <f t="shared" si="3"/>
        <v>-5.0999999999999996</v>
      </c>
      <c r="AL15" s="451">
        <f t="shared" si="4"/>
        <v>48420.123999999996</v>
      </c>
      <c r="AM15" s="451">
        <f t="shared" si="4"/>
        <v>46533.848139909998</v>
      </c>
      <c r="AN15" s="451">
        <f t="shared" si="5"/>
        <v>-3.9</v>
      </c>
      <c r="AO15" s="564"/>
      <c r="AP15" s="564"/>
    </row>
    <row r="16" spans="1:57" ht="18.75" customHeight="1" x14ac:dyDescent="0.3">
      <c r="A16" s="440" t="s">
        <v>477</v>
      </c>
      <c r="B16" s="470"/>
      <c r="C16" s="451"/>
      <c r="D16" s="451"/>
      <c r="E16" s="470">
        <v>25780</v>
      </c>
      <c r="F16" s="451">
        <v>24540.826000000001</v>
      </c>
      <c r="G16" s="710">
        <f t="shared" si="0"/>
        <v>-4.8</v>
      </c>
      <c r="H16" s="470"/>
      <c r="I16" s="451"/>
      <c r="J16" s="451"/>
      <c r="K16" s="470"/>
      <c r="L16" s="451"/>
      <c r="M16" s="451"/>
      <c r="N16" s="470"/>
      <c r="O16" s="451"/>
      <c r="P16" s="451"/>
      <c r="Q16" s="470"/>
      <c r="R16" s="451"/>
      <c r="S16" s="451"/>
      <c r="T16" s="470"/>
      <c r="U16" s="451"/>
      <c r="V16" s="451"/>
      <c r="W16" s="470">
        <v>3383</v>
      </c>
      <c r="X16" s="451">
        <v>3005.6358185505242</v>
      </c>
      <c r="Y16" s="451">
        <f t="shared" si="1"/>
        <v>-11.2</v>
      </c>
      <c r="Z16" s="470"/>
      <c r="AA16" s="451"/>
      <c r="AB16" s="710"/>
      <c r="AC16" s="470"/>
      <c r="AD16" s="451"/>
      <c r="AE16" s="710"/>
      <c r="AF16" s="470">
        <v>3160.14</v>
      </c>
      <c r="AG16" s="451">
        <v>2950.6439999999998</v>
      </c>
      <c r="AH16" s="451">
        <f t="shared" si="2"/>
        <v>-6.6</v>
      </c>
      <c r="AI16" s="470">
        <v>11536</v>
      </c>
      <c r="AJ16" s="451">
        <v>10945.8</v>
      </c>
      <c r="AK16" s="451">
        <f t="shared" si="3"/>
        <v>-5.0999999999999996</v>
      </c>
      <c r="AL16" s="451">
        <f t="shared" si="4"/>
        <v>43859.14</v>
      </c>
      <c r="AM16" s="451">
        <f t="shared" si="4"/>
        <v>41442.905818550527</v>
      </c>
      <c r="AN16" s="451">
        <f t="shared" si="5"/>
        <v>-5.5</v>
      </c>
      <c r="AO16" s="564"/>
      <c r="AP16" s="564"/>
    </row>
    <row r="17" spans="1:42" ht="18.75" customHeight="1" x14ac:dyDescent="0.3">
      <c r="A17" s="440" t="s">
        <v>478</v>
      </c>
      <c r="B17" s="470"/>
      <c r="C17" s="451"/>
      <c r="D17" s="451"/>
      <c r="E17" s="470">
        <v>2534</v>
      </c>
      <c r="F17" s="451">
        <v>2593.92</v>
      </c>
      <c r="G17" s="710">
        <f t="shared" si="0"/>
        <v>2.4</v>
      </c>
      <c r="H17" s="470">
        <v>150.80500000000001</v>
      </c>
      <c r="I17" s="451">
        <v>197.499</v>
      </c>
      <c r="J17" s="451">
        <f>IF(H17=0, "    ---- ", IF(ABS(ROUND(100/H17*I17-100,1))&lt;999,ROUND(100/H17*I17-100,1),IF(ROUND(100/H17*I17-100,1)&gt;999,999,-999)))</f>
        <v>31</v>
      </c>
      <c r="K17" s="470">
        <v>250.91200000000001</v>
      </c>
      <c r="L17" s="451">
        <v>340.99599999999998</v>
      </c>
      <c r="M17" s="451">
        <f>IF(K17=0, "    ---- ", IF(ABS(ROUND(100/K17*L17-100,1))&lt;999,ROUND(100/K17*L17-100,1),IF(ROUND(100/K17*L17-100,1)&gt;999,999,-999)))</f>
        <v>35.9</v>
      </c>
      <c r="N17" s="470"/>
      <c r="O17" s="451"/>
      <c r="P17" s="451"/>
      <c r="Q17" s="470"/>
      <c r="R17" s="451"/>
      <c r="S17" s="451"/>
      <c r="T17" s="470"/>
      <c r="U17" s="451"/>
      <c r="V17" s="451"/>
      <c r="W17" s="470">
        <v>493</v>
      </c>
      <c r="X17" s="451">
        <v>468.81332135947588</v>
      </c>
      <c r="Y17" s="451">
        <f t="shared" si="1"/>
        <v>-4.9000000000000004</v>
      </c>
      <c r="Z17" s="470"/>
      <c r="AA17" s="451"/>
      <c r="AB17" s="710"/>
      <c r="AC17" s="470"/>
      <c r="AD17" s="451"/>
      <c r="AE17" s="710"/>
      <c r="AF17" s="470">
        <v>71.334000000000003</v>
      </c>
      <c r="AG17" s="451">
        <v>74.572999999999993</v>
      </c>
      <c r="AH17" s="451">
        <f t="shared" si="2"/>
        <v>4.5</v>
      </c>
      <c r="AI17" s="470"/>
      <c r="AJ17" s="451"/>
      <c r="AK17" s="451"/>
      <c r="AL17" s="451">
        <f t="shared" si="4"/>
        <v>3500.0509999999995</v>
      </c>
      <c r="AM17" s="451">
        <f t="shared" si="4"/>
        <v>3675.8013213594759</v>
      </c>
      <c r="AN17" s="451">
        <f t="shared" si="5"/>
        <v>5</v>
      </c>
      <c r="AO17" s="564"/>
      <c r="AP17" s="564"/>
    </row>
    <row r="18" spans="1:42" ht="18.75" customHeight="1" x14ac:dyDescent="0.3">
      <c r="A18" s="440" t="s">
        <v>480</v>
      </c>
      <c r="B18" s="470"/>
      <c r="C18" s="451"/>
      <c r="D18" s="451"/>
      <c r="E18" s="470">
        <v>210</v>
      </c>
      <c r="F18" s="451">
        <v>201.12700000000001</v>
      </c>
      <c r="G18" s="710">
        <f t="shared" si="0"/>
        <v>-4.2</v>
      </c>
      <c r="H18" s="470"/>
      <c r="I18" s="451"/>
      <c r="J18" s="451"/>
      <c r="K18" s="470"/>
      <c r="L18" s="451"/>
      <c r="M18" s="451"/>
      <c r="N18" s="470"/>
      <c r="O18" s="451"/>
      <c r="P18" s="451"/>
      <c r="Q18" s="470">
        <v>2.4028630000000002E-2</v>
      </c>
      <c r="R18" s="451">
        <v>2.4028630000000002E-2</v>
      </c>
      <c r="S18" s="451">
        <f>IF(Q18=0, "    ---- ", IF(ABS(ROUND(100/Q18*R18-100,1))&lt;999,ROUND(100/Q18*R18-100,1),IF(ROUND(100/Q18*R18-100,1)&gt;999,999,-999)))</f>
        <v>0</v>
      </c>
      <c r="T18" s="470"/>
      <c r="U18" s="451"/>
      <c r="V18" s="451"/>
      <c r="W18" s="470"/>
      <c r="X18" s="451"/>
      <c r="Y18" s="451"/>
      <c r="Z18" s="470"/>
      <c r="AA18" s="451"/>
      <c r="AB18" s="710"/>
      <c r="AC18" s="470"/>
      <c r="AD18" s="451"/>
      <c r="AE18" s="710"/>
      <c r="AF18" s="470">
        <v>482.81</v>
      </c>
      <c r="AG18" s="451">
        <v>535.15700000000004</v>
      </c>
      <c r="AH18" s="451">
        <f t="shared" si="2"/>
        <v>10.8</v>
      </c>
      <c r="AI18" s="470">
        <v>710</v>
      </c>
      <c r="AJ18" s="451">
        <v>1325</v>
      </c>
      <c r="AK18" s="451">
        <f t="shared" si="3"/>
        <v>86.6</v>
      </c>
      <c r="AL18" s="451">
        <f t="shared" si="4"/>
        <v>1402.8340286299999</v>
      </c>
      <c r="AM18" s="451">
        <f t="shared" si="4"/>
        <v>2061.3080286300001</v>
      </c>
      <c r="AN18" s="451">
        <f t="shared" si="5"/>
        <v>46.9</v>
      </c>
      <c r="AO18" s="564"/>
      <c r="AP18" s="564"/>
    </row>
    <row r="19" spans="1:42" ht="18.75" customHeight="1" x14ac:dyDescent="0.3">
      <c r="A19" s="440" t="s">
        <v>481</v>
      </c>
      <c r="B19" s="470">
        <v>14.414</v>
      </c>
      <c r="C19" s="451">
        <v>25.992000000000001</v>
      </c>
      <c r="D19" s="451">
        <f>IF(B19=0, "    ---- ", IF(ABS(ROUND(100/B19*C19-100,1))&lt;999,ROUND(100/B19*C19-100,1),IF(ROUND(100/B19*C19-100,1)&gt;999,999,-999)))</f>
        <v>80.3</v>
      </c>
      <c r="E19" s="470">
        <v>143812</v>
      </c>
      <c r="F19" s="451">
        <f>147880.942+3413.87</f>
        <v>151294.81200000001</v>
      </c>
      <c r="G19" s="710">
        <f t="shared" si="0"/>
        <v>5.2</v>
      </c>
      <c r="H19" s="470">
        <v>72.225999999999999</v>
      </c>
      <c r="I19" s="451">
        <v>71.763000000000005</v>
      </c>
      <c r="J19" s="451">
        <f>IF(H19=0, "    ---- ", IF(ABS(ROUND(100/H19*I19-100,1))&lt;999,ROUND(100/H19*I19-100,1),IF(ROUND(100/H19*I19-100,1)&gt;999,999,-999)))</f>
        <v>-0.6</v>
      </c>
      <c r="K19" s="470">
        <v>3616.2629999999999</v>
      </c>
      <c r="L19" s="451">
        <v>3785.9659999999999</v>
      </c>
      <c r="M19" s="451">
        <f>IF(K19=0, "    ---- ", IF(ABS(ROUND(100/K19*L19-100,1))&lt;999,ROUND(100/K19*L19-100,1),IF(ROUND(100/K19*L19-100,1)&gt;999,999,-999)))</f>
        <v>4.7</v>
      </c>
      <c r="N19" s="470"/>
      <c r="O19" s="451"/>
      <c r="P19" s="451"/>
      <c r="Q19" s="470"/>
      <c r="R19" s="451"/>
      <c r="S19" s="451"/>
      <c r="T19" s="470">
        <v>1293</v>
      </c>
      <c r="U19" s="451">
        <v>1426.7</v>
      </c>
      <c r="V19" s="451">
        <f>IF(T19=0, "    ---- ", IF(ABS(ROUND(100/T19*U19-100,1))&lt;999,ROUND(100/T19*U19-100,1),IF(ROUND(100/T19*U19-100,1)&gt;999,999,-999)))</f>
        <v>10.3</v>
      </c>
      <c r="W19" s="470">
        <v>39142</v>
      </c>
      <c r="X19" s="451">
        <v>40423</v>
      </c>
      <c r="Y19" s="451">
        <f t="shared" si="1"/>
        <v>3.3</v>
      </c>
      <c r="Z19" s="470"/>
      <c r="AA19" s="451"/>
      <c r="AB19" s="710"/>
      <c r="AC19" s="470">
        <v>7904.3338249300004</v>
      </c>
      <c r="AD19" s="451"/>
      <c r="AE19" s="710">
        <f>IF(AC19=0, "    ---- ", IF(ABS(ROUND(100/AC19*AD19-100,1))&lt;999,ROUND(100/AC19*AD19-100,1),IF(ROUND(100/AC19*AD19-100,1)&gt;999,999,-999)))</f>
        <v>-100</v>
      </c>
      <c r="AF19" s="470">
        <v>9582.0650000000005</v>
      </c>
      <c r="AG19" s="451">
        <v>10317.233</v>
      </c>
      <c r="AH19" s="451">
        <f t="shared" si="2"/>
        <v>7.7</v>
      </c>
      <c r="AI19" s="470">
        <v>146116</v>
      </c>
      <c r="AJ19" s="451">
        <f>206754.2-5487.6-86.7-34136.6-16870.8</f>
        <v>150172.5</v>
      </c>
      <c r="AK19" s="451">
        <f t="shared" si="3"/>
        <v>2.8</v>
      </c>
      <c r="AL19" s="451">
        <f t="shared" si="4"/>
        <v>351552.30182493001</v>
      </c>
      <c r="AM19" s="451">
        <f t="shared" si="4"/>
        <v>357517.96600000001</v>
      </c>
      <c r="AN19" s="451">
        <f t="shared" si="5"/>
        <v>1.7</v>
      </c>
      <c r="AO19" s="564"/>
      <c r="AP19" s="564"/>
    </row>
    <row r="20" spans="1:42" ht="18.75" customHeight="1" x14ac:dyDescent="0.3">
      <c r="A20" s="440" t="s">
        <v>482</v>
      </c>
      <c r="B20" s="470">
        <v>14.414</v>
      </c>
      <c r="C20" s="451">
        <v>25.992000000000001</v>
      </c>
      <c r="D20" s="451">
        <f>IF(B20=0, "    ---- ", IF(ABS(ROUND(100/B20*C20-100,1))&lt;999,ROUND(100/B20*C20-100,1),IF(ROUND(100/B20*C20-100,1)&gt;999,999,-999)))</f>
        <v>80.3</v>
      </c>
      <c r="E20" s="470">
        <v>87748</v>
      </c>
      <c r="F20" s="451">
        <v>113597.933</v>
      </c>
      <c r="G20" s="710">
        <f t="shared" si="0"/>
        <v>29.5</v>
      </c>
      <c r="H20" s="470"/>
      <c r="I20" s="451"/>
      <c r="J20" s="451"/>
      <c r="K20" s="470">
        <v>3198.16</v>
      </c>
      <c r="L20" s="451">
        <v>3252.4540000000002</v>
      </c>
      <c r="M20" s="451">
        <f>IF(K20=0, "    ---- ", IF(ABS(ROUND(100/K20*L20-100,1))&lt;999,ROUND(100/K20*L20-100,1),IF(ROUND(100/K20*L20-100,1)&gt;999,999,-999)))</f>
        <v>1.7</v>
      </c>
      <c r="N20" s="470"/>
      <c r="O20" s="451"/>
      <c r="P20" s="451"/>
      <c r="Q20" s="470"/>
      <c r="R20" s="451"/>
      <c r="S20" s="451"/>
      <c r="T20" s="470">
        <v>389</v>
      </c>
      <c r="U20" s="451">
        <v>750</v>
      </c>
      <c r="V20" s="451">
        <f>IF(T20=0, "    ---- ", IF(ABS(ROUND(100/T20*U20-100,1))&lt;999,ROUND(100/T20*U20-100,1),IF(ROUND(100/T20*U20-100,1)&gt;999,999,-999)))</f>
        <v>92.8</v>
      </c>
      <c r="W20" s="470">
        <v>24169</v>
      </c>
      <c r="X20" s="451">
        <v>28716</v>
      </c>
      <c r="Y20" s="451">
        <f t="shared" si="1"/>
        <v>18.8</v>
      </c>
      <c r="Z20" s="470"/>
      <c r="AA20" s="451"/>
      <c r="AB20" s="710"/>
      <c r="AC20" s="470">
        <v>7904.3338249300004</v>
      </c>
      <c r="AD20" s="451"/>
      <c r="AE20" s="710">
        <f>IF(AC20=0, "    ---- ", IF(ABS(ROUND(100/AC20*AD20-100,1))&lt;999,ROUND(100/AC20*AD20-100,1),IF(ROUND(100/AC20*AD20-100,1)&gt;999,999,-999)))</f>
        <v>-100</v>
      </c>
      <c r="AF20" s="470">
        <v>4880.8999999999996</v>
      </c>
      <c r="AG20" s="451">
        <v>5358.7290000000003</v>
      </c>
      <c r="AH20" s="451">
        <f t="shared" si="2"/>
        <v>9.8000000000000007</v>
      </c>
      <c r="AI20" s="470">
        <v>99973</v>
      </c>
      <c r="AJ20" s="451">
        <v>111076.5</v>
      </c>
      <c r="AK20" s="451">
        <f t="shared" si="3"/>
        <v>11.1</v>
      </c>
      <c r="AL20" s="451">
        <f t="shared" si="4"/>
        <v>228276.80782493</v>
      </c>
      <c r="AM20" s="451">
        <f t="shared" si="4"/>
        <v>262777.60800000001</v>
      </c>
      <c r="AN20" s="451">
        <f t="shared" si="5"/>
        <v>15.1</v>
      </c>
      <c r="AO20" s="564"/>
      <c r="AP20" s="564"/>
    </row>
    <row r="21" spans="1:42" ht="18.75" customHeight="1" x14ac:dyDescent="0.3">
      <c r="A21" s="440" t="s">
        <v>483</v>
      </c>
      <c r="B21" s="470"/>
      <c r="C21" s="451"/>
      <c r="D21" s="451"/>
      <c r="E21" s="470">
        <v>2021</v>
      </c>
      <c r="F21" s="451">
        <v>27.792999999999999</v>
      </c>
      <c r="G21" s="710">
        <f t="shared" si="0"/>
        <v>-98.6</v>
      </c>
      <c r="H21" s="470"/>
      <c r="I21" s="451"/>
      <c r="J21" s="451"/>
      <c r="K21" s="470"/>
      <c r="L21" s="451"/>
      <c r="M21" s="451"/>
      <c r="N21" s="470"/>
      <c r="O21" s="451"/>
      <c r="P21" s="451"/>
      <c r="Q21" s="470">
        <v>353401</v>
      </c>
      <c r="R21" s="451">
        <v>380658.20666983997</v>
      </c>
      <c r="S21" s="451">
        <f>IF(Q21=0, "    ---- ", IF(ABS(ROUND(100/Q21*R21-100,1))&lt;999,ROUND(100/Q21*R21-100,1),IF(ROUND(100/Q21*R21-100,1)&gt;999,999,-999)))</f>
        <v>7.7</v>
      </c>
      <c r="T21" s="470"/>
      <c r="U21" s="451"/>
      <c r="V21" s="451"/>
      <c r="W21" s="470"/>
      <c r="X21" s="451"/>
      <c r="Y21" s="451"/>
      <c r="Z21" s="470">
        <v>55218</v>
      </c>
      <c r="AA21" s="451">
        <v>57973</v>
      </c>
      <c r="AB21" s="710">
        <f>IF(Z21=0, "    ---- ", IF(ABS(ROUND(100/Z21*AA21-100,1))&lt;999,ROUND(100/Z21*AA21-100,1),IF(ROUND(100/Z21*AA21-100,1)&gt;999,999,-999)))</f>
        <v>5</v>
      </c>
      <c r="AC21" s="470"/>
      <c r="AD21" s="451"/>
      <c r="AE21" s="710"/>
      <c r="AF21" s="470">
        <v>20.568000000000001</v>
      </c>
      <c r="AG21" s="451"/>
      <c r="AH21" s="451"/>
      <c r="AI21" s="470">
        <v>3977</v>
      </c>
      <c r="AJ21" s="451">
        <v>2479.6</v>
      </c>
      <c r="AK21" s="451">
        <f t="shared" si="3"/>
        <v>-37.700000000000003</v>
      </c>
      <c r="AL21" s="451">
        <f t="shared" si="4"/>
        <v>414637.56800000003</v>
      </c>
      <c r="AM21" s="451">
        <f t="shared" si="4"/>
        <v>441138.59966983995</v>
      </c>
      <c r="AN21" s="451">
        <f t="shared" si="5"/>
        <v>6.4</v>
      </c>
      <c r="AO21" s="564"/>
      <c r="AP21" s="564"/>
    </row>
    <row r="22" spans="1:42" ht="18.75" customHeight="1" x14ac:dyDescent="0.3">
      <c r="A22" s="440" t="s">
        <v>484</v>
      </c>
      <c r="B22" s="470"/>
      <c r="C22" s="451"/>
      <c r="D22" s="451"/>
      <c r="E22" s="470">
        <v>3559</v>
      </c>
      <c r="F22" s="451">
        <v>43.430999999999997</v>
      </c>
      <c r="G22" s="710">
        <f t="shared" si="0"/>
        <v>-98.8</v>
      </c>
      <c r="H22" s="470">
        <v>0.28499999999999998</v>
      </c>
      <c r="I22" s="451"/>
      <c r="J22" s="451"/>
      <c r="K22" s="470"/>
      <c r="L22" s="451"/>
      <c r="M22" s="451"/>
      <c r="N22" s="470"/>
      <c r="O22" s="451"/>
      <c r="P22" s="451"/>
      <c r="Q22" s="470"/>
      <c r="R22" s="451"/>
      <c r="S22" s="451"/>
      <c r="T22" s="470"/>
      <c r="U22" s="451"/>
      <c r="V22" s="451"/>
      <c r="W22" s="470">
        <v>53</v>
      </c>
      <c r="X22" s="451">
        <v>61.206040330000008</v>
      </c>
      <c r="Y22" s="451">
        <f t="shared" si="1"/>
        <v>15.5</v>
      </c>
      <c r="Z22" s="470"/>
      <c r="AA22" s="451"/>
      <c r="AB22" s="710"/>
      <c r="AC22" s="470"/>
      <c r="AD22" s="451"/>
      <c r="AE22" s="710"/>
      <c r="AF22" s="470"/>
      <c r="AG22" s="451"/>
      <c r="AH22" s="451"/>
      <c r="AI22" s="470"/>
      <c r="AJ22" s="451"/>
      <c r="AK22" s="451"/>
      <c r="AL22" s="451">
        <f t="shared" si="4"/>
        <v>3612.2849999999999</v>
      </c>
      <c r="AM22" s="451">
        <f t="shared" si="4"/>
        <v>104.63704033</v>
      </c>
      <c r="AN22" s="451">
        <f t="shared" si="5"/>
        <v>-97.1</v>
      </c>
      <c r="AO22" s="564"/>
      <c r="AP22" s="564"/>
    </row>
    <row r="23" spans="1:42" s="716" customFormat="1" ht="18.75" customHeight="1" x14ac:dyDescent="0.3">
      <c r="A23" s="713" t="s">
        <v>485</v>
      </c>
      <c r="B23" s="557">
        <v>22.611000000000001</v>
      </c>
      <c r="C23" s="558">
        <f>SUM(C24+C27+C30+C31+C33+C34)</f>
        <v>48.585999999999999</v>
      </c>
      <c r="D23" s="558">
        <f>IF(B23=0, "    ---- ", IF(ABS(ROUND(100/B23*C23-100,1))&lt;999,ROUND(100/B23*C23-100,1),IF(ROUND(100/B23*C23-100,1)&gt;999,999,-999)))</f>
        <v>114.9</v>
      </c>
      <c r="E23" s="557">
        <v>195836</v>
      </c>
      <c r="F23" s="558">
        <f>SUM(F24+F27+F30+F31+F33+F34)</f>
        <v>195217.06300000002</v>
      </c>
      <c r="G23" s="714">
        <f t="shared" si="0"/>
        <v>-0.3</v>
      </c>
      <c r="H23" s="557">
        <v>196.50200000000001</v>
      </c>
      <c r="I23" s="558">
        <f>SUM(I24+I27+I30+I31+I33+I34)</f>
        <v>261.00400000000002</v>
      </c>
      <c r="J23" s="558">
        <f>IF(H23=0, "    ---- ", IF(ABS(ROUND(100/H23*I23-100,1))&lt;999,ROUND(100/H23*I23-100,1),IF(ROUND(100/H23*I23-100,1)&gt;999,999,-999)))</f>
        <v>32.799999999999997</v>
      </c>
      <c r="K23" s="557">
        <v>3867.1749999999997</v>
      </c>
      <c r="L23" s="558">
        <f>SUM(L24+L27+L30+L31+L33+L34)</f>
        <v>4126.9619999999995</v>
      </c>
      <c r="M23" s="558">
        <f>IF(K23=0, "    ---- ", IF(ABS(ROUND(100/K23*L23-100,1))&lt;999,ROUND(100/K23*L23-100,1),IF(ROUND(100/K23*L23-100,1)&gt;999,999,-999)))</f>
        <v>6.7</v>
      </c>
      <c r="N23" s="557"/>
      <c r="O23" s="558"/>
      <c r="P23" s="558"/>
      <c r="Q23" s="558">
        <f>SUM(Q24+Q27+Q30+Q31+Q33+Q34)</f>
        <v>353401.02402863</v>
      </c>
      <c r="R23" s="558">
        <f>SUM(R24+R27+R30+R31+R33+R34)</f>
        <v>380658.23069846997</v>
      </c>
      <c r="S23" s="558">
        <f>IF(Q23=0, "    ---- ", IF(ABS(ROUND(100/Q23*R23-100,1))&lt;999,ROUND(100/Q23*R23-100,1),IF(ROUND(100/Q23*R23-100,1)&gt;999,999,-999)))</f>
        <v>7.7</v>
      </c>
      <c r="T23" s="557"/>
      <c r="U23" s="558"/>
      <c r="V23" s="558"/>
      <c r="W23" s="557">
        <v>43959</v>
      </c>
      <c r="X23" s="558">
        <f>SUM(X24+X27+X30+X31+X33+X34)</f>
        <v>44954.930700299999</v>
      </c>
      <c r="Y23" s="558">
        <f t="shared" si="1"/>
        <v>2.2999999999999998</v>
      </c>
      <c r="Z23" s="557"/>
      <c r="AA23" s="558"/>
      <c r="AB23" s="714"/>
      <c r="AC23" s="557"/>
      <c r="AD23" s="558"/>
      <c r="AE23" s="714"/>
      <c r="AF23" s="557">
        <v>14851.864</v>
      </c>
      <c r="AG23" s="558">
        <f>SUM(AG24+AG27+AG30+AG31+AG33+AG34)</f>
        <v>15430.261</v>
      </c>
      <c r="AH23" s="558">
        <f t="shared" si="2"/>
        <v>3.9</v>
      </c>
      <c r="AI23" s="557">
        <v>165920</v>
      </c>
      <c r="AJ23" s="558">
        <f>SUM(AJ24+AJ27+AJ30+AJ31+AJ33+AJ34)</f>
        <v>168883.5</v>
      </c>
      <c r="AK23" s="558">
        <f t="shared" si="3"/>
        <v>1.8</v>
      </c>
      <c r="AL23" s="558">
        <f t="shared" si="4"/>
        <v>778054.17602862988</v>
      </c>
      <c r="AM23" s="558">
        <f t="shared" si="4"/>
        <v>809580.5373987701</v>
      </c>
      <c r="AN23" s="558">
        <f t="shared" si="5"/>
        <v>4.0999999999999996</v>
      </c>
      <c r="AO23" s="715"/>
      <c r="AP23" s="715"/>
    </row>
    <row r="24" spans="1:42" ht="18.75" customHeight="1" x14ac:dyDescent="0.3">
      <c r="A24" s="440" t="s">
        <v>476</v>
      </c>
      <c r="B24" s="470">
        <v>22.611000000000001</v>
      </c>
      <c r="C24" s="451">
        <v>22.585999999999999</v>
      </c>
      <c r="D24" s="451">
        <f>IF(B24=0, "    ---- ", IF(ABS(ROUND(100/B24*C24-100,1))&lt;999,ROUND(100/B24*C24-100,1),IF(ROUND(100/B24*C24-100,1)&gt;999,999,-999)))</f>
        <v>-0.1</v>
      </c>
      <c r="E24" s="470">
        <v>17919</v>
      </c>
      <c r="F24" s="451">
        <v>16515.153999999999</v>
      </c>
      <c r="G24" s="710">
        <f t="shared" si="0"/>
        <v>-7.8</v>
      </c>
      <c r="H24" s="470"/>
      <c r="I24" s="451"/>
      <c r="J24" s="451"/>
      <c r="K24" s="470"/>
      <c r="L24" s="451"/>
      <c r="M24" s="451"/>
      <c r="N24" s="470"/>
      <c r="O24" s="451"/>
      <c r="P24" s="451"/>
      <c r="Q24" s="470"/>
      <c r="R24" s="451"/>
      <c r="S24" s="451"/>
      <c r="T24" s="470"/>
      <c r="U24" s="451"/>
      <c r="V24" s="451"/>
      <c r="W24" s="470">
        <v>649</v>
      </c>
      <c r="X24" s="451">
        <v>600.27552005999996</v>
      </c>
      <c r="Y24" s="451">
        <f t="shared" si="1"/>
        <v>-7.5</v>
      </c>
      <c r="Z24" s="470"/>
      <c r="AA24" s="451"/>
      <c r="AB24" s="710"/>
      <c r="AC24" s="470"/>
      <c r="AD24" s="451"/>
      <c r="AE24" s="710"/>
      <c r="AF24" s="470">
        <v>716.16000000000008</v>
      </c>
      <c r="AG24" s="451">
        <v>535.88599999999997</v>
      </c>
      <c r="AH24" s="451">
        <f t="shared" si="2"/>
        <v>-25.2</v>
      </c>
      <c r="AI24" s="470">
        <v>3581</v>
      </c>
      <c r="AJ24" s="451">
        <f>8943.2-4982.6</f>
        <v>3960.6000000000004</v>
      </c>
      <c r="AK24" s="451">
        <f t="shared" si="3"/>
        <v>10.6</v>
      </c>
      <c r="AL24" s="451">
        <f t="shared" si="4"/>
        <v>22887.771000000001</v>
      </c>
      <c r="AM24" s="451">
        <f t="shared" si="4"/>
        <v>21634.501520059996</v>
      </c>
      <c r="AN24" s="451">
        <f t="shared" si="5"/>
        <v>-5.5</v>
      </c>
      <c r="AO24" s="564"/>
      <c r="AP24" s="564"/>
    </row>
    <row r="25" spans="1:42" ht="18.75" customHeight="1" x14ac:dyDescent="0.3">
      <c r="A25" s="440" t="s">
        <v>477</v>
      </c>
      <c r="B25" s="470"/>
      <c r="C25" s="451"/>
      <c r="D25" s="451"/>
      <c r="E25" s="470">
        <v>5124</v>
      </c>
      <c r="F25" s="561">
        <v>4525.9979999999996</v>
      </c>
      <c r="G25" s="710">
        <f t="shared" si="0"/>
        <v>-11.7</v>
      </c>
      <c r="H25" s="470"/>
      <c r="I25" s="451"/>
      <c r="J25" s="451"/>
      <c r="K25" s="470"/>
      <c r="L25" s="451"/>
      <c r="M25" s="451"/>
      <c r="N25" s="470"/>
      <c r="O25" s="451"/>
      <c r="P25" s="451"/>
      <c r="Q25" s="470"/>
      <c r="R25" s="451"/>
      <c r="S25" s="451"/>
      <c r="T25" s="470"/>
      <c r="U25" s="451"/>
      <c r="V25" s="451"/>
      <c r="W25" s="470">
        <v>563</v>
      </c>
      <c r="X25" s="451">
        <v>429.16235352074648</v>
      </c>
      <c r="Y25" s="451">
        <f t="shared" si="1"/>
        <v>-23.8</v>
      </c>
      <c r="Z25" s="470"/>
      <c r="AA25" s="451"/>
      <c r="AB25" s="710"/>
      <c r="AC25" s="470"/>
      <c r="AD25" s="451"/>
      <c r="AE25" s="710"/>
      <c r="AF25" s="470">
        <v>342.70600000000002</v>
      </c>
      <c r="AG25" s="561">
        <v>317.37599999999998</v>
      </c>
      <c r="AH25" s="451">
        <f t="shared" si="2"/>
        <v>-7.4</v>
      </c>
      <c r="AI25" s="470">
        <v>2389</v>
      </c>
      <c r="AJ25" s="561">
        <v>2527</v>
      </c>
      <c r="AK25" s="451">
        <f t="shared" si="3"/>
        <v>5.8</v>
      </c>
      <c r="AL25" s="451">
        <f t="shared" si="4"/>
        <v>8418.7060000000001</v>
      </c>
      <c r="AM25" s="451">
        <f t="shared" si="4"/>
        <v>7799.5363535207462</v>
      </c>
      <c r="AN25" s="451">
        <f t="shared" si="5"/>
        <v>-7.4</v>
      </c>
      <c r="AO25" s="564"/>
      <c r="AP25" s="564"/>
    </row>
    <row r="26" spans="1:42" ht="18.75" customHeight="1" x14ac:dyDescent="0.3">
      <c r="A26" s="440" t="s">
        <v>478</v>
      </c>
      <c r="B26" s="470"/>
      <c r="C26" s="451"/>
      <c r="D26" s="451"/>
      <c r="E26" s="470">
        <v>12795</v>
      </c>
      <c r="F26" s="561">
        <v>11989.156999999999</v>
      </c>
      <c r="G26" s="710">
        <f t="shared" si="0"/>
        <v>-6.3</v>
      </c>
      <c r="H26" s="470"/>
      <c r="I26" s="451"/>
      <c r="J26" s="451"/>
      <c r="K26" s="470"/>
      <c r="L26" s="451"/>
      <c r="M26" s="451"/>
      <c r="N26" s="470"/>
      <c r="O26" s="451"/>
      <c r="P26" s="451"/>
      <c r="Q26" s="470"/>
      <c r="R26" s="451"/>
      <c r="S26" s="451"/>
      <c r="T26" s="470"/>
      <c r="U26" s="451"/>
      <c r="V26" s="451"/>
      <c r="W26" s="470">
        <v>81</v>
      </c>
      <c r="X26" s="451">
        <v>60.113166539253498</v>
      </c>
      <c r="Y26" s="451">
        <f t="shared" si="1"/>
        <v>-25.8</v>
      </c>
      <c r="Z26" s="470"/>
      <c r="AA26" s="451"/>
      <c r="AB26" s="710"/>
      <c r="AC26" s="470"/>
      <c r="AD26" s="451"/>
      <c r="AE26" s="710"/>
      <c r="AF26" s="470">
        <v>232.70599999999999</v>
      </c>
      <c r="AG26" s="561">
        <v>218.36</v>
      </c>
      <c r="AH26" s="451">
        <f t="shared" si="2"/>
        <v>-6.2</v>
      </c>
      <c r="AI26" s="470"/>
      <c r="AJ26" s="561"/>
      <c r="AK26" s="451"/>
      <c r="AL26" s="451">
        <f t="shared" si="4"/>
        <v>13108.706</v>
      </c>
      <c r="AM26" s="451">
        <f t="shared" si="4"/>
        <v>12267.630166539253</v>
      </c>
      <c r="AN26" s="451">
        <f t="shared" si="5"/>
        <v>-6.4</v>
      </c>
      <c r="AO26" s="564"/>
      <c r="AP26" s="564"/>
    </row>
    <row r="27" spans="1:42" ht="18.75" customHeight="1" x14ac:dyDescent="0.3">
      <c r="A27" s="440" t="s">
        <v>479</v>
      </c>
      <c r="B27" s="470"/>
      <c r="C27" s="451"/>
      <c r="D27" s="451"/>
      <c r="E27" s="470">
        <v>28315</v>
      </c>
      <c r="F27" s="451">
        <v>27134.745999999999</v>
      </c>
      <c r="G27" s="710">
        <f t="shared" si="0"/>
        <v>-4.2</v>
      </c>
      <c r="H27" s="470">
        <v>135.58500000000001</v>
      </c>
      <c r="I27" s="451">
        <v>195.01</v>
      </c>
      <c r="J27" s="451">
        <f>IF(H27=0, "    ---- ", IF(ABS(ROUND(100/H27*I27-100,1))&lt;999,ROUND(100/H27*I27-100,1),IF(ROUND(100/H27*I27-100,1)&gt;999,999,-999)))</f>
        <v>43.8</v>
      </c>
      <c r="K27" s="470">
        <v>250.91200000000001</v>
      </c>
      <c r="L27" s="451">
        <v>340.99599999999998</v>
      </c>
      <c r="M27" s="451">
        <f>IF(K27=0, "    ---- ", IF(ABS(ROUND(100/K27*L27-100,1))&lt;999,ROUND(100/K27*L27-100,1),IF(ROUND(100/K27*L27-100,1)&gt;999,999,-999)))</f>
        <v>35.9</v>
      </c>
      <c r="N27" s="470"/>
      <c r="O27" s="451"/>
      <c r="P27" s="451"/>
      <c r="Q27" s="470"/>
      <c r="R27" s="451"/>
      <c r="S27" s="451"/>
      <c r="T27" s="470"/>
      <c r="U27" s="451"/>
      <c r="V27" s="451"/>
      <c r="W27" s="470">
        <v>4115</v>
      </c>
      <c r="X27" s="451">
        <v>3870.4491399100002</v>
      </c>
      <c r="Y27" s="451">
        <f t="shared" si="1"/>
        <v>-5.9</v>
      </c>
      <c r="Z27" s="470"/>
      <c r="AA27" s="451"/>
      <c r="AB27" s="710"/>
      <c r="AC27" s="470"/>
      <c r="AD27" s="451"/>
      <c r="AE27" s="710"/>
      <c r="AF27" s="470">
        <v>4050.2609999999995</v>
      </c>
      <c r="AG27" s="451">
        <v>4041.9850000000001</v>
      </c>
      <c r="AH27" s="451">
        <f t="shared" si="2"/>
        <v>-0.2</v>
      </c>
      <c r="AI27" s="470">
        <v>11536</v>
      </c>
      <c r="AJ27" s="451">
        <f>14525.7-3579.9</f>
        <v>10945.800000000001</v>
      </c>
      <c r="AK27" s="451">
        <f t="shared" si="3"/>
        <v>-5.0999999999999996</v>
      </c>
      <c r="AL27" s="451">
        <f t="shared" si="4"/>
        <v>48402.758000000002</v>
      </c>
      <c r="AM27" s="451">
        <f t="shared" si="4"/>
        <v>46528.986139909997</v>
      </c>
      <c r="AN27" s="451">
        <f t="shared" si="5"/>
        <v>-3.9</v>
      </c>
      <c r="AO27" s="564"/>
      <c r="AP27" s="564"/>
    </row>
    <row r="28" spans="1:42" ht="18.75" customHeight="1" x14ac:dyDescent="0.3">
      <c r="A28" s="440" t="s">
        <v>477</v>
      </c>
      <c r="B28" s="470"/>
      <c r="C28" s="451"/>
      <c r="D28" s="451"/>
      <c r="E28" s="470">
        <v>25780</v>
      </c>
      <c r="F28" s="451">
        <v>24540.826000000001</v>
      </c>
      <c r="G28" s="710">
        <f t="shared" si="0"/>
        <v>-4.8</v>
      </c>
      <c r="H28" s="470"/>
      <c r="I28" s="451"/>
      <c r="J28" s="451"/>
      <c r="K28" s="470"/>
      <c r="L28" s="451"/>
      <c r="M28" s="451"/>
      <c r="N28" s="470"/>
      <c r="O28" s="451"/>
      <c r="P28" s="451"/>
      <c r="Q28" s="470"/>
      <c r="R28" s="451"/>
      <c r="S28" s="451"/>
      <c r="T28" s="470"/>
      <c r="U28" s="451"/>
      <c r="V28" s="451"/>
      <c r="W28" s="470">
        <v>3368.8455256734696</v>
      </c>
      <c r="X28" s="451">
        <v>2990.8834137961348</v>
      </c>
      <c r="Y28" s="451">
        <f t="shared" si="1"/>
        <v>-11.2</v>
      </c>
      <c r="Z28" s="470"/>
      <c r="AA28" s="451"/>
      <c r="AB28" s="710"/>
      <c r="AC28" s="470"/>
      <c r="AD28" s="451"/>
      <c r="AE28" s="710"/>
      <c r="AF28" s="470">
        <v>3160.14</v>
      </c>
      <c r="AG28" s="451">
        <v>2950.6439999999998</v>
      </c>
      <c r="AH28" s="451">
        <f t="shared" si="2"/>
        <v>-6.6</v>
      </c>
      <c r="AI28" s="470">
        <v>11536</v>
      </c>
      <c r="AJ28" s="451">
        <v>10945.8</v>
      </c>
      <c r="AK28" s="451">
        <f t="shared" si="3"/>
        <v>-5.0999999999999996</v>
      </c>
      <c r="AL28" s="451">
        <f t="shared" si="4"/>
        <v>43844.985525673474</v>
      </c>
      <c r="AM28" s="451">
        <f t="shared" si="4"/>
        <v>41428.153413796135</v>
      </c>
      <c r="AN28" s="451">
        <f t="shared" si="5"/>
        <v>-5.5</v>
      </c>
      <c r="AO28" s="564"/>
      <c r="AP28" s="564"/>
    </row>
    <row r="29" spans="1:42" ht="18.75" customHeight="1" x14ac:dyDescent="0.3">
      <c r="A29" s="440" t="s">
        <v>478</v>
      </c>
      <c r="B29" s="470"/>
      <c r="C29" s="451"/>
      <c r="D29" s="451"/>
      <c r="E29" s="470">
        <v>2534</v>
      </c>
      <c r="F29" s="451">
        <v>2593.92</v>
      </c>
      <c r="G29" s="710">
        <f t="shared" si="0"/>
        <v>2.4</v>
      </c>
      <c r="H29" s="470">
        <v>135.58500000000001</v>
      </c>
      <c r="I29" s="451">
        <v>195.01</v>
      </c>
      <c r="J29" s="451">
        <f>IF(H29=0, "    ---- ", IF(ABS(ROUND(100/H29*I29-100,1))&lt;999,ROUND(100/H29*I29-100,1),IF(ROUND(100/H29*I29-100,1)&gt;999,999,-999)))</f>
        <v>43.8</v>
      </c>
      <c r="K29" s="470">
        <v>250.91200000000001</v>
      </c>
      <c r="L29" s="451">
        <v>340.99599999999998</v>
      </c>
      <c r="M29" s="451">
        <f>IF(K29=0, "    ---- ", IF(ABS(ROUND(100/K29*L29-100,1))&lt;999,ROUND(100/K29*L29-100,1),IF(ROUND(100/K29*L29-100,1)&gt;999,999,-999)))</f>
        <v>35.9</v>
      </c>
      <c r="N29" s="470"/>
      <c r="O29" s="451"/>
      <c r="P29" s="451"/>
      <c r="Q29" s="470"/>
      <c r="R29" s="451"/>
      <c r="S29" s="451"/>
      <c r="T29" s="470"/>
      <c r="U29" s="451"/>
      <c r="V29" s="451"/>
      <c r="W29" s="470">
        <v>493</v>
      </c>
      <c r="X29" s="451">
        <v>468.81332135947588</v>
      </c>
      <c r="Y29" s="451">
        <f t="shared" si="1"/>
        <v>-4.9000000000000004</v>
      </c>
      <c r="Z29" s="470"/>
      <c r="AA29" s="451"/>
      <c r="AB29" s="710"/>
      <c r="AC29" s="470"/>
      <c r="AD29" s="451"/>
      <c r="AE29" s="710"/>
      <c r="AF29" s="470">
        <v>71.334000000000003</v>
      </c>
      <c r="AG29" s="451">
        <v>74.572999999999993</v>
      </c>
      <c r="AH29" s="451">
        <f t="shared" si="2"/>
        <v>4.5</v>
      </c>
      <c r="AI29" s="470"/>
      <c r="AJ29" s="451"/>
      <c r="AK29" s="451"/>
      <c r="AL29" s="451">
        <f t="shared" si="4"/>
        <v>3484.8309999999997</v>
      </c>
      <c r="AM29" s="451">
        <f t="shared" si="4"/>
        <v>3673.3123213594763</v>
      </c>
      <c r="AN29" s="451">
        <f t="shared" si="5"/>
        <v>5.4</v>
      </c>
      <c r="AO29" s="564"/>
      <c r="AP29" s="564"/>
    </row>
    <row r="30" spans="1:42" ht="18.75" customHeight="1" x14ac:dyDescent="0.3">
      <c r="A30" s="440" t="s">
        <v>480</v>
      </c>
      <c r="B30" s="470"/>
      <c r="C30" s="451"/>
      <c r="D30" s="451"/>
      <c r="E30" s="470">
        <v>210</v>
      </c>
      <c r="F30" s="451">
        <v>201.12700000000001</v>
      </c>
      <c r="G30" s="710">
        <f t="shared" si="0"/>
        <v>-4.2</v>
      </c>
      <c r="H30" s="470"/>
      <c r="I30" s="451"/>
      <c r="J30" s="451"/>
      <c r="K30" s="470"/>
      <c r="L30" s="451"/>
      <c r="M30" s="451"/>
      <c r="N30" s="470"/>
      <c r="O30" s="451"/>
      <c r="P30" s="451"/>
      <c r="Q30" s="470">
        <v>2.4028630000000002E-2</v>
      </c>
      <c r="R30" s="451">
        <v>2.4028630000000002E-2</v>
      </c>
      <c r="S30" s="451">
        <f>IF(Q30=0, "    ---- ", IF(ABS(ROUND(100/Q30*R30-100,1))&lt;999,ROUND(100/Q30*R30-100,1),IF(ROUND(100/Q30*R30-100,1)&gt;999,999,-999)))</f>
        <v>0</v>
      </c>
      <c r="T30" s="470"/>
      <c r="U30" s="451"/>
      <c r="V30" s="451"/>
      <c r="W30" s="470"/>
      <c r="X30" s="451"/>
      <c r="Y30" s="451"/>
      <c r="Z30" s="470"/>
      <c r="AA30" s="451"/>
      <c r="AB30" s="710"/>
      <c r="AC30" s="470"/>
      <c r="AD30" s="451"/>
      <c r="AE30" s="710"/>
      <c r="AF30" s="470">
        <v>482.81</v>
      </c>
      <c r="AG30" s="451">
        <v>535.15700000000004</v>
      </c>
      <c r="AH30" s="451">
        <f t="shared" si="2"/>
        <v>10.8</v>
      </c>
      <c r="AI30" s="470">
        <v>710</v>
      </c>
      <c r="AJ30" s="451">
        <v>1325</v>
      </c>
      <c r="AK30" s="451">
        <f t="shared" si="3"/>
        <v>86.6</v>
      </c>
      <c r="AL30" s="451">
        <f t="shared" si="4"/>
        <v>1402.8340286299999</v>
      </c>
      <c r="AM30" s="451">
        <f t="shared" si="4"/>
        <v>2061.3080286300001</v>
      </c>
      <c r="AN30" s="451">
        <f t="shared" si="5"/>
        <v>46.9</v>
      </c>
      <c r="AO30" s="564"/>
      <c r="AP30" s="564"/>
    </row>
    <row r="31" spans="1:42" ht="18.75" customHeight="1" x14ac:dyDescent="0.3">
      <c r="A31" s="440" t="s">
        <v>481</v>
      </c>
      <c r="B31" s="470"/>
      <c r="C31" s="451">
        <v>26</v>
      </c>
      <c r="D31" s="451" t="str">
        <f t="shared" ref="D31:D32" si="6">IF(B31=0, "    ---- ", IF(ABS(ROUND(100/B31*C31-100,1))&lt;999,ROUND(100/B31*C31-100,1),IF(ROUND(100/B31*C31-100,1)&gt;999,999,-999)))</f>
        <v xml:space="preserve">    ---- </v>
      </c>
      <c r="E31" s="470">
        <v>143812</v>
      </c>
      <c r="F31" s="451">
        <f>147880.942+3413.87</f>
        <v>151294.81200000001</v>
      </c>
      <c r="G31" s="710">
        <f t="shared" si="0"/>
        <v>5.2</v>
      </c>
      <c r="H31" s="470">
        <v>60.917000000000002</v>
      </c>
      <c r="I31" s="451">
        <v>65.994</v>
      </c>
      <c r="J31" s="451">
        <f>IF(H31=0, "    ---- ", IF(ABS(ROUND(100/H31*I31-100,1))&lt;999,ROUND(100/H31*I31-100,1),IF(ROUND(100/H31*I31-100,1)&gt;999,999,-999)))</f>
        <v>8.3000000000000007</v>
      </c>
      <c r="K31" s="470">
        <v>3616.2629999999999</v>
      </c>
      <c r="L31" s="451">
        <v>3785.9659999999999</v>
      </c>
      <c r="M31" s="451">
        <f>IF(K31=0, "    ---- ", IF(ABS(ROUND(100/K31*L31-100,1))&lt;999,ROUND(100/K31*L31-100,1),IF(ROUND(100/K31*L31-100,1)&gt;999,999,-999)))</f>
        <v>4.7</v>
      </c>
      <c r="N31" s="470"/>
      <c r="O31" s="451"/>
      <c r="P31" s="451"/>
      <c r="Q31" s="470"/>
      <c r="R31" s="451"/>
      <c r="S31" s="451"/>
      <c r="T31" s="470"/>
      <c r="U31" s="451"/>
      <c r="V31" s="451"/>
      <c r="W31" s="470">
        <v>39142</v>
      </c>
      <c r="X31" s="451">
        <v>40423</v>
      </c>
      <c r="Y31" s="451">
        <f t="shared" si="1"/>
        <v>3.3</v>
      </c>
      <c r="Z31" s="470"/>
      <c r="AA31" s="451"/>
      <c r="AB31" s="710"/>
      <c r="AC31" s="470"/>
      <c r="AD31" s="451"/>
      <c r="AE31" s="710"/>
      <c r="AF31" s="470">
        <v>9602.6329999999998</v>
      </c>
      <c r="AG31" s="451">
        <v>10317.233</v>
      </c>
      <c r="AH31" s="451">
        <f t="shared" si="2"/>
        <v>7.4</v>
      </c>
      <c r="AI31" s="470">
        <v>146116</v>
      </c>
      <c r="AJ31" s="451">
        <f>206754.2-5487.6-86.7-34136.6-16870.8</f>
        <v>150172.5</v>
      </c>
      <c r="AK31" s="451">
        <f t="shared" si="3"/>
        <v>2.8</v>
      </c>
      <c r="AL31" s="451">
        <f t="shared" si="4"/>
        <v>342349.81299999997</v>
      </c>
      <c r="AM31" s="451">
        <f t="shared" si="4"/>
        <v>356085.505</v>
      </c>
      <c r="AN31" s="451">
        <f t="shared" si="5"/>
        <v>4</v>
      </c>
      <c r="AO31" s="564"/>
      <c r="AP31" s="564"/>
    </row>
    <row r="32" spans="1:42" ht="18.75" customHeight="1" x14ac:dyDescent="0.3">
      <c r="A32" s="440" t="s">
        <v>482</v>
      </c>
      <c r="B32" s="470"/>
      <c r="C32" s="451">
        <v>26</v>
      </c>
      <c r="D32" s="451" t="str">
        <f t="shared" si="6"/>
        <v xml:space="preserve">    ---- </v>
      </c>
      <c r="E32" s="470">
        <v>87748</v>
      </c>
      <c r="F32" s="451">
        <v>113597.933</v>
      </c>
      <c r="G32" s="710">
        <f t="shared" si="0"/>
        <v>29.5</v>
      </c>
      <c r="H32" s="470"/>
      <c r="I32" s="451"/>
      <c r="J32" s="451"/>
      <c r="K32" s="470">
        <v>3198.16</v>
      </c>
      <c r="L32" s="451">
        <v>3252.4540000000002</v>
      </c>
      <c r="M32" s="451">
        <f>IF(K32=0, "    ---- ", IF(ABS(ROUND(100/K32*L32-100,1))&lt;999,ROUND(100/K32*L32-100,1),IF(ROUND(100/K32*L32-100,1)&gt;999,999,-999)))</f>
        <v>1.7</v>
      </c>
      <c r="N32" s="470"/>
      <c r="O32" s="451"/>
      <c r="P32" s="451"/>
      <c r="Q32" s="470"/>
      <c r="R32" s="451"/>
      <c r="S32" s="451"/>
      <c r="T32" s="470"/>
      <c r="U32" s="451"/>
      <c r="V32" s="451"/>
      <c r="W32" s="470">
        <v>24169</v>
      </c>
      <c r="X32" s="451">
        <v>28716</v>
      </c>
      <c r="Y32" s="451">
        <f t="shared" si="1"/>
        <v>18.8</v>
      </c>
      <c r="Z32" s="470"/>
      <c r="AA32" s="451"/>
      <c r="AB32" s="710"/>
      <c r="AC32" s="470"/>
      <c r="AD32" s="451"/>
      <c r="AE32" s="710"/>
      <c r="AF32" s="470">
        <v>4880.8999999999996</v>
      </c>
      <c r="AG32" s="451">
        <v>5358.7290000000003</v>
      </c>
      <c r="AH32" s="451">
        <f t="shared" si="2"/>
        <v>9.8000000000000007</v>
      </c>
      <c r="AI32" s="470">
        <v>99973</v>
      </c>
      <c r="AJ32" s="451">
        <v>111076.5</v>
      </c>
      <c r="AK32" s="451">
        <f t="shared" si="3"/>
        <v>11.1</v>
      </c>
      <c r="AL32" s="451">
        <f t="shared" si="4"/>
        <v>219969.06</v>
      </c>
      <c r="AM32" s="451">
        <f t="shared" si="4"/>
        <v>262027.61599999998</v>
      </c>
      <c r="AN32" s="451">
        <f t="shared" si="5"/>
        <v>19.100000000000001</v>
      </c>
      <c r="AO32" s="564"/>
      <c r="AP32" s="564"/>
    </row>
    <row r="33" spans="1:42" ht="18.75" customHeight="1" x14ac:dyDescent="0.3">
      <c r="A33" s="440" t="s">
        <v>483</v>
      </c>
      <c r="B33" s="470"/>
      <c r="C33" s="451"/>
      <c r="D33" s="451"/>
      <c r="E33" s="470">
        <v>2021</v>
      </c>
      <c r="F33" s="451">
        <v>27.792999999999999</v>
      </c>
      <c r="G33" s="710">
        <f t="shared" si="0"/>
        <v>-98.6</v>
      </c>
      <c r="H33" s="470"/>
      <c r="I33" s="451"/>
      <c r="J33" s="451"/>
      <c r="K33" s="470"/>
      <c r="L33" s="451"/>
      <c r="M33" s="451"/>
      <c r="N33" s="470"/>
      <c r="O33" s="451"/>
      <c r="P33" s="451"/>
      <c r="Q33" s="470">
        <v>353401</v>
      </c>
      <c r="R33" s="451">
        <v>380658.20666983997</v>
      </c>
      <c r="S33" s="451">
        <f>IF(Q33=0, "    ---- ", IF(ABS(ROUND(100/Q33*R33-100,1))&lt;999,ROUND(100/Q33*R33-100,1),IF(ROUND(100/Q33*R33-100,1)&gt;999,999,-999)))</f>
        <v>7.7</v>
      </c>
      <c r="T33" s="470"/>
      <c r="U33" s="451"/>
      <c r="V33" s="451"/>
      <c r="W33" s="470"/>
      <c r="X33" s="451"/>
      <c r="Y33" s="451"/>
      <c r="Z33" s="470"/>
      <c r="AA33" s="451"/>
      <c r="AB33" s="710"/>
      <c r="AC33" s="470"/>
      <c r="AD33" s="451"/>
      <c r="AE33" s="710"/>
      <c r="AF33" s="470"/>
      <c r="AG33" s="451"/>
      <c r="AH33" s="451"/>
      <c r="AI33" s="470">
        <v>3977</v>
      </c>
      <c r="AJ33" s="451">
        <v>2479.6</v>
      </c>
      <c r="AK33" s="451">
        <f t="shared" si="3"/>
        <v>-37.700000000000003</v>
      </c>
      <c r="AL33" s="451">
        <f t="shared" si="4"/>
        <v>359399</v>
      </c>
      <c r="AM33" s="451">
        <f t="shared" si="4"/>
        <v>383165.59966983995</v>
      </c>
      <c r="AN33" s="451">
        <f t="shared" si="5"/>
        <v>6.6</v>
      </c>
      <c r="AO33" s="564"/>
      <c r="AP33" s="564"/>
    </row>
    <row r="34" spans="1:42" ht="18.75" customHeight="1" x14ac:dyDescent="0.3">
      <c r="A34" s="440" t="s">
        <v>484</v>
      </c>
      <c r="B34" s="470"/>
      <c r="C34" s="451"/>
      <c r="D34" s="451"/>
      <c r="E34" s="470">
        <v>3559</v>
      </c>
      <c r="F34" s="451">
        <v>43.430999999999997</v>
      </c>
      <c r="G34" s="710">
        <f t="shared" si="0"/>
        <v>-98.8</v>
      </c>
      <c r="H34" s="470"/>
      <c r="I34" s="451"/>
      <c r="J34" s="451"/>
      <c r="K34" s="470"/>
      <c r="L34" s="451"/>
      <c r="M34" s="451"/>
      <c r="N34" s="470"/>
      <c r="O34" s="451"/>
      <c r="P34" s="451"/>
      <c r="Q34" s="470"/>
      <c r="R34" s="451"/>
      <c r="S34" s="451"/>
      <c r="T34" s="470"/>
      <c r="U34" s="451"/>
      <c r="V34" s="451"/>
      <c r="W34" s="470">
        <v>53</v>
      </c>
      <c r="X34" s="451">
        <v>61.206040330000008</v>
      </c>
      <c r="Y34" s="451">
        <f t="shared" si="1"/>
        <v>15.5</v>
      </c>
      <c r="Z34" s="470"/>
      <c r="AA34" s="451"/>
      <c r="AB34" s="710"/>
      <c r="AC34" s="470"/>
      <c r="AD34" s="451"/>
      <c r="AE34" s="710"/>
      <c r="AF34" s="470"/>
      <c r="AG34" s="451"/>
      <c r="AH34" s="451"/>
      <c r="AI34" s="470"/>
      <c r="AJ34" s="451"/>
      <c r="AK34" s="451"/>
      <c r="AL34" s="451">
        <f t="shared" si="4"/>
        <v>3612</v>
      </c>
      <c r="AM34" s="451">
        <f t="shared" si="4"/>
        <v>104.63704033</v>
      </c>
      <c r="AN34" s="451">
        <f t="shared" si="5"/>
        <v>-97.1</v>
      </c>
      <c r="AO34" s="564"/>
      <c r="AP34" s="564"/>
    </row>
    <row r="35" spans="1:42" s="716" customFormat="1" ht="18.75" customHeight="1" x14ac:dyDescent="0.3">
      <c r="A35" s="713" t="s">
        <v>486</v>
      </c>
      <c r="B35" s="557">
        <v>14.231</v>
      </c>
      <c r="C35" s="558">
        <f>SUM(C36:C39)</f>
        <v>14.471</v>
      </c>
      <c r="D35" s="558">
        <f>IF(B35=0, "    ---- ", IF(ABS(ROUND(100/B35*C35-100,1))&lt;999,ROUND(100/B35*C35-100,1),IF(ROUND(100/B35*C35-100,1)&gt;999,999,-999)))</f>
        <v>1.7</v>
      </c>
      <c r="E35" s="557">
        <v>6089</v>
      </c>
      <c r="F35" s="558">
        <f>SUM(F36:F39)</f>
        <v>6751.674</v>
      </c>
      <c r="G35" s="714">
        <f t="shared" si="0"/>
        <v>10.9</v>
      </c>
      <c r="H35" s="557">
        <v>0.23899999999999999</v>
      </c>
      <c r="I35" s="558">
        <f>SUM(I36:I39)</f>
        <v>1.587</v>
      </c>
      <c r="J35" s="558">
        <f>IF(H35=0, "    ---- ", IF(ABS(ROUND(100/H35*I35-100,1))&lt;999,ROUND(100/H35*I35-100,1),IF(ROUND(100/H35*I35-100,1)&gt;999,999,-999)))</f>
        <v>564</v>
      </c>
      <c r="K35" s="557">
        <v>143.09</v>
      </c>
      <c r="L35" s="558">
        <f>SUM(L36:L39)</f>
        <v>164.38900000000001</v>
      </c>
      <c r="M35" s="558">
        <f>IF(K35=0, "    ---- ", IF(ABS(ROUND(100/K35*L35-100,1))&lt;999,ROUND(100/K35*L35-100,1),IF(ROUND(100/K35*L35-100,1)&gt;999,999,-999)))</f>
        <v>14.9</v>
      </c>
      <c r="N35" s="557"/>
      <c r="O35" s="558"/>
      <c r="P35" s="558"/>
      <c r="Q35" s="558">
        <f>SUM(Q36:Q39)</f>
        <v>20170.345658999999</v>
      </c>
      <c r="R35" s="558">
        <f>SUM(R36:R39)</f>
        <v>24291.653251</v>
      </c>
      <c r="S35" s="558">
        <f>IF(Q35=0, "    ---- ", IF(ABS(ROUND(100/Q35*R35-100,1))&lt;999,ROUND(100/Q35*R35-100,1),IF(ROUND(100/Q35*R35-100,1)&gt;999,999,-999)))</f>
        <v>20.399999999999999</v>
      </c>
      <c r="T35" s="557">
        <v>37.700000000000003</v>
      </c>
      <c r="U35" s="558">
        <f>SUM(U36:U39)</f>
        <v>47.6</v>
      </c>
      <c r="V35" s="558">
        <f>IF(T35=0, "    ---- ", IF(ABS(ROUND(100/T35*U35-100,1))&lt;999,ROUND(100/T35*U35-100,1),IF(ROUND(100/T35*U35-100,1)&gt;999,999,-999)))</f>
        <v>26.3</v>
      </c>
      <c r="W35" s="557">
        <v>1200</v>
      </c>
      <c r="X35" s="558">
        <f>SUM(X36:X39)</f>
        <v>1339</v>
      </c>
      <c r="Y35" s="558">
        <f t="shared" si="1"/>
        <v>11.6</v>
      </c>
      <c r="Z35" s="557">
        <v>2093</v>
      </c>
      <c r="AA35" s="558">
        <f>SUM(AA36:AA39)</f>
        <v>4068</v>
      </c>
      <c r="AB35" s="714">
        <f>IF(Z35=0, "    ---- ", IF(ABS(ROUND(100/Z35*AA35-100,1))&lt;999,ROUND(100/Z35*AA35-100,1),IF(ROUND(100/Z35*AA35-100,1)&gt;999,999,-999)))</f>
        <v>94.4</v>
      </c>
      <c r="AC35" s="557">
        <v>113.49933281999999</v>
      </c>
      <c r="AD35" s="558"/>
      <c r="AE35" s="714">
        <f>IF(AC35=0, "    ---- ", IF(ABS(ROUND(100/AC35*AD35-100,1))&lt;999,ROUND(100/AC35*AD35-100,1),IF(ROUND(100/AC35*AD35-100,1)&gt;999,999,-999)))</f>
        <v>-100</v>
      </c>
      <c r="AF35" s="557">
        <v>550.10500000000002</v>
      </c>
      <c r="AG35" s="558">
        <f>SUM(AG36:AG39)</f>
        <v>616.14099999999996</v>
      </c>
      <c r="AH35" s="558">
        <f t="shared" si="2"/>
        <v>12</v>
      </c>
      <c r="AI35" s="557">
        <v>5160</v>
      </c>
      <c r="AJ35" s="558">
        <f>SUM(AJ36:AJ39)</f>
        <v>6793.5999999999995</v>
      </c>
      <c r="AK35" s="558">
        <f t="shared" si="3"/>
        <v>31.7</v>
      </c>
      <c r="AL35" s="558">
        <f t="shared" si="4"/>
        <v>35571.209991819997</v>
      </c>
      <c r="AM35" s="558">
        <f t="shared" si="4"/>
        <v>44088.115251000003</v>
      </c>
      <c r="AN35" s="558">
        <f t="shared" si="5"/>
        <v>23.9</v>
      </c>
      <c r="AO35" s="715"/>
      <c r="AP35" s="715"/>
    </row>
    <row r="36" spans="1:42" ht="18.75" customHeight="1" x14ac:dyDescent="0.3">
      <c r="A36" s="440" t="s">
        <v>476</v>
      </c>
      <c r="B36" s="470"/>
      <c r="C36" s="451"/>
      <c r="D36" s="451"/>
      <c r="E36" s="470">
        <v>601</v>
      </c>
      <c r="F36" s="451">
        <v>745.54499999999996</v>
      </c>
      <c r="G36" s="710">
        <f t="shared" si="0"/>
        <v>24.1</v>
      </c>
      <c r="H36" s="470"/>
      <c r="I36" s="451"/>
      <c r="J36" s="451"/>
      <c r="K36" s="470"/>
      <c r="L36" s="451"/>
      <c r="M36" s="451"/>
      <c r="N36" s="470"/>
      <c r="O36" s="451"/>
      <c r="P36" s="451"/>
      <c r="Q36" s="470"/>
      <c r="R36" s="451"/>
      <c r="S36" s="451"/>
      <c r="T36" s="470"/>
      <c r="U36" s="451"/>
      <c r="V36" s="451"/>
      <c r="W36" s="470">
        <v>27</v>
      </c>
      <c r="X36" s="451">
        <v>28</v>
      </c>
      <c r="Y36" s="451">
        <f t="shared" si="1"/>
        <v>3.7</v>
      </c>
      <c r="Z36" s="470"/>
      <c r="AA36" s="451"/>
      <c r="AB36" s="710"/>
      <c r="AC36" s="470"/>
      <c r="AD36" s="451"/>
      <c r="AE36" s="710"/>
      <c r="AF36" s="470">
        <v>10.287000000000001</v>
      </c>
      <c r="AG36" s="451">
        <v>9.0820000000000007</v>
      </c>
      <c r="AH36" s="451">
        <f t="shared" si="2"/>
        <v>-11.7</v>
      </c>
      <c r="AI36" s="470">
        <v>211</v>
      </c>
      <c r="AJ36" s="451">
        <v>213.9</v>
      </c>
      <c r="AK36" s="451">
        <f t="shared" si="3"/>
        <v>1.4</v>
      </c>
      <c r="AL36" s="451">
        <f t="shared" si="4"/>
        <v>849.28700000000003</v>
      </c>
      <c r="AM36" s="451">
        <f t="shared" si="4"/>
        <v>996.52699999999993</v>
      </c>
      <c r="AN36" s="451">
        <f t="shared" si="5"/>
        <v>17.3</v>
      </c>
      <c r="AO36" s="564"/>
      <c r="AP36" s="564"/>
    </row>
    <row r="37" spans="1:42" ht="18.75" customHeight="1" x14ac:dyDescent="0.3">
      <c r="A37" s="440" t="s">
        <v>479</v>
      </c>
      <c r="B37" s="470">
        <v>0.52500000000000002</v>
      </c>
      <c r="C37" s="451">
        <v>0.52500000000000002</v>
      </c>
      <c r="D37" s="451">
        <f>IF(B37=0, "    ---- ", IF(ABS(ROUND(100/B37*C37-100,1))&lt;999,ROUND(100/B37*C37-100,1),IF(ROUND(100/B37*C37-100,1)&gt;999,999,-999)))</f>
        <v>0</v>
      </c>
      <c r="E37" s="470">
        <v>1233</v>
      </c>
      <c r="F37" s="451">
        <v>1063.097</v>
      </c>
      <c r="G37" s="451">
        <f t="shared" si="0"/>
        <v>-13.8</v>
      </c>
      <c r="H37" s="470">
        <v>-0.52</v>
      </c>
      <c r="I37" s="451">
        <v>1.0389999999999999</v>
      </c>
      <c r="J37" s="451">
        <f>IF(H37=0, "    ---- ", IF(ABS(ROUND(100/H37*I37-100,1))&lt;999,ROUND(100/H37*I37-100,1),IF(ROUND(100/H37*I37-100,1)&gt;999,999,-999)))</f>
        <v>-299.8</v>
      </c>
      <c r="K37" s="470"/>
      <c r="L37" s="451">
        <v>2.4550000000000001</v>
      </c>
      <c r="M37" s="451" t="str">
        <f>IF(K37=0, "    ---- ", IF(ABS(ROUND(100/K37*L37-100,1))&lt;999,ROUND(100/K37*L37-100,1),IF(ROUND(100/K37*L37-100,1)&gt;999,999,-999)))</f>
        <v xml:space="preserve">    ---- </v>
      </c>
      <c r="N37" s="470"/>
      <c r="O37" s="451"/>
      <c r="P37" s="451"/>
      <c r="Q37" s="470"/>
      <c r="R37" s="451"/>
      <c r="S37" s="451"/>
      <c r="T37" s="470"/>
      <c r="U37" s="451"/>
      <c r="V37" s="451"/>
      <c r="W37" s="470">
        <v>133</v>
      </c>
      <c r="X37" s="451">
        <v>147</v>
      </c>
      <c r="Y37" s="451">
        <f t="shared" si="1"/>
        <v>10.5</v>
      </c>
      <c r="Z37" s="470"/>
      <c r="AA37" s="451"/>
      <c r="AB37" s="451"/>
      <c r="AC37" s="470"/>
      <c r="AD37" s="451"/>
      <c r="AE37" s="451"/>
      <c r="AF37" s="470">
        <v>210.584</v>
      </c>
      <c r="AG37" s="451">
        <v>189.374</v>
      </c>
      <c r="AH37" s="451">
        <f t="shared" si="2"/>
        <v>-10.1</v>
      </c>
      <c r="AI37" s="470">
        <v>716</v>
      </c>
      <c r="AJ37" s="451">
        <v>856.8</v>
      </c>
      <c r="AK37" s="451">
        <f t="shared" si="3"/>
        <v>19.7</v>
      </c>
      <c r="AL37" s="451">
        <f t="shared" si="4"/>
        <v>2292.5889999999999</v>
      </c>
      <c r="AM37" s="451">
        <f t="shared" si="4"/>
        <v>2260.29</v>
      </c>
      <c r="AN37" s="451">
        <f t="shared" si="5"/>
        <v>-1.4</v>
      </c>
      <c r="AO37" s="564"/>
      <c r="AP37" s="564"/>
    </row>
    <row r="38" spans="1:42" ht="18.75" customHeight="1" x14ac:dyDescent="0.3">
      <c r="A38" s="440" t="s">
        <v>481</v>
      </c>
      <c r="B38" s="470">
        <v>13.706</v>
      </c>
      <c r="C38" s="451">
        <f>14.471-C37</f>
        <v>13.946</v>
      </c>
      <c r="D38" s="451">
        <f>IF(B38=0, "    ---- ", IF(ABS(ROUND(100/B38*C38-100,1))&lt;999,ROUND(100/B38*C38-100,1),IF(ROUND(100/B38*C38-100,1)&gt;999,999,-999)))</f>
        <v>1.8</v>
      </c>
      <c r="E38" s="470">
        <v>4155</v>
      </c>
      <c r="F38" s="451">
        <v>4943.0320000000002</v>
      </c>
      <c r="G38" s="710">
        <f t="shared" si="0"/>
        <v>19</v>
      </c>
      <c r="H38" s="470">
        <v>0.75900000000000001</v>
      </c>
      <c r="I38" s="451">
        <v>0.54800000000000004</v>
      </c>
      <c r="J38" s="451">
        <f>IF(H38=0, "    ---- ", IF(ABS(ROUND(100/H38*I38-100,1))&lt;999,ROUND(100/H38*I38-100,1),IF(ROUND(100/H38*I38-100,1)&gt;999,999,-999)))</f>
        <v>-27.8</v>
      </c>
      <c r="K38" s="470">
        <v>143.09</v>
      </c>
      <c r="L38" s="451">
        <v>161.934</v>
      </c>
      <c r="M38" s="451">
        <f>IF(K38=0, "    ---- ", IF(ABS(ROUND(100/K38*L38-100,1))&lt;999,ROUND(100/K38*L38-100,1),IF(ROUND(100/K38*L38-100,1)&gt;999,999,-999)))</f>
        <v>13.2</v>
      </c>
      <c r="N38" s="470"/>
      <c r="O38" s="451"/>
      <c r="P38" s="451"/>
      <c r="Q38" s="470"/>
      <c r="R38" s="451"/>
      <c r="S38" s="451"/>
      <c r="T38" s="470">
        <v>37.700000000000003</v>
      </c>
      <c r="U38" s="451">
        <v>47.6</v>
      </c>
      <c r="V38" s="451">
        <f>IF(T38=0, "    ---- ", IF(ABS(ROUND(100/T38*U38-100,1))&lt;999,ROUND(100/T38*U38-100,1),IF(ROUND(100/T38*U38-100,1)&gt;999,999,-999)))</f>
        <v>26.3</v>
      </c>
      <c r="W38" s="470">
        <v>1040</v>
      </c>
      <c r="X38" s="451">
        <v>1164</v>
      </c>
      <c r="Y38" s="451">
        <f t="shared" si="1"/>
        <v>11.9</v>
      </c>
      <c r="Z38" s="470"/>
      <c r="AA38" s="451"/>
      <c r="AB38" s="710"/>
      <c r="AC38" s="470">
        <v>113.49933281999999</v>
      </c>
      <c r="AD38" s="451"/>
      <c r="AE38" s="710">
        <f>IF(AC38=0, "    ---- ", IF(ABS(ROUND(100/AC38*AD38-100,1))&lt;999,ROUND(100/AC38*AD38-100,1),IF(ROUND(100/AC38*AD38-100,1)&gt;999,999,-999)))</f>
        <v>-100</v>
      </c>
      <c r="AF38" s="470">
        <v>329.23399999999998</v>
      </c>
      <c r="AG38" s="451">
        <v>417.685</v>
      </c>
      <c r="AH38" s="451">
        <f t="shared" si="2"/>
        <v>26.9</v>
      </c>
      <c r="AI38" s="470">
        <v>3993</v>
      </c>
      <c r="AJ38" s="451">
        <v>5549.7</v>
      </c>
      <c r="AK38" s="451">
        <f t="shared" si="3"/>
        <v>39</v>
      </c>
      <c r="AL38" s="451">
        <f t="shared" si="4"/>
        <v>9825.9883328200012</v>
      </c>
      <c r="AM38" s="451">
        <f t="shared" si="4"/>
        <v>12298.445</v>
      </c>
      <c r="AN38" s="451">
        <f t="shared" si="5"/>
        <v>25.2</v>
      </c>
      <c r="AO38" s="564"/>
      <c r="AP38" s="564"/>
    </row>
    <row r="39" spans="1:42" ht="18.75" customHeight="1" x14ac:dyDescent="0.3">
      <c r="A39" s="440" t="s">
        <v>483</v>
      </c>
      <c r="B39" s="470"/>
      <c r="C39" s="451"/>
      <c r="D39" s="451"/>
      <c r="E39" s="470">
        <v>100</v>
      </c>
      <c r="F39" s="451">
        <v>0</v>
      </c>
      <c r="G39" s="710">
        <f t="shared" si="0"/>
        <v>-100</v>
      </c>
      <c r="H39" s="470"/>
      <c r="I39" s="451"/>
      <c r="J39" s="451"/>
      <c r="K39" s="470"/>
      <c r="L39" s="451"/>
      <c r="M39" s="451"/>
      <c r="N39" s="470"/>
      <c r="O39" s="451"/>
      <c r="P39" s="451"/>
      <c r="Q39" s="470">
        <v>20170.345658999999</v>
      </c>
      <c r="R39" s="451">
        <v>24291.653251</v>
      </c>
      <c r="S39" s="451">
        <f>IF(Q39=0, "    ---- ", IF(ABS(ROUND(100/Q39*R39-100,1))&lt;999,ROUND(100/Q39*R39-100,1),IF(ROUND(100/Q39*R39-100,1)&gt;999,999,-999)))</f>
        <v>20.399999999999999</v>
      </c>
      <c r="T39" s="470"/>
      <c r="U39" s="451"/>
      <c r="V39" s="451"/>
      <c r="W39" s="470"/>
      <c r="X39" s="451"/>
      <c r="Y39" s="451"/>
      <c r="Z39" s="470">
        <v>2093</v>
      </c>
      <c r="AA39" s="451">
        <v>4068</v>
      </c>
      <c r="AB39" s="710">
        <f>IF(Z39=0, "    ---- ", IF(ABS(ROUND(100/Z39*AA39-100,1))&lt;999,ROUND(100/Z39*AA39-100,1),IF(ROUND(100/Z39*AA39-100,1)&gt;999,999,-999)))</f>
        <v>94.4</v>
      </c>
      <c r="AC39" s="470"/>
      <c r="AD39" s="451"/>
      <c r="AE39" s="710"/>
      <c r="AF39" s="470"/>
      <c r="AG39" s="451"/>
      <c r="AH39" s="451"/>
      <c r="AI39" s="470">
        <v>240</v>
      </c>
      <c r="AJ39" s="451">
        <v>173.2</v>
      </c>
      <c r="AK39" s="451">
        <f t="shared" si="3"/>
        <v>-27.8</v>
      </c>
      <c r="AL39" s="451">
        <f t="shared" si="4"/>
        <v>22603.345658999999</v>
      </c>
      <c r="AM39" s="451">
        <f t="shared" si="4"/>
        <v>28532.853251</v>
      </c>
      <c r="AN39" s="451">
        <f t="shared" si="5"/>
        <v>26.2</v>
      </c>
      <c r="AO39" s="564"/>
      <c r="AP39" s="564"/>
    </row>
    <row r="40" spans="1:42" s="716" customFormat="1" ht="18.75" customHeight="1" x14ac:dyDescent="0.3">
      <c r="A40" s="713" t="s">
        <v>487</v>
      </c>
      <c r="B40" s="557">
        <v>14.045</v>
      </c>
      <c r="C40" s="558">
        <v>28.567</v>
      </c>
      <c r="D40" s="558">
        <f>IF(B40=0, "    ---- ", IF(ABS(ROUND(100/B40*C40-100,1))&lt;999,ROUND(100/B40*C40-100,1),IF(ROUND(100/B40*C40-100,1)&gt;999,999,-999)))</f>
        <v>103.4</v>
      </c>
      <c r="E40" s="557">
        <v>2294</v>
      </c>
      <c r="F40" s="558">
        <v>2424.2280000000001</v>
      </c>
      <c r="G40" s="714">
        <f t="shared" si="0"/>
        <v>5.7</v>
      </c>
      <c r="H40" s="557"/>
      <c r="I40" s="558"/>
      <c r="J40" s="558"/>
      <c r="K40" s="557">
        <v>0</v>
      </c>
      <c r="L40" s="558">
        <v>26.895</v>
      </c>
      <c r="M40" s="558" t="str">
        <f>IF(K40=0, "    ---- ", IF(ABS(ROUND(100/K40*L40-100,1))&lt;999,ROUND(100/K40*L40-100,1),IF(ROUND(100/K40*L40-100,1)&gt;999,999,-999)))</f>
        <v xml:space="preserve">    ---- </v>
      </c>
      <c r="N40" s="557"/>
      <c r="O40" s="558"/>
      <c r="P40" s="558"/>
      <c r="Q40" s="558">
        <v>21472</v>
      </c>
      <c r="R40" s="558">
        <v>28337.312049</v>
      </c>
      <c r="S40" s="558">
        <f>IF(Q40=0, "    ---- ", IF(ABS(ROUND(100/Q40*R40-100,1))&lt;999,ROUND(100/Q40*R40-100,1),IF(ROUND(100/Q40*R40-100,1)&gt;999,999,-999)))</f>
        <v>32</v>
      </c>
      <c r="T40" s="557">
        <v>56.6</v>
      </c>
      <c r="U40" s="558">
        <v>66.8</v>
      </c>
      <c r="V40" s="558">
        <f>IF(T40=0, "    ---- ", IF(ABS(ROUND(100/T40*U40-100,1))&lt;999,ROUND(100/T40*U40-100,1),IF(ROUND(100/T40*U40-100,1)&gt;999,999,-999)))</f>
        <v>18</v>
      </c>
      <c r="W40" s="557">
        <v>894</v>
      </c>
      <c r="X40" s="558">
        <v>1061.3599999999999</v>
      </c>
      <c r="Y40" s="558">
        <f t="shared" si="1"/>
        <v>18.7</v>
      </c>
      <c r="Z40" s="557">
        <v>9340</v>
      </c>
      <c r="AA40" s="558">
        <v>9271</v>
      </c>
      <c r="AB40" s="714">
        <f>IF(Z40=0, "    ---- ", IF(ABS(ROUND(100/Z40*AA40-100,1))&lt;999,ROUND(100/Z40*AA40-100,1),IF(ROUND(100/Z40*AA40-100,1)&gt;999,999,-999)))</f>
        <v>-0.7</v>
      </c>
      <c r="AC40" s="557">
        <v>329.26693137000001</v>
      </c>
      <c r="AD40" s="558"/>
      <c r="AE40" s="714">
        <f>IF(AC40=0, "    ---- ", IF(ABS(ROUND(100/AC40*AD40-100,1))&lt;999,ROUND(100/AC40*AD40-100,1),IF(ROUND(100/AC40*AD40-100,1)&gt;999,999,-999)))</f>
        <v>-100</v>
      </c>
      <c r="AF40" s="557">
        <v>1717.056</v>
      </c>
      <c r="AG40" s="558">
        <v>1892.39</v>
      </c>
      <c r="AH40" s="558">
        <f t="shared" si="2"/>
        <v>10.199999999999999</v>
      </c>
      <c r="AI40" s="557">
        <v>4520</v>
      </c>
      <c r="AJ40" s="558">
        <v>2683.5</v>
      </c>
      <c r="AK40" s="558">
        <f t="shared" si="3"/>
        <v>-40.6</v>
      </c>
      <c r="AL40" s="558">
        <f t="shared" si="4"/>
        <v>40636.967931369996</v>
      </c>
      <c r="AM40" s="558">
        <f t="shared" si="4"/>
        <v>45792.052048999998</v>
      </c>
      <c r="AN40" s="558">
        <f t="shared" si="5"/>
        <v>12.7</v>
      </c>
      <c r="AO40" s="715"/>
      <c r="AP40" s="715"/>
    </row>
    <row r="41" spans="1:42" s="716" customFormat="1" ht="18.75" customHeight="1" x14ac:dyDescent="0.3">
      <c r="A41" s="480" t="s">
        <v>488</v>
      </c>
      <c r="B41" s="557">
        <v>758.8900000000001</v>
      </c>
      <c r="C41" s="558">
        <f>SUM(C42:C47)</f>
        <v>778.56600000000003</v>
      </c>
      <c r="D41" s="558">
        <f>IF(B41=0, "    ---- ", IF(ABS(ROUND(100/B41*C41-100,1))&lt;999,ROUND(100/B41*C41-100,1),IF(ROUND(100/B41*C41-100,1)&gt;999,999,-999)))</f>
        <v>2.6</v>
      </c>
      <c r="E41" s="557">
        <v>2676</v>
      </c>
      <c r="F41" s="558">
        <f>SUM(F42:F47)</f>
        <v>2579.4930000000004</v>
      </c>
      <c r="G41" s="714">
        <f t="shared" si="0"/>
        <v>-3.6</v>
      </c>
      <c r="H41" s="557">
        <v>389.72</v>
      </c>
      <c r="I41" s="558">
        <f>SUM(I42:I47)</f>
        <v>433.80799999999999</v>
      </c>
      <c r="J41" s="558">
        <f>IF(H41=0, "    ---- ", IF(ABS(ROUND(100/H41*I41-100,1))&lt;999,ROUND(100/H41*I41-100,1),IF(ROUND(100/H41*I41-100,1)&gt;999,999,-999)))</f>
        <v>11.3</v>
      </c>
      <c r="K41" s="557">
        <v>863.65499999999997</v>
      </c>
      <c r="L41" s="558">
        <f>SUM(L42:L47)</f>
        <v>1090.145</v>
      </c>
      <c r="M41" s="558">
        <f>IF(K41=0, "    ---- ", IF(ABS(ROUND(100/K41*L41-100,1))&lt;999,ROUND(100/K41*L41-100,1),IF(ROUND(100/K41*L41-100,1)&gt;999,999,-999)))</f>
        <v>26.2</v>
      </c>
      <c r="N41" s="557">
        <v>85</v>
      </c>
      <c r="O41" s="558">
        <f>SUM(O42:O47)</f>
        <v>79</v>
      </c>
      <c r="P41" s="558">
        <f>IF(N41=0, "    ---- ", IF(ABS(ROUND(100/N41*O41-100,1))&lt;999,ROUND(100/N41*O41-100,1),IF(ROUND(100/N41*O41-100,1)&gt;999,999,-999)))</f>
        <v>-7.1</v>
      </c>
      <c r="Q41" s="558"/>
      <c r="R41" s="558"/>
      <c r="S41" s="558"/>
      <c r="T41" s="557">
        <v>30.1</v>
      </c>
      <c r="U41" s="558">
        <f>SUM(U42:U47)</f>
        <v>0</v>
      </c>
      <c r="V41" s="558">
        <f>IF(T41=0, "    ---- ", IF(ABS(ROUND(100/T41*U41-100,1))&lt;999,ROUND(100/T41*U41-100,1),IF(ROUND(100/T41*U41-100,1)&gt;999,999,-999)))</f>
        <v>-100</v>
      </c>
      <c r="W41" s="557">
        <v>455</v>
      </c>
      <c r="X41" s="558">
        <f>SUM(X42:X47)</f>
        <v>464.16929970000001</v>
      </c>
      <c r="Y41" s="558">
        <f t="shared" si="1"/>
        <v>2</v>
      </c>
      <c r="Z41" s="557">
        <v>741</v>
      </c>
      <c r="AA41" s="558">
        <f>SUM(AA42:AA47)</f>
        <v>0</v>
      </c>
      <c r="AB41" s="710">
        <f>IF(Z41=0, "    ---- ", IF(ABS(ROUND(100/Z41*AA41-100,1))&lt;999,ROUND(100/Z41*AA41-100,1),IF(ROUND(100/Z41*AA41-100,1)&gt;999,999,-999)))</f>
        <v>-100</v>
      </c>
      <c r="AC41" s="557">
        <v>209.59826365999999</v>
      </c>
      <c r="AD41" s="558"/>
      <c r="AE41" s="714">
        <f>IF(AC41=0, "    ---- ", IF(ABS(ROUND(100/AC41*AD41-100,1))&lt;999,ROUND(100/AC41*AD41-100,1),IF(ROUND(100/AC41*AD41-100,1)&gt;999,999,-999)))</f>
        <v>-100</v>
      </c>
      <c r="AF41" s="557">
        <v>2433.5940000000001</v>
      </c>
      <c r="AG41" s="558">
        <f>SUM(AG42:AG47)</f>
        <v>2724.9520000000002</v>
      </c>
      <c r="AH41" s="558">
        <f t="shared" si="2"/>
        <v>12</v>
      </c>
      <c r="AI41" s="557">
        <v>1039</v>
      </c>
      <c r="AJ41" s="558">
        <f>SUM(AJ42:AJ47)</f>
        <v>0</v>
      </c>
      <c r="AK41" s="558">
        <f t="shared" si="3"/>
        <v>-100</v>
      </c>
      <c r="AL41" s="558">
        <f t="shared" si="4"/>
        <v>9681.5572636600009</v>
      </c>
      <c r="AM41" s="558">
        <f t="shared" si="4"/>
        <v>8150.1332997000009</v>
      </c>
      <c r="AN41" s="558">
        <f t="shared" si="5"/>
        <v>-15.8</v>
      </c>
      <c r="AO41" s="715"/>
      <c r="AP41" s="715"/>
    </row>
    <row r="42" spans="1:42" ht="18.75" customHeight="1" x14ac:dyDescent="0.3">
      <c r="A42" s="440" t="s">
        <v>476</v>
      </c>
      <c r="B42" s="470">
        <v>273.47000000000003</v>
      </c>
      <c r="C42" s="451">
        <v>264.61599999999999</v>
      </c>
      <c r="D42" s="451">
        <f>IF(B42=0, "    ---- ", IF(ABS(ROUND(100/B42*C42-100,1))&lt;999,ROUND(100/B42*C42-100,1),IF(ROUND(100/B42*C42-100,1)&gt;999,999,-999)))</f>
        <v>-3.2</v>
      </c>
      <c r="E42" s="470">
        <v>252</v>
      </c>
      <c r="F42" s="451">
        <v>175.22300000000001</v>
      </c>
      <c r="G42" s="710">
        <f t="shared" si="0"/>
        <v>-30.5</v>
      </c>
      <c r="H42" s="470">
        <v>59.625999999999998</v>
      </c>
      <c r="I42" s="451">
        <f>65.356+0.294</f>
        <v>65.649999999999991</v>
      </c>
      <c r="J42" s="451">
        <f>IF(H42=0, "    ---- ", IF(ABS(ROUND(100/H42*I42-100,1))&lt;999,ROUND(100/H42*I42-100,1),IF(ROUND(100/H42*I42-100,1)&gt;999,999,-999)))</f>
        <v>10.1</v>
      </c>
      <c r="K42" s="470"/>
      <c r="L42" s="451"/>
      <c r="M42" s="451"/>
      <c r="N42" s="470">
        <v>27</v>
      </c>
      <c r="O42" s="451">
        <v>24</v>
      </c>
      <c r="P42" s="451">
        <f>IF(N42=0, "    ---- ", IF(ABS(ROUND(100/N42*O42-100,1))&lt;999,ROUND(100/N42*O42-100,1),IF(ROUND(100/N42*O42-100,1)&gt;999,999,-999)))</f>
        <v>-11.1</v>
      </c>
      <c r="Q42" s="470"/>
      <c r="R42" s="451"/>
      <c r="S42" s="451"/>
      <c r="T42" s="470"/>
      <c r="U42" s="451"/>
      <c r="V42" s="451"/>
      <c r="W42" s="470">
        <v>152</v>
      </c>
      <c r="X42" s="451">
        <v>153.72447994000001</v>
      </c>
      <c r="Y42" s="451">
        <f t="shared" si="1"/>
        <v>1.1000000000000001</v>
      </c>
      <c r="Z42" s="470"/>
      <c r="AA42" s="451"/>
      <c r="AB42" s="710"/>
      <c r="AC42" s="470"/>
      <c r="AD42" s="451"/>
      <c r="AE42" s="710"/>
      <c r="AF42" s="470">
        <v>391.64500000000004</v>
      </c>
      <c r="AG42" s="451">
        <v>404.59199999999998</v>
      </c>
      <c r="AH42" s="451">
        <f t="shared" si="2"/>
        <v>3.3</v>
      </c>
      <c r="AI42" s="470">
        <v>365</v>
      </c>
      <c r="AJ42" s="451"/>
      <c r="AK42" s="451">
        <f t="shared" si="3"/>
        <v>-100</v>
      </c>
      <c r="AL42" s="451">
        <f t="shared" si="4"/>
        <v>1520.741</v>
      </c>
      <c r="AM42" s="451">
        <f t="shared" si="4"/>
        <v>1087.8054799400002</v>
      </c>
      <c r="AN42" s="451">
        <f t="shared" si="5"/>
        <v>-28.5</v>
      </c>
      <c r="AO42" s="564"/>
      <c r="AP42" s="564"/>
    </row>
    <row r="43" spans="1:42" ht="18.75" customHeight="1" x14ac:dyDescent="0.3">
      <c r="A43" s="440" t="s">
        <v>479</v>
      </c>
      <c r="B43" s="470">
        <v>54.493000000000002</v>
      </c>
      <c r="C43" s="451">
        <v>61.246000000000002</v>
      </c>
      <c r="D43" s="451">
        <f t="shared" ref="D43:D61" si="7">IF(B43=0, "    ---- ", IF(ABS(ROUND(100/B43*C43-100,1))&lt;999,ROUND(100/B43*C43-100,1),IF(ROUND(100/B43*C43-100,1)&gt;999,999,-999)))</f>
        <v>12.4</v>
      </c>
      <c r="E43" s="470">
        <v>145</v>
      </c>
      <c r="F43" s="451">
        <v>123.086</v>
      </c>
      <c r="G43" s="710">
        <f t="shared" si="0"/>
        <v>-15.1</v>
      </c>
      <c r="H43" s="470">
        <v>157.465</v>
      </c>
      <c r="I43" s="451">
        <v>171.50399999999999</v>
      </c>
      <c r="J43" s="451">
        <f>IF(H43=0, "    ---- ", IF(ABS(ROUND(100/H43*I43-100,1))&lt;999,ROUND(100/H43*I43-100,1),IF(ROUND(100/H43*I43-100,1)&gt;999,999,-999)))</f>
        <v>8.9</v>
      </c>
      <c r="K43" s="470">
        <v>505.85500000000002</v>
      </c>
      <c r="L43" s="451">
        <v>645.59699999999998</v>
      </c>
      <c r="M43" s="451">
        <f>IF(K43=0, "    ---- ", IF(ABS(ROUND(100/K43*L43-100,1))&lt;999,ROUND(100/K43*L43-100,1),IF(ROUND(100/K43*L43-100,1)&gt;999,999,-999)))</f>
        <v>27.6</v>
      </c>
      <c r="N43" s="470">
        <v>3</v>
      </c>
      <c r="O43" s="451">
        <v>3</v>
      </c>
      <c r="P43" s="451">
        <f>IF(N43=0, "    ---- ", IF(ABS(ROUND(100/N43*O43-100,1))&lt;999,ROUND(100/N43*O43-100,1),IF(ROUND(100/N43*O43-100,1)&gt;999,999,-999)))</f>
        <v>0</v>
      </c>
      <c r="Q43" s="470"/>
      <c r="R43" s="451"/>
      <c r="S43" s="451"/>
      <c r="T43" s="470"/>
      <c r="U43" s="451"/>
      <c r="V43" s="451"/>
      <c r="W43" s="470">
        <v>112</v>
      </c>
      <c r="X43" s="451">
        <v>111.65086008999999</v>
      </c>
      <c r="Y43" s="451">
        <f t="shared" si="1"/>
        <v>-0.3</v>
      </c>
      <c r="Z43" s="470"/>
      <c r="AA43" s="451"/>
      <c r="AB43" s="710"/>
      <c r="AC43" s="470"/>
      <c r="AD43" s="451"/>
      <c r="AE43" s="710"/>
      <c r="AF43" s="470">
        <v>580.79</v>
      </c>
      <c r="AG43" s="451">
        <v>711.14700000000005</v>
      </c>
      <c r="AH43" s="451">
        <f t="shared" si="2"/>
        <v>22.4</v>
      </c>
      <c r="AI43" s="470">
        <v>6</v>
      </c>
      <c r="AJ43" s="451"/>
      <c r="AK43" s="451">
        <f t="shared" si="3"/>
        <v>-100</v>
      </c>
      <c r="AL43" s="451">
        <f t="shared" si="4"/>
        <v>1564.6030000000001</v>
      </c>
      <c r="AM43" s="451">
        <f t="shared" si="4"/>
        <v>1827.2308600900001</v>
      </c>
      <c r="AN43" s="451">
        <f t="shared" si="5"/>
        <v>16.8</v>
      </c>
      <c r="AO43" s="564"/>
      <c r="AP43" s="564"/>
    </row>
    <row r="44" spans="1:42" ht="18.75" customHeight="1" x14ac:dyDescent="0.3">
      <c r="A44" s="440" t="s">
        <v>480</v>
      </c>
      <c r="B44" s="470">
        <v>0.63600000000000001</v>
      </c>
      <c r="C44" s="451">
        <v>0.56499999999999995</v>
      </c>
      <c r="D44" s="451">
        <f t="shared" si="7"/>
        <v>-11.2</v>
      </c>
      <c r="E44" s="470">
        <v>522</v>
      </c>
      <c r="F44" s="451">
        <v>477.32100000000003</v>
      </c>
      <c r="G44" s="451">
        <f t="shared" si="0"/>
        <v>-8.6</v>
      </c>
      <c r="H44" s="470">
        <v>34.423999999999999</v>
      </c>
      <c r="I44" s="451">
        <v>42.204000000000001</v>
      </c>
      <c r="J44" s="451">
        <f>IF(H44=0, "    ---- ", IF(ABS(ROUND(100/H44*I44-100,1))&lt;999,ROUND(100/H44*I44-100,1),IF(ROUND(100/H44*I44-100,1)&gt;999,999,-999)))</f>
        <v>22.6</v>
      </c>
      <c r="K44" s="470"/>
      <c r="L44" s="451"/>
      <c r="M44" s="451"/>
      <c r="N44" s="470">
        <v>55</v>
      </c>
      <c r="O44" s="451">
        <v>52</v>
      </c>
      <c r="P44" s="451">
        <f>IF(N44=0, "    ---- ", IF(ABS(ROUND(100/N44*O44-100,1))&lt;999,ROUND(100/N44*O44-100,1),IF(ROUND(100/N44*O44-100,1)&gt;999,999,-999)))</f>
        <v>-5.5</v>
      </c>
      <c r="Q44" s="470"/>
      <c r="R44" s="451"/>
      <c r="S44" s="451"/>
      <c r="T44" s="470"/>
      <c r="U44" s="451"/>
      <c r="V44" s="451"/>
      <c r="W44" s="470"/>
      <c r="X44" s="451"/>
      <c r="Y44" s="451"/>
      <c r="Z44" s="470"/>
      <c r="AA44" s="451"/>
      <c r="AB44" s="451"/>
      <c r="AC44" s="470"/>
      <c r="AD44" s="451"/>
      <c r="AE44" s="451"/>
      <c r="AF44" s="470">
        <v>660.28700000000003</v>
      </c>
      <c r="AG44" s="451">
        <v>713.51099999999997</v>
      </c>
      <c r="AH44" s="451">
        <f t="shared" si="2"/>
        <v>8.1</v>
      </c>
      <c r="AI44" s="470">
        <v>517</v>
      </c>
      <c r="AJ44" s="451"/>
      <c r="AK44" s="451">
        <f t="shared" si="3"/>
        <v>-100</v>
      </c>
      <c r="AL44" s="451">
        <f t="shared" si="4"/>
        <v>1789.347</v>
      </c>
      <c r="AM44" s="451">
        <f t="shared" si="4"/>
        <v>1285.6010000000001</v>
      </c>
      <c r="AN44" s="451">
        <f t="shared" si="5"/>
        <v>-28.2</v>
      </c>
      <c r="AO44" s="564"/>
      <c r="AP44" s="564"/>
    </row>
    <row r="45" spans="1:42" ht="18.75" customHeight="1" x14ac:dyDescent="0.3">
      <c r="A45" s="440" t="s">
        <v>481</v>
      </c>
      <c r="B45" s="470">
        <v>430.291</v>
      </c>
      <c r="C45" s="451">
        <v>452.13900000000001</v>
      </c>
      <c r="D45" s="451">
        <f t="shared" si="7"/>
        <v>5.0999999999999996</v>
      </c>
      <c r="E45" s="470">
        <v>184</v>
      </c>
      <c r="F45" s="451">
        <v>189.44900000000001</v>
      </c>
      <c r="G45" s="710">
        <f t="shared" si="0"/>
        <v>3</v>
      </c>
      <c r="H45" s="470">
        <v>46.912999999999997</v>
      </c>
      <c r="I45" s="451">
        <v>53.491999999999997</v>
      </c>
      <c r="J45" s="451">
        <f>IF(H45=0, "    ---- ", IF(ABS(ROUND(100/H45*I45-100,1))&lt;999,ROUND(100/H45*I45-100,1),IF(ROUND(100/H45*I45-100,1)&gt;999,999,-999)))</f>
        <v>14</v>
      </c>
      <c r="K45" s="470">
        <v>357.8</v>
      </c>
      <c r="L45" s="451">
        <v>444.548</v>
      </c>
      <c r="M45" s="451">
        <f>IF(K45=0, "    ---- ", IF(ABS(ROUND(100/K45*L45-100,1))&lt;999,ROUND(100/K45*L45-100,1),IF(ROUND(100/K45*L45-100,1)&gt;999,999,-999)))</f>
        <v>24.2</v>
      </c>
      <c r="N45" s="470"/>
      <c r="O45" s="451"/>
      <c r="P45" s="451"/>
      <c r="Q45" s="470"/>
      <c r="R45" s="451"/>
      <c r="S45" s="451"/>
      <c r="T45" s="470">
        <v>30.1</v>
      </c>
      <c r="U45" s="451"/>
      <c r="V45" s="451">
        <f>IF(T45=0, "    ---- ", IF(ABS(ROUND(100/T45*U45-100,1))&lt;999,ROUND(100/T45*U45-100,1),IF(ROUND(100/T45*U45-100,1)&gt;999,999,-999)))</f>
        <v>-100</v>
      </c>
      <c r="W45" s="470"/>
      <c r="X45" s="451"/>
      <c r="Y45" s="451"/>
      <c r="Z45" s="470"/>
      <c r="AA45" s="451"/>
      <c r="AB45" s="710"/>
      <c r="AC45" s="470">
        <v>209.59826365999999</v>
      </c>
      <c r="AD45" s="451"/>
      <c r="AE45" s="710">
        <f>IF(AC45=0, "    ---- ", IF(ABS(ROUND(100/AC45*AD45-100,1))&lt;999,ROUND(100/AC45*AD45-100,1),IF(ROUND(100/AC45*AD45-100,1)&gt;999,999,-999)))</f>
        <v>-100</v>
      </c>
      <c r="AF45" s="470">
        <v>402.05199999999996</v>
      </c>
      <c r="AG45" s="451">
        <v>456.45600000000002</v>
      </c>
      <c r="AH45" s="451">
        <f t="shared" si="2"/>
        <v>13.5</v>
      </c>
      <c r="AI45" s="470">
        <v>87</v>
      </c>
      <c r="AJ45" s="451"/>
      <c r="AK45" s="451">
        <f t="shared" si="3"/>
        <v>-100</v>
      </c>
      <c r="AL45" s="451">
        <f t="shared" si="4"/>
        <v>1747.7542636599997</v>
      </c>
      <c r="AM45" s="451">
        <f t="shared" si="4"/>
        <v>1596.0839999999998</v>
      </c>
      <c r="AN45" s="451">
        <f t="shared" si="5"/>
        <v>-8.6999999999999993</v>
      </c>
      <c r="AO45" s="564"/>
      <c r="AP45" s="564"/>
    </row>
    <row r="46" spans="1:42" ht="18.75" customHeight="1" x14ac:dyDescent="0.3">
      <c r="A46" s="440" t="s">
        <v>483</v>
      </c>
      <c r="B46" s="470"/>
      <c r="C46" s="451"/>
      <c r="D46" s="451"/>
      <c r="E46" s="470"/>
      <c r="F46" s="451"/>
      <c r="G46" s="710"/>
      <c r="H46" s="470"/>
      <c r="I46" s="451"/>
      <c r="J46" s="451"/>
      <c r="K46" s="470"/>
      <c r="L46" s="451"/>
      <c r="M46" s="451"/>
      <c r="N46" s="470"/>
      <c r="O46" s="451"/>
      <c r="P46" s="451"/>
      <c r="Q46" s="470"/>
      <c r="R46" s="451"/>
      <c r="S46" s="451"/>
      <c r="T46" s="470"/>
      <c r="U46" s="451"/>
      <c r="V46" s="451"/>
      <c r="W46" s="470"/>
      <c r="X46" s="451"/>
      <c r="Y46" s="451"/>
      <c r="Z46" s="470">
        <v>740</v>
      </c>
      <c r="AA46" s="451">
        <v>0</v>
      </c>
      <c r="AB46" s="710">
        <f>IF(Z46=0, "    ---- ", IF(ABS(ROUND(100/Z46*AA46-100,1))&lt;999,ROUND(100/Z46*AA46-100,1),IF(ROUND(100/Z46*AA46-100,1)&gt;999,999,-999)))</f>
        <v>-100</v>
      </c>
      <c r="AC46" s="470"/>
      <c r="AD46" s="451"/>
      <c r="AE46" s="710"/>
      <c r="AF46" s="470"/>
      <c r="AG46" s="451"/>
      <c r="AH46" s="451"/>
      <c r="AI46" s="470">
        <v>64</v>
      </c>
      <c r="AJ46" s="451"/>
      <c r="AK46" s="451">
        <f t="shared" si="3"/>
        <v>-100</v>
      </c>
      <c r="AL46" s="451">
        <f t="shared" si="4"/>
        <v>804</v>
      </c>
      <c r="AM46" s="451">
        <f t="shared" si="4"/>
        <v>0</v>
      </c>
      <c r="AN46" s="451">
        <f t="shared" si="5"/>
        <v>-100</v>
      </c>
      <c r="AO46" s="564"/>
      <c r="AP46" s="564"/>
    </row>
    <row r="47" spans="1:42" ht="18.75" customHeight="1" x14ac:dyDescent="0.3">
      <c r="A47" s="440" t="s">
        <v>489</v>
      </c>
      <c r="B47" s="470"/>
      <c r="C47" s="451"/>
      <c r="D47" s="451"/>
      <c r="E47" s="470">
        <v>1573</v>
      </c>
      <c r="F47" s="451">
        <v>1614.414</v>
      </c>
      <c r="G47" s="710">
        <f t="shared" si="0"/>
        <v>2.6</v>
      </c>
      <c r="H47" s="470">
        <v>91.292000000000002</v>
      </c>
      <c r="I47" s="451">
        <f>100.673+0.285</f>
        <v>100.958</v>
      </c>
      <c r="J47" s="451">
        <f>IF(H47=0, "    ---- ", IF(ABS(ROUND(100/H47*I47-100,1))&lt;999,ROUND(100/H47*I47-100,1),IF(ROUND(100/H47*I47-100,1)&gt;999,999,-999)))</f>
        <v>10.6</v>
      </c>
      <c r="K47" s="470"/>
      <c r="L47" s="451"/>
      <c r="M47" s="451"/>
      <c r="N47" s="470"/>
      <c r="O47" s="451"/>
      <c r="P47" s="451"/>
      <c r="Q47" s="470"/>
      <c r="R47" s="451"/>
      <c r="S47" s="451"/>
      <c r="T47" s="470"/>
      <c r="U47" s="451"/>
      <c r="V47" s="451"/>
      <c r="W47" s="470">
        <v>191</v>
      </c>
      <c r="X47" s="451">
        <v>198.79395966999999</v>
      </c>
      <c r="Y47" s="451">
        <f t="shared" si="1"/>
        <v>4.0999999999999996</v>
      </c>
      <c r="Z47" s="470"/>
      <c r="AA47" s="451"/>
      <c r="AB47" s="710"/>
      <c r="AC47" s="470"/>
      <c r="AD47" s="451"/>
      <c r="AE47" s="710"/>
      <c r="AF47" s="470">
        <v>398.82</v>
      </c>
      <c r="AG47" s="451">
        <v>439.24599999999998</v>
      </c>
      <c r="AH47" s="451">
        <f t="shared" si="2"/>
        <v>10.1</v>
      </c>
      <c r="AI47" s="470"/>
      <c r="AJ47" s="451"/>
      <c r="AK47" s="451"/>
      <c r="AL47" s="451">
        <f t="shared" si="4"/>
        <v>2254.1120000000001</v>
      </c>
      <c r="AM47" s="451">
        <f t="shared" si="4"/>
        <v>2353.4119596700002</v>
      </c>
      <c r="AN47" s="451">
        <f t="shared" si="5"/>
        <v>4.4000000000000004</v>
      </c>
      <c r="AO47" s="564"/>
      <c r="AP47" s="564"/>
    </row>
    <row r="48" spans="1:42" s="716" customFormat="1" ht="18.75" customHeight="1" x14ac:dyDescent="0.3">
      <c r="A48" s="713" t="s">
        <v>490</v>
      </c>
      <c r="B48" s="557">
        <v>16.036000000000001</v>
      </c>
      <c r="C48" s="558">
        <f>SUM(C49:C51)</f>
        <v>16.712</v>
      </c>
      <c r="D48" s="558">
        <f t="shared" si="7"/>
        <v>4.2</v>
      </c>
      <c r="E48" s="557">
        <v>1779</v>
      </c>
      <c r="F48" s="558">
        <f>SUM(F49:F51)</f>
        <v>1152.451</v>
      </c>
      <c r="G48" s="714">
        <f t="shared" si="0"/>
        <v>-35.200000000000003</v>
      </c>
      <c r="H48" s="557"/>
      <c r="I48" s="558"/>
      <c r="J48" s="558"/>
      <c r="K48" s="557">
        <v>3.6190000000000002</v>
      </c>
      <c r="L48" s="558">
        <f>SUM(L49:L51)</f>
        <v>1.165</v>
      </c>
      <c r="M48" s="451">
        <f t="shared" ref="M48:M50" si="8">IF(K48=0, "    ---- ", IF(ABS(ROUND(100/K48*L48-100,1))&lt;999,ROUND(100/K48*L48-100,1),IF(ROUND(100/K48*L48-100,1)&gt;999,999,-999)))</f>
        <v>-67.8</v>
      </c>
      <c r="N48" s="557"/>
      <c r="O48" s="558"/>
      <c r="P48" s="558"/>
      <c r="Q48" s="558">
        <f>SUM(Q49:Q51)</f>
        <v>15284.221261000001</v>
      </c>
      <c r="R48" s="558">
        <f>SUM(R49:R51)</f>
        <v>16906.649821999999</v>
      </c>
      <c r="S48" s="558">
        <f>IF(Q48=0, "    ---- ", IF(ABS(ROUND(100/Q48*R48-100,1))&lt;999,ROUND(100/Q48*R48-100,1),IF(ROUND(100/Q48*R48-100,1)&gt;999,999,-999)))</f>
        <v>10.6</v>
      </c>
      <c r="T48" s="557">
        <v>18.3</v>
      </c>
      <c r="U48" s="558">
        <f>SUM(U49:U51)</f>
        <v>26.2</v>
      </c>
      <c r="V48" s="558">
        <f>IF(T48=0, "    ---- ", IF(ABS(ROUND(100/T48*U48-100,1))&lt;999,ROUND(100/T48*U48-100,1),IF(ROUND(100/T48*U48-100,1)&gt;999,999,-999)))</f>
        <v>43.2</v>
      </c>
      <c r="W48" s="557">
        <v>729</v>
      </c>
      <c r="X48" s="558">
        <f>SUM(X49:X51)</f>
        <v>704</v>
      </c>
      <c r="Y48" s="558">
        <f t="shared" si="1"/>
        <v>-3.4</v>
      </c>
      <c r="Z48" s="557">
        <v>1847</v>
      </c>
      <c r="AA48" s="558">
        <f>SUM(AA49:AA51)</f>
        <v>2267</v>
      </c>
      <c r="AB48" s="714">
        <f>IF(Z48=0, "    ---- ", IF(ABS(ROUND(100/Z48*AA48-100,1))&lt;999,ROUND(100/Z48*AA48-100,1),IF(ROUND(100/Z48*AA48-100,1)&gt;999,999,-999)))</f>
        <v>22.7</v>
      </c>
      <c r="AC48" s="557"/>
      <c r="AD48" s="558"/>
      <c r="AE48" s="714"/>
      <c r="AF48" s="557">
        <v>375.62200000000001</v>
      </c>
      <c r="AG48" s="558">
        <f>SUM(AG49:AG51)</f>
        <v>229.089</v>
      </c>
      <c r="AH48" s="558">
        <f t="shared" si="2"/>
        <v>-39</v>
      </c>
      <c r="AI48" s="557">
        <v>2713</v>
      </c>
      <c r="AJ48" s="558">
        <f>SUM(AJ49:AJ51)</f>
        <v>2672.1</v>
      </c>
      <c r="AK48" s="558">
        <f t="shared" si="3"/>
        <v>-1.5</v>
      </c>
      <c r="AL48" s="558">
        <f t="shared" si="4"/>
        <v>22765.798261</v>
      </c>
      <c r="AM48" s="558">
        <f t="shared" si="4"/>
        <v>23975.366822</v>
      </c>
      <c r="AN48" s="558">
        <f t="shared" si="5"/>
        <v>5.3</v>
      </c>
      <c r="AO48" s="715"/>
      <c r="AP48" s="715"/>
    </row>
    <row r="49" spans="1:42" ht="18.75" customHeight="1" x14ac:dyDescent="0.3">
      <c r="A49" s="440" t="s">
        <v>479</v>
      </c>
      <c r="B49" s="470"/>
      <c r="C49" s="451"/>
      <c r="D49" s="451"/>
      <c r="E49" s="470">
        <v>114</v>
      </c>
      <c r="F49" s="451">
        <v>93.302999999999997</v>
      </c>
      <c r="G49" s="451">
        <f t="shared" si="0"/>
        <v>-18.2</v>
      </c>
      <c r="H49" s="470"/>
      <c r="I49" s="451"/>
      <c r="J49" s="451"/>
      <c r="K49" s="470">
        <v>0.67600000000000005</v>
      </c>
      <c r="L49" s="451">
        <v>0.40300000000000002</v>
      </c>
      <c r="M49" s="451">
        <f t="shared" si="8"/>
        <v>-40.4</v>
      </c>
      <c r="N49" s="470"/>
      <c r="O49" s="451"/>
      <c r="P49" s="451"/>
      <c r="Q49" s="470"/>
      <c r="R49" s="451"/>
      <c r="S49" s="451"/>
      <c r="T49" s="470"/>
      <c r="U49" s="451"/>
      <c r="V49" s="451"/>
      <c r="W49" s="470">
        <v>2</v>
      </c>
      <c r="X49" s="451">
        <v>1</v>
      </c>
      <c r="Y49" s="451">
        <f t="shared" si="1"/>
        <v>-50</v>
      </c>
      <c r="Z49" s="470"/>
      <c r="AA49" s="451"/>
      <c r="AB49" s="451"/>
      <c r="AC49" s="470"/>
      <c r="AD49" s="451"/>
      <c r="AE49" s="451"/>
      <c r="AF49" s="470"/>
      <c r="AG49" s="451"/>
      <c r="AH49" s="451"/>
      <c r="AI49" s="470"/>
      <c r="AJ49" s="451"/>
      <c r="AK49" s="451"/>
      <c r="AL49" s="451">
        <f t="shared" si="4"/>
        <v>116.676</v>
      </c>
      <c r="AM49" s="451">
        <f t="shared" si="4"/>
        <v>94.706000000000003</v>
      </c>
      <c r="AN49" s="451">
        <f t="shared" si="5"/>
        <v>-18.8</v>
      </c>
      <c r="AO49" s="564"/>
      <c r="AP49" s="564"/>
    </row>
    <row r="50" spans="1:42" ht="18.75" customHeight="1" x14ac:dyDescent="0.3">
      <c r="A50" s="440" t="s">
        <v>481</v>
      </c>
      <c r="B50" s="470">
        <v>16.036000000000001</v>
      </c>
      <c r="C50" s="451">
        <v>16.712</v>
      </c>
      <c r="D50" s="451">
        <f t="shared" si="7"/>
        <v>4.2</v>
      </c>
      <c r="E50" s="470">
        <v>1438</v>
      </c>
      <c r="F50" s="451">
        <v>1059.1479999999999</v>
      </c>
      <c r="G50" s="710">
        <f t="shared" si="0"/>
        <v>-26.3</v>
      </c>
      <c r="H50" s="470"/>
      <c r="I50" s="451"/>
      <c r="J50" s="451"/>
      <c r="K50" s="470">
        <v>2.9430000000000001</v>
      </c>
      <c r="L50" s="451">
        <v>0.76200000000000001</v>
      </c>
      <c r="M50" s="451">
        <f t="shared" si="8"/>
        <v>-74.099999999999994</v>
      </c>
      <c r="N50" s="470"/>
      <c r="O50" s="451"/>
      <c r="P50" s="451"/>
      <c r="Q50" s="470"/>
      <c r="R50" s="451"/>
      <c r="S50" s="451"/>
      <c r="T50" s="470">
        <v>18.3</v>
      </c>
      <c r="U50" s="451">
        <v>26.2</v>
      </c>
      <c r="V50" s="451">
        <f>IF(T50=0, "    ---- ", IF(ABS(ROUND(100/T50*U50-100,1))&lt;999,ROUND(100/T50*U50-100,1),IF(ROUND(100/T50*U50-100,1)&gt;999,999,-999)))</f>
        <v>43.2</v>
      </c>
      <c r="W50" s="470">
        <v>727</v>
      </c>
      <c r="X50" s="451">
        <v>703</v>
      </c>
      <c r="Y50" s="451">
        <f t="shared" si="1"/>
        <v>-3.3</v>
      </c>
      <c r="Z50" s="470"/>
      <c r="AA50" s="451"/>
      <c r="AB50" s="710"/>
      <c r="AC50" s="470"/>
      <c r="AD50" s="451"/>
      <c r="AE50" s="710"/>
      <c r="AF50" s="470">
        <v>375.62200000000001</v>
      </c>
      <c r="AG50" s="451">
        <v>229.089</v>
      </c>
      <c r="AH50" s="451">
        <f t="shared" si="2"/>
        <v>-39</v>
      </c>
      <c r="AI50" s="470">
        <v>2520</v>
      </c>
      <c r="AJ50" s="451">
        <f>1998.5+552.7+13.3</f>
        <v>2564.5</v>
      </c>
      <c r="AK50" s="451">
        <f t="shared" si="3"/>
        <v>1.8</v>
      </c>
      <c r="AL50" s="451">
        <f t="shared" si="4"/>
        <v>5097.9009999999998</v>
      </c>
      <c r="AM50" s="451">
        <f t="shared" si="4"/>
        <v>4599.4110000000001</v>
      </c>
      <c r="AN50" s="451">
        <f t="shared" si="5"/>
        <v>-9.8000000000000007</v>
      </c>
      <c r="AO50" s="564"/>
      <c r="AP50" s="564"/>
    </row>
    <row r="51" spans="1:42" ht="18.75" customHeight="1" x14ac:dyDescent="0.3">
      <c r="A51" s="440" t="s">
        <v>483</v>
      </c>
      <c r="B51" s="470"/>
      <c r="C51" s="451"/>
      <c r="D51" s="451"/>
      <c r="E51" s="470">
        <v>227</v>
      </c>
      <c r="F51" s="451">
        <v>0</v>
      </c>
      <c r="G51" s="710">
        <f t="shared" si="0"/>
        <v>-100</v>
      </c>
      <c r="H51" s="470"/>
      <c r="I51" s="451"/>
      <c r="J51" s="451"/>
      <c r="K51" s="470"/>
      <c r="L51" s="451"/>
      <c r="M51" s="451"/>
      <c r="N51" s="470"/>
      <c r="O51" s="451"/>
      <c r="P51" s="451"/>
      <c r="Q51" s="470">
        <v>15284.221261000001</v>
      </c>
      <c r="R51" s="451">
        <v>16906.649821999999</v>
      </c>
      <c r="S51" s="451">
        <f>IF(Q51=0, "    ---- ", IF(ABS(ROUND(100/Q51*R51-100,1))&lt;999,ROUND(100/Q51*R51-100,1),IF(ROUND(100/Q51*R51-100,1)&gt;999,999,-999)))</f>
        <v>10.6</v>
      </c>
      <c r="T51" s="470"/>
      <c r="U51" s="451"/>
      <c r="V51" s="451"/>
      <c r="W51" s="470"/>
      <c r="X51" s="451"/>
      <c r="Y51" s="451"/>
      <c r="Z51" s="470">
        <v>1847</v>
      </c>
      <c r="AA51" s="451">
        <v>2267</v>
      </c>
      <c r="AB51" s="710">
        <f>IF(Z51=0, "    ---- ", IF(ABS(ROUND(100/Z51*AA51-100,1))&lt;999,ROUND(100/Z51*AA51-100,1),IF(ROUND(100/Z51*AA51-100,1)&gt;999,999,-999)))</f>
        <v>22.7</v>
      </c>
      <c r="AC51" s="470"/>
      <c r="AD51" s="451"/>
      <c r="AE51" s="710"/>
      <c r="AF51" s="470"/>
      <c r="AG51" s="451"/>
      <c r="AH51" s="451"/>
      <c r="AI51" s="470">
        <v>193</v>
      </c>
      <c r="AJ51" s="451">
        <v>107.6</v>
      </c>
      <c r="AK51" s="451">
        <f t="shared" si="3"/>
        <v>-44.2</v>
      </c>
      <c r="AL51" s="451">
        <f t="shared" si="4"/>
        <v>17551.221260999999</v>
      </c>
      <c r="AM51" s="451">
        <f t="shared" si="4"/>
        <v>19281.249821999998</v>
      </c>
      <c r="AN51" s="451">
        <f t="shared" si="5"/>
        <v>9.9</v>
      </c>
      <c r="AO51" s="564"/>
      <c r="AP51" s="564"/>
    </row>
    <row r="52" spans="1:42" s="716" customFormat="1" ht="18.75" customHeight="1" x14ac:dyDescent="0.3">
      <c r="A52" s="713" t="s">
        <v>491</v>
      </c>
      <c r="B52" s="557">
        <v>51.585999999999999</v>
      </c>
      <c r="C52" s="558">
        <v>47.822000000000003</v>
      </c>
      <c r="D52" s="558">
        <f t="shared" si="7"/>
        <v>-7.3</v>
      </c>
      <c r="E52" s="557">
        <v>275</v>
      </c>
      <c r="F52" s="558">
        <v>34.835000000000001</v>
      </c>
      <c r="G52" s="714">
        <f t="shared" si="0"/>
        <v>-87.3</v>
      </c>
      <c r="H52" s="557">
        <v>23.471</v>
      </c>
      <c r="I52" s="558">
        <v>19.602</v>
      </c>
      <c r="J52" s="558">
        <f>IF(H52=0, "    ---- ", IF(ABS(ROUND(100/H52*I52-100,1))&lt;999,ROUND(100/H52*I52-100,1),IF(ROUND(100/H52*I52-100,1)&gt;999,999,-999)))</f>
        <v>-16.5</v>
      </c>
      <c r="K52" s="557"/>
      <c r="L52" s="558"/>
      <c r="M52" s="558"/>
      <c r="N52" s="557"/>
      <c r="O52" s="558"/>
      <c r="P52" s="558"/>
      <c r="Q52" s="557"/>
      <c r="R52" s="558"/>
      <c r="S52" s="558"/>
      <c r="T52" s="557"/>
      <c r="U52" s="558"/>
      <c r="V52" s="558"/>
      <c r="W52" s="557">
        <v>47</v>
      </c>
      <c r="X52" s="558">
        <v>0</v>
      </c>
      <c r="Y52" s="558">
        <f t="shared" si="1"/>
        <v>-100</v>
      </c>
      <c r="Z52" s="557">
        <v>653</v>
      </c>
      <c r="AA52" s="558">
        <v>424</v>
      </c>
      <c r="AB52" s="710">
        <f>IF(Z52=0, "    ---- ", IF(ABS(ROUND(100/Z52*AA52-100,1))&lt;999,ROUND(100/Z52*AA52-100,1),IF(ROUND(100/Z52*AA52-100,1)&gt;999,999,-999)))</f>
        <v>-35.1</v>
      </c>
      <c r="AC52" s="557"/>
      <c r="AD52" s="558"/>
      <c r="AE52" s="714"/>
      <c r="AF52" s="557">
        <v>51.762999999999998</v>
      </c>
      <c r="AG52" s="558">
        <v>0</v>
      </c>
      <c r="AH52" s="558">
        <f t="shared" si="2"/>
        <v>-100</v>
      </c>
      <c r="AI52" s="557">
        <v>829</v>
      </c>
      <c r="AJ52" s="558">
        <v>683.5</v>
      </c>
      <c r="AK52" s="558">
        <f t="shared" si="3"/>
        <v>-17.600000000000001</v>
      </c>
      <c r="AL52" s="558">
        <f t="shared" si="4"/>
        <v>1930.82</v>
      </c>
      <c r="AM52" s="558">
        <f t="shared" si="4"/>
        <v>1209.759</v>
      </c>
      <c r="AN52" s="558">
        <f t="shared" si="5"/>
        <v>-37.299999999999997</v>
      </c>
      <c r="AO52" s="715"/>
      <c r="AP52" s="715"/>
    </row>
    <row r="53" spans="1:42" s="716" customFormat="1" ht="18.75" customHeight="1" x14ac:dyDescent="0.3">
      <c r="A53" s="713"/>
      <c r="B53" s="557"/>
      <c r="C53" s="558"/>
      <c r="D53" s="558"/>
      <c r="E53" s="557"/>
      <c r="F53" s="558"/>
      <c r="G53" s="714"/>
      <c r="H53" s="557"/>
      <c r="I53" s="558"/>
      <c r="J53" s="558"/>
      <c r="K53" s="557"/>
      <c r="L53" s="558"/>
      <c r="M53" s="558"/>
      <c r="N53" s="557"/>
      <c r="O53" s="558"/>
      <c r="P53" s="558"/>
      <c r="Q53" s="557"/>
      <c r="R53" s="558"/>
      <c r="S53" s="558"/>
      <c r="T53" s="557"/>
      <c r="U53" s="558"/>
      <c r="V53" s="558"/>
      <c r="W53" s="557"/>
      <c r="X53" s="558"/>
      <c r="Y53" s="558"/>
      <c r="Z53" s="557"/>
      <c r="AA53" s="558"/>
      <c r="AB53" s="714"/>
      <c r="AC53" s="557"/>
      <c r="AD53" s="558"/>
      <c r="AE53" s="714"/>
      <c r="AF53" s="557"/>
      <c r="AG53" s="558"/>
      <c r="AH53" s="558"/>
      <c r="AI53" s="557"/>
      <c r="AJ53" s="558"/>
      <c r="AK53" s="558"/>
      <c r="AL53" s="558"/>
      <c r="AM53" s="558"/>
      <c r="AN53" s="558"/>
      <c r="AO53" s="715"/>
      <c r="AP53" s="715"/>
    </row>
    <row r="54" spans="1:42" s="716" customFormat="1" ht="18.75" customHeight="1" x14ac:dyDescent="0.3">
      <c r="A54" s="713" t="s">
        <v>492</v>
      </c>
      <c r="B54" s="557">
        <v>894.95900000000006</v>
      </c>
      <c r="C54" s="558">
        <f>SUM(C11+C35+C40+C41+C48+C52)</f>
        <v>937.08900000000006</v>
      </c>
      <c r="D54" s="558">
        <f t="shared" si="7"/>
        <v>4.7</v>
      </c>
      <c r="E54" s="557">
        <v>208949</v>
      </c>
      <c r="F54" s="558">
        <f>SUM(F11+F35+F40+F41+F48+F52)</f>
        <v>208159.74400000001</v>
      </c>
      <c r="G54" s="714">
        <f t="shared" si="0"/>
        <v>-0.4</v>
      </c>
      <c r="H54" s="557">
        <v>636.74600000000009</v>
      </c>
      <c r="I54" s="558">
        <f>SUM(I11+I35+I40+I41+I48+I52)</f>
        <v>724.2589999999999</v>
      </c>
      <c r="J54" s="558">
        <f>IF(H54=0, "    ---- ", IF(ABS(ROUND(100/H54*I54-100,1))&lt;999,ROUND(100/H54*I54-100,1),IF(ROUND(100/H54*I54-100,1)&gt;999,999,-999)))</f>
        <v>13.7</v>
      </c>
      <c r="K54" s="557">
        <v>4877.5389999999998</v>
      </c>
      <c r="L54" s="558">
        <f>SUM(L11+L35+L40+L41+L48+L52)</f>
        <v>5409.5559999999996</v>
      </c>
      <c r="M54" s="558">
        <f>IF(K54=0, "    ---- ", IF(ABS(ROUND(100/K54*L54-100,1))&lt;999,ROUND(100/K54*L54-100,1),IF(ROUND(100/K54*L54-100,1)&gt;999,999,-999)))</f>
        <v>10.9</v>
      </c>
      <c r="N54" s="557">
        <v>85</v>
      </c>
      <c r="O54" s="558">
        <f>SUM(O11+O35+O40+O41+O48+O52)</f>
        <v>79</v>
      </c>
      <c r="P54" s="558">
        <f>IF(N54=0, "    ---- ", IF(ABS(ROUND(100/N54*O54-100,1))&lt;999,ROUND(100/N54*O54-100,1),IF(ROUND(100/N54*O54-100,1)&gt;999,999,-999)))</f>
        <v>-7.1</v>
      </c>
      <c r="Q54" s="558">
        <f>SUM(Q11+Q35+Q40+Q41+Q48+Q52)</f>
        <v>410327.59094863001</v>
      </c>
      <c r="R54" s="558">
        <f>SUM(R11+R35+R40+R41+R48+R52)</f>
        <v>450193.84582046996</v>
      </c>
      <c r="S54" s="558">
        <f>IF(Q54=0, "    ---- ", IF(ABS(ROUND(100/Q54*R54-100,1))&lt;999,ROUND(100/Q54*R54-100,1),IF(ROUND(100/Q54*R54-100,1)&gt;999,999,-999)))</f>
        <v>9.6999999999999993</v>
      </c>
      <c r="T54" s="557">
        <v>1435.6999999999998</v>
      </c>
      <c r="U54" s="558">
        <f>SUM(U11+U35+U40+U41+U48+U52)</f>
        <v>1567.3</v>
      </c>
      <c r="V54" s="558">
        <f>IF(T54=0, "    ---- ", IF(ABS(ROUND(100/T54*U54-100,1))&lt;999,ROUND(100/T54*U54-100,1),IF(ROUND(100/T54*U54-100,1)&gt;999,999,-999)))</f>
        <v>9.1999999999999993</v>
      </c>
      <c r="W54" s="557">
        <v>47284</v>
      </c>
      <c r="X54" s="558">
        <f>SUM(X11+X35+X40+X41+X48+X52)</f>
        <v>48523.46</v>
      </c>
      <c r="Y54" s="558">
        <f t="shared" si="1"/>
        <v>2.6</v>
      </c>
      <c r="Z54" s="557">
        <v>69892</v>
      </c>
      <c r="AA54" s="558">
        <f>SUM(AA11+AA35+AA40+AA41+AA48+AA52)</f>
        <v>74003</v>
      </c>
      <c r="AB54" s="714">
        <f>IF(Z54=0, "    ---- ", IF(ABS(ROUND(100/Z54*AA54-100,1))&lt;999,ROUND(100/Z54*AA54-100,1),IF(ROUND(100/Z54*AA54-100,1)&gt;999,999,-999)))</f>
        <v>5.9</v>
      </c>
      <c r="AC54" s="557">
        <v>8556.6983527800003</v>
      </c>
      <c r="AD54" s="558"/>
      <c r="AE54" s="714">
        <f>IF(AC54=0, "    ---- ", IF(ABS(ROUND(100/AC54*AD54-100,1))&lt;999,ROUND(100/AC54*AD54-100,1),IF(ROUND(100/AC54*AD54-100,1)&gt;999,999,-999)))</f>
        <v>-100</v>
      </c>
      <c r="AF54" s="557">
        <v>19980.003999999997</v>
      </c>
      <c r="AG54" s="558">
        <f>SUM(AG11+AG35+AG40+AG41+AG48+AG52)</f>
        <v>20892.833000000002</v>
      </c>
      <c r="AH54" s="558">
        <f t="shared" si="2"/>
        <v>4.5999999999999996</v>
      </c>
      <c r="AI54" s="557">
        <v>180181</v>
      </c>
      <c r="AJ54" s="558">
        <f>SUM(AJ11+AJ35+AJ40+AJ41+AJ48+AJ52)</f>
        <v>181716.2</v>
      </c>
      <c r="AK54" s="558">
        <f t="shared" si="3"/>
        <v>0.9</v>
      </c>
      <c r="AL54" s="558">
        <f>+B54+E54+H54+K54+N54+Q54+T54+W54+Z54+AC54+AF54+AI54</f>
        <v>953100.23730140994</v>
      </c>
      <c r="AM54" s="558">
        <f t="shared" si="4"/>
        <v>992206.28682046989</v>
      </c>
      <c r="AN54" s="558">
        <f t="shared" si="5"/>
        <v>4.0999999999999996</v>
      </c>
      <c r="AO54" s="715"/>
      <c r="AP54" s="715"/>
    </row>
    <row r="55" spans="1:42" ht="18.75" customHeight="1" x14ac:dyDescent="0.3">
      <c r="A55" s="440" t="s">
        <v>476</v>
      </c>
      <c r="B55" s="470">
        <v>297.08100000000002</v>
      </c>
      <c r="C55" s="451">
        <f>SUM(C12+C36+C42)</f>
        <v>287.202</v>
      </c>
      <c r="D55" s="451">
        <f t="shared" si="7"/>
        <v>-3.3</v>
      </c>
      <c r="E55" s="470">
        <v>18772</v>
      </c>
      <c r="F55" s="451">
        <f>SUM(F12+F36+F42)</f>
        <v>17435.921999999999</v>
      </c>
      <c r="G55" s="710">
        <f t="shared" si="0"/>
        <v>-7.1</v>
      </c>
      <c r="H55" s="470">
        <v>59.625999999999998</v>
      </c>
      <c r="I55" s="451">
        <f>SUM(I12+I36+I42)</f>
        <v>65.649999999999991</v>
      </c>
      <c r="J55" s="451">
        <f>IF(H55=0, "    ---- ", IF(ABS(ROUND(100/H55*I55-100,1))&lt;999,ROUND(100/H55*I55-100,1),IF(ROUND(100/H55*I55-100,1)&gt;999,999,-999)))</f>
        <v>10.1</v>
      </c>
      <c r="K55" s="470"/>
      <c r="L55" s="451"/>
      <c r="M55" s="451"/>
      <c r="N55" s="470">
        <v>27</v>
      </c>
      <c r="O55" s="451">
        <f>SUM(O12+O36+O42)</f>
        <v>24</v>
      </c>
      <c r="P55" s="451">
        <f>IF(N55=0, "    ---- ", IF(ABS(ROUND(100/N55*O55-100,1))&lt;999,ROUND(100/N55*O55-100,1),IF(ROUND(100/N55*O55-100,1)&gt;999,999,-999)))</f>
        <v>-11.1</v>
      </c>
      <c r="Q55" s="470"/>
      <c r="R55" s="451"/>
      <c r="S55" s="451"/>
      <c r="T55" s="470"/>
      <c r="U55" s="451"/>
      <c r="V55" s="451"/>
      <c r="W55" s="470">
        <v>828</v>
      </c>
      <c r="X55" s="451">
        <f>SUM(X12+X36+X42)</f>
        <v>782</v>
      </c>
      <c r="Y55" s="451">
        <f t="shared" si="1"/>
        <v>-5.6</v>
      </c>
      <c r="Z55" s="470"/>
      <c r="AA55" s="451"/>
      <c r="AB55" s="710"/>
      <c r="AC55" s="470"/>
      <c r="AD55" s="451"/>
      <c r="AE55" s="710"/>
      <c r="AF55" s="470">
        <v>1118.0920000000001</v>
      </c>
      <c r="AG55" s="451">
        <f>SUM(AG12+AG36+AG42)</f>
        <v>949.56</v>
      </c>
      <c r="AH55" s="451">
        <f t="shared" si="2"/>
        <v>-15.1</v>
      </c>
      <c r="AI55" s="470">
        <v>4157</v>
      </c>
      <c r="AJ55" s="451">
        <f>SUM(AJ12+AJ36+AJ42)</f>
        <v>4174.5</v>
      </c>
      <c r="AK55" s="451">
        <f t="shared" si="3"/>
        <v>0.4</v>
      </c>
      <c r="AL55" s="451">
        <f t="shared" si="4"/>
        <v>25258.798999999999</v>
      </c>
      <c r="AM55" s="451">
        <f t="shared" si="4"/>
        <v>23718.834000000003</v>
      </c>
      <c r="AN55" s="451">
        <f t="shared" si="5"/>
        <v>-6.1</v>
      </c>
      <c r="AO55" s="564"/>
      <c r="AP55" s="564"/>
    </row>
    <row r="56" spans="1:42" ht="18.75" customHeight="1" x14ac:dyDescent="0.3">
      <c r="A56" s="440" t="s">
        <v>479</v>
      </c>
      <c r="B56" s="470">
        <v>57.164000000000001</v>
      </c>
      <c r="C56" s="451">
        <f>SUM(C15+C37+C43+C49)</f>
        <v>64.144000000000005</v>
      </c>
      <c r="D56" s="451">
        <f t="shared" si="7"/>
        <v>12.2</v>
      </c>
      <c r="E56" s="470">
        <v>29807</v>
      </c>
      <c r="F56" s="451">
        <f>SUM(F15+F37+F43+F49)</f>
        <v>28414.232</v>
      </c>
      <c r="G56" s="710">
        <f t="shared" si="0"/>
        <v>-4.7</v>
      </c>
      <c r="H56" s="470">
        <v>307.75</v>
      </c>
      <c r="I56" s="451">
        <f>SUM(I15+I37+I43+I49)</f>
        <v>370.04199999999997</v>
      </c>
      <c r="J56" s="451">
        <f>IF(H56=0, "    ---- ", IF(ABS(ROUND(100/H56*I56-100,1))&lt;999,ROUND(100/H56*I56-100,1),IF(ROUND(100/H56*I56-100,1)&gt;999,999,-999)))</f>
        <v>20.2</v>
      </c>
      <c r="K56" s="470">
        <v>757.4430000000001</v>
      </c>
      <c r="L56" s="451">
        <f>SUM(L15+L37+L43+L49)</f>
        <v>989.45100000000002</v>
      </c>
      <c r="M56" s="451">
        <f>IF(K56=0, "    ---- ", IF(ABS(ROUND(100/K56*L56-100,1))&lt;999,ROUND(100/K56*L56-100,1),IF(ROUND(100/K56*L56-100,1)&gt;999,999,-999)))</f>
        <v>30.6</v>
      </c>
      <c r="N56" s="470">
        <v>3</v>
      </c>
      <c r="O56" s="451">
        <f>SUM(O15+O37+O43+O49)</f>
        <v>3</v>
      </c>
      <c r="P56" s="451">
        <f>IF(N56=0, "    ---- ", IF(ABS(ROUND(100/N56*O56-100,1))&lt;999,ROUND(100/N56*O56-100,1),IF(ROUND(100/N56*O56-100,1)&gt;999,999,-999)))</f>
        <v>0</v>
      </c>
      <c r="Q56" s="470"/>
      <c r="R56" s="451"/>
      <c r="S56" s="451"/>
      <c r="T56" s="470"/>
      <c r="U56" s="451"/>
      <c r="V56" s="451"/>
      <c r="W56" s="470">
        <v>4362</v>
      </c>
      <c r="X56" s="451">
        <f>SUM(X15+X37+X43+X49)</f>
        <v>4130.1000000000004</v>
      </c>
      <c r="Y56" s="451">
        <f t="shared" si="1"/>
        <v>-5.3</v>
      </c>
      <c r="Z56" s="470"/>
      <c r="AA56" s="451"/>
      <c r="AB56" s="710"/>
      <c r="AC56" s="470"/>
      <c r="AD56" s="451"/>
      <c r="AE56" s="710"/>
      <c r="AF56" s="470">
        <v>4841.6349999999993</v>
      </c>
      <c r="AG56" s="451">
        <f>SUM(AG15+AG37+AG43+AG49)</f>
        <v>4942.5060000000003</v>
      </c>
      <c r="AH56" s="451">
        <f t="shared" si="2"/>
        <v>2.1</v>
      </c>
      <c r="AI56" s="470">
        <v>12258</v>
      </c>
      <c r="AJ56" s="451">
        <f>SUM(AJ15+AJ37+AJ43+AJ49)</f>
        <v>11802.6</v>
      </c>
      <c r="AK56" s="451">
        <f t="shared" si="3"/>
        <v>-3.7</v>
      </c>
      <c r="AL56" s="451">
        <f t="shared" si="4"/>
        <v>52393.992000000006</v>
      </c>
      <c r="AM56" s="451">
        <f t="shared" si="4"/>
        <v>50716.075000000004</v>
      </c>
      <c r="AN56" s="451">
        <f t="shared" si="5"/>
        <v>-3.2</v>
      </c>
      <c r="AO56" s="564"/>
      <c r="AP56" s="564"/>
    </row>
    <row r="57" spans="1:42" ht="18.75" customHeight="1" x14ac:dyDescent="0.3">
      <c r="A57" s="440" t="s">
        <v>480</v>
      </c>
      <c r="B57" s="470">
        <v>0.63600000000000001</v>
      </c>
      <c r="C57" s="451">
        <f>SUM(C18+C44)</f>
        <v>0.56499999999999995</v>
      </c>
      <c r="D57" s="451">
        <f t="shared" si="7"/>
        <v>-11.2</v>
      </c>
      <c r="E57" s="470">
        <v>732</v>
      </c>
      <c r="F57" s="451">
        <f>SUM(F18+F44)</f>
        <v>678.44800000000009</v>
      </c>
      <c r="G57" s="451">
        <f t="shared" si="0"/>
        <v>-7.3</v>
      </c>
      <c r="H57" s="470">
        <v>34.423999999999999</v>
      </c>
      <c r="I57" s="451">
        <f>SUM(I18+I44)</f>
        <v>42.204000000000001</v>
      </c>
      <c r="J57" s="451">
        <f>IF(H57=0, "    ---- ", IF(ABS(ROUND(100/H57*I57-100,1))&lt;999,ROUND(100/H57*I57-100,1),IF(ROUND(100/H57*I57-100,1)&gt;999,999,-999)))</f>
        <v>22.6</v>
      </c>
      <c r="K57" s="470"/>
      <c r="L57" s="451"/>
      <c r="M57" s="451"/>
      <c r="N57" s="470">
        <v>55</v>
      </c>
      <c r="O57" s="451">
        <f>SUM(O18+O44)</f>
        <v>52</v>
      </c>
      <c r="P57" s="451">
        <f>IF(N57=0, "    ---- ", IF(ABS(ROUND(100/N57*O57-100,1))&lt;999,ROUND(100/N57*O57-100,1),IF(ROUND(100/N57*O57-100,1)&gt;999,999,-999)))</f>
        <v>-5.5</v>
      </c>
      <c r="Q57" s="470">
        <v>7.5020366300000001</v>
      </c>
      <c r="R57" s="451">
        <f>SUM(R18+R44)</f>
        <v>2.4028630000000002E-2</v>
      </c>
      <c r="S57" s="451">
        <f>IF(Q57=0, "    ---- ", IF(ABS(ROUND(100/Q57*R57-100,1))&lt;999,ROUND(100/Q57*R57-100,1),IF(ROUND(100/Q57*R57-100,1)&gt;999,999,-999)))</f>
        <v>-99.7</v>
      </c>
      <c r="T57" s="470"/>
      <c r="U57" s="451"/>
      <c r="V57" s="451"/>
      <c r="W57" s="470"/>
      <c r="X57" s="451"/>
      <c r="Y57" s="451"/>
      <c r="Z57" s="470"/>
      <c r="AA57" s="451"/>
      <c r="AB57" s="451"/>
      <c r="AC57" s="470"/>
      <c r="AD57" s="451"/>
      <c r="AE57" s="451"/>
      <c r="AF57" s="470">
        <v>1143.097</v>
      </c>
      <c r="AG57" s="451">
        <f>SUM(AG18+AG44)</f>
        <v>1248.6680000000001</v>
      </c>
      <c r="AH57" s="451">
        <f t="shared" si="2"/>
        <v>9.1999999999999993</v>
      </c>
      <c r="AI57" s="470">
        <v>1227</v>
      </c>
      <c r="AJ57" s="451">
        <f>SUM(AJ18+AJ44)</f>
        <v>1325</v>
      </c>
      <c r="AK57" s="451">
        <f t="shared" si="3"/>
        <v>8</v>
      </c>
      <c r="AL57" s="451">
        <f t="shared" si="4"/>
        <v>3199.6590366299997</v>
      </c>
      <c r="AM57" s="451">
        <f t="shared" si="4"/>
        <v>3346.9090286300002</v>
      </c>
      <c r="AN57" s="451">
        <f t="shared" si="5"/>
        <v>4.5999999999999996</v>
      </c>
      <c r="AO57" s="564"/>
      <c r="AP57" s="564"/>
    </row>
    <row r="58" spans="1:42" ht="18.75" customHeight="1" x14ac:dyDescent="0.3">
      <c r="A58" s="440" t="s">
        <v>481</v>
      </c>
      <c r="B58" s="470">
        <v>474.447</v>
      </c>
      <c r="C58" s="451">
        <f>SUM(C19+C38+C45+C50)</f>
        <v>508.78899999999999</v>
      </c>
      <c r="D58" s="451">
        <f t="shared" si="7"/>
        <v>7.2</v>
      </c>
      <c r="E58" s="470">
        <v>149589</v>
      </c>
      <c r="F58" s="451">
        <f>SUM(F19+F38+F45+F50)</f>
        <v>157486.44099999999</v>
      </c>
      <c r="G58" s="710">
        <f t="shared" si="0"/>
        <v>5.3</v>
      </c>
      <c r="H58" s="470">
        <v>119.898</v>
      </c>
      <c r="I58" s="451">
        <f>SUM(I19+I38+I45+I50)</f>
        <v>125.803</v>
      </c>
      <c r="J58" s="451">
        <f>IF(H58=0, "    ---- ", IF(ABS(ROUND(100/H58*I58-100,1))&lt;999,ROUND(100/H58*I58-100,1),IF(ROUND(100/H58*I58-100,1)&gt;999,999,-999)))</f>
        <v>4.9000000000000004</v>
      </c>
      <c r="K58" s="470">
        <v>4120.0960000000005</v>
      </c>
      <c r="L58" s="451">
        <f>SUM(L19+L38+L45+L50)</f>
        <v>4393.21</v>
      </c>
      <c r="M58" s="451">
        <f>IF(K58=0, "    ---- ", IF(ABS(ROUND(100/K58*L58-100,1))&lt;999,ROUND(100/K58*L58-100,1),IF(ROUND(100/K58*L58-100,1)&gt;999,999,-999)))</f>
        <v>6.6</v>
      </c>
      <c r="N58" s="470"/>
      <c r="O58" s="451"/>
      <c r="P58" s="451"/>
      <c r="Q58" s="470"/>
      <c r="R58" s="451"/>
      <c r="S58" s="451"/>
      <c r="T58" s="470">
        <v>1379.1</v>
      </c>
      <c r="U58" s="451">
        <f>SUM(U19+U38+U45+U50)</f>
        <v>1500.5</v>
      </c>
      <c r="V58" s="451">
        <f>IF(T58=0, "    ---- ", IF(ABS(ROUND(100/T58*U58-100,1))&lt;999,ROUND(100/T58*U58-100,1),IF(ROUND(100/T58*U58-100,1)&gt;999,999,-999)))</f>
        <v>8.8000000000000007</v>
      </c>
      <c r="W58" s="470">
        <v>40909</v>
      </c>
      <c r="X58" s="451">
        <f>SUM(X19+X38+X45+X50)</f>
        <v>42290</v>
      </c>
      <c r="Y58" s="451">
        <f t="shared" si="1"/>
        <v>3.4</v>
      </c>
      <c r="Z58" s="470"/>
      <c r="AA58" s="451"/>
      <c r="AB58" s="710"/>
      <c r="AC58" s="470">
        <v>8227.4314214099995</v>
      </c>
      <c r="AD58" s="451"/>
      <c r="AE58" s="710">
        <f>IF(AC58=0, "    ---- ", IF(ABS(ROUND(100/AC58*AD58-100,1))&lt;999,ROUND(100/AC58*AD58-100,1),IF(ROUND(100/AC58*AD58-100,1)&gt;999,999,-999)))</f>
        <v>-100</v>
      </c>
      <c r="AF58" s="470">
        <v>10688.973</v>
      </c>
      <c r="AG58" s="451">
        <f>SUM(AG19+AG38+AG45+AG50)</f>
        <v>11420.463</v>
      </c>
      <c r="AH58" s="451">
        <f t="shared" si="2"/>
        <v>6.8</v>
      </c>
      <c r="AI58" s="470">
        <v>152716</v>
      </c>
      <c r="AJ58" s="451">
        <f>SUM(AJ19+AJ38+AJ45+AJ50)</f>
        <v>158286.70000000001</v>
      </c>
      <c r="AK58" s="451">
        <f t="shared" si="3"/>
        <v>3.6</v>
      </c>
      <c r="AL58" s="451">
        <f t="shared" si="4"/>
        <v>368223.94542140997</v>
      </c>
      <c r="AM58" s="451">
        <f t="shared" si="4"/>
        <v>376011.90599999996</v>
      </c>
      <c r="AN58" s="451">
        <f t="shared" si="5"/>
        <v>2.1</v>
      </c>
      <c r="AO58" s="564"/>
      <c r="AP58" s="564"/>
    </row>
    <row r="59" spans="1:42" ht="18.75" customHeight="1" x14ac:dyDescent="0.3">
      <c r="A59" s="440" t="s">
        <v>483</v>
      </c>
      <c r="B59" s="470"/>
      <c r="C59" s="451"/>
      <c r="D59" s="451"/>
      <c r="E59" s="470">
        <v>2348</v>
      </c>
      <c r="F59" s="451">
        <f>SUM(F21+F39+F46+F51)</f>
        <v>27.792999999999999</v>
      </c>
      <c r="G59" s="710">
        <f t="shared" si="0"/>
        <v>-98.8</v>
      </c>
      <c r="H59" s="470"/>
      <c r="I59" s="451"/>
      <c r="J59" s="451"/>
      <c r="K59" s="470"/>
      <c r="L59" s="451"/>
      <c r="M59" s="451"/>
      <c r="N59" s="470"/>
      <c r="O59" s="451"/>
      <c r="P59" s="451"/>
      <c r="Q59" s="451">
        <f>SUM(Q21+Q39+Q46+Q51)</f>
        <v>388855.56692000001</v>
      </c>
      <c r="R59" s="451">
        <f>SUM(R21+R39+R46+R51)</f>
        <v>421856.50974283996</v>
      </c>
      <c r="S59" s="451">
        <f>IF(Q59=0, "    ---- ", IF(ABS(ROUND(100/Q59*R59-100,1))&lt;999,ROUND(100/Q59*R59-100,1),IF(ROUND(100/Q59*R59-100,1)&gt;999,999,-999)))</f>
        <v>8.5</v>
      </c>
      <c r="T59" s="470"/>
      <c r="U59" s="451"/>
      <c r="V59" s="451"/>
      <c r="W59" s="470"/>
      <c r="X59" s="451"/>
      <c r="Y59" s="451"/>
      <c r="Z59" s="470">
        <v>59898</v>
      </c>
      <c r="AA59" s="451">
        <f>SUM(AA21+AA39+AA46+AA51)</f>
        <v>64308</v>
      </c>
      <c r="AB59" s="710">
        <f>IF(Z59=0, "    ---- ", IF(ABS(ROUND(100/Z59*AA59-100,1))&lt;999,ROUND(100/Z59*AA59-100,1),IF(ROUND(100/Z59*AA59-100,1)&gt;999,999,-999)))</f>
        <v>7.4</v>
      </c>
      <c r="AC59" s="470"/>
      <c r="AD59" s="451"/>
      <c r="AE59" s="710"/>
      <c r="AF59" s="470">
        <v>20.568000000000001</v>
      </c>
      <c r="AG59" s="451">
        <f>SUM(AG21+AG39+AG46+AG51)</f>
        <v>0</v>
      </c>
      <c r="AH59" s="451">
        <f t="shared" si="2"/>
        <v>-100</v>
      </c>
      <c r="AI59" s="470">
        <v>4474</v>
      </c>
      <c r="AJ59" s="451">
        <f>SUM(AJ21+AJ39+AJ46+AJ51)</f>
        <v>2760.3999999999996</v>
      </c>
      <c r="AK59" s="451">
        <f t="shared" si="3"/>
        <v>-38.299999999999997</v>
      </c>
      <c r="AL59" s="451">
        <f t="shared" si="4"/>
        <v>455596.13492000004</v>
      </c>
      <c r="AM59" s="451">
        <f t="shared" si="4"/>
        <v>488952.70274283999</v>
      </c>
      <c r="AN59" s="451">
        <f t="shared" si="5"/>
        <v>7.3</v>
      </c>
      <c r="AO59" s="564"/>
      <c r="AP59" s="564"/>
    </row>
    <row r="60" spans="1:42" ht="18.75" customHeight="1" x14ac:dyDescent="0.3">
      <c r="A60" s="440" t="s">
        <v>484</v>
      </c>
      <c r="B60" s="470"/>
      <c r="C60" s="451"/>
      <c r="D60" s="451"/>
      <c r="E60" s="470">
        <v>5132</v>
      </c>
      <c r="F60" s="451">
        <f>SUM(F22+F47)</f>
        <v>1657.845</v>
      </c>
      <c r="G60" s="451">
        <f t="shared" si="0"/>
        <v>-67.7</v>
      </c>
      <c r="H60" s="470">
        <v>91.576999999999998</v>
      </c>
      <c r="I60" s="451">
        <f>SUM(I22+I47)</f>
        <v>100.958</v>
      </c>
      <c r="J60" s="451">
        <f>IF(H60=0, "    ---- ", IF(ABS(ROUND(100/H60*I60-100,1))&lt;999,ROUND(100/H60*I60-100,1),IF(ROUND(100/H60*I60-100,1)&gt;999,999,-999)))</f>
        <v>10.199999999999999</v>
      </c>
      <c r="K60" s="470"/>
      <c r="L60" s="451"/>
      <c r="M60" s="451"/>
      <c r="N60" s="470"/>
      <c r="O60" s="451"/>
      <c r="P60" s="451"/>
      <c r="Q60" s="470"/>
      <c r="R60" s="451"/>
      <c r="S60" s="451"/>
      <c r="T60" s="470"/>
      <c r="U60" s="451"/>
      <c r="V60" s="451"/>
      <c r="W60" s="470">
        <v>244</v>
      </c>
      <c r="X60" s="451">
        <f>SUM(X22+X47)</f>
        <v>260</v>
      </c>
      <c r="Y60" s="451">
        <f t="shared" si="1"/>
        <v>6.6</v>
      </c>
      <c r="Z60" s="470"/>
      <c r="AA60" s="451"/>
      <c r="AB60" s="451"/>
      <c r="AC60" s="470"/>
      <c r="AD60" s="451"/>
      <c r="AE60" s="451"/>
      <c r="AF60" s="470">
        <v>398.82</v>
      </c>
      <c r="AG60" s="451">
        <f>SUM(AG22+AG47)</f>
        <v>439.24599999999998</v>
      </c>
      <c r="AH60" s="451">
        <f t="shared" si="2"/>
        <v>10.1</v>
      </c>
      <c r="AI60" s="470"/>
      <c r="AJ60" s="451">
        <f>SUM(AJ22+AJ47)</f>
        <v>0</v>
      </c>
      <c r="AK60" s="451" t="str">
        <f t="shared" si="3"/>
        <v xml:space="preserve">    ---- </v>
      </c>
      <c r="AL60" s="451">
        <f t="shared" si="4"/>
        <v>5866.3969999999999</v>
      </c>
      <c r="AM60" s="451">
        <f t="shared" si="4"/>
        <v>2458.049</v>
      </c>
      <c r="AN60" s="451">
        <f t="shared" si="5"/>
        <v>-58.1</v>
      </c>
      <c r="AO60" s="564"/>
      <c r="AP60" s="564"/>
    </row>
    <row r="61" spans="1:42" ht="18.75" customHeight="1" x14ac:dyDescent="0.3">
      <c r="A61" s="717" t="s">
        <v>493</v>
      </c>
      <c r="B61" s="718">
        <v>65.631</v>
      </c>
      <c r="C61" s="621">
        <f>SUM(C40+C52)</f>
        <v>76.38900000000001</v>
      </c>
      <c r="D61" s="621">
        <f t="shared" si="7"/>
        <v>16.399999999999999</v>
      </c>
      <c r="E61" s="718">
        <v>2569</v>
      </c>
      <c r="F61" s="621">
        <f>SUM(F40+F52)</f>
        <v>2459.0630000000001</v>
      </c>
      <c r="G61" s="621">
        <f t="shared" si="0"/>
        <v>-4.3</v>
      </c>
      <c r="H61" s="718">
        <v>23.471</v>
      </c>
      <c r="I61" s="621">
        <f>SUM(I40+I52)</f>
        <v>19.602</v>
      </c>
      <c r="J61" s="621">
        <f>IF(H61=0, "    ---- ", IF(ABS(ROUND(100/H61*I61-100,1))&lt;999,ROUND(100/H61*I61-100,1),IF(ROUND(100/H61*I61-100,1)&gt;999,999,-999)))</f>
        <v>-16.5</v>
      </c>
      <c r="K61" s="718">
        <v>0</v>
      </c>
      <c r="L61" s="621">
        <f>SUM(L40+L52)</f>
        <v>26.895</v>
      </c>
      <c r="M61" s="621" t="str">
        <f>IF(K61=0, "    ---- ", IF(ABS(ROUND(100/K61*L61-100,1))&lt;999,ROUND(100/K61*L61-100,1),IF(ROUND(100/K61*L61-100,1)&gt;999,999,-999)))</f>
        <v xml:space="preserve">    ---- </v>
      </c>
      <c r="N61" s="718"/>
      <c r="O61" s="621"/>
      <c r="P61" s="621"/>
      <c r="Q61" s="621">
        <f>SUM(Q40+Q52)</f>
        <v>21472</v>
      </c>
      <c r="R61" s="621">
        <f>SUM(R40+R52)</f>
        <v>28337.312049</v>
      </c>
      <c r="S61" s="621">
        <f>IF(Q61=0, "    ---- ", IF(ABS(ROUND(100/Q61*R61-100,1))&lt;999,ROUND(100/Q61*R61-100,1),IF(ROUND(100/Q61*R61-100,1)&gt;999,999,-999)))</f>
        <v>32</v>
      </c>
      <c r="T61" s="718">
        <v>56.6</v>
      </c>
      <c r="U61" s="621">
        <f>SUM(U40+U52)</f>
        <v>66.8</v>
      </c>
      <c r="V61" s="621">
        <f>IF(T61=0, "    ---- ", IF(ABS(ROUND(100/T61*U61-100,1))&lt;999,ROUND(100/T61*U61-100,1),IF(ROUND(100/T61*U61-100,1)&gt;999,999,-999)))</f>
        <v>18</v>
      </c>
      <c r="W61" s="718">
        <v>941</v>
      </c>
      <c r="X61" s="621">
        <f>SUM(X40+X52)</f>
        <v>1061.3599999999999</v>
      </c>
      <c r="Y61" s="621">
        <f t="shared" si="1"/>
        <v>12.8</v>
      </c>
      <c r="Z61" s="718">
        <v>9993</v>
      </c>
      <c r="AA61" s="621">
        <f>SUM(AA40+AA52)</f>
        <v>9695</v>
      </c>
      <c r="AB61" s="621">
        <f>IF(Z61=0, "    ---- ", IF(ABS(ROUND(100/Z61*AA61-100,1))&lt;999,ROUND(100/Z61*AA61-100,1),IF(ROUND(100/Z61*AA61-100,1)&gt;999,999,-999)))</f>
        <v>-3</v>
      </c>
      <c r="AC61" s="718">
        <v>329.26693137000001</v>
      </c>
      <c r="AD61" s="621"/>
      <c r="AE61" s="621">
        <f>IF(AC61=0, "    ---- ", IF(ABS(ROUND(100/AC61*AD61-100,1))&lt;999,ROUND(100/AC61*AD61-100,1),IF(ROUND(100/AC61*AD61-100,1)&gt;999,999,-999)))</f>
        <v>-100</v>
      </c>
      <c r="AF61" s="718">
        <v>1768.819</v>
      </c>
      <c r="AG61" s="621">
        <f>SUM(AG40+AG52)</f>
        <v>1892.39</v>
      </c>
      <c r="AH61" s="621">
        <f t="shared" si="2"/>
        <v>7</v>
      </c>
      <c r="AI61" s="718">
        <v>5349</v>
      </c>
      <c r="AJ61" s="621">
        <f>SUM(AJ40+AJ52)</f>
        <v>3367</v>
      </c>
      <c r="AK61" s="621">
        <f t="shared" si="3"/>
        <v>-37.1</v>
      </c>
      <c r="AL61" s="621">
        <f t="shared" si="4"/>
        <v>42567.787931370003</v>
      </c>
      <c r="AM61" s="621">
        <f t="shared" si="4"/>
        <v>47001.811048999996</v>
      </c>
      <c r="AN61" s="621">
        <f t="shared" si="5"/>
        <v>10.4</v>
      </c>
      <c r="AO61" s="564"/>
      <c r="AP61" s="564"/>
    </row>
    <row r="62" spans="1:42" ht="18.75" customHeight="1" x14ac:dyDescent="0.3">
      <c r="A62" s="515" t="s">
        <v>286</v>
      </c>
      <c r="B62" s="719"/>
      <c r="C62" s="719"/>
      <c r="D62" s="719"/>
      <c r="E62" s="719"/>
      <c r="F62" s="719"/>
      <c r="G62" s="719"/>
      <c r="H62" s="719"/>
      <c r="I62" s="719"/>
      <c r="J62" s="719"/>
      <c r="K62" s="719"/>
      <c r="L62" s="719"/>
      <c r="M62" s="719"/>
      <c r="N62" s="719"/>
      <c r="O62" s="719"/>
      <c r="P62" s="719"/>
      <c r="Q62" s="719"/>
      <c r="R62" s="719"/>
      <c r="S62" s="719"/>
      <c r="T62" s="719"/>
      <c r="U62" s="719"/>
      <c r="V62" s="719"/>
      <c r="W62" s="719"/>
      <c r="X62" s="719"/>
      <c r="Y62" s="719"/>
      <c r="Z62" s="719"/>
      <c r="AA62" s="719"/>
      <c r="AB62" s="719"/>
      <c r="AC62" s="719"/>
      <c r="AD62" s="719"/>
      <c r="AE62" s="719"/>
      <c r="AF62" s="719"/>
      <c r="AG62" s="719"/>
      <c r="AH62" s="719"/>
      <c r="AI62" s="719"/>
      <c r="AJ62" s="719"/>
      <c r="AK62" s="719"/>
      <c r="AL62" s="719"/>
      <c r="AM62" s="719"/>
      <c r="AN62" s="719"/>
      <c r="AO62" s="564"/>
      <c r="AP62" s="564"/>
    </row>
    <row r="63" spans="1:42" ht="18.75" customHeight="1" x14ac:dyDescent="0.3">
      <c r="A63" s="515" t="s">
        <v>287</v>
      </c>
      <c r="B63" s="719"/>
      <c r="C63" s="719"/>
      <c r="D63" s="719"/>
      <c r="E63" s="719"/>
      <c r="F63" s="719"/>
      <c r="G63" s="719"/>
      <c r="H63" s="719"/>
      <c r="I63" s="719"/>
      <c r="J63" s="719"/>
      <c r="K63" s="719"/>
      <c r="L63" s="719"/>
      <c r="M63" s="719"/>
      <c r="N63" s="719"/>
      <c r="O63" s="719"/>
      <c r="P63" s="719"/>
      <c r="Q63" s="719"/>
      <c r="R63" s="719"/>
      <c r="S63" s="719"/>
      <c r="T63" s="719"/>
      <c r="U63" s="719"/>
      <c r="V63" s="719"/>
      <c r="W63" s="719"/>
      <c r="X63" s="719"/>
      <c r="Y63" s="719"/>
      <c r="Z63" s="719"/>
      <c r="AA63" s="719"/>
      <c r="AB63" s="719"/>
      <c r="AC63" s="719"/>
      <c r="AD63" s="719"/>
      <c r="AE63" s="719"/>
      <c r="AF63" s="719"/>
      <c r="AG63" s="719"/>
      <c r="AH63" s="719"/>
      <c r="AI63" s="719"/>
      <c r="AJ63" s="719"/>
      <c r="AK63" s="719"/>
      <c r="AL63" s="719"/>
      <c r="AM63" s="719"/>
      <c r="AN63" s="719"/>
      <c r="AO63" s="564"/>
      <c r="AP63" s="564"/>
    </row>
    <row r="64" spans="1:42" ht="18.75" customHeight="1" x14ac:dyDescent="0.3">
      <c r="Q64" s="515"/>
      <c r="W64" s="515"/>
      <c r="AI64" s="515"/>
      <c r="AL64" s="515"/>
      <c r="AP64" s="564"/>
    </row>
    <row r="65" spans="1:42" s="515" customFormat="1" ht="18.75" x14ac:dyDescent="0.3">
      <c r="AO65" s="631"/>
      <c r="AP65" s="631"/>
    </row>
    <row r="66" spans="1:42" s="515" customFormat="1" ht="18.75" x14ac:dyDescent="0.3">
      <c r="A66" s="797"/>
      <c r="B66" s="793"/>
      <c r="C66" s="793"/>
      <c r="D66" s="797"/>
      <c r="E66" s="797"/>
      <c r="F66" s="797"/>
      <c r="G66" s="797"/>
      <c r="H66" s="793"/>
      <c r="I66" s="793"/>
      <c r="J66" s="797"/>
      <c r="K66" s="793"/>
      <c r="L66" s="793"/>
      <c r="M66" s="797"/>
      <c r="N66" s="793"/>
      <c r="O66" s="793"/>
      <c r="P66" s="797"/>
      <c r="Q66" s="793"/>
      <c r="R66" s="793"/>
      <c r="S66" s="797"/>
      <c r="T66" s="793"/>
      <c r="U66" s="793"/>
      <c r="V66" s="797"/>
      <c r="W66" s="793"/>
      <c r="X66" s="793"/>
      <c r="Y66" s="797"/>
      <c r="Z66" s="797"/>
      <c r="AA66" s="797"/>
      <c r="AB66" s="797"/>
      <c r="AC66" s="797"/>
      <c r="AD66" s="797"/>
      <c r="AE66" s="797"/>
      <c r="AF66" s="793"/>
      <c r="AG66" s="793"/>
      <c r="AH66" s="797"/>
      <c r="AI66" s="793"/>
      <c r="AJ66" s="793"/>
      <c r="AK66" s="797"/>
      <c r="AL66" s="793"/>
      <c r="AM66" s="793"/>
      <c r="AN66" s="797"/>
      <c r="AO66" s="631"/>
      <c r="AP66" s="631"/>
    </row>
    <row r="67" spans="1:42" s="515" customFormat="1" ht="18.75" x14ac:dyDescent="0.3">
      <c r="Q67" s="798"/>
    </row>
    <row r="68" spans="1:42" s="515" customFormat="1" ht="18.75" x14ac:dyDescent="0.3"/>
    <row r="69" spans="1:42" s="515" customFormat="1" ht="18.75" x14ac:dyDescent="0.3"/>
    <row r="70" spans="1:42" s="515" customFormat="1" ht="18.75" x14ac:dyDescent="0.3"/>
    <row r="71" spans="1:42" s="515" customFormat="1" ht="18.75" x14ac:dyDescent="0.3"/>
    <row r="72" spans="1:42" s="515" customFormat="1" ht="18.75" x14ac:dyDescent="0.3"/>
    <row r="73" spans="1:42" s="515" customFormat="1" ht="18.75" x14ac:dyDescent="0.3"/>
    <row r="74" spans="1:42" s="515" customFormat="1" ht="18.75" x14ac:dyDescent="0.3"/>
    <row r="75" spans="1:42" s="515" customFormat="1" ht="18.75" x14ac:dyDescent="0.3"/>
    <row r="76" spans="1:42" s="515" customFormat="1" ht="18.75" x14ac:dyDescent="0.3"/>
    <row r="77" spans="1:42" s="515" customFormat="1" ht="18.75" x14ac:dyDescent="0.3"/>
    <row r="78" spans="1:42" s="515" customFormat="1" ht="18.75" x14ac:dyDescent="0.3"/>
    <row r="79" spans="1:42" s="515" customFormat="1" ht="18.75" x14ac:dyDescent="0.3"/>
    <row r="80" spans="1:42" s="515" customFormat="1" ht="18.75" x14ac:dyDescent="0.3"/>
    <row r="81" spans="1:40" s="515" customFormat="1" ht="18.75" x14ac:dyDescent="0.3"/>
    <row r="82" spans="1:40" s="515" customFormat="1" ht="18.75" x14ac:dyDescent="0.3">
      <c r="A82" s="631"/>
      <c r="B82" s="631"/>
      <c r="C82" s="631"/>
      <c r="D82" s="631"/>
      <c r="E82" s="631"/>
      <c r="F82" s="631"/>
      <c r="G82" s="631"/>
      <c r="H82" s="631"/>
      <c r="I82" s="631"/>
      <c r="J82" s="631"/>
      <c r="K82" s="631"/>
      <c r="L82" s="631"/>
      <c r="M82" s="631"/>
      <c r="N82" s="631"/>
      <c r="O82" s="631"/>
      <c r="P82" s="631"/>
      <c r="Q82" s="631"/>
      <c r="R82" s="631"/>
      <c r="S82" s="631"/>
      <c r="T82" s="631"/>
      <c r="U82" s="631"/>
      <c r="V82" s="631"/>
      <c r="W82" s="631"/>
      <c r="X82" s="631"/>
      <c r="Y82" s="631"/>
      <c r="Z82" s="631"/>
      <c r="AA82" s="631"/>
      <c r="AB82" s="631"/>
      <c r="AC82" s="631"/>
      <c r="AD82" s="631"/>
      <c r="AE82" s="631"/>
      <c r="AF82" s="631"/>
      <c r="AG82" s="631"/>
      <c r="AH82" s="631"/>
      <c r="AI82" s="631"/>
      <c r="AJ82" s="631"/>
      <c r="AK82" s="631"/>
      <c r="AL82" s="631"/>
      <c r="AM82" s="631"/>
      <c r="AN82" s="631"/>
    </row>
    <row r="83" spans="1:40" s="515" customFormat="1" ht="18.75" x14ac:dyDescent="0.3">
      <c r="A83" s="631"/>
      <c r="B83" s="631"/>
      <c r="C83" s="631"/>
      <c r="D83" s="631"/>
      <c r="E83" s="631"/>
      <c r="F83" s="631"/>
      <c r="G83" s="631"/>
      <c r="H83" s="631"/>
      <c r="I83" s="631"/>
      <c r="J83" s="631"/>
      <c r="K83" s="631"/>
      <c r="L83" s="631"/>
      <c r="M83" s="631"/>
      <c r="N83" s="631"/>
      <c r="O83" s="631"/>
      <c r="P83" s="631"/>
      <c r="Q83" s="631"/>
      <c r="R83" s="631"/>
      <c r="S83" s="631"/>
      <c r="T83" s="631"/>
      <c r="U83" s="631"/>
      <c r="V83" s="631"/>
      <c r="W83" s="631"/>
      <c r="X83" s="631"/>
      <c r="Y83" s="631"/>
      <c r="Z83" s="631"/>
      <c r="AA83" s="631"/>
      <c r="AB83" s="631"/>
      <c r="AC83" s="631"/>
      <c r="AD83" s="631"/>
      <c r="AE83" s="631"/>
      <c r="AF83" s="631"/>
      <c r="AG83" s="631"/>
      <c r="AH83" s="631"/>
      <c r="AI83" s="631"/>
      <c r="AJ83" s="631"/>
      <c r="AK83" s="631"/>
      <c r="AL83" s="631"/>
      <c r="AM83" s="631"/>
      <c r="AN83" s="631"/>
    </row>
    <row r="84" spans="1:40" s="515" customFormat="1" ht="18.75" x14ac:dyDescent="0.3">
      <c r="A84" s="631"/>
      <c r="B84" s="631"/>
      <c r="C84" s="631"/>
      <c r="D84" s="631"/>
      <c r="E84" s="631"/>
      <c r="F84" s="631"/>
      <c r="G84" s="631"/>
      <c r="H84" s="631"/>
      <c r="I84" s="631"/>
      <c r="J84" s="631"/>
      <c r="K84" s="631"/>
      <c r="L84" s="631"/>
      <c r="M84" s="631"/>
      <c r="N84" s="631"/>
      <c r="O84" s="631"/>
      <c r="P84" s="631"/>
      <c r="Q84" s="631"/>
      <c r="R84" s="631"/>
      <c r="S84" s="631"/>
      <c r="T84" s="631"/>
      <c r="U84" s="631"/>
      <c r="V84" s="631"/>
      <c r="W84" s="631"/>
      <c r="X84" s="631"/>
      <c r="Y84" s="631"/>
      <c r="Z84" s="631"/>
      <c r="AA84" s="631"/>
      <c r="AB84" s="631"/>
      <c r="AC84" s="631"/>
      <c r="AD84" s="631"/>
      <c r="AE84" s="631"/>
      <c r="AF84" s="631"/>
      <c r="AG84" s="631"/>
      <c r="AH84" s="631"/>
      <c r="AI84" s="631"/>
      <c r="AJ84" s="631"/>
      <c r="AK84" s="631"/>
      <c r="AL84" s="631"/>
      <c r="AM84" s="631"/>
      <c r="AN84" s="631"/>
    </row>
    <row r="85" spans="1:40" s="515" customFormat="1" ht="18.75" x14ac:dyDescent="0.3">
      <c r="A85" s="631"/>
      <c r="B85" s="631"/>
      <c r="C85" s="631"/>
      <c r="D85" s="631"/>
      <c r="E85" s="631"/>
      <c r="F85" s="631"/>
      <c r="G85" s="631"/>
      <c r="H85" s="631"/>
      <c r="I85" s="631"/>
      <c r="J85" s="631"/>
      <c r="K85" s="631"/>
      <c r="L85" s="631"/>
      <c r="M85" s="631"/>
      <c r="N85" s="631"/>
      <c r="O85" s="631"/>
      <c r="P85" s="631"/>
      <c r="Q85" s="631"/>
      <c r="R85" s="631"/>
      <c r="S85" s="631"/>
      <c r="T85" s="631"/>
      <c r="U85" s="631"/>
      <c r="V85" s="631"/>
      <c r="W85" s="631"/>
      <c r="X85" s="631"/>
      <c r="Y85" s="631"/>
      <c r="Z85" s="631"/>
      <c r="AA85" s="631"/>
      <c r="AB85" s="631"/>
      <c r="AC85" s="631"/>
      <c r="AD85" s="631"/>
      <c r="AE85" s="631"/>
      <c r="AF85" s="631"/>
      <c r="AG85" s="631"/>
      <c r="AH85" s="631"/>
      <c r="AI85" s="631"/>
      <c r="AJ85" s="631"/>
      <c r="AK85" s="631"/>
      <c r="AL85" s="631"/>
      <c r="AM85" s="631"/>
      <c r="AN85" s="631"/>
    </row>
    <row r="86" spans="1:40" s="515" customFormat="1" ht="18.75" x14ac:dyDescent="0.3"/>
    <row r="87" spans="1:40" s="515" customFormat="1" ht="18.75" x14ac:dyDescent="0.3"/>
    <row r="88" spans="1:40" s="515" customFormat="1" ht="18.75" x14ac:dyDescent="0.3"/>
    <row r="89" spans="1:40" s="515" customFormat="1" ht="18.75" x14ac:dyDescent="0.3"/>
    <row r="90" spans="1:40" s="515" customFormat="1" ht="18.75" x14ac:dyDescent="0.3"/>
    <row r="91" spans="1:40" s="515" customFormat="1" ht="18.75" x14ac:dyDescent="0.3"/>
    <row r="92" spans="1:40" s="515" customFormat="1" ht="18.75" x14ac:dyDescent="0.3"/>
    <row r="93" spans="1:40" s="515" customFormat="1" ht="18.75" x14ac:dyDescent="0.3"/>
    <row r="94" spans="1:40" s="515" customFormat="1" ht="18.75" x14ac:dyDescent="0.3"/>
    <row r="95" spans="1:40" s="515" customFormat="1" ht="18.75" x14ac:dyDescent="0.3"/>
    <row r="96" spans="1:40" s="515" customFormat="1" ht="18.75" x14ac:dyDescent="0.3"/>
    <row r="97" s="515" customFormat="1" ht="18.75" x14ac:dyDescent="0.3"/>
  </sheetData>
  <mergeCells count="34">
    <mergeCell ref="T5:V5"/>
    <mergeCell ref="B5:D5"/>
    <mergeCell ref="E5:G5"/>
    <mergeCell ref="H5:J5"/>
    <mergeCell ref="K5:M5"/>
    <mergeCell ref="N5:P5"/>
    <mergeCell ref="AT5:AV5"/>
    <mergeCell ref="AW5:AY5"/>
    <mergeCell ref="AZ5:BB5"/>
    <mergeCell ref="BC5:BE5"/>
    <mergeCell ref="B6:D6"/>
    <mergeCell ref="E6:G6"/>
    <mergeCell ref="H6:J6"/>
    <mergeCell ref="K6:M6"/>
    <mergeCell ref="N6:P6"/>
    <mergeCell ref="Q6:S6"/>
    <mergeCell ref="Z5:AB5"/>
    <mergeCell ref="AC5:AE5"/>
    <mergeCell ref="AF5:AH5"/>
    <mergeCell ref="AI5:AK5"/>
    <mergeCell ref="AL5:AN5"/>
    <mergeCell ref="AQ5:AS5"/>
    <mergeCell ref="BC6:BE6"/>
    <mergeCell ref="T6:V6"/>
    <mergeCell ref="W6:Y6"/>
    <mergeCell ref="Z6:AB6"/>
    <mergeCell ref="AC6:AE6"/>
    <mergeCell ref="AF6:AH6"/>
    <mergeCell ref="AI6:AK6"/>
    <mergeCell ref="AL6:AN6"/>
    <mergeCell ref="AQ6:AS6"/>
    <mergeCell ref="AT6:AV6"/>
    <mergeCell ref="AW6:AY6"/>
    <mergeCell ref="AZ6:BB6"/>
  </mergeCells>
  <hyperlinks>
    <hyperlink ref="B1" location="Innhold!A1" display="Tilbake"/>
  </hyperlinks>
  <pageMargins left="0.78740157480314965" right="0.78740157480314965" top="1.5748031496062993" bottom="0.98425196850393704" header="0.51181102362204722" footer="0.51181102362204722"/>
  <pageSetup paperSize="9" scale="45" fitToWidth="4" orientation="portrait" r:id="rId1"/>
  <headerFooter alignWithMargins="0"/>
  <colBreaks count="4" manualBreakCount="4">
    <brk id="10" min="1" max="63" man="1"/>
    <brk id="19" min="1" max="63" man="1"/>
    <brk id="28" min="1" max="63" man="1"/>
    <brk id="37" min="1" max="63"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3"/>
  <sheetViews>
    <sheetView showGridLines="0" zoomScale="60" zoomScaleNormal="60" workbookViewId="0">
      <pane xSplit="1" ySplit="8" topLeftCell="B9" activePane="bottomRight" state="frozen"/>
      <selection activeCell="AJ43" sqref="AJ43"/>
      <selection pane="topRight" activeCell="AJ43" sqref="AJ43"/>
      <selection pane="bottomLeft" activeCell="AJ43" sqref="AJ43"/>
      <selection pane="bottomRight" activeCell="A4" sqref="A4"/>
    </sheetView>
  </sheetViews>
  <sheetFormatPr baseColWidth="10" defaultColWidth="12.5703125" defaultRowHeight="15.75" x14ac:dyDescent="0.25"/>
  <cols>
    <col min="1" max="1" width="77.7109375" style="660" customWidth="1"/>
    <col min="2" max="37" width="11.7109375" style="660" customWidth="1"/>
    <col min="38" max="38" width="13" style="660" customWidth="1"/>
    <col min="39" max="39" width="13.140625" style="660" customWidth="1"/>
    <col min="40" max="42" width="11.7109375" style="660" customWidth="1"/>
    <col min="43" max="43" width="7.7109375" style="660" customWidth="1"/>
    <col min="44" max="45" width="11.7109375" style="660" customWidth="1"/>
    <col min="46" max="46" width="7.7109375" style="660" customWidth="1"/>
    <col min="47" max="16384" width="12.5703125" style="660"/>
  </cols>
  <sheetData>
    <row r="1" spans="1:42" ht="20.25" customHeight="1" x14ac:dyDescent="0.3">
      <c r="A1" s="588" t="s">
        <v>206</v>
      </c>
      <c r="B1" s="405" t="s">
        <v>64</v>
      </c>
    </row>
    <row r="2" spans="1:42" ht="20.100000000000001" customHeight="1" x14ac:dyDescent="0.3">
      <c r="A2" s="720" t="s">
        <v>494</v>
      </c>
    </row>
    <row r="3" spans="1:42" ht="20.100000000000001" customHeight="1" x14ac:dyDescent="0.3">
      <c r="A3" s="590" t="s">
        <v>495</v>
      </c>
      <c r="AO3" s="733"/>
    </row>
    <row r="4" spans="1:42" ht="18.75" customHeight="1" x14ac:dyDescent="0.25">
      <c r="A4" s="693" t="s">
        <v>403</v>
      </c>
      <c r="B4" s="642"/>
      <c r="C4" s="640"/>
      <c r="D4" s="641"/>
      <c r="E4" s="640"/>
      <c r="F4" s="640"/>
      <c r="G4" s="640"/>
      <c r="H4" s="640"/>
      <c r="I4" s="640"/>
      <c r="J4" s="641"/>
      <c r="K4" s="640"/>
      <c r="L4" s="640"/>
      <c r="M4" s="641"/>
      <c r="N4" s="640"/>
      <c r="O4" s="640"/>
      <c r="P4" s="641"/>
      <c r="Q4" s="642"/>
      <c r="R4" s="640"/>
      <c r="S4" s="641"/>
      <c r="T4" s="642"/>
      <c r="U4" s="640"/>
      <c r="V4" s="641"/>
      <c r="W4" s="642"/>
      <c r="X4" s="640"/>
      <c r="Y4" s="641"/>
      <c r="Z4" s="640"/>
      <c r="AA4" s="640"/>
      <c r="AB4" s="641"/>
      <c r="AC4" s="642"/>
      <c r="AD4" s="640"/>
      <c r="AE4" s="641"/>
      <c r="AF4" s="642"/>
      <c r="AG4" s="640"/>
      <c r="AH4" s="641"/>
      <c r="AI4" s="642"/>
      <c r="AJ4" s="640"/>
      <c r="AK4" s="641"/>
      <c r="AL4" s="642"/>
      <c r="AM4" s="640"/>
      <c r="AN4" s="641"/>
      <c r="AO4" s="733"/>
      <c r="AP4" s="733"/>
    </row>
    <row r="5" spans="1:42" ht="18.75" customHeight="1" x14ac:dyDescent="0.3">
      <c r="A5" s="643" t="s">
        <v>496</v>
      </c>
      <c r="B5" s="862" t="s">
        <v>209</v>
      </c>
      <c r="C5" s="863"/>
      <c r="D5" s="864"/>
      <c r="E5" s="845" t="s">
        <v>210</v>
      </c>
      <c r="F5" s="846"/>
      <c r="G5" s="847"/>
      <c r="H5" s="845" t="s">
        <v>211</v>
      </c>
      <c r="I5" s="846"/>
      <c r="J5" s="847"/>
      <c r="K5" s="862" t="s">
        <v>212</v>
      </c>
      <c r="L5" s="863"/>
      <c r="M5" s="864"/>
      <c r="N5" s="721"/>
      <c r="O5" s="721"/>
      <c r="P5" s="722"/>
      <c r="Q5" s="845" t="s">
        <v>76</v>
      </c>
      <c r="R5" s="846"/>
      <c r="S5" s="847"/>
      <c r="T5" s="862" t="s">
        <v>213</v>
      </c>
      <c r="U5" s="863"/>
      <c r="V5" s="864"/>
      <c r="W5" s="862"/>
      <c r="X5" s="863"/>
      <c r="Y5" s="864"/>
      <c r="Z5" s="845" t="s">
        <v>88</v>
      </c>
      <c r="AA5" s="846"/>
      <c r="AB5" s="847"/>
      <c r="AC5" s="845"/>
      <c r="AD5" s="846"/>
      <c r="AE5" s="847"/>
      <c r="AF5" s="862" t="s">
        <v>89</v>
      </c>
      <c r="AG5" s="863"/>
      <c r="AH5" s="864"/>
      <c r="AI5" s="862" t="s">
        <v>471</v>
      </c>
      <c r="AJ5" s="863"/>
      <c r="AK5" s="864"/>
      <c r="AL5" s="862" t="s">
        <v>347</v>
      </c>
      <c r="AM5" s="863"/>
      <c r="AN5" s="864"/>
      <c r="AO5" s="733"/>
      <c r="AP5" s="733"/>
    </row>
    <row r="6" spans="1:42" ht="18.75" customHeight="1" x14ac:dyDescent="0.3">
      <c r="A6" s="644" t="s">
        <v>472</v>
      </c>
      <c r="B6" s="857" t="s">
        <v>215</v>
      </c>
      <c r="C6" s="858"/>
      <c r="D6" s="859"/>
      <c r="E6" s="839" t="s">
        <v>216</v>
      </c>
      <c r="F6" s="840"/>
      <c r="G6" s="841"/>
      <c r="H6" s="839" t="s">
        <v>216</v>
      </c>
      <c r="I6" s="840"/>
      <c r="J6" s="841"/>
      <c r="K6" s="857" t="s">
        <v>217</v>
      </c>
      <c r="L6" s="858"/>
      <c r="M6" s="859"/>
      <c r="N6" s="723"/>
      <c r="O6" s="723" t="s">
        <v>76</v>
      </c>
      <c r="P6" s="724"/>
      <c r="Q6" s="839" t="s">
        <v>218</v>
      </c>
      <c r="R6" s="840"/>
      <c r="S6" s="841"/>
      <c r="T6" s="857" t="s">
        <v>81</v>
      </c>
      <c r="U6" s="858"/>
      <c r="V6" s="859"/>
      <c r="W6" s="857" t="s">
        <v>87</v>
      </c>
      <c r="X6" s="858"/>
      <c r="Y6" s="859"/>
      <c r="Z6" s="839" t="s">
        <v>219</v>
      </c>
      <c r="AA6" s="840"/>
      <c r="AB6" s="841"/>
      <c r="AC6" s="839" t="s">
        <v>83</v>
      </c>
      <c r="AD6" s="840"/>
      <c r="AE6" s="841"/>
      <c r="AF6" s="857" t="s">
        <v>216</v>
      </c>
      <c r="AG6" s="858"/>
      <c r="AH6" s="859"/>
      <c r="AI6" s="857" t="s">
        <v>497</v>
      </c>
      <c r="AJ6" s="858"/>
      <c r="AK6" s="859"/>
      <c r="AL6" s="857" t="s">
        <v>498</v>
      </c>
      <c r="AM6" s="858"/>
      <c r="AN6" s="859"/>
      <c r="AO6" s="733"/>
      <c r="AP6" s="733"/>
    </row>
    <row r="7" spans="1:42" ht="18.75" customHeight="1" x14ac:dyDescent="0.3">
      <c r="A7" s="644"/>
      <c r="B7" s="541"/>
      <c r="C7" s="541"/>
      <c r="D7" s="428" t="s">
        <v>100</v>
      </c>
      <c r="E7" s="541"/>
      <c r="F7" s="541"/>
      <c r="G7" s="428" t="s">
        <v>100</v>
      </c>
      <c r="H7" s="541"/>
      <c r="I7" s="541"/>
      <c r="J7" s="428" t="s">
        <v>100</v>
      </c>
      <c r="K7" s="541"/>
      <c r="L7" s="541"/>
      <c r="M7" s="428" t="s">
        <v>100</v>
      </c>
      <c r="N7" s="541"/>
      <c r="O7" s="541"/>
      <c r="P7" s="428" t="s">
        <v>100</v>
      </c>
      <c r="Q7" s="541"/>
      <c r="R7" s="541"/>
      <c r="S7" s="428" t="s">
        <v>100</v>
      </c>
      <c r="T7" s="541"/>
      <c r="U7" s="541"/>
      <c r="V7" s="428" t="s">
        <v>100</v>
      </c>
      <c r="W7" s="541"/>
      <c r="X7" s="541"/>
      <c r="Y7" s="428" t="s">
        <v>100</v>
      </c>
      <c r="Z7" s="541"/>
      <c r="AA7" s="541"/>
      <c r="AB7" s="428" t="s">
        <v>100</v>
      </c>
      <c r="AC7" s="541"/>
      <c r="AD7" s="541"/>
      <c r="AE7" s="428" t="s">
        <v>100</v>
      </c>
      <c r="AF7" s="541"/>
      <c r="AG7" s="541"/>
      <c r="AH7" s="428" t="s">
        <v>100</v>
      </c>
      <c r="AI7" s="541"/>
      <c r="AJ7" s="541"/>
      <c r="AK7" s="428" t="s">
        <v>100</v>
      </c>
      <c r="AL7" s="541"/>
      <c r="AM7" s="541"/>
      <c r="AN7" s="428" t="s">
        <v>100</v>
      </c>
      <c r="AO7" s="733"/>
      <c r="AP7" s="733"/>
    </row>
    <row r="8" spans="1:42" ht="18.75" customHeight="1" x14ac:dyDescent="0.25">
      <c r="A8" s="645" t="s">
        <v>350</v>
      </c>
      <c r="B8" s="543">
        <v>2015</v>
      </c>
      <c r="C8" s="543">
        <v>2016</v>
      </c>
      <c r="D8" s="431" t="s">
        <v>102</v>
      </c>
      <c r="E8" s="543">
        <v>2015</v>
      </c>
      <c r="F8" s="543">
        <v>2016</v>
      </c>
      <c r="G8" s="431" t="s">
        <v>102</v>
      </c>
      <c r="H8" s="543">
        <v>2015</v>
      </c>
      <c r="I8" s="543">
        <v>2016</v>
      </c>
      <c r="J8" s="431" t="s">
        <v>102</v>
      </c>
      <c r="K8" s="543">
        <v>2015</v>
      </c>
      <c r="L8" s="543">
        <v>2016</v>
      </c>
      <c r="M8" s="431" t="s">
        <v>102</v>
      </c>
      <c r="N8" s="543">
        <v>2015</v>
      </c>
      <c r="O8" s="543">
        <v>2016</v>
      </c>
      <c r="P8" s="431" t="s">
        <v>102</v>
      </c>
      <c r="Q8" s="543">
        <v>2015</v>
      </c>
      <c r="R8" s="543">
        <v>2016</v>
      </c>
      <c r="S8" s="431" t="s">
        <v>102</v>
      </c>
      <c r="T8" s="543">
        <v>2015</v>
      </c>
      <c r="U8" s="543">
        <v>2016</v>
      </c>
      <c r="V8" s="431" t="s">
        <v>102</v>
      </c>
      <c r="W8" s="543">
        <v>2015</v>
      </c>
      <c r="X8" s="543">
        <v>2016</v>
      </c>
      <c r="Y8" s="431" t="s">
        <v>102</v>
      </c>
      <c r="Z8" s="543">
        <v>2015</v>
      </c>
      <c r="AA8" s="543">
        <v>2016</v>
      </c>
      <c r="AB8" s="431" t="s">
        <v>102</v>
      </c>
      <c r="AC8" s="543">
        <v>2015</v>
      </c>
      <c r="AD8" s="543">
        <v>2016</v>
      </c>
      <c r="AE8" s="431" t="s">
        <v>102</v>
      </c>
      <c r="AF8" s="543">
        <v>2015</v>
      </c>
      <c r="AG8" s="543">
        <v>2016</v>
      </c>
      <c r="AH8" s="431" t="s">
        <v>102</v>
      </c>
      <c r="AI8" s="543">
        <v>2015</v>
      </c>
      <c r="AJ8" s="543">
        <v>2016</v>
      </c>
      <c r="AK8" s="431" t="s">
        <v>102</v>
      </c>
      <c r="AL8" s="543">
        <v>2015</v>
      </c>
      <c r="AM8" s="543">
        <v>2016</v>
      </c>
      <c r="AN8" s="431" t="s">
        <v>102</v>
      </c>
      <c r="AO8" s="733"/>
      <c r="AP8" s="733"/>
    </row>
    <row r="9" spans="1:42" ht="18.75" customHeight="1" x14ac:dyDescent="0.3">
      <c r="A9" s="725"/>
      <c r="B9" s="726"/>
      <c r="C9" s="565"/>
      <c r="D9" s="565"/>
      <c r="E9" s="726"/>
      <c r="F9" s="565"/>
      <c r="G9" s="565"/>
      <c r="H9" s="726"/>
      <c r="I9" s="727"/>
      <c r="J9" s="565"/>
      <c r="K9" s="726"/>
      <c r="L9" s="565"/>
      <c r="M9" s="565"/>
      <c r="N9" s="728"/>
      <c r="O9" s="727"/>
      <c r="P9" s="565"/>
      <c r="Q9" s="726"/>
      <c r="R9" s="727"/>
      <c r="S9" s="565"/>
      <c r="T9" s="663"/>
      <c r="U9" s="664"/>
      <c r="V9" s="729"/>
      <c r="W9" s="663"/>
      <c r="X9" s="659"/>
      <c r="Y9" s="729"/>
      <c r="Z9" s="730"/>
      <c r="AA9" s="729"/>
      <c r="AB9" s="729"/>
      <c r="AC9" s="731"/>
      <c r="AD9" s="732"/>
      <c r="AE9" s="729"/>
      <c r="AF9" s="726"/>
      <c r="AG9" s="565"/>
      <c r="AH9" s="729"/>
      <c r="AI9" s="659"/>
      <c r="AJ9" s="659"/>
      <c r="AK9" s="565"/>
      <c r="AL9" s="659"/>
      <c r="AM9" s="659"/>
      <c r="AN9" s="565"/>
      <c r="AO9" s="733"/>
      <c r="AP9" s="733"/>
    </row>
    <row r="10" spans="1:42" s="661" customFormat="1" ht="18.75" customHeight="1" x14ac:dyDescent="0.3">
      <c r="A10" s="480" t="s">
        <v>499</v>
      </c>
      <c r="B10" s="734"/>
      <c r="C10" s="658"/>
      <c r="D10" s="658"/>
      <c r="E10" s="734"/>
      <c r="F10" s="658"/>
      <c r="G10" s="658"/>
      <c r="H10" s="734"/>
      <c r="I10" s="735"/>
      <c r="J10" s="658"/>
      <c r="K10" s="734"/>
      <c r="L10" s="658"/>
      <c r="M10" s="658"/>
      <c r="N10" s="736"/>
      <c r="O10" s="735"/>
      <c r="P10" s="658"/>
      <c r="Q10" s="734"/>
      <c r="R10" s="735"/>
      <c r="S10" s="658"/>
      <c r="T10" s="665"/>
      <c r="U10" s="666"/>
      <c r="V10" s="737"/>
      <c r="W10" s="665"/>
      <c r="X10" s="657"/>
      <c r="Y10" s="737"/>
      <c r="Z10" s="738"/>
      <c r="AA10" s="737"/>
      <c r="AB10" s="737"/>
      <c r="AC10" s="739"/>
      <c r="AD10" s="740"/>
      <c r="AE10" s="737"/>
      <c r="AF10" s="734"/>
      <c r="AG10" s="658"/>
      <c r="AH10" s="737"/>
      <c r="AI10" s="657"/>
      <c r="AJ10" s="657"/>
      <c r="AK10" s="658"/>
      <c r="AL10" s="657"/>
      <c r="AM10" s="657"/>
      <c r="AN10" s="658"/>
      <c r="AO10" s="636"/>
      <c r="AP10" s="636"/>
    </row>
    <row r="11" spans="1:42" s="661" customFormat="1" ht="18.75" customHeight="1" x14ac:dyDescent="0.3">
      <c r="A11" s="713" t="s">
        <v>500</v>
      </c>
      <c r="B11" s="734">
        <v>12236.492</v>
      </c>
      <c r="C11" s="658">
        <f>SUM(C12:C15)</f>
        <v>13937.968000000001</v>
      </c>
      <c r="D11" s="658">
        <f>IF(B11=0, "    ---- ", IF(ABS(ROUND(100/B11*C11-100,1))&lt;999,ROUND(100/B11*C11-100,1),IF(ROUND(100/B11*C11-100,1)&gt;999,999,-999)))</f>
        <v>13.9</v>
      </c>
      <c r="E11" s="734">
        <v>49108.140999999996</v>
      </c>
      <c r="F11" s="658">
        <f>SUM(F12:F15)</f>
        <v>59589.592000000004</v>
      </c>
      <c r="G11" s="658">
        <f>IF(E11=0, "    ---- ", IF(ABS(ROUND(100/E11*F11-100,1))&lt;999,ROUND(100/E11*F11-100,1),IF(ROUND(100/E11*F11-100,1)&gt;999,999,-999)))</f>
        <v>21.3</v>
      </c>
      <c r="H11" s="734">
        <v>2345.808</v>
      </c>
      <c r="I11" s="735">
        <f>SUM(I12:I15)</f>
        <v>2680.7449999999999</v>
      </c>
      <c r="J11" s="658">
        <f>IF(H11=0, "    ---- ", IF(ABS(ROUND(100/H11*I11-100,1))&lt;999,ROUND(100/H11*I11-100,1),IF(ROUND(100/H11*I11-100,1)&gt;999,999,-999)))</f>
        <v>14.3</v>
      </c>
      <c r="K11" s="734">
        <v>14862.969000000001</v>
      </c>
      <c r="L11" s="658">
        <f>SUM(L12:L15)</f>
        <v>17513.424999999999</v>
      </c>
      <c r="M11" s="658">
        <f>IF(K11=0, "    ---- ", IF(ABS(ROUND(100/K11*L11-100,1))&lt;999,ROUND(100/K11*L11-100,1),IF(ROUND(100/K11*L11-100,1)&gt;999,999,-999)))</f>
        <v>17.8</v>
      </c>
      <c r="N11" s="735">
        <f>SUM(N12:N15)</f>
        <v>1684</v>
      </c>
      <c r="O11" s="735">
        <f>SUM(O12:O15)</f>
        <v>1765.96595215</v>
      </c>
      <c r="P11" s="658">
        <f>IF(N11=0, "    ---- ", IF(ABS(ROUND(100/N11*O11-100,1))&lt;999,ROUND(100/N11*O11-100,1),IF(ROUND(100/N11*O11-100,1)&gt;999,999,-999)))</f>
        <v>4.9000000000000004</v>
      </c>
      <c r="Q11" s="734">
        <v>1174.8</v>
      </c>
      <c r="R11" s="735">
        <f>SUM(R12:R15)</f>
        <v>1665.3</v>
      </c>
      <c r="S11" s="658">
        <f>IF(Q11=0, "    ---- ", IF(ABS(ROUND(100/Q11*R11-100,1))&lt;999,ROUND(100/Q11*R11-100,1),IF(ROUND(100/Q11*R11-100,1)&gt;999,999,-999)))</f>
        <v>41.8</v>
      </c>
      <c r="T11" s="734">
        <v>39139</v>
      </c>
      <c r="U11" s="735">
        <f>SUM(U12:U15)</f>
        <v>47301.16</v>
      </c>
      <c r="V11" s="741">
        <f>IF(T11=0, "    ---- ", IF(ABS(ROUND(100/T11*U11-100,1))&lt;999,ROUND(100/T11*U11-100,1),IF(ROUND(100/T11*U11-100,1)&gt;999,999,-999)))</f>
        <v>20.9</v>
      </c>
      <c r="W11" s="734">
        <v>1611</v>
      </c>
      <c r="X11" s="658">
        <f>SUM(X12:X15)</f>
        <v>1764</v>
      </c>
      <c r="Y11" s="737">
        <f>IF(W11=0, "    ---- ", IF(ABS(ROUND(100/W11*X11-100,1))&lt;999,ROUND(100/W11*X11-100,1),IF(ROUND(100/W11*X11-100,1)&gt;999,999,-999)))</f>
        <v>9.5</v>
      </c>
      <c r="Z11" s="734">
        <v>554.65576253999996</v>
      </c>
      <c r="AA11" s="658"/>
      <c r="AB11" s="737">
        <f>IF(Z11=0, "    ---- ", IF(ABS(ROUND(100/Z11*AA11-100,1))&lt;999,ROUND(100/Z11*AA11-100,1),IF(ROUND(100/Z11*AA11-100,1)&gt;999,999,-999)))</f>
        <v>-100</v>
      </c>
      <c r="AC11" s="734">
        <v>15244.019</v>
      </c>
      <c r="AD11" s="658">
        <f>SUM(AD12:AD15)</f>
        <v>18759.542999999998</v>
      </c>
      <c r="AE11" s="741">
        <f>IF(AC11=0, "    ---- ", IF(ABS(ROUND(100/AC11*AD11-100,1))&lt;999,ROUND(100/AC11*AD11-100,1),IF(ROUND(100/AC11*AD11-100,1)&gt;999,999,-999)))</f>
        <v>23.1</v>
      </c>
      <c r="AF11" s="734">
        <v>53894</v>
      </c>
      <c r="AG11" s="658">
        <f>SUM(AG12:AG15)</f>
        <v>65143.6</v>
      </c>
      <c r="AH11" s="741">
        <f t="shared" ref="AH11:AH44" si="0">IF(AF11=0, "    ---- ", IF(ABS(ROUND(100/AF11*AG11-100,1))&lt;999,ROUND(100/AF11*AG11-100,1),IF(ROUND(100/AF11*AG11-100,1)&gt;999,999,-999)))</f>
        <v>20.9</v>
      </c>
      <c r="AI11" s="658">
        <f>+B11+E11+H11+K11+N11+Q11+T11+W11+Z11+AC11+AF11</f>
        <v>191854.88476253999</v>
      </c>
      <c r="AJ11" s="658">
        <f>+C11+F11+I11+L11+O11+R11+U11+X11+AA11+AD11+AG11</f>
        <v>230121.29895215001</v>
      </c>
      <c r="AK11" s="658">
        <f>IF(AI11=0, "    ---- ", IF(ABS(ROUND(100/AI11*AJ11-100,1))&lt;999,ROUND(100/AI11*AJ11-100,1),IF(ROUND(100/AI11*AJ11-100,1)&gt;999,999,-999)))</f>
        <v>19.899999999999999</v>
      </c>
      <c r="AL11" s="742"/>
      <c r="AM11" s="742"/>
      <c r="AN11" s="742"/>
      <c r="AO11" s="636"/>
      <c r="AP11" s="636"/>
    </row>
    <row r="12" spans="1:42" s="633" customFormat="1" ht="18.75" customHeight="1" x14ac:dyDescent="0.3">
      <c r="A12" s="440" t="s">
        <v>476</v>
      </c>
      <c r="B12" s="726">
        <v>1492.46</v>
      </c>
      <c r="C12" s="565">
        <v>2021.1969999999999</v>
      </c>
      <c r="D12" s="565">
        <f>IF(B12=0, "    ---- ", IF(ABS(ROUND(100/B12*C12-100,1))&lt;999,ROUND(100/B12*C12-100,1),IF(ROUND(100/B12*C12-100,1)&gt;999,999,-999)))</f>
        <v>35.4</v>
      </c>
      <c r="E12" s="726">
        <v>4265.7950000000001</v>
      </c>
      <c r="F12" s="565">
        <v>5213.616</v>
      </c>
      <c r="G12" s="565">
        <f>IF(E12=0, "    ---- ", IF(ABS(ROUND(100/E12*F12-100,1))&lt;999,ROUND(100/E12*F12-100,1),IF(ROUND(100/E12*F12-100,1)&gt;999,999,-999)))</f>
        <v>22.2</v>
      </c>
      <c r="H12" s="726"/>
      <c r="I12" s="727"/>
      <c r="J12" s="565"/>
      <c r="K12" s="726">
        <v>252.92699999999999</v>
      </c>
      <c r="L12" s="565">
        <v>352.39400000000001</v>
      </c>
      <c r="M12" s="565">
        <f>IF(K12=0, "    ---- ", IF(ABS(ROUND(100/K12*L12-100,1))&lt;999,ROUND(100/K12*L12-100,1),IF(ROUND(100/K12*L12-100,1)&gt;999,999,-999)))</f>
        <v>39.299999999999997</v>
      </c>
      <c r="N12" s="728"/>
      <c r="O12" s="727"/>
      <c r="P12" s="565"/>
      <c r="Q12" s="726"/>
      <c r="R12" s="727"/>
      <c r="S12" s="565"/>
      <c r="T12" s="726">
        <v>13869</v>
      </c>
      <c r="U12" s="727">
        <v>18017.36</v>
      </c>
      <c r="V12" s="743">
        <f>IF(T12=0, "    ---- ", IF(ABS(ROUND(100/T12*U12-100,1))&lt;999,ROUND(100/T12*U12-100,1),IF(ROUND(100/T12*U12-100,1)&gt;999,999,-999)))</f>
        <v>29.9</v>
      </c>
      <c r="W12" s="726">
        <v>535</v>
      </c>
      <c r="X12" s="565">
        <v>670</v>
      </c>
      <c r="Y12" s="729">
        <f>IF(W12=0, "    ---- ", IF(ABS(ROUND(100/W12*X12-100,1))&lt;999,ROUND(100/W12*X12-100,1),IF(ROUND(100/W12*X12-100,1)&gt;999,999,-999)))</f>
        <v>25.2</v>
      </c>
      <c r="Z12" s="726"/>
      <c r="AA12" s="565"/>
      <c r="AB12" s="729"/>
      <c r="AC12" s="726">
        <v>1688.3510000000001</v>
      </c>
      <c r="AD12" s="565">
        <v>1779.548</v>
      </c>
      <c r="AE12" s="743">
        <f>IF(AC12=0, "    ---- ", IF(ABS(ROUND(100/AC12*AD12-100,1))&lt;999,ROUND(100/AC12*AD12-100,1),IF(ROUND(100/AC12*AD12-100,1)&gt;999,999,-999)))</f>
        <v>5.4</v>
      </c>
      <c r="AF12" s="726">
        <v>3844</v>
      </c>
      <c r="AG12" s="565">
        <v>4982.6000000000004</v>
      </c>
      <c r="AH12" s="743">
        <f t="shared" si="0"/>
        <v>29.6</v>
      </c>
      <c r="AI12" s="565">
        <f t="shared" ref="AI12:AJ47" si="1">+B12+E12+H12+K12+N12+Q12+T12+W12+Z12+AC12+AF12</f>
        <v>25947.532999999999</v>
      </c>
      <c r="AJ12" s="565">
        <f t="shared" si="1"/>
        <v>33036.715000000004</v>
      </c>
      <c r="AK12" s="565">
        <f>IF(AI12=0, "    ---- ", IF(ABS(ROUND(100/AI12*AJ12-100,1))&lt;999,ROUND(100/AI12*AJ12-100,1),IF(ROUND(100/AI12*AJ12-100,1)&gt;999,999,-999)))</f>
        <v>27.3</v>
      </c>
      <c r="AL12" s="744"/>
      <c r="AM12" s="744"/>
      <c r="AN12" s="744"/>
      <c r="AO12" s="638"/>
      <c r="AP12" s="638"/>
    </row>
    <row r="13" spans="1:42" s="633" customFormat="1" ht="18.75" customHeight="1" x14ac:dyDescent="0.3">
      <c r="A13" s="440" t="s">
        <v>479</v>
      </c>
      <c r="B13" s="726">
        <v>2364.5030000000002</v>
      </c>
      <c r="C13" s="565">
        <v>2244.4250000000002</v>
      </c>
      <c r="D13" s="565">
        <f>IF(B13=0, "    ---- ", IF(ABS(ROUND(100/B13*C13-100,1))&lt;999,ROUND(100/B13*C13-100,1),IF(ROUND(100/B13*C13-100,1)&gt;999,999,-999)))</f>
        <v>-5.0999999999999996</v>
      </c>
      <c r="E13" s="726">
        <v>5800.3580000000002</v>
      </c>
      <c r="F13" s="565">
        <v>5589.7449999999999</v>
      </c>
      <c r="G13" s="565">
        <f>IF(E13=0, "    ---- ", IF(ABS(ROUND(100/E13*F13-100,1))&lt;999,ROUND(100/E13*F13-100,1),IF(ROUND(100/E13*F13-100,1)&gt;999,999,-999)))</f>
        <v>-3.6</v>
      </c>
      <c r="H13" s="726">
        <v>71.102999999999994</v>
      </c>
      <c r="I13" s="727">
        <v>97.623000000000005</v>
      </c>
      <c r="J13" s="565">
        <f>IF(H13=0, "    ---- ", IF(ABS(ROUND(100/H13*I13-100,1))&lt;999,ROUND(100/H13*I13-100,1),IF(ROUND(100/H13*I13-100,1)&gt;999,999,-999)))</f>
        <v>37.299999999999997</v>
      </c>
      <c r="K13" s="726">
        <v>1649.797</v>
      </c>
      <c r="L13" s="565">
        <v>1593.1569999999999</v>
      </c>
      <c r="M13" s="565">
        <f>IF(K13=0, "    ---- ", IF(ABS(ROUND(100/K13*L13-100,1))&lt;999,ROUND(100/K13*L13-100,1),IF(ROUND(100/K13*L13-100,1)&gt;999,999,-999)))</f>
        <v>-3.4</v>
      </c>
      <c r="N13" s="728"/>
      <c r="O13" s="727"/>
      <c r="P13" s="565"/>
      <c r="Q13" s="726"/>
      <c r="R13" s="727"/>
      <c r="S13" s="565"/>
      <c r="T13" s="726">
        <v>3112</v>
      </c>
      <c r="U13" s="727">
        <v>3260.8</v>
      </c>
      <c r="V13" s="565">
        <f>IF(T13=0, "    ---- ", IF(ABS(ROUND(100/T13*U13-100,1))&lt;999,ROUND(100/T13*U13-100,1),IF(ROUND(100/T13*U13-100,1)&gt;999,999,-999)))</f>
        <v>4.8</v>
      </c>
      <c r="W13" s="726">
        <v>909</v>
      </c>
      <c r="X13" s="565">
        <v>849</v>
      </c>
      <c r="Y13" s="565">
        <f>IF(W13=0, "    ---- ", IF(ABS(ROUND(100/W13*X13-100,1))&lt;999,ROUND(100/W13*X13-100,1),IF(ROUND(100/W13*X13-100,1)&gt;999,999,-999)))</f>
        <v>-6.6</v>
      </c>
      <c r="Z13" s="726">
        <v>554.65576253999996</v>
      </c>
      <c r="AA13" s="565"/>
      <c r="AB13" s="565">
        <f>IF(Z13=0, "    ---- ", IF(ABS(ROUND(100/Z13*AA13-100,1))&lt;999,ROUND(100/Z13*AA13-100,1),IF(ROUND(100/Z13*AA13-100,1)&gt;999,999,-999)))</f>
        <v>-100</v>
      </c>
      <c r="AC13" s="726">
        <v>2001.9870000000001</v>
      </c>
      <c r="AD13" s="565">
        <v>1919.175</v>
      </c>
      <c r="AE13" s="565">
        <f>IF(AC13=0, "    ---- ", IF(ABS(ROUND(100/AC13*AD13-100,1))&lt;999,ROUND(100/AC13*AD13-100,1),IF(ROUND(100/AC13*AD13-100,1)&gt;999,999,-999)))</f>
        <v>-4.0999999999999996</v>
      </c>
      <c r="AF13" s="726">
        <v>3572</v>
      </c>
      <c r="AG13" s="565">
        <v>3579.3</v>
      </c>
      <c r="AH13" s="565">
        <f t="shared" si="0"/>
        <v>0.2</v>
      </c>
      <c r="AI13" s="565">
        <f t="shared" si="1"/>
        <v>20035.403762540001</v>
      </c>
      <c r="AJ13" s="565">
        <f t="shared" si="1"/>
        <v>19133.224999999999</v>
      </c>
      <c r="AK13" s="565">
        <f>IF(AI13=0, "    ---- ", IF(ABS(ROUND(100/AI13*AJ13-100,1))&lt;999,ROUND(100/AI13*AJ13-100,1),IF(ROUND(100/AI13*AJ13-100,1)&gt;999,999,-999)))</f>
        <v>-4.5</v>
      </c>
      <c r="AL13" s="744"/>
      <c r="AM13" s="744"/>
      <c r="AN13" s="744"/>
      <c r="AO13" s="638"/>
      <c r="AP13" s="638"/>
    </row>
    <row r="14" spans="1:42" s="633" customFormat="1" ht="18.75" customHeight="1" x14ac:dyDescent="0.3">
      <c r="A14" s="440" t="s">
        <v>481</v>
      </c>
      <c r="B14" s="726">
        <v>8379.5290000000005</v>
      </c>
      <c r="C14" s="565">
        <f>9771.724-99.378</f>
        <v>9672.3459999999995</v>
      </c>
      <c r="D14" s="565">
        <f>IF(B14=0, "    ---- ", IF(ABS(ROUND(100/B14*C14-100,1))&lt;999,ROUND(100/B14*C14-100,1),IF(ROUND(100/B14*C14-100,1)&gt;999,999,-999)))</f>
        <v>15.4</v>
      </c>
      <c r="E14" s="726">
        <v>39041.987999999998</v>
      </c>
      <c r="F14" s="565">
        <f>49416.832-630.601</f>
        <v>48786.231</v>
      </c>
      <c r="G14" s="565">
        <f>IF(E14=0, "    ---- ", IF(ABS(ROUND(100/E14*F14-100,1))&lt;999,ROUND(100/E14*F14-100,1),IF(ROUND(100/E14*F14-100,1)&gt;999,999,-999)))</f>
        <v>25</v>
      </c>
      <c r="H14" s="726">
        <v>2274.7049999999999</v>
      </c>
      <c r="I14" s="727">
        <v>2583.1219999999998</v>
      </c>
      <c r="J14" s="565">
        <f>IF(H14=0, "    ---- ", IF(ABS(ROUND(100/H14*I14-100,1))&lt;999,ROUND(100/H14*I14-100,1),IF(ROUND(100/H14*I14-100,1)&gt;999,999,-999)))</f>
        <v>13.6</v>
      </c>
      <c r="K14" s="726">
        <v>12960.245000000001</v>
      </c>
      <c r="L14" s="565">
        <v>15567.874</v>
      </c>
      <c r="M14" s="565">
        <f>IF(K14=0, "    ---- ", IF(ABS(ROUND(100/K14*L14-100,1))&lt;999,ROUND(100/K14*L14-100,1),IF(ROUND(100/K14*L14-100,1)&gt;999,999,-999)))</f>
        <v>20.100000000000001</v>
      </c>
      <c r="N14" s="728"/>
      <c r="O14" s="727"/>
      <c r="P14" s="565"/>
      <c r="Q14" s="726">
        <v>1174.8</v>
      </c>
      <c r="R14" s="727">
        <v>1665.3</v>
      </c>
      <c r="S14" s="565">
        <f>IF(Q14=0, "    ---- ", IF(ABS(ROUND(100/Q14*R14-100,1))&lt;999,ROUND(100/Q14*R14-100,1),IF(ROUND(100/Q14*R14-100,1)&gt;999,999,-999)))</f>
        <v>41.8</v>
      </c>
      <c r="T14" s="726">
        <v>22158</v>
      </c>
      <c r="U14" s="727">
        <v>26023</v>
      </c>
      <c r="V14" s="565">
        <f>IF(T14=0, "    ---- ", IF(ABS(ROUND(100/T14*U14-100,1))&lt;999,ROUND(100/T14*U14-100,1),IF(ROUND(100/T14*U14-100,1)&gt;999,999,-999)))</f>
        <v>17.399999999999999</v>
      </c>
      <c r="W14" s="726">
        <v>167</v>
      </c>
      <c r="X14" s="565">
        <v>245</v>
      </c>
      <c r="Y14" s="565">
        <f>IF(W14=0, "    ---- ", IF(ABS(ROUND(100/W14*X14-100,1))&lt;999,ROUND(100/W14*X14-100,1),IF(ROUND(100/W14*X14-100,1)&gt;999,999,-999)))</f>
        <v>46.7</v>
      </c>
      <c r="Z14" s="726"/>
      <c r="AA14" s="565"/>
      <c r="AB14" s="565"/>
      <c r="AC14" s="726">
        <v>11553.681</v>
      </c>
      <c r="AD14" s="565">
        <v>15060.82</v>
      </c>
      <c r="AE14" s="565">
        <f>IF(AC14=0, "    ---- ", IF(ABS(ROUND(100/AC14*AD14-100,1))&lt;999,ROUND(100/AC14*AD14-100,1),IF(ROUND(100/AC14*AD14-100,1)&gt;999,999,-999)))</f>
        <v>30.4</v>
      </c>
      <c r="AF14" s="726">
        <v>46478</v>
      </c>
      <c r="AG14" s="565">
        <f>5487.6+86.7+34136.6+16870.8</f>
        <v>56581.7</v>
      </c>
      <c r="AH14" s="565">
        <f t="shared" si="0"/>
        <v>21.7</v>
      </c>
      <c r="AI14" s="565">
        <f t="shared" si="1"/>
        <v>144187.948</v>
      </c>
      <c r="AJ14" s="565">
        <f t="shared" si="1"/>
        <v>176185.39299999998</v>
      </c>
      <c r="AK14" s="565">
        <f t="shared" ref="AK14:AK47" si="2">IF(AI14=0, "    ---- ", IF(ABS(ROUND(100/AI14*AJ14-100,1))&lt;999,ROUND(100/AI14*AJ14-100,1),IF(ROUND(100/AI14*AJ14-100,1)&gt;999,999,-999)))</f>
        <v>22.2</v>
      </c>
      <c r="AL14" s="744"/>
      <c r="AM14" s="744"/>
      <c r="AN14" s="744"/>
      <c r="AO14" s="638"/>
      <c r="AP14" s="638"/>
    </row>
    <row r="15" spans="1:42" s="633" customFormat="1" ht="18.75" customHeight="1" x14ac:dyDescent="0.3">
      <c r="A15" s="440" t="s">
        <v>483</v>
      </c>
      <c r="B15" s="726"/>
      <c r="C15" s="565"/>
      <c r="D15" s="565"/>
      <c r="E15" s="726"/>
      <c r="F15" s="565"/>
      <c r="G15" s="565"/>
      <c r="H15" s="726"/>
      <c r="I15" s="727"/>
      <c r="J15" s="565"/>
      <c r="K15" s="726"/>
      <c r="L15" s="565"/>
      <c r="M15" s="565"/>
      <c r="N15" s="728">
        <v>1684</v>
      </c>
      <c r="O15" s="727">
        <v>1765.96595215</v>
      </c>
      <c r="P15" s="565">
        <f>IF(N15=0, "    ---- ", IF(ABS(ROUND(100/N15*O15-100,1))&lt;999,ROUND(100/N15*O15-100,1),IF(ROUND(100/N15*O15-100,1)&gt;999,999,-999)))</f>
        <v>4.9000000000000004</v>
      </c>
      <c r="Q15" s="726"/>
      <c r="R15" s="727"/>
      <c r="S15" s="565"/>
      <c r="T15" s="726"/>
      <c r="U15" s="727"/>
      <c r="V15" s="565"/>
      <c r="W15" s="726"/>
      <c r="X15" s="565"/>
      <c r="Y15" s="565"/>
      <c r="Z15" s="726"/>
      <c r="AA15" s="565"/>
      <c r="AB15" s="565"/>
      <c r="AC15" s="726"/>
      <c r="AD15" s="565"/>
      <c r="AE15" s="565"/>
      <c r="AF15" s="726"/>
      <c r="AG15" s="565"/>
      <c r="AH15" s="565"/>
      <c r="AI15" s="565">
        <f t="shared" si="1"/>
        <v>1684</v>
      </c>
      <c r="AJ15" s="565">
        <f t="shared" si="1"/>
        <v>1765.96595215</v>
      </c>
      <c r="AK15" s="565">
        <f t="shared" si="2"/>
        <v>4.9000000000000004</v>
      </c>
      <c r="AL15" s="744"/>
      <c r="AM15" s="744"/>
      <c r="AN15" s="744"/>
      <c r="AO15" s="638"/>
      <c r="AP15" s="638"/>
    </row>
    <row r="16" spans="1:42" s="661" customFormat="1" ht="18.75" customHeight="1" x14ac:dyDescent="0.3">
      <c r="A16" s="713" t="s">
        <v>485</v>
      </c>
      <c r="B16" s="734"/>
      <c r="C16" s="658"/>
      <c r="D16" s="658"/>
      <c r="E16" s="734"/>
      <c r="F16" s="658"/>
      <c r="G16" s="658"/>
      <c r="H16" s="734"/>
      <c r="I16" s="735"/>
      <c r="J16" s="658"/>
      <c r="K16" s="734">
        <v>14862.969000000001</v>
      </c>
      <c r="L16" s="658">
        <f>SUM(L17:L20)</f>
        <v>17513.424999999999</v>
      </c>
      <c r="M16" s="658">
        <f>IF(K16=0, "    ---- ", IF(ABS(ROUND(100/K16*L16-100,1))&lt;999,ROUND(100/K16*L16-100,1),IF(ROUND(100/K16*L16-100,1)&gt;999,999,-999)))</f>
        <v>17.8</v>
      </c>
      <c r="N16" s="735">
        <f>SUM(N17:N20)</f>
        <v>1684</v>
      </c>
      <c r="O16" s="735">
        <f>SUM(O17:O20)</f>
        <v>1765.96595215</v>
      </c>
      <c r="P16" s="658">
        <f>IF(N16=0, "    ---- ", IF(ABS(ROUND(100/N16*O16-100,1))&lt;999,ROUND(100/N16*O16-100,1),IF(ROUND(100/N16*O16-100,1)&gt;999,999,-999)))</f>
        <v>4.9000000000000004</v>
      </c>
      <c r="Q16" s="734"/>
      <c r="R16" s="735"/>
      <c r="S16" s="658"/>
      <c r="T16" s="734">
        <v>39139</v>
      </c>
      <c r="U16" s="735">
        <f>SUM(U17:U20)</f>
        <v>47301.16</v>
      </c>
      <c r="V16" s="658">
        <f>IF(T16=0, "    ---- ", IF(ABS(ROUND(100/T16*U16-100,1))&lt;999,ROUND(100/T16*U16-100,1),IF(ROUND(100/T16*U16-100,1)&gt;999,999,-999)))</f>
        <v>20.9</v>
      </c>
      <c r="W16" s="734"/>
      <c r="X16" s="658"/>
      <c r="Y16" s="658"/>
      <c r="Z16" s="734"/>
      <c r="AA16" s="658"/>
      <c r="AB16" s="658"/>
      <c r="AC16" s="734"/>
      <c r="AD16" s="658"/>
      <c r="AE16" s="658"/>
      <c r="AF16" s="734"/>
      <c r="AG16" s="658"/>
      <c r="AH16" s="658"/>
      <c r="AI16" s="658">
        <f t="shared" si="1"/>
        <v>55685.968999999997</v>
      </c>
      <c r="AJ16" s="745">
        <f t="shared" si="1"/>
        <v>66580.550952150006</v>
      </c>
      <c r="AK16" s="658">
        <f t="shared" si="2"/>
        <v>19.600000000000001</v>
      </c>
      <c r="AL16" s="742"/>
      <c r="AM16" s="742"/>
      <c r="AN16" s="742"/>
      <c r="AO16" s="636"/>
      <c r="AP16" s="636"/>
    </row>
    <row r="17" spans="1:42" s="633" customFormat="1" ht="18.75" customHeight="1" x14ac:dyDescent="0.3">
      <c r="A17" s="440" t="s">
        <v>476</v>
      </c>
      <c r="B17" s="726"/>
      <c r="C17" s="565"/>
      <c r="D17" s="565"/>
      <c r="E17" s="726"/>
      <c r="F17" s="565"/>
      <c r="G17" s="565"/>
      <c r="H17" s="726"/>
      <c r="I17" s="727"/>
      <c r="J17" s="565"/>
      <c r="K17" s="726">
        <v>252.92699999999999</v>
      </c>
      <c r="L17" s="565">
        <v>352.39400000000001</v>
      </c>
      <c r="M17" s="565">
        <f>IF(K17=0, "    ---- ", IF(ABS(ROUND(100/K17*L17-100,1))&lt;999,ROUND(100/K17*L17-100,1),IF(ROUND(100/K17*L17-100,1)&gt;999,999,-999)))</f>
        <v>39.299999999999997</v>
      </c>
      <c r="N17" s="728"/>
      <c r="O17" s="727"/>
      <c r="P17" s="565"/>
      <c r="Q17" s="726"/>
      <c r="R17" s="727"/>
      <c r="S17" s="565"/>
      <c r="T17" s="726">
        <v>13869</v>
      </c>
      <c r="U17" s="727">
        <v>18017.36</v>
      </c>
      <c r="V17" s="565">
        <f>IF(T17=0, "    ---- ", IF(ABS(ROUND(100/T17*U17-100,1))&lt;999,ROUND(100/T17*U17-100,1),IF(ROUND(100/T17*U17-100,1)&gt;999,999,-999)))</f>
        <v>29.9</v>
      </c>
      <c r="W17" s="726"/>
      <c r="X17" s="565"/>
      <c r="Y17" s="565"/>
      <c r="Z17" s="726"/>
      <c r="AA17" s="565"/>
      <c r="AB17" s="565"/>
      <c r="AC17" s="726"/>
      <c r="AD17" s="565"/>
      <c r="AE17" s="565"/>
      <c r="AF17" s="726"/>
      <c r="AG17" s="565"/>
      <c r="AH17" s="565"/>
      <c r="AI17" s="565">
        <f t="shared" si="1"/>
        <v>14121.927</v>
      </c>
      <c r="AJ17" s="565">
        <f t="shared" si="1"/>
        <v>18369.754000000001</v>
      </c>
      <c r="AK17" s="565">
        <f t="shared" si="2"/>
        <v>30.1</v>
      </c>
      <c r="AL17" s="744"/>
      <c r="AM17" s="744"/>
      <c r="AN17" s="744"/>
      <c r="AO17" s="638"/>
      <c r="AP17" s="638"/>
    </row>
    <row r="18" spans="1:42" s="633" customFormat="1" ht="18.75" customHeight="1" x14ac:dyDescent="0.3">
      <c r="A18" s="440" t="s">
        <v>479</v>
      </c>
      <c r="B18" s="726"/>
      <c r="C18" s="565"/>
      <c r="D18" s="565"/>
      <c r="E18" s="726"/>
      <c r="F18" s="565"/>
      <c r="G18" s="565"/>
      <c r="H18" s="726"/>
      <c r="I18" s="727"/>
      <c r="J18" s="565"/>
      <c r="K18" s="726">
        <v>1649.797</v>
      </c>
      <c r="L18" s="565">
        <v>1593.1569999999999</v>
      </c>
      <c r="M18" s="565">
        <f>IF(K18=0, "    ---- ", IF(ABS(ROUND(100/K18*L18-100,1))&lt;999,ROUND(100/K18*L18-100,1),IF(ROUND(100/K18*L18-100,1)&gt;999,999,-999)))</f>
        <v>-3.4</v>
      </c>
      <c r="N18" s="728"/>
      <c r="O18" s="727"/>
      <c r="P18" s="565"/>
      <c r="Q18" s="726"/>
      <c r="R18" s="727"/>
      <c r="S18" s="565"/>
      <c r="T18" s="726">
        <v>3112</v>
      </c>
      <c r="U18" s="727">
        <v>3260.8</v>
      </c>
      <c r="V18" s="565">
        <f>IF(T18=0, "    ---- ", IF(ABS(ROUND(100/T18*U18-100,1))&lt;999,ROUND(100/T18*U18-100,1),IF(ROUND(100/T18*U18-100,1)&gt;999,999,-999)))</f>
        <v>4.8</v>
      </c>
      <c r="W18" s="726"/>
      <c r="X18" s="565"/>
      <c r="Y18" s="565"/>
      <c r="Z18" s="726"/>
      <c r="AA18" s="565"/>
      <c r="AB18" s="565"/>
      <c r="AC18" s="726"/>
      <c r="AD18" s="565"/>
      <c r="AE18" s="565"/>
      <c r="AF18" s="726"/>
      <c r="AG18" s="565"/>
      <c r="AH18" s="565"/>
      <c r="AI18" s="565">
        <f t="shared" si="1"/>
        <v>4761.7970000000005</v>
      </c>
      <c r="AJ18" s="746">
        <f t="shared" si="1"/>
        <v>4853.9570000000003</v>
      </c>
      <c r="AK18" s="565">
        <f t="shared" si="2"/>
        <v>1.9</v>
      </c>
      <c r="AL18" s="744"/>
      <c r="AM18" s="744"/>
      <c r="AN18" s="744"/>
      <c r="AO18" s="638"/>
      <c r="AP18" s="638"/>
    </row>
    <row r="19" spans="1:42" s="633" customFormat="1" ht="18.75" customHeight="1" x14ac:dyDescent="0.3">
      <c r="A19" s="440" t="s">
        <v>481</v>
      </c>
      <c r="B19" s="726"/>
      <c r="C19" s="565"/>
      <c r="D19" s="565"/>
      <c r="E19" s="726"/>
      <c r="F19" s="565"/>
      <c r="G19" s="565"/>
      <c r="H19" s="726"/>
      <c r="I19" s="727"/>
      <c r="J19" s="565"/>
      <c r="K19" s="726">
        <v>12960.245000000001</v>
      </c>
      <c r="L19" s="565">
        <v>15567.874</v>
      </c>
      <c r="M19" s="565">
        <f>IF(K19=0, "    ---- ", IF(ABS(ROUND(100/K19*L19-100,1))&lt;999,ROUND(100/K19*L19-100,1),IF(ROUND(100/K19*L19-100,1)&gt;999,999,-999)))</f>
        <v>20.100000000000001</v>
      </c>
      <c r="N19" s="728"/>
      <c r="O19" s="727"/>
      <c r="P19" s="565"/>
      <c r="Q19" s="726"/>
      <c r="R19" s="727"/>
      <c r="S19" s="565"/>
      <c r="T19" s="726">
        <v>22158</v>
      </c>
      <c r="U19" s="727">
        <v>26023</v>
      </c>
      <c r="V19" s="565">
        <f>IF(T19=0, "    ---- ", IF(ABS(ROUND(100/T19*U19-100,1))&lt;999,ROUND(100/T19*U19-100,1),IF(ROUND(100/T19*U19-100,1)&gt;999,999,-999)))</f>
        <v>17.399999999999999</v>
      </c>
      <c r="W19" s="726"/>
      <c r="X19" s="565"/>
      <c r="Y19" s="565"/>
      <c r="Z19" s="726"/>
      <c r="AA19" s="565"/>
      <c r="AB19" s="565"/>
      <c r="AC19" s="726"/>
      <c r="AD19" s="565"/>
      <c r="AE19" s="565"/>
      <c r="AF19" s="726"/>
      <c r="AG19" s="565"/>
      <c r="AH19" s="565"/>
      <c r="AI19" s="565">
        <f t="shared" si="1"/>
        <v>35118.245000000003</v>
      </c>
      <c r="AJ19" s="746">
        <f t="shared" si="1"/>
        <v>41590.873999999996</v>
      </c>
      <c r="AK19" s="565">
        <f t="shared" si="2"/>
        <v>18.399999999999999</v>
      </c>
      <c r="AL19" s="744"/>
      <c r="AM19" s="744"/>
      <c r="AN19" s="744"/>
      <c r="AO19" s="638"/>
      <c r="AP19" s="638"/>
    </row>
    <row r="20" spans="1:42" s="633" customFormat="1" ht="18.75" customHeight="1" x14ac:dyDescent="0.3">
      <c r="A20" s="440" t="s">
        <v>483</v>
      </c>
      <c r="B20" s="726"/>
      <c r="C20" s="565"/>
      <c r="D20" s="565"/>
      <c r="E20" s="726"/>
      <c r="F20" s="565"/>
      <c r="G20" s="565"/>
      <c r="H20" s="726"/>
      <c r="I20" s="727"/>
      <c r="J20" s="565"/>
      <c r="K20" s="726"/>
      <c r="L20" s="565"/>
      <c r="M20" s="565"/>
      <c r="N20" s="728">
        <v>1684</v>
      </c>
      <c r="O20" s="727">
        <v>1765.96595215</v>
      </c>
      <c r="P20" s="565">
        <f>IF(N20=0, "    ---- ", IF(ABS(ROUND(100/N20*O20-100,1))&lt;999,ROUND(100/N20*O20-100,1),IF(ROUND(100/N20*O20-100,1)&gt;999,999,-999)))</f>
        <v>4.9000000000000004</v>
      </c>
      <c r="Q20" s="726"/>
      <c r="R20" s="727"/>
      <c r="S20" s="565"/>
      <c r="T20" s="726"/>
      <c r="U20" s="727"/>
      <c r="V20" s="565"/>
      <c r="W20" s="726"/>
      <c r="X20" s="565"/>
      <c r="Y20" s="565"/>
      <c r="Z20" s="726"/>
      <c r="AA20" s="565"/>
      <c r="AB20" s="565"/>
      <c r="AC20" s="726"/>
      <c r="AD20" s="565"/>
      <c r="AE20" s="565"/>
      <c r="AF20" s="726"/>
      <c r="AG20" s="565"/>
      <c r="AH20" s="565"/>
      <c r="AI20" s="565">
        <f t="shared" si="1"/>
        <v>1684</v>
      </c>
      <c r="AJ20" s="746">
        <f t="shared" si="1"/>
        <v>1765.96595215</v>
      </c>
      <c r="AK20" s="565">
        <f t="shared" si="2"/>
        <v>4.9000000000000004</v>
      </c>
      <c r="AL20" s="744"/>
      <c r="AM20" s="744"/>
      <c r="AN20" s="744"/>
      <c r="AO20" s="638"/>
      <c r="AP20" s="638"/>
    </row>
    <row r="21" spans="1:42" s="661" customFormat="1" ht="18.75" customHeight="1" x14ac:dyDescent="0.3">
      <c r="A21" s="713" t="s">
        <v>501</v>
      </c>
      <c r="B21" s="734"/>
      <c r="C21" s="658"/>
      <c r="D21" s="658"/>
      <c r="E21" s="734">
        <v>12</v>
      </c>
      <c r="F21" s="658">
        <f>SUM(F22:F25)</f>
        <v>0</v>
      </c>
      <c r="G21" s="658">
        <f>IF(E21=0, "    ---- ", IF(ABS(ROUND(100/E21*F21-100,1))&lt;999,ROUND(100/E21*F21-100,1),IF(ROUND(100/E21*F21-100,1)&gt;999,999,-999)))</f>
        <v>-100</v>
      </c>
      <c r="H21" s="734"/>
      <c r="I21" s="735"/>
      <c r="J21" s="658"/>
      <c r="K21" s="734"/>
      <c r="L21" s="658"/>
      <c r="M21" s="658"/>
      <c r="N21" s="736"/>
      <c r="O21" s="735"/>
      <c r="P21" s="658"/>
      <c r="Q21" s="734"/>
      <c r="R21" s="735"/>
      <c r="S21" s="658"/>
      <c r="T21" s="734">
        <v>19</v>
      </c>
      <c r="U21" s="735">
        <f>SUM(U22:U25)</f>
        <v>0</v>
      </c>
      <c r="V21" s="658">
        <f>IF(T21=0, "    ---- ", IF(ABS(ROUND(100/T21*U21-100,1))&lt;999,ROUND(100/T21*U21-100,1),IF(ROUND(100/T21*U21-100,1)&gt;999,999,-999)))</f>
        <v>-100</v>
      </c>
      <c r="W21" s="734"/>
      <c r="X21" s="658"/>
      <c r="Y21" s="658"/>
      <c r="Z21" s="734"/>
      <c r="AA21" s="658"/>
      <c r="AB21" s="658"/>
      <c r="AC21" s="734"/>
      <c r="AD21" s="658"/>
      <c r="AE21" s="658"/>
      <c r="AF21" s="734"/>
      <c r="AG21" s="658"/>
      <c r="AH21" s="658"/>
      <c r="AI21" s="658">
        <f t="shared" si="1"/>
        <v>31</v>
      </c>
      <c r="AJ21" s="658">
        <f t="shared" si="1"/>
        <v>0</v>
      </c>
      <c r="AK21" s="658">
        <f t="shared" si="2"/>
        <v>-100</v>
      </c>
      <c r="AL21" s="742"/>
      <c r="AM21" s="742"/>
      <c r="AN21" s="742"/>
      <c r="AO21" s="636"/>
      <c r="AP21" s="636"/>
    </row>
    <row r="22" spans="1:42" s="633" customFormat="1" ht="18.75" customHeight="1" x14ac:dyDescent="0.3">
      <c r="A22" s="440" t="s">
        <v>476</v>
      </c>
      <c r="B22" s="726"/>
      <c r="C22" s="565"/>
      <c r="D22" s="565"/>
      <c r="E22" s="726"/>
      <c r="F22" s="565"/>
      <c r="G22" s="565"/>
      <c r="H22" s="726"/>
      <c r="I22" s="727"/>
      <c r="J22" s="565"/>
      <c r="K22" s="726"/>
      <c r="L22" s="565"/>
      <c r="M22" s="565"/>
      <c r="N22" s="728"/>
      <c r="O22" s="727"/>
      <c r="P22" s="565"/>
      <c r="Q22" s="726"/>
      <c r="R22" s="727"/>
      <c r="S22" s="565"/>
      <c r="T22" s="726"/>
      <c r="U22" s="727"/>
      <c r="V22" s="565"/>
      <c r="W22" s="726"/>
      <c r="X22" s="565"/>
      <c r="Y22" s="565"/>
      <c r="Z22" s="726"/>
      <c r="AA22" s="565"/>
      <c r="AB22" s="565"/>
      <c r="AC22" s="726"/>
      <c r="AD22" s="565"/>
      <c r="AE22" s="565"/>
      <c r="AF22" s="726"/>
      <c r="AG22" s="565"/>
      <c r="AH22" s="565"/>
      <c r="AI22" s="565">
        <f t="shared" si="1"/>
        <v>0</v>
      </c>
      <c r="AJ22" s="565">
        <f t="shared" si="1"/>
        <v>0</v>
      </c>
      <c r="AK22" s="565" t="str">
        <f t="shared" si="2"/>
        <v xml:space="preserve">    ---- </v>
      </c>
      <c r="AL22" s="744"/>
      <c r="AM22" s="744"/>
      <c r="AN22" s="744"/>
      <c r="AO22" s="638"/>
      <c r="AP22" s="638"/>
    </row>
    <row r="23" spans="1:42" s="633" customFormat="1" ht="18.75" customHeight="1" x14ac:dyDescent="0.3">
      <c r="A23" s="440" t="s">
        <v>479</v>
      </c>
      <c r="B23" s="726"/>
      <c r="C23" s="565"/>
      <c r="D23" s="565"/>
      <c r="E23" s="726"/>
      <c r="F23" s="565"/>
      <c r="G23" s="565"/>
      <c r="H23" s="726"/>
      <c r="I23" s="727"/>
      <c r="J23" s="565"/>
      <c r="K23" s="726"/>
      <c r="L23" s="565"/>
      <c r="M23" s="565"/>
      <c r="N23" s="728"/>
      <c r="O23" s="727"/>
      <c r="P23" s="565"/>
      <c r="Q23" s="726"/>
      <c r="R23" s="727"/>
      <c r="S23" s="565"/>
      <c r="T23" s="726"/>
      <c r="U23" s="727"/>
      <c r="V23" s="565"/>
      <c r="W23" s="726"/>
      <c r="X23" s="565"/>
      <c r="Y23" s="565"/>
      <c r="Z23" s="726"/>
      <c r="AA23" s="565"/>
      <c r="AB23" s="565"/>
      <c r="AC23" s="726"/>
      <c r="AD23" s="565"/>
      <c r="AE23" s="565"/>
      <c r="AF23" s="726"/>
      <c r="AG23" s="565"/>
      <c r="AH23" s="565"/>
      <c r="AI23" s="565">
        <f t="shared" si="1"/>
        <v>0</v>
      </c>
      <c r="AJ23" s="565">
        <f t="shared" si="1"/>
        <v>0</v>
      </c>
      <c r="AK23" s="565" t="str">
        <f t="shared" si="2"/>
        <v xml:space="preserve">    ---- </v>
      </c>
      <c r="AL23" s="744"/>
      <c r="AM23" s="744"/>
      <c r="AN23" s="744"/>
      <c r="AO23" s="638"/>
      <c r="AP23" s="638"/>
    </row>
    <row r="24" spans="1:42" s="633" customFormat="1" ht="18.75" customHeight="1" x14ac:dyDescent="0.3">
      <c r="A24" s="440" t="s">
        <v>481</v>
      </c>
      <c r="B24" s="726"/>
      <c r="C24" s="565"/>
      <c r="D24" s="565"/>
      <c r="E24" s="726">
        <v>12</v>
      </c>
      <c r="F24" s="565"/>
      <c r="G24" s="565">
        <f>IF(E24=0, "    ---- ", IF(ABS(ROUND(100/E24*F24-100,1))&lt;999,ROUND(100/E24*F24-100,1),IF(ROUND(100/E24*F24-100,1)&gt;999,999,-999)))</f>
        <v>-100</v>
      </c>
      <c r="H24" s="726"/>
      <c r="I24" s="727"/>
      <c r="J24" s="565"/>
      <c r="K24" s="726"/>
      <c r="L24" s="565"/>
      <c r="M24" s="565"/>
      <c r="N24" s="728"/>
      <c r="O24" s="727"/>
      <c r="P24" s="565"/>
      <c r="Q24" s="726"/>
      <c r="R24" s="727"/>
      <c r="S24" s="565"/>
      <c r="T24" s="726">
        <v>19</v>
      </c>
      <c r="U24" s="727"/>
      <c r="V24" s="565">
        <f>IF(T24=0, "    ---- ", IF(ABS(ROUND(100/T24*U24-100,1))&lt;999,ROUND(100/T24*U24-100,1),IF(ROUND(100/T24*U24-100,1)&gt;999,999,-999)))</f>
        <v>-100</v>
      </c>
      <c r="W24" s="726"/>
      <c r="X24" s="565"/>
      <c r="Y24" s="565"/>
      <c r="Z24" s="726"/>
      <c r="AA24" s="565"/>
      <c r="AB24" s="565"/>
      <c r="AC24" s="726"/>
      <c r="AD24" s="565"/>
      <c r="AE24" s="565"/>
      <c r="AF24" s="726"/>
      <c r="AG24" s="565"/>
      <c r="AH24" s="565"/>
      <c r="AI24" s="565">
        <f t="shared" si="1"/>
        <v>31</v>
      </c>
      <c r="AJ24" s="746">
        <f t="shared" si="1"/>
        <v>0</v>
      </c>
      <c r="AK24" s="565">
        <f t="shared" si="2"/>
        <v>-100</v>
      </c>
      <c r="AL24" s="744"/>
      <c r="AM24" s="744"/>
      <c r="AN24" s="744"/>
      <c r="AO24" s="638"/>
      <c r="AP24" s="638"/>
    </row>
    <row r="25" spans="1:42" s="633" customFormat="1" ht="18.75" customHeight="1" x14ac:dyDescent="0.3">
      <c r="A25" s="440" t="s">
        <v>483</v>
      </c>
      <c r="B25" s="726"/>
      <c r="C25" s="565"/>
      <c r="D25" s="565"/>
      <c r="E25" s="726"/>
      <c r="F25" s="565"/>
      <c r="G25" s="565"/>
      <c r="H25" s="726"/>
      <c r="I25" s="727"/>
      <c r="J25" s="565"/>
      <c r="K25" s="726"/>
      <c r="L25" s="565"/>
      <c r="M25" s="565"/>
      <c r="N25" s="728"/>
      <c r="O25" s="727"/>
      <c r="P25" s="565"/>
      <c r="Q25" s="726"/>
      <c r="R25" s="727"/>
      <c r="S25" s="565"/>
      <c r="T25" s="726"/>
      <c r="U25" s="727"/>
      <c r="V25" s="565"/>
      <c r="W25" s="726"/>
      <c r="X25" s="565"/>
      <c r="Y25" s="565"/>
      <c r="Z25" s="726"/>
      <c r="AA25" s="565"/>
      <c r="AB25" s="565"/>
      <c r="AC25" s="726"/>
      <c r="AD25" s="565"/>
      <c r="AE25" s="565"/>
      <c r="AF25" s="726"/>
      <c r="AG25" s="565"/>
      <c r="AH25" s="565"/>
      <c r="AI25" s="565">
        <f t="shared" si="1"/>
        <v>0</v>
      </c>
      <c r="AJ25" s="565">
        <f t="shared" si="1"/>
        <v>0</v>
      </c>
      <c r="AK25" s="565" t="str">
        <f t="shared" si="2"/>
        <v xml:space="preserve">    ---- </v>
      </c>
      <c r="AL25" s="744"/>
      <c r="AM25" s="744"/>
      <c r="AN25" s="744"/>
      <c r="AO25" s="638"/>
      <c r="AP25" s="638"/>
    </row>
    <row r="26" spans="1:42" s="661" customFormat="1" ht="18.75" customHeight="1" x14ac:dyDescent="0.3">
      <c r="A26" s="694" t="s">
        <v>502</v>
      </c>
      <c r="B26" s="734"/>
      <c r="C26" s="658"/>
      <c r="D26" s="658"/>
      <c r="E26" s="734"/>
      <c r="F26" s="658"/>
      <c r="G26" s="658"/>
      <c r="H26" s="734"/>
      <c r="I26" s="735"/>
      <c r="J26" s="658"/>
      <c r="K26" s="734"/>
      <c r="L26" s="658"/>
      <c r="M26" s="658"/>
      <c r="N26" s="736">
        <v>114.136776</v>
      </c>
      <c r="O26" s="735">
        <f>SUM(O27:O30)</f>
        <v>132.679419</v>
      </c>
      <c r="P26" s="658">
        <f>IF(N26=0, "    ---- ", IF(ABS(ROUND(100/N26*O26-100,1))&lt;999,ROUND(100/N26*O26-100,1),IF(ROUND(100/N26*O26-100,1)&gt;999,999,-999)))</f>
        <v>16.2</v>
      </c>
      <c r="Q26" s="734"/>
      <c r="R26" s="735"/>
      <c r="S26" s="658"/>
      <c r="T26" s="734"/>
      <c r="U26" s="735"/>
      <c r="V26" s="658"/>
      <c r="W26" s="734"/>
      <c r="X26" s="658"/>
      <c r="Y26" s="658"/>
      <c r="Z26" s="734"/>
      <c r="AA26" s="658"/>
      <c r="AB26" s="658"/>
      <c r="AC26" s="734"/>
      <c r="AD26" s="658"/>
      <c r="AE26" s="658"/>
      <c r="AF26" s="734"/>
      <c r="AG26" s="658"/>
      <c r="AH26" s="658"/>
      <c r="AI26" s="658">
        <f t="shared" si="1"/>
        <v>114.136776</v>
      </c>
      <c r="AJ26" s="745">
        <f t="shared" si="1"/>
        <v>132.679419</v>
      </c>
      <c r="AK26" s="658">
        <f t="shared" si="2"/>
        <v>16.2</v>
      </c>
      <c r="AL26" s="742"/>
      <c r="AM26" s="742"/>
      <c r="AN26" s="742"/>
      <c r="AO26" s="636"/>
      <c r="AP26" s="636"/>
    </row>
    <row r="27" spans="1:42" s="633" customFormat="1" ht="18.75" customHeight="1" x14ac:dyDescent="0.3">
      <c r="A27" s="440" t="s">
        <v>476</v>
      </c>
      <c r="B27" s="726"/>
      <c r="C27" s="565"/>
      <c r="D27" s="565"/>
      <c r="E27" s="726"/>
      <c r="F27" s="565"/>
      <c r="G27" s="565"/>
      <c r="H27" s="726"/>
      <c r="I27" s="727"/>
      <c r="J27" s="565"/>
      <c r="K27" s="726"/>
      <c r="L27" s="565"/>
      <c r="M27" s="565"/>
      <c r="N27" s="728"/>
      <c r="O27" s="727"/>
      <c r="P27" s="565"/>
      <c r="Q27" s="726"/>
      <c r="R27" s="727"/>
      <c r="S27" s="565"/>
      <c r="T27" s="726"/>
      <c r="U27" s="727"/>
      <c r="V27" s="565"/>
      <c r="W27" s="726"/>
      <c r="X27" s="565"/>
      <c r="Y27" s="565"/>
      <c r="Z27" s="726"/>
      <c r="AA27" s="565"/>
      <c r="AB27" s="565"/>
      <c r="AC27" s="726"/>
      <c r="AD27" s="565"/>
      <c r="AE27" s="565"/>
      <c r="AF27" s="726"/>
      <c r="AG27" s="565"/>
      <c r="AH27" s="565"/>
      <c r="AI27" s="565">
        <f t="shared" si="1"/>
        <v>0</v>
      </c>
      <c r="AJ27" s="746">
        <f t="shared" si="1"/>
        <v>0</v>
      </c>
      <c r="AK27" s="565" t="str">
        <f t="shared" si="2"/>
        <v xml:space="preserve">    ---- </v>
      </c>
      <c r="AL27" s="744"/>
      <c r="AM27" s="744"/>
      <c r="AN27" s="744"/>
      <c r="AO27" s="638"/>
      <c r="AP27" s="638"/>
    </row>
    <row r="28" spans="1:42" s="633" customFormat="1" ht="18.75" customHeight="1" x14ac:dyDescent="0.3">
      <c r="A28" s="440" t="s">
        <v>479</v>
      </c>
      <c r="B28" s="726"/>
      <c r="C28" s="565"/>
      <c r="D28" s="565"/>
      <c r="E28" s="726"/>
      <c r="F28" s="565"/>
      <c r="G28" s="565"/>
      <c r="H28" s="726"/>
      <c r="I28" s="727"/>
      <c r="J28" s="565"/>
      <c r="K28" s="726"/>
      <c r="L28" s="565"/>
      <c r="M28" s="565"/>
      <c r="N28" s="728"/>
      <c r="O28" s="727"/>
      <c r="P28" s="565"/>
      <c r="Q28" s="726"/>
      <c r="R28" s="727"/>
      <c r="S28" s="565"/>
      <c r="T28" s="726"/>
      <c r="U28" s="727"/>
      <c r="V28" s="565"/>
      <c r="W28" s="726"/>
      <c r="X28" s="565"/>
      <c r="Y28" s="565"/>
      <c r="Z28" s="726"/>
      <c r="AA28" s="565"/>
      <c r="AB28" s="565"/>
      <c r="AC28" s="726"/>
      <c r="AD28" s="565"/>
      <c r="AE28" s="565"/>
      <c r="AF28" s="726"/>
      <c r="AG28" s="565"/>
      <c r="AH28" s="565"/>
      <c r="AI28" s="565">
        <f t="shared" si="1"/>
        <v>0</v>
      </c>
      <c r="AJ28" s="565">
        <f t="shared" si="1"/>
        <v>0</v>
      </c>
      <c r="AK28" s="565" t="str">
        <f t="shared" si="2"/>
        <v xml:space="preserve">    ---- </v>
      </c>
      <c r="AL28" s="744"/>
      <c r="AM28" s="744"/>
      <c r="AN28" s="744"/>
      <c r="AO28" s="638"/>
      <c r="AP28" s="638"/>
    </row>
    <row r="29" spans="1:42" s="633" customFormat="1" ht="18.75" customHeight="1" x14ac:dyDescent="0.3">
      <c r="A29" s="440" t="s">
        <v>481</v>
      </c>
      <c r="B29" s="726"/>
      <c r="C29" s="565"/>
      <c r="D29" s="565"/>
      <c r="E29" s="726"/>
      <c r="F29" s="565"/>
      <c r="G29" s="565"/>
      <c r="H29" s="726"/>
      <c r="I29" s="727"/>
      <c r="J29" s="565"/>
      <c r="K29" s="726"/>
      <c r="L29" s="565"/>
      <c r="M29" s="565"/>
      <c r="N29" s="728"/>
      <c r="O29" s="727"/>
      <c r="P29" s="565"/>
      <c r="Q29" s="726"/>
      <c r="R29" s="727"/>
      <c r="S29" s="565"/>
      <c r="T29" s="726"/>
      <c r="U29" s="727"/>
      <c r="V29" s="565"/>
      <c r="W29" s="726"/>
      <c r="X29" s="565"/>
      <c r="Y29" s="565"/>
      <c r="Z29" s="726"/>
      <c r="AA29" s="565"/>
      <c r="AB29" s="565"/>
      <c r="AC29" s="726"/>
      <c r="AD29" s="565"/>
      <c r="AE29" s="565"/>
      <c r="AF29" s="726"/>
      <c r="AG29" s="565"/>
      <c r="AH29" s="565"/>
      <c r="AI29" s="565">
        <f t="shared" si="1"/>
        <v>0</v>
      </c>
      <c r="AJ29" s="565">
        <f t="shared" si="1"/>
        <v>0</v>
      </c>
      <c r="AK29" s="565" t="str">
        <f t="shared" si="2"/>
        <v xml:space="preserve">    ---- </v>
      </c>
      <c r="AL29" s="744"/>
      <c r="AM29" s="744"/>
      <c r="AN29" s="744"/>
      <c r="AO29" s="638"/>
      <c r="AP29" s="638"/>
    </row>
    <row r="30" spans="1:42" s="633" customFormat="1" ht="18.75" customHeight="1" x14ac:dyDescent="0.3">
      <c r="A30" s="440" t="s">
        <v>483</v>
      </c>
      <c r="B30" s="726"/>
      <c r="C30" s="565"/>
      <c r="D30" s="565"/>
      <c r="E30" s="726"/>
      <c r="F30" s="565"/>
      <c r="G30" s="565"/>
      <c r="H30" s="726"/>
      <c r="I30" s="727"/>
      <c r="J30" s="565"/>
      <c r="K30" s="726"/>
      <c r="L30" s="565"/>
      <c r="M30" s="565"/>
      <c r="N30" s="728">
        <v>114.136776</v>
      </c>
      <c r="O30" s="727">
        <v>132.679419</v>
      </c>
      <c r="P30" s="565">
        <f>IF(N30=0, "    ---- ", IF(ABS(ROUND(100/N30*O30-100,1))&lt;999,ROUND(100/N30*O30-100,1),IF(ROUND(100/N30*O30-100,1)&gt;999,999,-999)))</f>
        <v>16.2</v>
      </c>
      <c r="Q30" s="726"/>
      <c r="R30" s="727"/>
      <c r="S30" s="565"/>
      <c r="T30" s="726"/>
      <c r="U30" s="727"/>
      <c r="V30" s="565"/>
      <c r="W30" s="726"/>
      <c r="X30" s="565"/>
      <c r="Y30" s="565"/>
      <c r="Z30" s="726"/>
      <c r="AA30" s="565"/>
      <c r="AB30" s="565"/>
      <c r="AC30" s="726"/>
      <c r="AD30" s="565"/>
      <c r="AE30" s="565"/>
      <c r="AF30" s="726"/>
      <c r="AG30" s="565"/>
      <c r="AH30" s="565"/>
      <c r="AI30" s="565">
        <f t="shared" si="1"/>
        <v>114.136776</v>
      </c>
      <c r="AJ30" s="565">
        <f t="shared" si="1"/>
        <v>132.679419</v>
      </c>
      <c r="AK30" s="565">
        <f t="shared" si="2"/>
        <v>16.2</v>
      </c>
      <c r="AL30" s="744"/>
      <c r="AM30" s="744"/>
      <c r="AN30" s="744"/>
      <c r="AO30" s="638"/>
      <c r="AP30" s="638"/>
    </row>
    <row r="31" spans="1:42" s="661" customFormat="1" ht="18.75" customHeight="1" x14ac:dyDescent="0.3">
      <c r="A31" s="507" t="s">
        <v>503</v>
      </c>
      <c r="B31" s="734"/>
      <c r="C31" s="658"/>
      <c r="D31" s="658"/>
      <c r="E31" s="734"/>
      <c r="F31" s="658"/>
      <c r="G31" s="658"/>
      <c r="H31" s="734"/>
      <c r="I31" s="735"/>
      <c r="J31" s="658"/>
      <c r="K31" s="734"/>
      <c r="L31" s="658"/>
      <c r="M31" s="658"/>
      <c r="N31" s="736"/>
      <c r="O31" s="735"/>
      <c r="P31" s="658"/>
      <c r="Q31" s="734"/>
      <c r="R31" s="735"/>
      <c r="S31" s="658"/>
      <c r="T31" s="734"/>
      <c r="U31" s="735"/>
      <c r="V31" s="658"/>
      <c r="W31" s="734"/>
      <c r="X31" s="658"/>
      <c r="Y31" s="658"/>
      <c r="Z31" s="734"/>
      <c r="AA31" s="658"/>
      <c r="AB31" s="658"/>
      <c r="AC31" s="734">
        <v>199.672</v>
      </c>
      <c r="AD31" s="658">
        <f>SUM(AD32:AD35)</f>
        <v>230.23699999999999</v>
      </c>
      <c r="AE31" s="658">
        <f>IF(AC31=0, "    ---- ", IF(ABS(ROUND(100/AC31*AD31-100,1))&lt;999,ROUND(100/AC31*AD31-100,1),IF(ROUND(100/AC31*AD31-100,1)&gt;999,999,-999)))</f>
        <v>15.3</v>
      </c>
      <c r="AF31" s="734">
        <v>0</v>
      </c>
      <c r="AG31" s="658">
        <f>SUM(AG32:AG35)</f>
        <v>0.6</v>
      </c>
      <c r="AH31" s="658" t="str">
        <f t="shared" si="0"/>
        <v xml:space="preserve">    ---- </v>
      </c>
      <c r="AI31" s="658">
        <f t="shared" si="1"/>
        <v>199.672</v>
      </c>
      <c r="AJ31" s="658">
        <f t="shared" si="1"/>
        <v>230.83699999999999</v>
      </c>
      <c r="AK31" s="658">
        <f t="shared" si="2"/>
        <v>15.6</v>
      </c>
      <c r="AL31" s="742"/>
      <c r="AM31" s="742"/>
      <c r="AN31" s="742"/>
      <c r="AO31" s="636"/>
      <c r="AP31" s="636"/>
    </row>
    <row r="32" spans="1:42" s="633" customFormat="1" ht="18.75" customHeight="1" x14ac:dyDescent="0.3">
      <c r="A32" s="440" t="s">
        <v>476</v>
      </c>
      <c r="B32" s="726"/>
      <c r="C32" s="565"/>
      <c r="D32" s="565"/>
      <c r="E32" s="726"/>
      <c r="F32" s="565"/>
      <c r="G32" s="565"/>
      <c r="H32" s="726"/>
      <c r="I32" s="727"/>
      <c r="J32" s="565"/>
      <c r="K32" s="726"/>
      <c r="L32" s="565"/>
      <c r="M32" s="565"/>
      <c r="N32" s="728"/>
      <c r="O32" s="727"/>
      <c r="P32" s="565"/>
      <c r="Q32" s="726"/>
      <c r="R32" s="727"/>
      <c r="S32" s="565"/>
      <c r="T32" s="726"/>
      <c r="U32" s="727"/>
      <c r="V32" s="565"/>
      <c r="W32" s="726"/>
      <c r="X32" s="565"/>
      <c r="Y32" s="565"/>
      <c r="Z32" s="726"/>
      <c r="AA32" s="565"/>
      <c r="AB32" s="565"/>
      <c r="AC32" s="726">
        <v>4.2089999999999996</v>
      </c>
      <c r="AD32" s="565">
        <v>5.7519999999999998</v>
      </c>
      <c r="AE32" s="565">
        <f>IF(AC32=0, "    ---- ", IF(ABS(ROUND(100/AC32*AD32-100,1))&lt;999,ROUND(100/AC32*AD32-100,1),IF(ROUND(100/AC32*AD32-100,1)&gt;999,999,-999)))</f>
        <v>36.700000000000003</v>
      </c>
      <c r="AF32" s="726"/>
      <c r="AG32" s="565"/>
      <c r="AH32" s="565"/>
      <c r="AI32" s="565">
        <f t="shared" si="1"/>
        <v>4.2089999999999996</v>
      </c>
      <c r="AJ32" s="746">
        <f t="shared" si="1"/>
        <v>5.7519999999999998</v>
      </c>
      <c r="AK32" s="565">
        <f t="shared" si="2"/>
        <v>36.700000000000003</v>
      </c>
      <c r="AL32" s="744"/>
      <c r="AM32" s="744"/>
      <c r="AN32" s="744"/>
      <c r="AO32" s="638"/>
      <c r="AP32" s="638"/>
    </row>
    <row r="33" spans="1:42" s="633" customFormat="1" ht="18.75" customHeight="1" x14ac:dyDescent="0.3">
      <c r="A33" s="440" t="s">
        <v>479</v>
      </c>
      <c r="B33" s="726"/>
      <c r="C33" s="565"/>
      <c r="D33" s="565"/>
      <c r="E33" s="726"/>
      <c r="F33" s="565"/>
      <c r="G33" s="565"/>
      <c r="H33" s="726"/>
      <c r="I33" s="727"/>
      <c r="J33" s="565"/>
      <c r="K33" s="726"/>
      <c r="L33" s="565"/>
      <c r="M33" s="565"/>
      <c r="N33" s="728"/>
      <c r="O33" s="727"/>
      <c r="P33" s="565"/>
      <c r="Q33" s="726"/>
      <c r="R33" s="727"/>
      <c r="S33" s="565"/>
      <c r="T33" s="726"/>
      <c r="U33" s="727"/>
      <c r="V33" s="565"/>
      <c r="W33" s="726"/>
      <c r="X33" s="565"/>
      <c r="Y33" s="565"/>
      <c r="Z33" s="726"/>
      <c r="AA33" s="565"/>
      <c r="AB33" s="565"/>
      <c r="AC33" s="726">
        <v>0.47</v>
      </c>
      <c r="AD33" s="565">
        <v>0.56799999999999995</v>
      </c>
      <c r="AE33" s="565">
        <f>IF(AC33=0, "    ---- ", IF(ABS(ROUND(100/AC33*AD33-100,1))&lt;999,ROUND(100/AC33*AD33-100,1),IF(ROUND(100/AC33*AD33-100,1)&gt;999,999,-999)))</f>
        <v>20.9</v>
      </c>
      <c r="AF33" s="726"/>
      <c r="AG33" s="565">
        <v>0.6</v>
      </c>
      <c r="AH33" s="565" t="str">
        <f t="shared" si="0"/>
        <v xml:space="preserve">    ---- </v>
      </c>
      <c r="AI33" s="565">
        <f t="shared" si="1"/>
        <v>0.47</v>
      </c>
      <c r="AJ33" s="565">
        <f t="shared" si="1"/>
        <v>1.1679999999999999</v>
      </c>
      <c r="AK33" s="565">
        <f t="shared" si="2"/>
        <v>148.5</v>
      </c>
      <c r="AL33" s="744"/>
      <c r="AM33" s="744"/>
      <c r="AN33" s="744"/>
      <c r="AO33" s="638"/>
      <c r="AP33" s="638"/>
    </row>
    <row r="34" spans="1:42" s="633" customFormat="1" ht="18.75" customHeight="1" x14ac:dyDescent="0.3">
      <c r="A34" s="440" t="s">
        <v>481</v>
      </c>
      <c r="B34" s="726"/>
      <c r="C34" s="565"/>
      <c r="D34" s="565"/>
      <c r="E34" s="726"/>
      <c r="F34" s="565"/>
      <c r="G34" s="565"/>
      <c r="H34" s="726"/>
      <c r="I34" s="727"/>
      <c r="J34" s="565"/>
      <c r="K34" s="726"/>
      <c r="L34" s="565"/>
      <c r="M34" s="565"/>
      <c r="N34" s="728"/>
      <c r="O34" s="727"/>
      <c r="P34" s="565"/>
      <c r="Q34" s="726"/>
      <c r="R34" s="727"/>
      <c r="S34" s="565"/>
      <c r="T34" s="726"/>
      <c r="U34" s="727"/>
      <c r="V34" s="565"/>
      <c r="W34" s="726"/>
      <c r="X34" s="565"/>
      <c r="Y34" s="565"/>
      <c r="Z34" s="726"/>
      <c r="AA34" s="565"/>
      <c r="AB34" s="565"/>
      <c r="AC34" s="726">
        <v>194.99299999999999</v>
      </c>
      <c r="AD34" s="565">
        <v>223.917</v>
      </c>
      <c r="AE34" s="565">
        <f>IF(AC34=0, "    ---- ", IF(ABS(ROUND(100/AC34*AD34-100,1))&lt;999,ROUND(100/AC34*AD34-100,1),IF(ROUND(100/AC34*AD34-100,1)&gt;999,999,-999)))</f>
        <v>14.8</v>
      </c>
      <c r="AF34" s="726"/>
      <c r="AG34" s="565"/>
      <c r="AH34" s="565"/>
      <c r="AI34" s="565">
        <f t="shared" si="1"/>
        <v>194.99299999999999</v>
      </c>
      <c r="AJ34" s="746">
        <f t="shared" si="1"/>
        <v>223.917</v>
      </c>
      <c r="AK34" s="565">
        <f t="shared" si="2"/>
        <v>14.8</v>
      </c>
      <c r="AL34" s="744"/>
      <c r="AM34" s="744"/>
      <c r="AN34" s="744"/>
      <c r="AO34" s="638"/>
      <c r="AP34" s="638"/>
    </row>
    <row r="35" spans="1:42" s="633" customFormat="1" ht="18.75" customHeight="1" x14ac:dyDescent="0.3">
      <c r="A35" s="440" t="s">
        <v>483</v>
      </c>
      <c r="B35" s="726"/>
      <c r="C35" s="565"/>
      <c r="D35" s="565"/>
      <c r="E35" s="726"/>
      <c r="F35" s="565"/>
      <c r="G35" s="565"/>
      <c r="H35" s="726"/>
      <c r="I35" s="727"/>
      <c r="J35" s="565"/>
      <c r="K35" s="726"/>
      <c r="L35" s="565"/>
      <c r="M35" s="565"/>
      <c r="N35" s="728"/>
      <c r="O35" s="727"/>
      <c r="P35" s="565"/>
      <c r="Q35" s="726"/>
      <c r="R35" s="727"/>
      <c r="S35" s="565"/>
      <c r="T35" s="726"/>
      <c r="U35" s="727"/>
      <c r="V35" s="565"/>
      <c r="W35" s="726"/>
      <c r="X35" s="565"/>
      <c r="Y35" s="565"/>
      <c r="Z35" s="726"/>
      <c r="AA35" s="565"/>
      <c r="AB35" s="565"/>
      <c r="AC35" s="726"/>
      <c r="AD35" s="565"/>
      <c r="AE35" s="565"/>
      <c r="AF35" s="726"/>
      <c r="AG35" s="565"/>
      <c r="AH35" s="565"/>
      <c r="AI35" s="565">
        <f t="shared" si="1"/>
        <v>0</v>
      </c>
      <c r="AJ35" s="746">
        <f t="shared" si="1"/>
        <v>0</v>
      </c>
      <c r="AK35" s="565" t="str">
        <f t="shared" si="2"/>
        <v xml:space="preserve">    ---- </v>
      </c>
      <c r="AL35" s="744"/>
      <c r="AM35" s="744"/>
      <c r="AN35" s="744"/>
      <c r="AO35" s="638"/>
      <c r="AP35" s="638"/>
    </row>
    <row r="36" spans="1:42" s="661" customFormat="1" ht="18.75" customHeight="1" x14ac:dyDescent="0.3">
      <c r="A36" s="694" t="s">
        <v>504</v>
      </c>
      <c r="B36" s="734">
        <v>94.081999999999994</v>
      </c>
      <c r="C36" s="658">
        <f>SUM(C37:C39)</f>
        <v>99.378</v>
      </c>
      <c r="D36" s="658">
        <f>IF(B36=0, "    ---- ", IF(ABS(ROUND(100/B36*C36-100,1))&lt;999,ROUND(100/B36*C36-100,1),IF(ROUND(100/B36*C36-100,1)&gt;999,999,-999)))</f>
        <v>5.6</v>
      </c>
      <c r="E36" s="734">
        <v>559</v>
      </c>
      <c r="F36" s="658">
        <f>SUM(F37:F39)</f>
        <v>630.601</v>
      </c>
      <c r="G36" s="658">
        <f>IF(E36=0, "    ---- ", IF(ABS(ROUND(100/E36*F36-100,1))&lt;999,ROUND(100/E36*F36-100,1),IF(ROUND(100/E36*F36-100,1)&gt;999,999,-999)))</f>
        <v>12.8</v>
      </c>
      <c r="H36" s="734"/>
      <c r="I36" s="735"/>
      <c r="J36" s="658"/>
      <c r="K36" s="734">
        <v>292.50200000000001</v>
      </c>
      <c r="L36" s="658">
        <f>SUM(L37:L39)</f>
        <v>314.27199999999999</v>
      </c>
      <c r="M36" s="658">
        <f>IF(K36=0, "    ---- ", IF(ABS(ROUND(100/K36*L36-100,1))&lt;999,ROUND(100/K36*L36-100,1),IF(ROUND(100/K36*L36-100,1)&gt;999,999,-999)))</f>
        <v>7.4</v>
      </c>
      <c r="N36" s="736">
        <v>237.714157</v>
      </c>
      <c r="O36" s="735">
        <f>SUM(O37:O39)</f>
        <v>282.82383499999997</v>
      </c>
      <c r="P36" s="658">
        <f>IF(N36=0, "    ---- ", IF(ABS(ROUND(100/N36*O36-100,1))&lt;999,ROUND(100/N36*O36-100,1),IF(ROUND(100/N36*O36-100,1)&gt;999,999,-999)))</f>
        <v>19</v>
      </c>
      <c r="Q36" s="734">
        <v>7.7</v>
      </c>
      <c r="R36" s="735">
        <f>SUM(R37:R39)</f>
        <v>8.4</v>
      </c>
      <c r="S36" s="658">
        <f>IF(Q36=0, "    ---- ", IF(ABS(ROUND(100/Q36*R36-100,1))&lt;999,ROUND(100/Q36*R36-100,1),IF(ROUND(100/Q36*R36-100,1)&gt;999,999,-999)))</f>
        <v>9.1</v>
      </c>
      <c r="T36" s="734"/>
      <c r="U36" s="735"/>
      <c r="V36" s="658"/>
      <c r="W36" s="734"/>
      <c r="X36" s="658"/>
      <c r="Y36" s="658"/>
      <c r="Z36" s="734"/>
      <c r="AA36" s="658"/>
      <c r="AB36" s="658"/>
      <c r="AC36" s="734">
        <v>322.85300000000001</v>
      </c>
      <c r="AD36" s="658">
        <f>SUM(AD37:AD39)</f>
        <v>396.9</v>
      </c>
      <c r="AE36" s="658">
        <f>IF(AC36=0, "    ---- ", IF(ABS(ROUND(100/AC36*AD36-100,1))&lt;999,ROUND(100/AC36*AD36-100,1),IF(ROUND(100/AC36*AD36-100,1)&gt;999,999,-999)))</f>
        <v>22.9</v>
      </c>
      <c r="AF36" s="734"/>
      <c r="AG36" s="658"/>
      <c r="AH36" s="658"/>
      <c r="AI36" s="658">
        <f t="shared" si="1"/>
        <v>1513.8511570000003</v>
      </c>
      <c r="AJ36" s="658">
        <f t="shared" si="1"/>
        <v>1732.3748350000001</v>
      </c>
      <c r="AK36" s="658">
        <f t="shared" si="2"/>
        <v>14.4</v>
      </c>
      <c r="AL36" s="742"/>
      <c r="AM36" s="742"/>
      <c r="AN36" s="742"/>
      <c r="AO36" s="636"/>
      <c r="AP36" s="636"/>
    </row>
    <row r="37" spans="1:42" s="633" customFormat="1" ht="18.75" customHeight="1" x14ac:dyDescent="0.3">
      <c r="A37" s="440" t="s">
        <v>479</v>
      </c>
      <c r="B37" s="726"/>
      <c r="C37" s="565"/>
      <c r="D37" s="565"/>
      <c r="E37" s="726"/>
      <c r="F37" s="565"/>
      <c r="G37" s="565"/>
      <c r="H37" s="726"/>
      <c r="I37" s="727"/>
      <c r="J37" s="565"/>
      <c r="K37" s="726"/>
      <c r="L37" s="565"/>
      <c r="M37" s="565"/>
      <c r="N37" s="728"/>
      <c r="O37" s="727"/>
      <c r="P37" s="565"/>
      <c r="Q37" s="726"/>
      <c r="R37" s="727"/>
      <c r="S37" s="565"/>
      <c r="T37" s="726"/>
      <c r="U37" s="727"/>
      <c r="V37" s="565"/>
      <c r="W37" s="726"/>
      <c r="X37" s="565"/>
      <c r="Y37" s="565"/>
      <c r="Z37" s="726"/>
      <c r="AA37" s="565"/>
      <c r="AB37" s="565"/>
      <c r="AC37" s="726"/>
      <c r="AD37" s="565"/>
      <c r="AE37" s="565"/>
      <c r="AF37" s="726"/>
      <c r="AG37" s="565"/>
      <c r="AH37" s="565"/>
      <c r="AI37" s="565">
        <f t="shared" si="1"/>
        <v>0</v>
      </c>
      <c r="AJ37" s="565">
        <f t="shared" si="1"/>
        <v>0</v>
      </c>
      <c r="AK37" s="565" t="str">
        <f t="shared" si="2"/>
        <v xml:space="preserve">    ---- </v>
      </c>
      <c r="AL37" s="744"/>
      <c r="AM37" s="744"/>
      <c r="AN37" s="744"/>
      <c r="AO37" s="638"/>
      <c r="AP37" s="638"/>
    </row>
    <row r="38" spans="1:42" s="633" customFormat="1" ht="18.75" customHeight="1" x14ac:dyDescent="0.3">
      <c r="A38" s="440" t="s">
        <v>481</v>
      </c>
      <c r="B38" s="726">
        <v>94.081999999999994</v>
      </c>
      <c r="C38" s="565">
        <v>99.378</v>
      </c>
      <c r="D38" s="565">
        <f>IF(B38=0, "    ---- ", IF(ABS(ROUND(100/B38*C38-100,1))&lt;999,ROUND(100/B38*C38-100,1),IF(ROUND(100/B38*C38-100,1)&gt;999,999,-999)))</f>
        <v>5.6</v>
      </c>
      <c r="E38" s="726">
        <v>559</v>
      </c>
      <c r="F38" s="565">
        <v>630.601</v>
      </c>
      <c r="G38" s="565">
        <f>IF(E38=0, "    ---- ", IF(ABS(ROUND(100/E38*F38-100,1))&lt;999,ROUND(100/E38*F38-100,1),IF(ROUND(100/E38*F38-100,1)&gt;999,999,-999)))</f>
        <v>12.8</v>
      </c>
      <c r="H38" s="726"/>
      <c r="I38" s="727"/>
      <c r="J38" s="565"/>
      <c r="K38" s="726">
        <v>292.50200000000001</v>
      </c>
      <c r="L38" s="565">
        <v>314.27199999999999</v>
      </c>
      <c r="M38" s="565">
        <f>IF(K38=0, "    ---- ", IF(ABS(ROUND(100/K38*L38-100,1))&lt;999,ROUND(100/K38*L38-100,1),IF(ROUND(100/K38*L38-100,1)&gt;999,999,-999)))</f>
        <v>7.4</v>
      </c>
      <c r="N38" s="728"/>
      <c r="O38" s="727"/>
      <c r="P38" s="565"/>
      <c r="Q38" s="726">
        <v>7.7</v>
      </c>
      <c r="R38" s="727">
        <v>8.4</v>
      </c>
      <c r="S38" s="565">
        <f>IF(Q38=0, "    ---- ", IF(ABS(ROUND(100/Q38*R38-100,1))&lt;999,ROUND(100/Q38*R38-100,1),IF(ROUND(100/Q38*R38-100,1)&gt;999,999,-999)))</f>
        <v>9.1</v>
      </c>
      <c r="T38" s="726"/>
      <c r="U38" s="727"/>
      <c r="V38" s="565"/>
      <c r="W38" s="726"/>
      <c r="X38" s="565"/>
      <c r="Y38" s="565"/>
      <c r="Z38" s="726"/>
      <c r="AA38" s="565"/>
      <c r="AB38" s="565"/>
      <c r="AC38" s="726">
        <v>322.85300000000001</v>
      </c>
      <c r="AD38" s="565">
        <v>396.9</v>
      </c>
      <c r="AE38" s="565">
        <f>IF(AC38=0, "    ---- ", IF(ABS(ROUND(100/AC38*AD38-100,1))&lt;999,ROUND(100/AC38*AD38-100,1),IF(ROUND(100/AC38*AD38-100,1)&gt;999,999,-999)))</f>
        <v>22.9</v>
      </c>
      <c r="AF38" s="726"/>
      <c r="AG38" s="565"/>
      <c r="AH38" s="565"/>
      <c r="AI38" s="565">
        <f t="shared" si="1"/>
        <v>1276.1370000000002</v>
      </c>
      <c r="AJ38" s="565">
        <f t="shared" si="1"/>
        <v>1449.5509999999999</v>
      </c>
      <c r="AK38" s="565">
        <f t="shared" si="2"/>
        <v>13.6</v>
      </c>
      <c r="AL38" s="744"/>
      <c r="AM38" s="744"/>
      <c r="AN38" s="744"/>
      <c r="AO38" s="638"/>
      <c r="AP38" s="638"/>
    </row>
    <row r="39" spans="1:42" s="633" customFormat="1" ht="18.75" customHeight="1" x14ac:dyDescent="0.3">
      <c r="A39" s="440" t="s">
        <v>483</v>
      </c>
      <c r="B39" s="726"/>
      <c r="C39" s="565"/>
      <c r="D39" s="565"/>
      <c r="E39" s="726"/>
      <c r="F39" s="565"/>
      <c r="G39" s="565"/>
      <c r="H39" s="726"/>
      <c r="I39" s="727"/>
      <c r="J39" s="565"/>
      <c r="K39" s="726"/>
      <c r="L39" s="565"/>
      <c r="M39" s="565"/>
      <c r="N39" s="728">
        <v>237.714157</v>
      </c>
      <c r="O39" s="727">
        <v>282.82383499999997</v>
      </c>
      <c r="P39" s="565">
        <f>IF(N39=0, "    ---- ", IF(ABS(ROUND(100/N39*O39-100,1))&lt;999,ROUND(100/N39*O39-100,1),IF(ROUND(100/N39*O39-100,1)&gt;999,999,-999)))</f>
        <v>19</v>
      </c>
      <c r="Q39" s="726"/>
      <c r="R39" s="727"/>
      <c r="S39" s="565"/>
      <c r="T39" s="726"/>
      <c r="U39" s="727"/>
      <c r="V39" s="565"/>
      <c r="W39" s="726"/>
      <c r="X39" s="565"/>
      <c r="Y39" s="565"/>
      <c r="Z39" s="726"/>
      <c r="AA39" s="565"/>
      <c r="AB39" s="565"/>
      <c r="AC39" s="726"/>
      <c r="AD39" s="565"/>
      <c r="AE39" s="565"/>
      <c r="AF39" s="726"/>
      <c r="AG39" s="565"/>
      <c r="AH39" s="565"/>
      <c r="AI39" s="565">
        <f t="shared" si="1"/>
        <v>237.714157</v>
      </c>
      <c r="AJ39" s="746">
        <f t="shared" si="1"/>
        <v>282.82383499999997</v>
      </c>
      <c r="AK39" s="565">
        <f t="shared" si="2"/>
        <v>19</v>
      </c>
      <c r="AL39" s="744"/>
      <c r="AM39" s="744"/>
      <c r="AN39" s="744"/>
      <c r="AO39" s="638"/>
      <c r="AP39" s="638"/>
    </row>
    <row r="40" spans="1:42" s="661" customFormat="1" ht="18.75" customHeight="1" x14ac:dyDescent="0.3">
      <c r="A40" s="694" t="s">
        <v>505</v>
      </c>
      <c r="B40" s="734">
        <v>12330.574000000001</v>
      </c>
      <c r="C40" s="658">
        <f>SUM(C11+C21+C26+C31+C36)</f>
        <v>14037.346000000001</v>
      </c>
      <c r="D40" s="658">
        <f>IF(B40=0, "    ---- ", IF(ABS(ROUND(100/B40*C40-100,1))&lt;999,ROUND(100/B40*C40-100,1),IF(ROUND(100/B40*C40-100,1)&gt;999,999,-999)))</f>
        <v>13.8</v>
      </c>
      <c r="E40" s="734">
        <v>49679.140999999996</v>
      </c>
      <c r="F40" s="658">
        <f>SUM(F11+F21+F26+F31+F36)</f>
        <v>60220.193000000007</v>
      </c>
      <c r="G40" s="658">
        <f>IF(E40=0, "    ---- ", IF(ABS(ROUND(100/E40*F40-100,1))&lt;999,ROUND(100/E40*F40-100,1),IF(ROUND(100/E40*F40-100,1)&gt;999,999,-999)))</f>
        <v>21.2</v>
      </c>
      <c r="H40" s="734">
        <v>2345.808</v>
      </c>
      <c r="I40" s="735">
        <f>SUM(I11+I21+I26+I31+I36)</f>
        <v>2680.7449999999999</v>
      </c>
      <c r="J40" s="658">
        <f>IF(H40=0, "    ---- ", IF(ABS(ROUND(100/H40*I40-100,1))&lt;999,ROUND(100/H40*I40-100,1),IF(ROUND(100/H40*I40-100,1)&gt;999,999,-999)))</f>
        <v>14.3</v>
      </c>
      <c r="K40" s="734">
        <v>15155.471000000001</v>
      </c>
      <c r="L40" s="658">
        <f>SUM(L11+L21+L26+L31+L36)</f>
        <v>17827.697</v>
      </c>
      <c r="M40" s="658">
        <f>IF(K40=0, "    ---- ", IF(ABS(ROUND(100/K40*L40-100,1))&lt;999,ROUND(100/K40*L40-100,1),IF(ROUND(100/K40*L40-100,1)&gt;999,999,-999)))</f>
        <v>17.600000000000001</v>
      </c>
      <c r="N40" s="735">
        <f>SUM(N11+N21+N26+N31+N36)</f>
        <v>2035.8509330000002</v>
      </c>
      <c r="O40" s="735">
        <f>SUM(O11+O21+O26+O31+O36)</f>
        <v>2181.46920615</v>
      </c>
      <c r="P40" s="658">
        <f>IF(N40=0, "    ---- ", IF(ABS(ROUND(100/N40*O40-100,1))&lt;999,ROUND(100/N40*O40-100,1),IF(ROUND(100/N40*O40-100,1)&gt;999,999,-999)))</f>
        <v>7.2</v>
      </c>
      <c r="Q40" s="734">
        <v>1182.5</v>
      </c>
      <c r="R40" s="735">
        <f>SUM(R11+R21+R26+R31+R36)</f>
        <v>1673.7</v>
      </c>
      <c r="S40" s="658">
        <f>IF(Q40=0, "    ---- ", IF(ABS(ROUND(100/Q40*R40-100,1))&lt;999,ROUND(100/Q40*R40-100,1),IF(ROUND(100/Q40*R40-100,1)&gt;999,999,-999)))</f>
        <v>41.5</v>
      </c>
      <c r="T40" s="734">
        <v>39158</v>
      </c>
      <c r="U40" s="735">
        <f>SUM(U11+U21+U26+U31+U36)</f>
        <v>47301.16</v>
      </c>
      <c r="V40" s="658">
        <f>IF(T40=0, "    ---- ", IF(ABS(ROUND(100/T40*U40-100,1))&lt;999,ROUND(100/T40*U40-100,1),IF(ROUND(100/T40*U40-100,1)&gt;999,999,-999)))</f>
        <v>20.8</v>
      </c>
      <c r="W40" s="734">
        <v>1611</v>
      </c>
      <c r="X40" s="658">
        <f>SUM(X11+X21+X26+X31+X36)</f>
        <v>1764</v>
      </c>
      <c r="Y40" s="658">
        <f>IF(W40=0, "    ---- ", IF(ABS(ROUND(100/W40*X40-100,1))&lt;999,ROUND(100/W40*X40-100,1),IF(ROUND(100/W40*X40-100,1)&gt;999,999,-999)))</f>
        <v>9.5</v>
      </c>
      <c r="Z40" s="734">
        <v>554.65576253999996</v>
      </c>
      <c r="AA40" s="658"/>
      <c r="AB40" s="658">
        <f>IF(Z40=0, "    ---- ", IF(ABS(ROUND(100/Z40*AA40-100,1))&lt;999,ROUND(100/Z40*AA40-100,1),IF(ROUND(100/Z40*AA40-100,1)&gt;999,999,-999)))</f>
        <v>-100</v>
      </c>
      <c r="AC40" s="734">
        <v>15766.544</v>
      </c>
      <c r="AD40" s="658">
        <f>SUM(AD11+AD21+AD26+AD31+AD36)</f>
        <v>19386.68</v>
      </c>
      <c r="AE40" s="658">
        <f>IF(AC40=0, "    ---- ", IF(ABS(ROUND(100/AC40*AD40-100,1))&lt;999,ROUND(100/AC40*AD40-100,1),IF(ROUND(100/AC40*AD40-100,1)&gt;999,999,-999)))</f>
        <v>23</v>
      </c>
      <c r="AF40" s="734">
        <v>53894</v>
      </c>
      <c r="AG40" s="658">
        <f>SUM(AG11+AG21+AG26+AG31+AG36)</f>
        <v>65144.2</v>
      </c>
      <c r="AH40" s="658">
        <f t="shared" si="0"/>
        <v>20.9</v>
      </c>
      <c r="AI40" s="658">
        <f>+B40+E40+H40+K40+N40+Q40+T40+W40+Z40+AC40+AF40</f>
        <v>193713.54469553998</v>
      </c>
      <c r="AJ40" s="745">
        <f t="shared" si="1"/>
        <v>232217.19020615</v>
      </c>
      <c r="AK40" s="658">
        <f t="shared" si="2"/>
        <v>19.899999999999999</v>
      </c>
      <c r="AL40" s="658">
        <f>AI40+'Tabell 7a'!AL54</f>
        <v>1146813.78199695</v>
      </c>
      <c r="AM40" s="658">
        <f>AJ40+'Tabell 7a'!AM54</f>
        <v>1224423.4770266199</v>
      </c>
      <c r="AN40" s="658">
        <f t="shared" ref="AN40:AN47" si="3">IF(AL40=0, "    ---- ", IF(ABS(ROUND(100/AL40*AM40-100,1))&lt;999,ROUND(100/AL40*AM40-100,1),IF(ROUND(100/AL40*AM40-100,1)&gt;999,999,-999)))</f>
        <v>6.8</v>
      </c>
      <c r="AO40" s="636"/>
      <c r="AP40" s="636"/>
    </row>
    <row r="41" spans="1:42" s="633" customFormat="1" ht="18.75" customHeight="1" x14ac:dyDescent="0.3">
      <c r="A41" s="440" t="s">
        <v>476</v>
      </c>
      <c r="B41" s="726">
        <v>1492.46</v>
      </c>
      <c r="C41" s="565">
        <f>SUM(C12+C22+C27+C32)</f>
        <v>2021.1969999999999</v>
      </c>
      <c r="D41" s="565">
        <f>IF(B41=0, "    ---- ", IF(ABS(ROUND(100/B41*C41-100,1))&lt;999,ROUND(100/B41*C41-100,1),IF(ROUND(100/B41*C41-100,1)&gt;999,999,-999)))</f>
        <v>35.4</v>
      </c>
      <c r="E41" s="726">
        <v>4265.7950000000001</v>
      </c>
      <c r="F41" s="565">
        <f>SUM(F12+F22+F27+F32)</f>
        <v>5213.616</v>
      </c>
      <c r="G41" s="565">
        <f>IF(E41=0, "    ---- ", IF(ABS(ROUND(100/E41*F41-100,1))&lt;999,ROUND(100/E41*F41-100,1),IF(ROUND(100/E41*F41-100,1)&gt;999,999,-999)))</f>
        <v>22.2</v>
      </c>
      <c r="H41" s="726"/>
      <c r="I41" s="727"/>
      <c r="J41" s="565"/>
      <c r="K41" s="726">
        <v>252.92699999999999</v>
      </c>
      <c r="L41" s="565">
        <f>SUM(L12+L22+L27+L32)</f>
        <v>352.39400000000001</v>
      </c>
      <c r="M41" s="565">
        <f>IF(K41=0, "    ---- ", IF(ABS(ROUND(100/K41*L41-100,1))&lt;999,ROUND(100/K41*L41-100,1),IF(ROUND(100/K41*L41-100,1)&gt;999,999,-999)))</f>
        <v>39.299999999999997</v>
      </c>
      <c r="N41" s="728"/>
      <c r="O41" s="727"/>
      <c r="P41" s="565"/>
      <c r="Q41" s="726"/>
      <c r="R41" s="727"/>
      <c r="S41" s="565"/>
      <c r="T41" s="726">
        <v>13869</v>
      </c>
      <c r="U41" s="727">
        <f>SUM(U12+U22+U27+U32)</f>
        <v>18017.36</v>
      </c>
      <c r="V41" s="565">
        <f>IF(T41=0, "    ---- ", IF(ABS(ROUND(100/T41*U41-100,1))&lt;999,ROUND(100/T41*U41-100,1),IF(ROUND(100/T41*U41-100,1)&gt;999,999,-999)))</f>
        <v>29.9</v>
      </c>
      <c r="W41" s="726">
        <v>535</v>
      </c>
      <c r="X41" s="565">
        <f>SUM(X12+X22+X27+X32)</f>
        <v>670</v>
      </c>
      <c r="Y41" s="565">
        <f>IF(W41=0, "    ---- ", IF(ABS(ROUND(100/W41*X41-100,1))&lt;999,ROUND(100/W41*X41-100,1),IF(ROUND(100/W41*X41-100,1)&gt;999,999,-999)))</f>
        <v>25.2</v>
      </c>
      <c r="Z41" s="726"/>
      <c r="AA41" s="565"/>
      <c r="AB41" s="565"/>
      <c r="AC41" s="726">
        <v>1692.5600000000002</v>
      </c>
      <c r="AD41" s="565">
        <f>SUM(AD12+AD22+AD27+AD32)</f>
        <v>1785.3</v>
      </c>
      <c r="AE41" s="565">
        <f>IF(AC41=0, "    ---- ", IF(ABS(ROUND(100/AC41*AD41-100,1))&lt;999,ROUND(100/AC41*AD41-100,1),IF(ROUND(100/AC41*AD41-100,1)&gt;999,999,-999)))</f>
        <v>5.5</v>
      </c>
      <c r="AF41" s="726">
        <v>3844</v>
      </c>
      <c r="AG41" s="565">
        <f>SUM(AG12+AG22+AG27+AG32)</f>
        <v>4982.6000000000004</v>
      </c>
      <c r="AH41" s="565">
        <f t="shared" si="0"/>
        <v>29.6</v>
      </c>
      <c r="AI41" s="565">
        <f t="shared" si="1"/>
        <v>25951.742000000002</v>
      </c>
      <c r="AJ41" s="565">
        <f t="shared" si="1"/>
        <v>33042.467000000004</v>
      </c>
      <c r="AK41" s="565">
        <f t="shared" si="2"/>
        <v>27.3</v>
      </c>
      <c r="AL41" s="565">
        <f>AI41+'Tabell 7a'!AL55</f>
        <v>51210.540999999997</v>
      </c>
      <c r="AM41" s="565">
        <f>AJ41+'Tabell 7a'!AM55</f>
        <v>56761.301000000007</v>
      </c>
      <c r="AN41" s="565">
        <f t="shared" si="3"/>
        <v>10.8</v>
      </c>
      <c r="AO41" s="638"/>
      <c r="AP41" s="638"/>
    </row>
    <row r="42" spans="1:42" s="633" customFormat="1" ht="18.75" customHeight="1" x14ac:dyDescent="0.3">
      <c r="A42" s="440" t="s">
        <v>479</v>
      </c>
      <c r="B42" s="726">
        <v>2364.5030000000002</v>
      </c>
      <c r="C42" s="565">
        <f>SUM(C13+C23+C28+C33+C37)</f>
        <v>2244.4250000000002</v>
      </c>
      <c r="D42" s="565">
        <f>IF(B42=0, "    ---- ", IF(ABS(ROUND(100/B42*C42-100,1))&lt;999,ROUND(100/B42*C42-100,1),IF(ROUND(100/B42*C42-100,1)&gt;999,999,-999)))</f>
        <v>-5.0999999999999996</v>
      </c>
      <c r="E42" s="726">
        <v>5800.3580000000002</v>
      </c>
      <c r="F42" s="565">
        <f>SUM(F13+F23+F28+F33+F37)</f>
        <v>5589.7449999999999</v>
      </c>
      <c r="G42" s="565">
        <f>IF(E42=0, "    ---- ", IF(ABS(ROUND(100/E42*F42-100,1))&lt;999,ROUND(100/E42*F42-100,1),IF(ROUND(100/E42*F42-100,1)&gt;999,999,-999)))</f>
        <v>-3.6</v>
      </c>
      <c r="H42" s="726">
        <v>71.102999999999994</v>
      </c>
      <c r="I42" s="727">
        <f>SUM(I13+I23+I28+I33+I37)</f>
        <v>97.623000000000005</v>
      </c>
      <c r="J42" s="565">
        <f>IF(H42=0, "    ---- ", IF(ABS(ROUND(100/H42*I42-100,1))&lt;999,ROUND(100/H42*I42-100,1),IF(ROUND(100/H42*I42-100,1)&gt;999,999,-999)))</f>
        <v>37.299999999999997</v>
      </c>
      <c r="K42" s="726">
        <v>1649.797</v>
      </c>
      <c r="L42" s="565">
        <f>SUM(L13+L23+L28+L33+L37)</f>
        <v>1593.1569999999999</v>
      </c>
      <c r="M42" s="565">
        <f>IF(K42=0, "    ---- ", IF(ABS(ROUND(100/K42*L42-100,1))&lt;999,ROUND(100/K42*L42-100,1),IF(ROUND(100/K42*L42-100,1)&gt;999,999,-999)))</f>
        <v>-3.4</v>
      </c>
      <c r="N42" s="728"/>
      <c r="O42" s="727"/>
      <c r="P42" s="565"/>
      <c r="Q42" s="726"/>
      <c r="R42" s="727"/>
      <c r="S42" s="565"/>
      <c r="T42" s="726">
        <v>3112</v>
      </c>
      <c r="U42" s="727">
        <f>SUM(U13+U23+U28+U33+U37)</f>
        <v>3260.8</v>
      </c>
      <c r="V42" s="565">
        <f>IF(T42=0, "    ---- ", IF(ABS(ROUND(100/T42*U42-100,1))&lt;999,ROUND(100/T42*U42-100,1),IF(ROUND(100/T42*U42-100,1)&gt;999,999,-999)))</f>
        <v>4.8</v>
      </c>
      <c r="W42" s="726">
        <v>909</v>
      </c>
      <c r="X42" s="565">
        <f>SUM(X13+X23+X28+X33+X37)</f>
        <v>849</v>
      </c>
      <c r="Y42" s="565">
        <f>IF(W42=0, "    ---- ", IF(ABS(ROUND(100/W42*X42-100,1))&lt;999,ROUND(100/W42*X42-100,1),IF(ROUND(100/W42*X42-100,1)&gt;999,999,-999)))</f>
        <v>-6.6</v>
      </c>
      <c r="Z42" s="726">
        <v>554.65576253999996</v>
      </c>
      <c r="AA42" s="565"/>
      <c r="AB42" s="565">
        <f>IF(Z42=0, "    ---- ", IF(ABS(ROUND(100/Z42*AA42-100,1))&lt;999,ROUND(100/Z42*AA42-100,1),IF(ROUND(100/Z42*AA42-100,1)&gt;999,999,-999)))</f>
        <v>-100</v>
      </c>
      <c r="AC42" s="726">
        <v>2002.4570000000001</v>
      </c>
      <c r="AD42" s="565">
        <f>SUM(AD13+AD23+AD28+AD33+AD37)</f>
        <v>1919.7429999999999</v>
      </c>
      <c r="AE42" s="565">
        <f>IF(AC42=0, "    ---- ", IF(ABS(ROUND(100/AC42*AD42-100,1))&lt;999,ROUND(100/AC42*AD42-100,1),IF(ROUND(100/AC42*AD42-100,1)&gt;999,999,-999)))</f>
        <v>-4.0999999999999996</v>
      </c>
      <c r="AF42" s="726">
        <v>3572</v>
      </c>
      <c r="AG42" s="565">
        <f>SUM(AG13+AG23+AG28+AG33+AG37)</f>
        <v>3579.9</v>
      </c>
      <c r="AH42" s="565">
        <f t="shared" si="0"/>
        <v>0.2</v>
      </c>
      <c r="AI42" s="565">
        <f t="shared" si="1"/>
        <v>20035.873762539999</v>
      </c>
      <c r="AJ42" s="565">
        <f t="shared" si="1"/>
        <v>19134.393</v>
      </c>
      <c r="AK42" s="565">
        <f t="shared" si="2"/>
        <v>-4.5</v>
      </c>
      <c r="AL42" s="565">
        <f>AI42+'Tabell 7a'!AL56</f>
        <v>72429.865762540008</v>
      </c>
      <c r="AM42" s="565">
        <f>AJ42+'Tabell 7a'!AM56</f>
        <v>69850.468000000008</v>
      </c>
      <c r="AN42" s="565">
        <f t="shared" si="3"/>
        <v>-3.6</v>
      </c>
      <c r="AO42" s="638"/>
      <c r="AP42" s="638"/>
    </row>
    <row r="43" spans="1:42" s="633" customFormat="1" ht="18.75" customHeight="1" x14ac:dyDescent="0.3">
      <c r="A43" s="509" t="s">
        <v>480</v>
      </c>
      <c r="B43" s="726"/>
      <c r="C43" s="565"/>
      <c r="D43" s="565"/>
      <c r="E43" s="726"/>
      <c r="F43" s="565"/>
      <c r="G43" s="565"/>
      <c r="H43" s="726"/>
      <c r="I43" s="727"/>
      <c r="J43" s="565"/>
      <c r="K43" s="726"/>
      <c r="L43" s="565"/>
      <c r="M43" s="565"/>
      <c r="N43" s="728"/>
      <c r="O43" s="727"/>
      <c r="P43" s="565"/>
      <c r="Q43" s="726"/>
      <c r="R43" s="727"/>
      <c r="S43" s="565"/>
      <c r="T43" s="726"/>
      <c r="U43" s="727"/>
      <c r="V43" s="565"/>
      <c r="W43" s="726"/>
      <c r="X43" s="565"/>
      <c r="Y43" s="565"/>
      <c r="Z43" s="726"/>
      <c r="AA43" s="565"/>
      <c r="AB43" s="565"/>
      <c r="AC43" s="726"/>
      <c r="AD43" s="565"/>
      <c r="AE43" s="565"/>
      <c r="AF43" s="726"/>
      <c r="AG43" s="565"/>
      <c r="AH43" s="565"/>
      <c r="AI43" s="565">
        <f t="shared" si="1"/>
        <v>0</v>
      </c>
      <c r="AJ43" s="565">
        <f t="shared" si="1"/>
        <v>0</v>
      </c>
      <c r="AK43" s="565" t="str">
        <f t="shared" si="2"/>
        <v xml:space="preserve">    ---- </v>
      </c>
      <c r="AL43" s="565">
        <f>AI43+'Tabell 7a'!AL57</f>
        <v>3199.6590366299997</v>
      </c>
      <c r="AM43" s="565">
        <f>AJ43+'Tabell 7a'!AM57</f>
        <v>3346.9090286300002</v>
      </c>
      <c r="AN43" s="565">
        <f t="shared" si="3"/>
        <v>4.5999999999999996</v>
      </c>
      <c r="AO43" s="638"/>
      <c r="AP43" s="638"/>
    </row>
    <row r="44" spans="1:42" s="633" customFormat="1" ht="18.75" customHeight="1" x14ac:dyDescent="0.3">
      <c r="A44" s="440" t="s">
        <v>481</v>
      </c>
      <c r="B44" s="726">
        <v>8473.6110000000008</v>
      </c>
      <c r="C44" s="565">
        <f>SUM(C14+C24+C29+C34+C38)</f>
        <v>9771.7240000000002</v>
      </c>
      <c r="D44" s="565">
        <f>IF(B44=0, "    ---- ", IF(ABS(ROUND(100/B44*C44-100,1))&lt;999,ROUND(100/B44*C44-100,1),IF(ROUND(100/B44*C44-100,1)&gt;999,999,-999)))</f>
        <v>15.3</v>
      </c>
      <c r="E44" s="726">
        <v>39612.987999999998</v>
      </c>
      <c r="F44" s="565">
        <f>SUM(F14+F24+F29+F34+F38)</f>
        <v>49416.832000000002</v>
      </c>
      <c r="G44" s="565">
        <f>IF(E44=0, "    ---- ", IF(ABS(ROUND(100/E44*F44-100,1))&lt;999,ROUND(100/E44*F44-100,1),IF(ROUND(100/E44*F44-100,1)&gt;999,999,-999)))</f>
        <v>24.7</v>
      </c>
      <c r="H44" s="726">
        <v>2274.7049999999999</v>
      </c>
      <c r="I44" s="727">
        <f>SUM(I14+I24+I29+I34+I38)</f>
        <v>2583.1219999999998</v>
      </c>
      <c r="J44" s="565">
        <f>IF(H44=0, "    ---- ", IF(ABS(ROUND(100/H44*I44-100,1))&lt;999,ROUND(100/H44*I44-100,1),IF(ROUND(100/H44*I44-100,1)&gt;999,999,-999)))</f>
        <v>13.6</v>
      </c>
      <c r="K44" s="726">
        <v>13252.747000000001</v>
      </c>
      <c r="L44" s="565">
        <f>SUM(L14+L24+L29+L34+L38)</f>
        <v>15882.146000000001</v>
      </c>
      <c r="M44" s="565">
        <f>IF(K44=0, "    ---- ", IF(ABS(ROUND(100/K44*L44-100,1))&lt;999,ROUND(100/K44*L44-100,1),IF(ROUND(100/K44*L44-100,1)&gt;999,999,-999)))</f>
        <v>19.8</v>
      </c>
      <c r="N44" s="728"/>
      <c r="O44" s="727"/>
      <c r="P44" s="565"/>
      <c r="Q44" s="726">
        <v>1182.5</v>
      </c>
      <c r="R44" s="727">
        <f>SUM(R14+R24+R29+R34+R38)</f>
        <v>1673.7</v>
      </c>
      <c r="S44" s="565">
        <f>IF(Q44=0, "    ---- ", IF(ABS(ROUND(100/Q44*R44-100,1))&lt;999,ROUND(100/Q44*R44-100,1),IF(ROUND(100/Q44*R44-100,1)&gt;999,999,-999)))</f>
        <v>41.5</v>
      </c>
      <c r="T44" s="726">
        <v>22177</v>
      </c>
      <c r="U44" s="727">
        <f>SUM(U14+U24+U29+U34+U38)</f>
        <v>26023</v>
      </c>
      <c r="V44" s="565">
        <f>IF(T44=0, "    ---- ", IF(ABS(ROUND(100/T44*U44-100,1))&lt;999,ROUND(100/T44*U44-100,1),IF(ROUND(100/T44*U44-100,1)&gt;999,999,-999)))</f>
        <v>17.3</v>
      </c>
      <c r="W44" s="726">
        <v>167</v>
      </c>
      <c r="X44" s="565">
        <f>SUM(X14+X24+X29+X34+X38)</f>
        <v>245</v>
      </c>
      <c r="Y44" s="565">
        <f>IF(W44=0, "    ---- ", IF(ABS(ROUND(100/W44*X44-100,1))&lt;999,ROUND(100/W44*X44-100,1),IF(ROUND(100/W44*X44-100,1)&gt;999,999,-999)))</f>
        <v>46.7</v>
      </c>
      <c r="Z44" s="726"/>
      <c r="AA44" s="565"/>
      <c r="AB44" s="565"/>
      <c r="AC44" s="726">
        <v>12071.527</v>
      </c>
      <c r="AD44" s="565">
        <f>SUM(AD14+AD24+AD29+AD34+AD38)</f>
        <v>15681.636999999999</v>
      </c>
      <c r="AE44" s="565">
        <f>IF(AC44=0, "    ---- ", IF(ABS(ROUND(100/AC44*AD44-100,1))&lt;999,ROUND(100/AC44*AD44-100,1),IF(ROUND(100/AC44*AD44-100,1)&gt;999,999,-999)))</f>
        <v>29.9</v>
      </c>
      <c r="AF44" s="726">
        <v>46478</v>
      </c>
      <c r="AG44" s="565">
        <f>SUM(AG14+AG24+AG29+AG34+AG38)</f>
        <v>56581.7</v>
      </c>
      <c r="AH44" s="565">
        <f t="shared" si="0"/>
        <v>21.7</v>
      </c>
      <c r="AI44" s="565">
        <f t="shared" si="1"/>
        <v>145690.07800000001</v>
      </c>
      <c r="AJ44" s="565">
        <f t="shared" si="1"/>
        <v>177858.861</v>
      </c>
      <c r="AK44" s="565">
        <f t="shared" si="2"/>
        <v>22.1</v>
      </c>
      <c r="AL44" s="565">
        <f>AI44+'Tabell 7a'!AL58</f>
        <v>513914.02342141001</v>
      </c>
      <c r="AM44" s="565">
        <f>AJ44+'Tabell 7a'!AM58</f>
        <v>553870.76699999999</v>
      </c>
      <c r="AN44" s="565">
        <f t="shared" si="3"/>
        <v>7.8</v>
      </c>
      <c r="AO44" s="638"/>
      <c r="AP44" s="638"/>
    </row>
    <row r="45" spans="1:42" s="633" customFormat="1" ht="18.75" customHeight="1" x14ac:dyDescent="0.3">
      <c r="A45" s="440" t="s">
        <v>483</v>
      </c>
      <c r="B45" s="726"/>
      <c r="C45" s="565"/>
      <c r="D45" s="565"/>
      <c r="E45" s="726"/>
      <c r="F45" s="565"/>
      <c r="G45" s="565"/>
      <c r="H45" s="726"/>
      <c r="I45" s="727"/>
      <c r="J45" s="565"/>
      <c r="K45" s="726"/>
      <c r="L45" s="565"/>
      <c r="M45" s="565"/>
      <c r="N45" s="727">
        <f>SUM(N15+N25+N30+N35+N39)</f>
        <v>2035.8509330000002</v>
      </c>
      <c r="O45" s="727">
        <f>SUM(O15+O25+O30+O35+O39)</f>
        <v>2181.46920615</v>
      </c>
      <c r="P45" s="565">
        <f>IF(N45=0, "    ---- ", IF(ABS(ROUND(100/N45*O45-100,1))&lt;999,ROUND(100/N45*O45-100,1),IF(ROUND(100/N45*O45-100,1)&gt;999,999,-999)))</f>
        <v>7.2</v>
      </c>
      <c r="Q45" s="726"/>
      <c r="R45" s="727"/>
      <c r="S45" s="565"/>
      <c r="T45" s="726"/>
      <c r="U45" s="727"/>
      <c r="V45" s="565"/>
      <c r="W45" s="726"/>
      <c r="X45" s="565"/>
      <c r="Y45" s="565"/>
      <c r="Z45" s="726"/>
      <c r="AA45" s="565"/>
      <c r="AB45" s="565"/>
      <c r="AC45" s="726"/>
      <c r="AD45" s="565"/>
      <c r="AE45" s="565"/>
      <c r="AF45" s="726"/>
      <c r="AG45" s="565"/>
      <c r="AH45" s="565"/>
      <c r="AI45" s="565">
        <f t="shared" si="1"/>
        <v>2035.8509330000002</v>
      </c>
      <c r="AJ45" s="746">
        <f t="shared" si="1"/>
        <v>2181.46920615</v>
      </c>
      <c r="AK45" s="565">
        <f t="shared" si="2"/>
        <v>7.2</v>
      </c>
      <c r="AL45" s="565">
        <f>AI45+'Tabell 7a'!AL59</f>
        <v>457631.98585300002</v>
      </c>
      <c r="AM45" s="565">
        <f>AJ45+'Tabell 7a'!AM59</f>
        <v>491134.17194898997</v>
      </c>
      <c r="AN45" s="565">
        <f t="shared" si="3"/>
        <v>7.3</v>
      </c>
      <c r="AO45" s="638"/>
      <c r="AP45" s="638"/>
    </row>
    <row r="46" spans="1:42" s="633" customFormat="1" ht="18.75" customHeight="1" x14ac:dyDescent="0.3">
      <c r="A46" s="509" t="s">
        <v>484</v>
      </c>
      <c r="B46" s="726"/>
      <c r="C46" s="565"/>
      <c r="D46" s="565"/>
      <c r="E46" s="726"/>
      <c r="F46" s="565"/>
      <c r="G46" s="565"/>
      <c r="H46" s="726"/>
      <c r="I46" s="727"/>
      <c r="J46" s="565"/>
      <c r="K46" s="726"/>
      <c r="L46" s="565"/>
      <c r="M46" s="565"/>
      <c r="N46" s="728"/>
      <c r="O46" s="727"/>
      <c r="P46" s="565"/>
      <c r="Q46" s="726"/>
      <c r="R46" s="727"/>
      <c r="S46" s="565"/>
      <c r="T46" s="726"/>
      <c r="U46" s="727"/>
      <c r="V46" s="565"/>
      <c r="W46" s="726"/>
      <c r="X46" s="565"/>
      <c r="Y46" s="565"/>
      <c r="Z46" s="726"/>
      <c r="AA46" s="565"/>
      <c r="AB46" s="565"/>
      <c r="AC46" s="726"/>
      <c r="AD46" s="565"/>
      <c r="AE46" s="565"/>
      <c r="AF46" s="726"/>
      <c r="AG46" s="565"/>
      <c r="AH46" s="565"/>
      <c r="AI46" s="565">
        <f t="shared" si="1"/>
        <v>0</v>
      </c>
      <c r="AJ46" s="746">
        <f t="shared" si="1"/>
        <v>0</v>
      </c>
      <c r="AK46" s="565" t="str">
        <f t="shared" si="2"/>
        <v xml:space="preserve">    ---- </v>
      </c>
      <c r="AL46" s="565">
        <f>AI46+'Tabell 7a'!AL60</f>
        <v>5866.3969999999999</v>
      </c>
      <c r="AM46" s="565">
        <f>AJ46+'Tabell 7a'!AM60</f>
        <v>2458.049</v>
      </c>
      <c r="AN46" s="565">
        <f t="shared" si="3"/>
        <v>-58.1</v>
      </c>
      <c r="AO46" s="638"/>
      <c r="AP46" s="638"/>
    </row>
    <row r="47" spans="1:42" s="633" customFormat="1" ht="18.75" customHeight="1" x14ac:dyDescent="0.3">
      <c r="A47" s="520" t="s">
        <v>506</v>
      </c>
      <c r="B47" s="747"/>
      <c r="C47" s="677"/>
      <c r="D47" s="677"/>
      <c r="E47" s="747"/>
      <c r="F47" s="677"/>
      <c r="G47" s="677"/>
      <c r="H47" s="747"/>
      <c r="I47" s="748"/>
      <c r="J47" s="677"/>
      <c r="K47" s="747"/>
      <c r="L47" s="677"/>
      <c r="M47" s="677"/>
      <c r="N47" s="749"/>
      <c r="O47" s="748"/>
      <c r="P47" s="677"/>
      <c r="Q47" s="747"/>
      <c r="R47" s="677"/>
      <c r="S47" s="677"/>
      <c r="T47" s="747"/>
      <c r="U47" s="748"/>
      <c r="V47" s="677"/>
      <c r="W47" s="747"/>
      <c r="X47" s="677"/>
      <c r="Y47" s="677"/>
      <c r="Z47" s="747"/>
      <c r="AA47" s="677"/>
      <c r="AB47" s="677"/>
      <c r="AC47" s="747"/>
      <c r="AD47" s="677"/>
      <c r="AE47" s="677"/>
      <c r="AF47" s="747"/>
      <c r="AG47" s="677"/>
      <c r="AH47" s="677"/>
      <c r="AI47" s="677">
        <f t="shared" si="1"/>
        <v>0</v>
      </c>
      <c r="AJ47" s="750">
        <f t="shared" si="1"/>
        <v>0</v>
      </c>
      <c r="AK47" s="677" t="str">
        <f t="shared" si="2"/>
        <v xml:space="preserve">    ---- </v>
      </c>
      <c r="AL47" s="677">
        <f>AI47+'Tabell 7a'!AL61</f>
        <v>42567.787931370003</v>
      </c>
      <c r="AM47" s="677">
        <f>AJ47+'Tabell 7a'!AM61</f>
        <v>47001.811048999996</v>
      </c>
      <c r="AN47" s="677">
        <f t="shared" si="3"/>
        <v>10.4</v>
      </c>
      <c r="AO47" s="638"/>
      <c r="AP47" s="638"/>
    </row>
    <row r="48" spans="1:42" s="633" customFormat="1" ht="18.75" customHeight="1" x14ac:dyDescent="0.3">
      <c r="A48" s="515" t="s">
        <v>286</v>
      </c>
      <c r="B48" s="515"/>
      <c r="K48" s="515"/>
      <c r="X48" s="751"/>
      <c r="Y48" s="751"/>
      <c r="Z48" s="751"/>
      <c r="AA48" s="751"/>
      <c r="AB48" s="751"/>
      <c r="AC48" s="515"/>
      <c r="AI48" s="515"/>
      <c r="AL48" s="515"/>
      <c r="AO48" s="638"/>
      <c r="AP48" s="638"/>
    </row>
    <row r="49" spans="1:42" s="633" customFormat="1" ht="18.75" customHeight="1" x14ac:dyDescent="0.3">
      <c r="A49" s="515" t="s">
        <v>288</v>
      </c>
      <c r="B49" s="752"/>
      <c r="K49" s="515"/>
      <c r="X49" s="751"/>
      <c r="Y49" s="751"/>
      <c r="Z49" s="751"/>
      <c r="AA49" s="751"/>
      <c r="AB49" s="751"/>
      <c r="AC49" s="515"/>
      <c r="AL49" s="515"/>
      <c r="AO49" s="638"/>
      <c r="AP49" s="638"/>
    </row>
    <row r="50" spans="1:42" s="633" customFormat="1" ht="18.75" x14ac:dyDescent="0.3">
      <c r="AP50" s="638"/>
    </row>
    <row r="51" spans="1:42" s="633" customFormat="1" ht="18.75" x14ac:dyDescent="0.3">
      <c r="A51" s="792"/>
      <c r="B51" s="793"/>
      <c r="C51" s="793"/>
      <c r="D51" s="792"/>
      <c r="E51" s="793"/>
      <c r="F51" s="793"/>
      <c r="G51" s="792"/>
      <c r="H51" s="793"/>
      <c r="I51" s="793"/>
      <c r="J51" s="792"/>
      <c r="K51" s="793"/>
      <c r="L51" s="793"/>
      <c r="M51" s="792"/>
      <c r="N51" s="793"/>
      <c r="O51" s="793"/>
      <c r="P51" s="792"/>
      <c r="Q51" s="793"/>
      <c r="R51" s="793"/>
      <c r="S51" s="792"/>
      <c r="T51" s="793"/>
      <c r="U51" s="793"/>
      <c r="V51" s="792"/>
      <c r="W51" s="793"/>
      <c r="X51" s="793"/>
      <c r="Y51" s="792"/>
      <c r="Z51" s="792"/>
      <c r="AA51" s="792"/>
      <c r="AB51" s="792"/>
      <c r="AC51" s="793"/>
      <c r="AD51" s="793"/>
      <c r="AE51" s="792"/>
      <c r="AF51" s="793"/>
      <c r="AG51" s="793"/>
      <c r="AH51" s="792"/>
      <c r="AI51" s="793"/>
      <c r="AJ51" s="793"/>
      <c r="AK51" s="792"/>
      <c r="AL51" s="793"/>
      <c r="AM51" s="793"/>
      <c r="AN51" s="792"/>
    </row>
    <row r="52" spans="1:42" s="633" customFormat="1" ht="18.75" x14ac:dyDescent="0.3">
      <c r="A52" s="638"/>
      <c r="B52" s="631"/>
      <c r="C52" s="631"/>
      <c r="D52" s="638"/>
      <c r="E52" s="638"/>
      <c r="F52" s="638"/>
      <c r="G52" s="638"/>
      <c r="H52" s="638"/>
      <c r="I52" s="638"/>
      <c r="J52" s="638"/>
      <c r="K52" s="631"/>
      <c r="L52" s="631"/>
      <c r="M52" s="638"/>
      <c r="N52" s="638"/>
      <c r="O52" s="638"/>
      <c r="P52" s="638"/>
      <c r="Q52" s="638"/>
      <c r="R52" s="638"/>
      <c r="S52" s="638"/>
      <c r="T52" s="631"/>
      <c r="U52" s="631"/>
      <c r="V52" s="638"/>
      <c r="W52" s="631"/>
      <c r="X52" s="631"/>
      <c r="Y52" s="638"/>
      <c r="Z52" s="638"/>
      <c r="AA52" s="638"/>
      <c r="AB52" s="638"/>
      <c r="AC52" s="631"/>
      <c r="AD52" s="631"/>
      <c r="AE52" s="638"/>
      <c r="AF52" s="631"/>
      <c r="AG52" s="631"/>
      <c r="AH52" s="638"/>
      <c r="AI52" s="631"/>
      <c r="AJ52" s="631"/>
      <c r="AK52" s="638"/>
      <c r="AL52" s="631"/>
      <c r="AM52" s="631"/>
      <c r="AN52" s="638"/>
    </row>
    <row r="53" spans="1:42" s="633" customFormat="1" ht="18.75" x14ac:dyDescent="0.3">
      <c r="B53" s="515"/>
      <c r="C53" s="515"/>
      <c r="K53" s="515"/>
      <c r="L53" s="515"/>
      <c r="T53" s="515"/>
      <c r="U53" s="515"/>
      <c r="W53" s="515"/>
      <c r="X53" s="515"/>
      <c r="AC53" s="515"/>
      <c r="AD53" s="515"/>
      <c r="AF53" s="515"/>
      <c r="AG53" s="515"/>
      <c r="AI53" s="515"/>
      <c r="AJ53" s="515"/>
      <c r="AL53" s="515"/>
      <c r="AM53" s="515"/>
    </row>
    <row r="54" spans="1:42" s="633" customFormat="1" ht="18.75" x14ac:dyDescent="0.3">
      <c r="B54" s="515"/>
      <c r="C54" s="515"/>
      <c r="K54" s="515"/>
      <c r="L54" s="515"/>
      <c r="T54" s="515"/>
      <c r="U54" s="515"/>
      <c r="W54" s="515"/>
      <c r="X54" s="515"/>
      <c r="AC54" s="515"/>
      <c r="AD54" s="515"/>
      <c r="AF54" s="515"/>
      <c r="AG54" s="515"/>
      <c r="AI54" s="515"/>
      <c r="AJ54" s="515"/>
      <c r="AL54" s="515"/>
      <c r="AM54" s="515"/>
    </row>
    <row r="55" spans="1:42" s="633" customFormat="1" ht="18.75" x14ac:dyDescent="0.3">
      <c r="B55" s="515"/>
      <c r="C55" s="515"/>
      <c r="K55" s="515"/>
      <c r="L55" s="515"/>
      <c r="T55" s="515"/>
      <c r="U55" s="515"/>
      <c r="W55" s="515"/>
      <c r="X55" s="515"/>
      <c r="AC55" s="515"/>
      <c r="AD55" s="515"/>
      <c r="AF55" s="515"/>
      <c r="AG55" s="515"/>
      <c r="AI55" s="515"/>
      <c r="AJ55" s="515"/>
      <c r="AL55" s="515"/>
      <c r="AM55" s="515"/>
    </row>
    <row r="56" spans="1:42" s="633" customFormat="1" ht="18.75" x14ac:dyDescent="0.3">
      <c r="B56" s="515"/>
      <c r="C56" s="515"/>
      <c r="K56" s="515"/>
      <c r="L56" s="515"/>
      <c r="T56" s="515"/>
      <c r="U56" s="515"/>
      <c r="W56" s="515"/>
      <c r="X56" s="515"/>
      <c r="AC56" s="515"/>
      <c r="AD56" s="515"/>
      <c r="AF56" s="515"/>
      <c r="AG56" s="515"/>
      <c r="AI56" s="515"/>
      <c r="AJ56" s="515"/>
      <c r="AL56" s="515"/>
      <c r="AM56" s="515"/>
    </row>
    <row r="57" spans="1:42" s="633" customFormat="1" ht="18.75" x14ac:dyDescent="0.3">
      <c r="B57" s="515"/>
      <c r="C57" s="515"/>
      <c r="K57" s="515"/>
      <c r="L57" s="515"/>
      <c r="T57" s="515"/>
      <c r="U57" s="515"/>
      <c r="W57" s="515"/>
      <c r="X57" s="515"/>
      <c r="AC57" s="515"/>
      <c r="AD57" s="515"/>
      <c r="AF57" s="515"/>
      <c r="AG57" s="515"/>
      <c r="AI57" s="515"/>
      <c r="AJ57" s="515"/>
      <c r="AL57" s="515"/>
      <c r="AM57" s="515"/>
    </row>
    <row r="58" spans="1:42" s="633" customFormat="1" ht="18.75" x14ac:dyDescent="0.3">
      <c r="B58" s="515"/>
      <c r="C58" s="515"/>
      <c r="K58" s="515"/>
      <c r="L58" s="515"/>
      <c r="T58" s="515"/>
      <c r="U58" s="515"/>
      <c r="W58" s="515"/>
      <c r="X58" s="515"/>
      <c r="AC58" s="515"/>
      <c r="AD58" s="515"/>
      <c r="AF58" s="515"/>
      <c r="AG58" s="515"/>
      <c r="AI58" s="515"/>
      <c r="AJ58" s="515"/>
      <c r="AL58" s="515"/>
      <c r="AM58" s="515"/>
    </row>
    <row r="59" spans="1:42" s="633" customFormat="1" ht="18.75" x14ac:dyDescent="0.3">
      <c r="A59" s="638"/>
      <c r="B59" s="515"/>
      <c r="C59" s="515"/>
      <c r="D59" s="638"/>
      <c r="E59" s="638"/>
      <c r="F59" s="638"/>
      <c r="G59" s="638"/>
      <c r="H59" s="638"/>
      <c r="I59" s="638"/>
      <c r="J59" s="638"/>
      <c r="K59" s="515"/>
      <c r="L59" s="515"/>
      <c r="M59" s="638"/>
      <c r="N59" s="638"/>
      <c r="O59" s="638"/>
      <c r="P59" s="638"/>
      <c r="Q59" s="638"/>
      <c r="R59" s="638"/>
      <c r="S59" s="638"/>
      <c r="T59" s="515"/>
      <c r="U59" s="515"/>
      <c r="V59" s="638"/>
      <c r="W59" s="515"/>
      <c r="X59" s="515"/>
      <c r="Y59" s="638"/>
      <c r="Z59" s="638"/>
      <c r="AA59" s="638"/>
      <c r="AB59" s="638"/>
      <c r="AC59" s="515"/>
      <c r="AD59" s="515"/>
      <c r="AE59" s="638"/>
      <c r="AF59" s="515"/>
      <c r="AG59" s="515"/>
      <c r="AH59" s="638"/>
      <c r="AI59" s="515"/>
      <c r="AJ59" s="515"/>
      <c r="AK59" s="638"/>
      <c r="AL59" s="515"/>
      <c r="AM59" s="515"/>
      <c r="AN59" s="638"/>
    </row>
    <row r="60" spans="1:42" s="638" customFormat="1" ht="18.75" x14ac:dyDescent="0.3"/>
    <row r="61" spans="1:42" s="638" customFormat="1" ht="18.75" x14ac:dyDescent="0.3"/>
    <row r="62" spans="1:42" s="633" customFormat="1" ht="18.75" x14ac:dyDescent="0.3"/>
    <row r="63" spans="1:42" s="633" customFormat="1" ht="18.75" x14ac:dyDescent="0.3"/>
    <row r="64" spans="1:42" s="633" customFormat="1" ht="18.75" x14ac:dyDescent="0.3"/>
    <row r="65" s="633" customFormat="1" ht="18.75" x14ac:dyDescent="0.3"/>
    <row r="66" s="633" customFormat="1" ht="18.75" x14ac:dyDescent="0.3"/>
    <row r="67" s="633" customFormat="1" ht="18.75" x14ac:dyDescent="0.3"/>
    <row r="68" s="633" customFormat="1" ht="18.75" x14ac:dyDescent="0.3"/>
    <row r="69" s="633" customFormat="1" ht="18.75" x14ac:dyDescent="0.3"/>
    <row r="70" s="633" customFormat="1" ht="18.75" x14ac:dyDescent="0.3"/>
    <row r="71" s="633" customFormat="1" ht="18.75" x14ac:dyDescent="0.3"/>
    <row r="72" s="633" customFormat="1" ht="18.75" x14ac:dyDescent="0.3"/>
    <row r="73" s="633" customFormat="1" ht="18.75" x14ac:dyDescent="0.3"/>
    <row r="74" s="633" customFormat="1" ht="18.75" x14ac:dyDescent="0.3"/>
    <row r="75" s="633" customFormat="1" ht="18.75" x14ac:dyDescent="0.3"/>
    <row r="76" s="633" customFormat="1" ht="18.75" x14ac:dyDescent="0.3"/>
    <row r="77" s="633" customFormat="1" ht="18.75" x14ac:dyDescent="0.3"/>
    <row r="78" s="633" customFormat="1" ht="18.75" x14ac:dyDescent="0.3"/>
    <row r="79" s="633" customFormat="1" ht="18.75" x14ac:dyDescent="0.3"/>
    <row r="80" s="633" customFormat="1" ht="18.75" x14ac:dyDescent="0.3"/>
    <row r="81" s="633" customFormat="1" ht="18.75" x14ac:dyDescent="0.3"/>
    <row r="82" s="633" customFormat="1" ht="18.75" x14ac:dyDescent="0.3"/>
    <row r="83" s="633" customFormat="1" ht="18.75" x14ac:dyDescent="0.3"/>
  </sheetData>
  <mergeCells count="24">
    <mergeCell ref="AL5:AN5"/>
    <mergeCell ref="B5:D5"/>
    <mergeCell ref="E5:G5"/>
    <mergeCell ref="H5:J5"/>
    <mergeCell ref="K5:M5"/>
    <mergeCell ref="Q5:S5"/>
    <mergeCell ref="T5:V5"/>
    <mergeCell ref="W5:Y5"/>
    <mergeCell ref="Z5:AB5"/>
    <mergeCell ref="AC5:AE5"/>
    <mergeCell ref="AF5:AH5"/>
    <mergeCell ref="AI5:AK5"/>
    <mergeCell ref="AL6:AN6"/>
    <mergeCell ref="B6:D6"/>
    <mergeCell ref="E6:G6"/>
    <mergeCell ref="H6:J6"/>
    <mergeCell ref="K6:M6"/>
    <mergeCell ref="Q6:S6"/>
    <mergeCell ref="T6:V6"/>
    <mergeCell ref="W6:Y6"/>
    <mergeCell ref="Z6:AB6"/>
    <mergeCell ref="AC6:AE6"/>
    <mergeCell ref="AF6:AH6"/>
    <mergeCell ref="AI6:AK6"/>
  </mergeCells>
  <hyperlinks>
    <hyperlink ref="B1" location="Innhold!A1" display="Tilbake"/>
  </hyperlinks>
  <pageMargins left="0.78740157480314965" right="0.78740157480314965" top="1.5748031496062993" bottom="0.98425196850393704" header="0.51181102362204722" footer="0.51181102362204722"/>
  <pageSetup paperSize="9" scale="45" fitToWidth="4" orientation="portrait" r:id="rId1"/>
  <headerFooter alignWithMargins="0"/>
  <colBreaks count="4" manualBreakCount="4">
    <brk id="10" min="1" max="48" man="1"/>
    <brk id="19" min="1" max="48" man="1"/>
    <brk id="28" min="1" max="48" man="1"/>
    <brk id="37" min="1" max="48"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0"/>
  <sheetViews>
    <sheetView showGridLines="0" zoomScale="60" zoomScaleNormal="60" workbookViewId="0">
      <pane xSplit="1" ySplit="8" topLeftCell="B27" activePane="bottomRight" state="frozen"/>
      <selection pane="topRight" activeCell="B1" sqref="B1"/>
      <selection pane="bottomLeft" activeCell="A9" sqref="A9"/>
      <selection pane="bottomRight" activeCell="A4" sqref="A4"/>
    </sheetView>
  </sheetViews>
  <sheetFormatPr baseColWidth="10" defaultRowHeight="12.75" x14ac:dyDescent="0.2"/>
  <cols>
    <col min="1" max="1" width="62" style="408" customWidth="1"/>
    <col min="2" max="37" width="11.7109375" style="408" customWidth="1"/>
    <col min="38" max="256" width="11.42578125" style="408"/>
    <col min="257" max="257" width="62" style="408" customWidth="1"/>
    <col min="258" max="293" width="11.7109375" style="408" customWidth="1"/>
    <col min="294" max="512" width="11.42578125" style="408"/>
    <col min="513" max="513" width="62" style="408" customWidth="1"/>
    <col min="514" max="549" width="11.7109375" style="408" customWidth="1"/>
    <col min="550" max="768" width="11.42578125" style="408"/>
    <col min="769" max="769" width="62" style="408" customWidth="1"/>
    <col min="770" max="805" width="11.7109375" style="408" customWidth="1"/>
    <col min="806" max="1024" width="11.42578125" style="408"/>
    <col min="1025" max="1025" width="62" style="408" customWidth="1"/>
    <col min="1026" max="1061" width="11.7109375" style="408" customWidth="1"/>
    <col min="1062" max="1280" width="11.42578125" style="408"/>
    <col min="1281" max="1281" width="62" style="408" customWidth="1"/>
    <col min="1282" max="1317" width="11.7109375" style="408" customWidth="1"/>
    <col min="1318" max="1536" width="11.42578125" style="408"/>
    <col min="1537" max="1537" width="62" style="408" customWidth="1"/>
    <col min="1538" max="1573" width="11.7109375" style="408" customWidth="1"/>
    <col min="1574" max="1792" width="11.42578125" style="408"/>
    <col min="1793" max="1793" width="62" style="408" customWidth="1"/>
    <col min="1794" max="1829" width="11.7109375" style="408" customWidth="1"/>
    <col min="1830" max="2048" width="11.42578125" style="408"/>
    <col min="2049" max="2049" width="62" style="408" customWidth="1"/>
    <col min="2050" max="2085" width="11.7109375" style="408" customWidth="1"/>
    <col min="2086" max="2304" width="11.42578125" style="408"/>
    <col min="2305" max="2305" width="62" style="408" customWidth="1"/>
    <col min="2306" max="2341" width="11.7109375" style="408" customWidth="1"/>
    <col min="2342" max="2560" width="11.42578125" style="408"/>
    <col min="2561" max="2561" width="62" style="408" customWidth="1"/>
    <col min="2562" max="2597" width="11.7109375" style="408" customWidth="1"/>
    <col min="2598" max="2816" width="11.42578125" style="408"/>
    <col min="2817" max="2817" width="62" style="408" customWidth="1"/>
    <col min="2818" max="2853" width="11.7109375" style="408" customWidth="1"/>
    <col min="2854" max="3072" width="11.42578125" style="408"/>
    <col min="3073" max="3073" width="62" style="408" customWidth="1"/>
    <col min="3074" max="3109" width="11.7109375" style="408" customWidth="1"/>
    <col min="3110" max="3328" width="11.42578125" style="408"/>
    <col min="3329" max="3329" width="62" style="408" customWidth="1"/>
    <col min="3330" max="3365" width="11.7109375" style="408" customWidth="1"/>
    <col min="3366" max="3584" width="11.42578125" style="408"/>
    <col min="3585" max="3585" width="62" style="408" customWidth="1"/>
    <col min="3586" max="3621" width="11.7109375" style="408" customWidth="1"/>
    <col min="3622" max="3840" width="11.42578125" style="408"/>
    <col min="3841" max="3841" width="62" style="408" customWidth="1"/>
    <col min="3842" max="3877" width="11.7109375" style="408" customWidth="1"/>
    <col min="3878" max="4096" width="11.42578125" style="408"/>
    <col min="4097" max="4097" width="62" style="408" customWidth="1"/>
    <col min="4098" max="4133" width="11.7109375" style="408" customWidth="1"/>
    <col min="4134" max="4352" width="11.42578125" style="408"/>
    <col min="4353" max="4353" width="62" style="408" customWidth="1"/>
    <col min="4354" max="4389" width="11.7109375" style="408" customWidth="1"/>
    <col min="4390" max="4608" width="11.42578125" style="408"/>
    <col min="4609" max="4609" width="62" style="408" customWidth="1"/>
    <col min="4610" max="4645" width="11.7109375" style="408" customWidth="1"/>
    <col min="4646" max="4864" width="11.42578125" style="408"/>
    <col min="4865" max="4865" width="62" style="408" customWidth="1"/>
    <col min="4866" max="4901" width="11.7109375" style="408" customWidth="1"/>
    <col min="4902" max="5120" width="11.42578125" style="408"/>
    <col min="5121" max="5121" width="62" style="408" customWidth="1"/>
    <col min="5122" max="5157" width="11.7109375" style="408" customWidth="1"/>
    <col min="5158" max="5376" width="11.42578125" style="408"/>
    <col min="5377" max="5377" width="62" style="408" customWidth="1"/>
    <col min="5378" max="5413" width="11.7109375" style="408" customWidth="1"/>
    <col min="5414" max="5632" width="11.42578125" style="408"/>
    <col min="5633" max="5633" width="62" style="408" customWidth="1"/>
    <col min="5634" max="5669" width="11.7109375" style="408" customWidth="1"/>
    <col min="5670" max="5888" width="11.42578125" style="408"/>
    <col min="5889" max="5889" width="62" style="408" customWidth="1"/>
    <col min="5890" max="5925" width="11.7109375" style="408" customWidth="1"/>
    <col min="5926" max="6144" width="11.42578125" style="408"/>
    <col min="6145" max="6145" width="62" style="408" customWidth="1"/>
    <col min="6146" max="6181" width="11.7109375" style="408" customWidth="1"/>
    <col min="6182" max="6400" width="11.42578125" style="408"/>
    <col min="6401" max="6401" width="62" style="408" customWidth="1"/>
    <col min="6402" max="6437" width="11.7109375" style="408" customWidth="1"/>
    <col min="6438" max="6656" width="11.42578125" style="408"/>
    <col min="6657" max="6657" width="62" style="408" customWidth="1"/>
    <col min="6658" max="6693" width="11.7109375" style="408" customWidth="1"/>
    <col min="6694" max="6912" width="11.42578125" style="408"/>
    <col min="6913" max="6913" width="62" style="408" customWidth="1"/>
    <col min="6914" max="6949" width="11.7109375" style="408" customWidth="1"/>
    <col min="6950" max="7168" width="11.42578125" style="408"/>
    <col min="7169" max="7169" width="62" style="408" customWidth="1"/>
    <col min="7170" max="7205" width="11.7109375" style="408" customWidth="1"/>
    <col min="7206" max="7424" width="11.42578125" style="408"/>
    <col min="7425" max="7425" width="62" style="408" customWidth="1"/>
    <col min="7426" max="7461" width="11.7109375" style="408" customWidth="1"/>
    <col min="7462" max="7680" width="11.42578125" style="408"/>
    <col min="7681" max="7681" width="62" style="408" customWidth="1"/>
    <col min="7682" max="7717" width="11.7109375" style="408" customWidth="1"/>
    <col min="7718" max="7936" width="11.42578125" style="408"/>
    <col min="7937" max="7937" width="62" style="408" customWidth="1"/>
    <col min="7938" max="7973" width="11.7109375" style="408" customWidth="1"/>
    <col min="7974" max="8192" width="11.42578125" style="408"/>
    <col min="8193" max="8193" width="62" style="408" customWidth="1"/>
    <col min="8194" max="8229" width="11.7109375" style="408" customWidth="1"/>
    <col min="8230" max="8448" width="11.42578125" style="408"/>
    <col min="8449" max="8449" width="62" style="408" customWidth="1"/>
    <col min="8450" max="8485" width="11.7109375" style="408" customWidth="1"/>
    <col min="8486" max="8704" width="11.42578125" style="408"/>
    <col min="8705" max="8705" width="62" style="408" customWidth="1"/>
    <col min="8706" max="8741" width="11.7109375" style="408" customWidth="1"/>
    <col min="8742" max="8960" width="11.42578125" style="408"/>
    <col min="8961" max="8961" width="62" style="408" customWidth="1"/>
    <col min="8962" max="8997" width="11.7109375" style="408" customWidth="1"/>
    <col min="8998" max="9216" width="11.42578125" style="408"/>
    <col min="9217" max="9217" width="62" style="408" customWidth="1"/>
    <col min="9218" max="9253" width="11.7109375" style="408" customWidth="1"/>
    <col min="9254" max="9472" width="11.42578125" style="408"/>
    <col min="9473" max="9473" width="62" style="408" customWidth="1"/>
    <col min="9474" max="9509" width="11.7109375" style="408" customWidth="1"/>
    <col min="9510" max="9728" width="11.42578125" style="408"/>
    <col min="9729" max="9729" width="62" style="408" customWidth="1"/>
    <col min="9730" max="9765" width="11.7109375" style="408" customWidth="1"/>
    <col min="9766" max="9984" width="11.42578125" style="408"/>
    <col min="9985" max="9985" width="62" style="408" customWidth="1"/>
    <col min="9986" max="10021" width="11.7109375" style="408" customWidth="1"/>
    <col min="10022" max="10240" width="11.42578125" style="408"/>
    <col min="10241" max="10241" width="62" style="408" customWidth="1"/>
    <col min="10242" max="10277" width="11.7109375" style="408" customWidth="1"/>
    <col min="10278" max="10496" width="11.42578125" style="408"/>
    <col min="10497" max="10497" width="62" style="408" customWidth="1"/>
    <col min="10498" max="10533" width="11.7109375" style="408" customWidth="1"/>
    <col min="10534" max="10752" width="11.42578125" style="408"/>
    <col min="10753" max="10753" width="62" style="408" customWidth="1"/>
    <col min="10754" max="10789" width="11.7109375" style="408" customWidth="1"/>
    <col min="10790" max="11008" width="11.42578125" style="408"/>
    <col min="11009" max="11009" width="62" style="408" customWidth="1"/>
    <col min="11010" max="11045" width="11.7109375" style="408" customWidth="1"/>
    <col min="11046" max="11264" width="11.42578125" style="408"/>
    <col min="11265" max="11265" width="62" style="408" customWidth="1"/>
    <col min="11266" max="11301" width="11.7109375" style="408" customWidth="1"/>
    <col min="11302" max="11520" width="11.42578125" style="408"/>
    <col min="11521" max="11521" width="62" style="408" customWidth="1"/>
    <col min="11522" max="11557" width="11.7109375" style="408" customWidth="1"/>
    <col min="11558" max="11776" width="11.42578125" style="408"/>
    <col min="11777" max="11777" width="62" style="408" customWidth="1"/>
    <col min="11778" max="11813" width="11.7109375" style="408" customWidth="1"/>
    <col min="11814" max="12032" width="11.42578125" style="408"/>
    <col min="12033" max="12033" width="62" style="408" customWidth="1"/>
    <col min="12034" max="12069" width="11.7109375" style="408" customWidth="1"/>
    <col min="12070" max="12288" width="11.42578125" style="408"/>
    <col min="12289" max="12289" width="62" style="408" customWidth="1"/>
    <col min="12290" max="12325" width="11.7109375" style="408" customWidth="1"/>
    <col min="12326" max="12544" width="11.42578125" style="408"/>
    <col min="12545" max="12545" width="62" style="408" customWidth="1"/>
    <col min="12546" max="12581" width="11.7109375" style="408" customWidth="1"/>
    <col min="12582" max="12800" width="11.42578125" style="408"/>
    <col min="12801" max="12801" width="62" style="408" customWidth="1"/>
    <col min="12802" max="12837" width="11.7109375" style="408" customWidth="1"/>
    <col min="12838" max="13056" width="11.42578125" style="408"/>
    <col min="13057" max="13057" width="62" style="408" customWidth="1"/>
    <col min="13058" max="13093" width="11.7109375" style="408" customWidth="1"/>
    <col min="13094" max="13312" width="11.42578125" style="408"/>
    <col min="13313" max="13313" width="62" style="408" customWidth="1"/>
    <col min="13314" max="13349" width="11.7109375" style="408" customWidth="1"/>
    <col min="13350" max="13568" width="11.42578125" style="408"/>
    <col min="13569" max="13569" width="62" style="408" customWidth="1"/>
    <col min="13570" max="13605" width="11.7109375" style="408" customWidth="1"/>
    <col min="13606" max="13824" width="11.42578125" style="408"/>
    <col min="13825" max="13825" width="62" style="408" customWidth="1"/>
    <col min="13826" max="13861" width="11.7109375" style="408" customWidth="1"/>
    <col min="13862" max="14080" width="11.42578125" style="408"/>
    <col min="14081" max="14081" width="62" style="408" customWidth="1"/>
    <col min="14082" max="14117" width="11.7109375" style="408" customWidth="1"/>
    <col min="14118" max="14336" width="11.42578125" style="408"/>
    <col min="14337" max="14337" width="62" style="408" customWidth="1"/>
    <col min="14338" max="14373" width="11.7109375" style="408" customWidth="1"/>
    <col min="14374" max="14592" width="11.42578125" style="408"/>
    <col min="14593" max="14593" width="62" style="408" customWidth="1"/>
    <col min="14594" max="14629" width="11.7109375" style="408" customWidth="1"/>
    <col min="14630" max="14848" width="11.42578125" style="408"/>
    <col min="14849" max="14849" width="62" style="408" customWidth="1"/>
    <col min="14850" max="14885" width="11.7109375" style="408" customWidth="1"/>
    <col min="14886" max="15104" width="11.42578125" style="408"/>
    <col min="15105" max="15105" width="62" style="408" customWidth="1"/>
    <col min="15106" max="15141" width="11.7109375" style="408" customWidth="1"/>
    <col min="15142" max="15360" width="11.42578125" style="408"/>
    <col min="15361" max="15361" width="62" style="408" customWidth="1"/>
    <col min="15362" max="15397" width="11.7109375" style="408" customWidth="1"/>
    <col min="15398" max="15616" width="11.42578125" style="408"/>
    <col min="15617" max="15617" width="62" style="408" customWidth="1"/>
    <col min="15618" max="15653" width="11.7109375" style="408" customWidth="1"/>
    <col min="15654" max="15872" width="11.42578125" style="408"/>
    <col min="15873" max="15873" width="62" style="408" customWidth="1"/>
    <col min="15874" max="15909" width="11.7109375" style="408" customWidth="1"/>
    <col min="15910" max="16128" width="11.42578125" style="408"/>
    <col min="16129" max="16129" width="62" style="408" customWidth="1"/>
    <col min="16130" max="16165" width="11.7109375" style="408" customWidth="1"/>
    <col min="16166" max="16384" width="11.42578125" style="408"/>
  </cols>
  <sheetData>
    <row r="1" spans="1:54" ht="20.25" customHeight="1" x14ac:dyDescent="0.3">
      <c r="A1" s="404" t="s">
        <v>206</v>
      </c>
      <c r="B1" s="405" t="s">
        <v>64</v>
      </c>
      <c r="AL1" s="789"/>
    </row>
    <row r="2" spans="1:54" ht="20.100000000000001" customHeight="1" x14ac:dyDescent="0.3">
      <c r="A2" s="404" t="s">
        <v>301</v>
      </c>
      <c r="AL2" s="789"/>
    </row>
    <row r="3" spans="1:54" ht="20.100000000000001" customHeight="1" x14ac:dyDescent="0.3">
      <c r="A3" s="409" t="s">
        <v>389</v>
      </c>
      <c r="AL3" s="790"/>
    </row>
    <row r="4" spans="1:54" ht="20.100000000000001" customHeight="1" x14ac:dyDescent="0.3">
      <c r="A4" s="412" t="s">
        <v>403</v>
      </c>
      <c r="B4" s="417"/>
      <c r="C4" s="416"/>
      <c r="D4" s="418"/>
      <c r="E4" s="417"/>
      <c r="F4" s="416"/>
      <c r="G4" s="418"/>
      <c r="H4" s="416"/>
      <c r="I4" s="416"/>
      <c r="J4" s="418"/>
      <c r="K4" s="417"/>
      <c r="L4" s="416"/>
      <c r="M4" s="418"/>
      <c r="N4" s="417"/>
      <c r="O4" s="416"/>
      <c r="P4" s="418"/>
      <c r="Q4" s="417"/>
      <c r="R4" s="416"/>
      <c r="S4" s="418"/>
      <c r="T4" s="417"/>
      <c r="U4" s="416"/>
      <c r="V4" s="418"/>
      <c r="W4" s="417"/>
      <c r="X4" s="416"/>
      <c r="Y4" s="418"/>
      <c r="Z4" s="417"/>
      <c r="AA4" s="416"/>
      <c r="AB4" s="418"/>
      <c r="AC4" s="417"/>
      <c r="AD4" s="416"/>
      <c r="AE4" s="418"/>
      <c r="AF4" s="417"/>
      <c r="AG4" s="416"/>
      <c r="AH4" s="418"/>
      <c r="AI4" s="417"/>
      <c r="AJ4" s="791"/>
      <c r="AK4" s="418"/>
      <c r="AL4" s="538"/>
      <c r="AM4" s="539"/>
      <c r="AN4" s="539"/>
      <c r="AO4" s="539"/>
      <c r="AP4" s="539"/>
      <c r="AQ4" s="539"/>
      <c r="AR4" s="539"/>
      <c r="AS4" s="539"/>
      <c r="AT4" s="539"/>
      <c r="AU4" s="539"/>
      <c r="AV4" s="539"/>
      <c r="AW4" s="539"/>
      <c r="AX4" s="539"/>
      <c r="AY4" s="539"/>
      <c r="AZ4" s="539"/>
      <c r="BA4" s="539"/>
      <c r="BB4" s="539"/>
    </row>
    <row r="5" spans="1:54" ht="20.100000000000001" customHeight="1" x14ac:dyDescent="0.3">
      <c r="A5" s="423"/>
      <c r="B5" s="845" t="s">
        <v>209</v>
      </c>
      <c r="C5" s="846"/>
      <c r="D5" s="847"/>
      <c r="E5" s="845" t="s">
        <v>210</v>
      </c>
      <c r="F5" s="846"/>
      <c r="G5" s="847"/>
      <c r="H5" s="846" t="s">
        <v>211</v>
      </c>
      <c r="I5" s="846"/>
      <c r="J5" s="847"/>
      <c r="K5" s="845" t="s">
        <v>212</v>
      </c>
      <c r="L5" s="846"/>
      <c r="M5" s="847"/>
      <c r="N5" s="424" t="s">
        <v>213</v>
      </c>
      <c r="O5" s="425"/>
      <c r="P5" s="426"/>
      <c r="Q5" s="845" t="s">
        <v>76</v>
      </c>
      <c r="R5" s="846"/>
      <c r="S5" s="847"/>
      <c r="T5" s="424"/>
      <c r="U5" s="425"/>
      <c r="V5" s="426"/>
      <c r="W5" s="845" t="s">
        <v>214</v>
      </c>
      <c r="X5" s="846"/>
      <c r="Y5" s="847"/>
      <c r="Z5" s="845" t="s">
        <v>88</v>
      </c>
      <c r="AA5" s="846"/>
      <c r="AB5" s="847"/>
      <c r="AC5" s="845"/>
      <c r="AD5" s="846"/>
      <c r="AE5" s="847"/>
      <c r="AF5" s="851" t="s">
        <v>89</v>
      </c>
      <c r="AG5" s="852"/>
      <c r="AH5" s="853"/>
      <c r="AI5" s="845" t="s">
        <v>347</v>
      </c>
      <c r="AJ5" s="846"/>
      <c r="AK5" s="847"/>
      <c r="AL5" s="411"/>
      <c r="AM5" s="540"/>
      <c r="AN5" s="860"/>
      <c r="AO5" s="860"/>
      <c r="AP5" s="860"/>
      <c r="AQ5" s="860"/>
      <c r="AR5" s="860"/>
      <c r="AS5" s="860"/>
      <c r="AT5" s="860"/>
      <c r="AU5" s="860"/>
      <c r="AV5" s="860"/>
      <c r="AW5" s="860"/>
      <c r="AX5" s="860"/>
      <c r="AY5" s="860"/>
      <c r="AZ5" s="860"/>
      <c r="BA5" s="860"/>
      <c r="BB5" s="860"/>
    </row>
    <row r="6" spans="1:54" ht="20.100000000000001" customHeight="1" x14ac:dyDescent="0.3">
      <c r="A6" s="427"/>
      <c r="B6" s="839" t="s">
        <v>215</v>
      </c>
      <c r="C6" s="840"/>
      <c r="D6" s="841"/>
      <c r="E6" s="839" t="s">
        <v>216</v>
      </c>
      <c r="F6" s="840"/>
      <c r="G6" s="841"/>
      <c r="H6" s="840" t="s">
        <v>216</v>
      </c>
      <c r="I6" s="840"/>
      <c r="J6" s="841"/>
      <c r="K6" s="839" t="s">
        <v>217</v>
      </c>
      <c r="L6" s="840"/>
      <c r="M6" s="841"/>
      <c r="N6" s="839" t="s">
        <v>76</v>
      </c>
      <c r="O6" s="840"/>
      <c r="P6" s="841"/>
      <c r="Q6" s="839" t="s">
        <v>218</v>
      </c>
      <c r="R6" s="840"/>
      <c r="S6" s="841"/>
      <c r="T6" s="839" t="s">
        <v>81</v>
      </c>
      <c r="U6" s="840"/>
      <c r="V6" s="841"/>
      <c r="W6" s="839" t="s">
        <v>215</v>
      </c>
      <c r="X6" s="840"/>
      <c r="Y6" s="841"/>
      <c r="Z6" s="839" t="s">
        <v>219</v>
      </c>
      <c r="AA6" s="840"/>
      <c r="AB6" s="841"/>
      <c r="AC6" s="839" t="s">
        <v>83</v>
      </c>
      <c r="AD6" s="840"/>
      <c r="AE6" s="841"/>
      <c r="AF6" s="848" t="s">
        <v>216</v>
      </c>
      <c r="AG6" s="849"/>
      <c r="AH6" s="850"/>
      <c r="AI6" s="839" t="s">
        <v>348</v>
      </c>
      <c r="AJ6" s="840"/>
      <c r="AK6" s="841"/>
      <c r="AL6" s="411"/>
      <c r="AM6" s="540"/>
      <c r="AN6" s="860"/>
      <c r="AO6" s="860"/>
      <c r="AP6" s="860"/>
      <c r="AQ6" s="860"/>
      <c r="AR6" s="860"/>
      <c r="AS6" s="860"/>
      <c r="AT6" s="860"/>
      <c r="AU6" s="860"/>
      <c r="AV6" s="860"/>
      <c r="AW6" s="860"/>
      <c r="AX6" s="860"/>
      <c r="AY6" s="860"/>
      <c r="AZ6" s="860"/>
      <c r="BA6" s="860"/>
      <c r="BB6" s="860"/>
    </row>
    <row r="7" spans="1:54" ht="20.100000000000001" customHeight="1" x14ac:dyDescent="0.3">
      <c r="A7" s="427"/>
      <c r="B7" s="541"/>
      <c r="C7" s="541"/>
      <c r="D7" s="428" t="s">
        <v>100</v>
      </c>
      <c r="E7" s="541"/>
      <c r="F7" s="541"/>
      <c r="G7" s="428" t="s">
        <v>100</v>
      </c>
      <c r="H7" s="541"/>
      <c r="I7" s="541"/>
      <c r="J7" s="428" t="s">
        <v>100</v>
      </c>
      <c r="K7" s="541"/>
      <c r="L7" s="541"/>
      <c r="M7" s="428" t="s">
        <v>100</v>
      </c>
      <c r="N7" s="541"/>
      <c r="O7" s="541"/>
      <c r="P7" s="428" t="s">
        <v>100</v>
      </c>
      <c r="Q7" s="541"/>
      <c r="R7" s="541"/>
      <c r="S7" s="428" t="s">
        <v>100</v>
      </c>
      <c r="T7" s="541"/>
      <c r="U7" s="541"/>
      <c r="V7" s="428" t="s">
        <v>100</v>
      </c>
      <c r="W7" s="541"/>
      <c r="X7" s="541"/>
      <c r="Y7" s="428" t="s">
        <v>100</v>
      </c>
      <c r="Z7" s="541"/>
      <c r="AA7" s="541"/>
      <c r="AB7" s="428" t="s">
        <v>100</v>
      </c>
      <c r="AC7" s="541"/>
      <c r="AD7" s="541"/>
      <c r="AE7" s="428" t="s">
        <v>100</v>
      </c>
      <c r="AF7" s="541"/>
      <c r="AG7" s="541"/>
      <c r="AH7" s="428" t="s">
        <v>100</v>
      </c>
      <c r="AI7" s="541"/>
      <c r="AJ7" s="541"/>
      <c r="AK7" s="428" t="s">
        <v>100</v>
      </c>
      <c r="AL7" s="411"/>
      <c r="AM7" s="540"/>
      <c r="AN7" s="540"/>
      <c r="AO7" s="540"/>
      <c r="AP7" s="540"/>
      <c r="AQ7" s="540"/>
      <c r="AR7" s="540"/>
      <c r="AS7" s="540"/>
      <c r="AT7" s="540"/>
      <c r="AU7" s="540"/>
      <c r="AV7" s="540"/>
      <c r="AW7" s="540"/>
      <c r="AX7" s="540"/>
      <c r="AY7" s="540"/>
      <c r="AZ7" s="540"/>
      <c r="BA7" s="540"/>
      <c r="BB7" s="540"/>
    </row>
    <row r="8" spans="1:54" ht="20.100000000000001" customHeight="1" x14ac:dyDescent="0.25">
      <c r="A8" s="542" t="s">
        <v>350</v>
      </c>
      <c r="B8" s="543">
        <v>2015</v>
      </c>
      <c r="C8" s="543">
        <v>2016</v>
      </c>
      <c r="D8" s="431" t="s">
        <v>102</v>
      </c>
      <c r="E8" s="543">
        <v>2015</v>
      </c>
      <c r="F8" s="543">
        <v>2016</v>
      </c>
      <c r="G8" s="431" t="s">
        <v>102</v>
      </c>
      <c r="H8" s="543">
        <v>2015</v>
      </c>
      <c r="I8" s="543">
        <v>2016</v>
      </c>
      <c r="J8" s="431" t="s">
        <v>102</v>
      </c>
      <c r="K8" s="543">
        <v>2015</v>
      </c>
      <c r="L8" s="543">
        <v>2016</v>
      </c>
      <c r="M8" s="431" t="s">
        <v>102</v>
      </c>
      <c r="N8" s="543">
        <v>2015</v>
      </c>
      <c r="O8" s="543">
        <v>2016</v>
      </c>
      <c r="P8" s="431" t="s">
        <v>102</v>
      </c>
      <c r="Q8" s="543">
        <v>2015</v>
      </c>
      <c r="R8" s="543">
        <v>2016</v>
      </c>
      <c r="S8" s="431" t="s">
        <v>102</v>
      </c>
      <c r="T8" s="543">
        <v>2015</v>
      </c>
      <c r="U8" s="543">
        <v>2016</v>
      </c>
      <c r="V8" s="431" t="s">
        <v>102</v>
      </c>
      <c r="W8" s="543">
        <v>2015</v>
      </c>
      <c r="X8" s="543">
        <v>2016</v>
      </c>
      <c r="Y8" s="431" t="s">
        <v>102</v>
      </c>
      <c r="Z8" s="543">
        <v>2015</v>
      </c>
      <c r="AA8" s="543">
        <v>2016</v>
      </c>
      <c r="AB8" s="431" t="s">
        <v>102</v>
      </c>
      <c r="AC8" s="543">
        <v>2015</v>
      </c>
      <c r="AD8" s="543">
        <v>2016</v>
      </c>
      <c r="AE8" s="431" t="s">
        <v>102</v>
      </c>
      <c r="AF8" s="543">
        <v>2015</v>
      </c>
      <c r="AG8" s="543">
        <v>2016</v>
      </c>
      <c r="AH8" s="431" t="s">
        <v>102</v>
      </c>
      <c r="AI8" s="543">
        <v>2015</v>
      </c>
      <c r="AJ8" s="543">
        <v>2016</v>
      </c>
      <c r="AK8" s="431" t="s">
        <v>102</v>
      </c>
      <c r="AL8" s="411"/>
      <c r="AM8" s="544"/>
      <c r="AN8" s="545"/>
      <c r="AO8" s="545"/>
      <c r="AP8" s="544"/>
      <c r="AQ8" s="545"/>
      <c r="AR8" s="545"/>
      <c r="AS8" s="544"/>
      <c r="AT8" s="545"/>
      <c r="AU8" s="545"/>
      <c r="AV8" s="544"/>
      <c r="AW8" s="545"/>
      <c r="AX8" s="545"/>
      <c r="AY8" s="544"/>
      <c r="AZ8" s="545"/>
      <c r="BA8" s="545"/>
      <c r="BB8" s="544"/>
    </row>
    <row r="9" spans="1:54" s="762" customFormat="1" ht="20.100000000000001" customHeight="1" x14ac:dyDescent="0.3">
      <c r="A9" s="753"/>
      <c r="B9" s="754"/>
      <c r="C9" s="755"/>
      <c r="D9" s="755"/>
      <c r="E9" s="754"/>
      <c r="F9" s="755"/>
      <c r="G9" s="755"/>
      <c r="H9" s="756"/>
      <c r="I9" s="755"/>
      <c r="J9" s="755"/>
      <c r="K9" s="757"/>
      <c r="L9" s="758"/>
      <c r="M9" s="755"/>
      <c r="N9" s="759"/>
      <c r="O9" s="755"/>
      <c r="P9" s="755"/>
      <c r="Q9" s="757"/>
      <c r="R9" s="758"/>
      <c r="S9" s="443"/>
      <c r="T9" s="757"/>
      <c r="U9" s="758"/>
      <c r="V9" s="755"/>
      <c r="W9" s="754"/>
      <c r="X9" s="755"/>
      <c r="Y9" s="755"/>
      <c r="Z9" s="754"/>
      <c r="AA9" s="755"/>
      <c r="AB9" s="755"/>
      <c r="AC9" s="754"/>
      <c r="AD9" s="755"/>
      <c r="AE9" s="760"/>
      <c r="AF9" s="759"/>
      <c r="AG9" s="755"/>
      <c r="AH9" s="755"/>
      <c r="AI9" s="755"/>
      <c r="AJ9" s="755"/>
      <c r="AK9" s="755"/>
      <c r="AL9" s="761"/>
      <c r="AM9" s="761"/>
    </row>
    <row r="10" spans="1:54" s="767" customFormat="1" ht="20.100000000000001" customHeight="1" x14ac:dyDescent="0.3">
      <c r="A10" s="509" t="s">
        <v>512</v>
      </c>
      <c r="B10" s="754">
        <v>14.67</v>
      </c>
      <c r="C10" s="763"/>
      <c r="D10" s="755"/>
      <c r="E10" s="754">
        <v>31.27</v>
      </c>
      <c r="F10" s="755"/>
      <c r="G10" s="755"/>
      <c r="H10" s="754">
        <v>19.2</v>
      </c>
      <c r="I10" s="755"/>
      <c r="J10" s="755"/>
      <c r="K10" s="757">
        <v>10.09</v>
      </c>
      <c r="L10" s="758"/>
      <c r="M10" s="755"/>
      <c r="N10" s="754">
        <v>181</v>
      </c>
      <c r="O10" s="755">
        <v>198</v>
      </c>
      <c r="P10" s="755"/>
      <c r="Q10" s="757">
        <v>35.4</v>
      </c>
      <c r="R10" s="758"/>
      <c r="S10" s="443">
        <f>IF(Q10=0, "    ---- ", IF(ABS(ROUND(100/Q10*R10-100,1))&lt;999,ROUND(100/Q10*R10-100,1),IF(ROUND(100/Q10*R10-100,1)&gt;999,999,-999)))</f>
        <v>-100</v>
      </c>
      <c r="T10" s="757">
        <v>20.96</v>
      </c>
      <c r="U10" s="758"/>
      <c r="V10" s="755"/>
      <c r="W10" s="754">
        <v>14.18</v>
      </c>
      <c r="X10" s="755"/>
      <c r="Y10" s="755"/>
      <c r="Z10" s="754">
        <v>10.1</v>
      </c>
      <c r="AA10" s="755"/>
      <c r="AB10" s="755"/>
      <c r="AC10" s="764">
        <v>22.49932736570328</v>
      </c>
      <c r="AD10" s="765"/>
      <c r="AE10" s="755"/>
      <c r="AF10" s="764">
        <v>26.64</v>
      </c>
      <c r="AG10" s="765"/>
      <c r="AH10" s="755"/>
      <c r="AI10" s="755"/>
      <c r="AJ10" s="755"/>
      <c r="AK10" s="755"/>
      <c r="AL10" s="766"/>
      <c r="AM10" s="766"/>
    </row>
    <row r="11" spans="1:54" s="767" customFormat="1" ht="20.100000000000001" customHeight="1" x14ac:dyDescent="0.3">
      <c r="A11" s="440" t="s">
        <v>513</v>
      </c>
      <c r="B11" s="754">
        <v>94.85</v>
      </c>
      <c r="C11" s="755"/>
      <c r="D11" s="755"/>
      <c r="E11" s="754">
        <v>22.97</v>
      </c>
      <c r="F11" s="755">
        <v>22.95</v>
      </c>
      <c r="G11" s="755"/>
      <c r="H11" s="756"/>
      <c r="I11" s="755"/>
      <c r="J11" s="755"/>
      <c r="K11" s="757">
        <v>19.760000000000002</v>
      </c>
      <c r="L11" s="758">
        <v>19.86</v>
      </c>
      <c r="M11" s="755"/>
      <c r="N11" s="754">
        <v>23.61</v>
      </c>
      <c r="O11" s="755">
        <v>24.74</v>
      </c>
      <c r="P11" s="755"/>
      <c r="Q11" s="757">
        <v>34.200000000000003</v>
      </c>
      <c r="R11" s="758"/>
      <c r="S11" s="443">
        <f>IF(Q11=0, "    ---- ", IF(ABS(ROUND(100/Q11*R11-100,1))&lt;999,ROUND(100/Q11*R11-100,1),IF(ROUND(100/Q11*R11-100,1)&gt;999,999,-999)))</f>
        <v>-100</v>
      </c>
      <c r="T11" s="754">
        <v>27.8</v>
      </c>
      <c r="U11" s="755">
        <v>29.7</v>
      </c>
      <c r="V11" s="755"/>
      <c r="W11" s="754">
        <v>34.625032436640431</v>
      </c>
      <c r="X11" s="755">
        <f>(1430+5589+1240+4068+9270+1172)/(57973+2267)*100</f>
        <v>37.797144754316072</v>
      </c>
      <c r="Y11" s="755"/>
      <c r="Z11" s="754">
        <v>14.26</v>
      </c>
      <c r="AA11" s="755"/>
      <c r="AB11" s="755"/>
      <c r="AC11" s="764">
        <v>32.714058016001346</v>
      </c>
      <c r="AD11" s="765">
        <v>35.43522938034873</v>
      </c>
      <c r="AE11" s="755"/>
      <c r="AF11" s="764">
        <v>23.7</v>
      </c>
      <c r="AG11" s="765"/>
      <c r="AH11" s="755"/>
      <c r="AI11" s="755"/>
      <c r="AJ11" s="755"/>
      <c r="AK11" s="755"/>
      <c r="AL11" s="766"/>
      <c r="AM11" s="766"/>
    </row>
    <row r="12" spans="1:54" s="767" customFormat="1" ht="20.100000000000001" customHeight="1" x14ac:dyDescent="0.3">
      <c r="A12" s="440" t="s">
        <v>398</v>
      </c>
      <c r="B12" s="447">
        <v>14.045</v>
      </c>
      <c r="C12" s="768">
        <v>28.567</v>
      </c>
      <c r="D12" s="443">
        <f>IF(B12=0, "    ---- ", IF(ABS(ROUND(100/B12*C12-100,1))&lt;999,ROUND(100/B12*C12-100,1),IF(ROUND(100/B12*C12-100,1)&gt;999,999,-999)))</f>
        <v>103.4</v>
      </c>
      <c r="E12" s="447">
        <v>2293.5749999999998</v>
      </c>
      <c r="F12" s="443">
        <v>2124.2280000000001</v>
      </c>
      <c r="G12" s="443">
        <f>IF(E12=0, "    ---- ", IF(ABS(ROUND(100/E12*F12-100,1))&lt;999,ROUND(100/E12*F12-100,1),IF(ROUND(100/E12*F12-100,1)&gt;999,999,-999)))</f>
        <v>-7.4</v>
      </c>
      <c r="H12" s="769"/>
      <c r="I12" s="443"/>
      <c r="J12" s="443"/>
      <c r="K12" s="441">
        <v>0</v>
      </c>
      <c r="L12" s="442">
        <v>26.895</v>
      </c>
      <c r="M12" s="443" t="str">
        <f>IF(K12=0, "    ---- ", IF(ABS(ROUND(100/K12*L12-100,1))&lt;999,ROUND(100/K12*L12-100,1),IF(ROUND(100/K12*L12-100,1)&gt;999,999,-999)))</f>
        <v xml:space="preserve">    ---- </v>
      </c>
      <c r="N12" s="447">
        <v>21471.932133999999</v>
      </c>
      <c r="O12" s="443">
        <v>28337.312049</v>
      </c>
      <c r="P12" s="443">
        <f>IF(N12=0, "    ---- ", IF(ABS(ROUND(100/N12*O12-100,1))&lt;999,ROUND(100/N12*O12-100,1),IF(ROUND(100/N12*O12-100,1)&gt;999,999,-999)))</f>
        <v>32</v>
      </c>
      <c r="Q12" s="441"/>
      <c r="R12" s="442"/>
      <c r="S12" s="443"/>
      <c r="T12" s="447">
        <v>894</v>
      </c>
      <c r="U12" s="443">
        <v>1061</v>
      </c>
      <c r="V12" s="443">
        <f>IF(T12=0, "    ---- ", IF(ABS(ROUND(100/T12*U12-100,1))&lt;999,ROUND(100/T12*U12-100,1),IF(ROUND(100/T12*U12-100,1)&gt;999,999,-999)))</f>
        <v>18.7</v>
      </c>
      <c r="W12" s="447">
        <v>9340</v>
      </c>
      <c r="X12" s="443">
        <v>9270</v>
      </c>
      <c r="Y12" s="443">
        <f>IF(W12=0, "    ---- ", IF(ABS(ROUND(100/W12*X12-100,1))&lt;999,ROUND(100/W12*X12-100,1),IF(ROUND(100/W12*X12-100,1)&gt;999,999,-999)))</f>
        <v>-0.7</v>
      </c>
      <c r="Z12" s="447">
        <v>329.26693137000001</v>
      </c>
      <c r="AA12" s="443"/>
      <c r="AB12" s="443">
        <f>IF(Z12=0, "    ---- ", IF(ABS(ROUND(100/Z12*AA12-100,1))&lt;999,ROUND(100/Z12*AA12-100,1),IF(ROUND(100/Z12*AA12-100,1)&gt;999,999,-999)))</f>
        <v>-100</v>
      </c>
      <c r="AC12" s="470">
        <v>1717.056</v>
      </c>
      <c r="AD12" s="451">
        <v>1892.39</v>
      </c>
      <c r="AE12" s="443">
        <f>IF(AC12=0, "    ---- ", IF(ABS(ROUND(100/AC12*AD12-100,1))&lt;999,ROUND(100/AC12*AD12-100,1),IF(ROUND(100/AC12*AD12-100,1)&gt;999,999,-999)))</f>
        <v>10.199999999999999</v>
      </c>
      <c r="AF12" s="470">
        <v>4520</v>
      </c>
      <c r="AG12" s="451"/>
      <c r="AH12" s="443">
        <f>IF(AF12=0, "    ---- ", IF(ABS(ROUND(100/AF12*AG12-100,1))&lt;999,ROUND(100/AF12*AG12-100,1),IF(ROUND(100/AF12*AG12-100,1)&gt;999,999,-999)))</f>
        <v>-100</v>
      </c>
      <c r="AI12" s="443">
        <f>B12+E12+H12+K12+N12+Q12+T12+W12+Z12+AC12+AF12</f>
        <v>40579.875065369997</v>
      </c>
      <c r="AJ12" s="443">
        <f>C12+F12+I12+L12+O12+R12+U12+X12+AA12+AD12+AG12</f>
        <v>42740.392049000002</v>
      </c>
      <c r="AK12" s="443">
        <f>IF(AI12=0, "    ---- ", IF(ABS(ROUND(100/AI12*AJ12-100,1))&lt;999,ROUND(100/AI12*AJ12-100,1),IF(ROUND(100/AI12*AJ12-100,1)&gt;999,999,-999)))</f>
        <v>5.3</v>
      </c>
      <c r="AL12" s="766"/>
      <c r="AM12" s="766"/>
    </row>
    <row r="13" spans="1:54" s="767" customFormat="1" ht="20.100000000000001" customHeight="1" x14ac:dyDescent="0.3">
      <c r="A13" s="717" t="s">
        <v>507</v>
      </c>
      <c r="B13" s="770"/>
      <c r="C13" s="771"/>
      <c r="D13" s="771"/>
      <c r="E13" s="770">
        <v>10318.928</v>
      </c>
      <c r="F13" s="771">
        <v>8975.1139999999996</v>
      </c>
      <c r="G13" s="771">
        <f>IF(E13=0, "    ---- ", IF(ABS(ROUND(100/E13*F13-100,1))&lt;999,ROUND(100/E13*F13-100,1),IF(ROUND(100/E13*F13-100,1)&gt;999,999,-999)))</f>
        <v>-13</v>
      </c>
      <c r="H13" s="772"/>
      <c r="I13" s="771"/>
      <c r="J13" s="771"/>
      <c r="K13" s="773"/>
      <c r="L13" s="774"/>
      <c r="M13" s="771"/>
      <c r="N13" s="770">
        <v>1512</v>
      </c>
      <c r="O13" s="771">
        <v>760</v>
      </c>
      <c r="P13" s="771">
        <f>IF(N13=0, "    ---- ", IF(ABS(ROUND(100/N13*O13-100,1))&lt;999,ROUND(100/N13*O13-100,1),IF(ROUND(100/N13*O13-100,1)&gt;999,999,-999)))</f>
        <v>-49.7</v>
      </c>
      <c r="Q13" s="773">
        <v>56</v>
      </c>
      <c r="R13" s="774"/>
      <c r="S13" s="771">
        <f>IF(Q13=0, "    ---- ", IF(ABS(ROUND(100/Q13*R13-100,1))&lt;999,ROUND(100/Q13*R13-100,1),IF(ROUND(100/Q13*R13-100,1)&gt;999,999,-999)))</f>
        <v>-100</v>
      </c>
      <c r="T13" s="773">
        <v>2031</v>
      </c>
      <c r="U13" s="774">
        <v>1724</v>
      </c>
      <c r="V13" s="771">
        <f>IF(T13=0, "    ---- ", IF(ABS(ROUND(100/T13*U13-100,1))&lt;999,ROUND(100/T13*U13-100,1),IF(ROUND(100/T13*U13-100,1)&gt;999,999,-999)))</f>
        <v>-15.1</v>
      </c>
      <c r="W13" s="770">
        <v>1255</v>
      </c>
      <c r="X13" s="771">
        <v>1172</v>
      </c>
      <c r="Y13" s="771">
        <f>IF(W13=0, "    ---- ", IF(ABS(ROUND(100/W13*X13-100,1))&lt;999,ROUND(100/W13*X13-100,1),IF(ROUND(100/W13*X13-100,1)&gt;999,999,-999)))</f>
        <v>-6.6</v>
      </c>
      <c r="Z13" s="770">
        <v>19.936254229999999</v>
      </c>
      <c r="AA13" s="771"/>
      <c r="AB13" s="771">
        <f>IF(Z13=0, "    ---- ", IF(ABS(ROUND(100/Z13*AA13-100,1))&lt;999,ROUND(100/Z13*AA13-100,1),IF(ROUND(100/Z13*AA13-100,1)&gt;999,999,-999)))</f>
        <v>-100</v>
      </c>
      <c r="AC13" s="718">
        <v>10.324999999999999</v>
      </c>
      <c r="AD13" s="621">
        <v>46.994999999999997</v>
      </c>
      <c r="AE13" s="771">
        <f>IF(AC13=0, "    ---- ", IF(ABS(ROUND(100/AC13*AD13-100,1))&lt;999,ROUND(100/AC13*AD13-100,1),IF(ROUND(100/AC13*AD13-100,1)&gt;999,999,-999)))</f>
        <v>355.2</v>
      </c>
      <c r="AF13" s="718">
        <v>10581</v>
      </c>
      <c r="AG13" s="621"/>
      <c r="AH13" s="771">
        <f>IF(AF13=0, "    ---- ", IF(ABS(ROUND(100/AF13*AG13-100,1))&lt;999,ROUND(100/AF13*AG13-100,1),IF(ROUND(100/AF13*AG13-100,1)&gt;999,999,-999)))</f>
        <v>-100</v>
      </c>
      <c r="AI13" s="771">
        <f>B13+E13+H13+K13+N13+Q13+T13+W13+Z13+AC13+AF13</f>
        <v>25784.189254230001</v>
      </c>
      <c r="AJ13" s="771">
        <f>C13+F13+I13+L13+O13+R13+U13+X13+AA13+AD13+AG13</f>
        <v>12678.109</v>
      </c>
      <c r="AK13" s="771">
        <f>IF(AI13=0, "    ---- ", IF(ABS(ROUND(100/AI13*AJ13-100,1))&lt;999,ROUND(100/AI13*AJ13-100,1),IF(ROUND(100/AI13*AJ13-100,1)&gt;999,999,-999)))</f>
        <v>-50.8</v>
      </c>
      <c r="AL13" s="766"/>
      <c r="AM13" s="766"/>
    </row>
    <row r="14" spans="1:54" s="767" customFormat="1" ht="20.100000000000001" customHeight="1" x14ac:dyDescent="0.3">
      <c r="A14" s="480"/>
      <c r="B14" s="765"/>
      <c r="C14" s="765"/>
      <c r="D14" s="765"/>
      <c r="E14" s="765"/>
      <c r="F14" s="765"/>
      <c r="G14" s="765"/>
      <c r="H14" s="775"/>
      <c r="I14" s="765"/>
      <c r="J14" s="765"/>
      <c r="K14" s="776"/>
      <c r="L14" s="765"/>
      <c r="M14" s="765"/>
      <c r="N14" s="765"/>
      <c r="O14" s="765"/>
      <c r="P14" s="765"/>
      <c r="Q14" s="776"/>
      <c r="R14" s="765"/>
      <c r="S14" s="765"/>
      <c r="T14" s="776"/>
      <c r="U14" s="765"/>
      <c r="V14" s="765"/>
      <c r="W14" s="765"/>
      <c r="X14" s="765"/>
      <c r="Y14" s="765"/>
      <c r="Z14" s="765"/>
      <c r="AA14" s="765"/>
      <c r="AB14" s="765"/>
      <c r="AC14" s="765"/>
      <c r="AD14" s="765"/>
      <c r="AE14" s="765"/>
      <c r="AF14" s="765"/>
      <c r="AG14" s="765"/>
      <c r="AH14" s="765"/>
      <c r="AI14" s="765"/>
      <c r="AJ14" s="765"/>
      <c r="AK14" s="765"/>
      <c r="AL14" s="766"/>
      <c r="AM14" s="766"/>
    </row>
    <row r="15" spans="1:54" s="767" customFormat="1" ht="20.100000000000001" customHeight="1" x14ac:dyDescent="0.3">
      <c r="A15" s="480" t="s">
        <v>508</v>
      </c>
      <c r="B15" s="777"/>
      <c r="C15" s="777"/>
      <c r="D15" s="777"/>
      <c r="E15" s="777"/>
      <c r="F15" s="777"/>
      <c r="G15" s="777"/>
      <c r="H15" s="778"/>
      <c r="I15" s="777"/>
      <c r="J15" s="777"/>
      <c r="K15" s="777"/>
      <c r="L15" s="778"/>
      <c r="M15" s="777"/>
      <c r="N15" s="777"/>
      <c r="O15" s="777"/>
      <c r="P15" s="777"/>
      <c r="Q15" s="777"/>
      <c r="R15" s="778"/>
      <c r="S15" s="777"/>
      <c r="T15" s="777"/>
      <c r="U15" s="778"/>
      <c r="V15" s="777"/>
      <c r="W15" s="777"/>
      <c r="X15" s="777"/>
      <c r="Y15" s="777"/>
      <c r="Z15" s="777"/>
      <c r="AA15" s="777"/>
      <c r="AB15" s="777"/>
      <c r="AC15" s="777"/>
      <c r="AD15" s="777"/>
      <c r="AE15" s="777"/>
      <c r="AF15" s="777"/>
      <c r="AG15" s="777"/>
      <c r="AH15" s="777"/>
      <c r="AI15" s="558"/>
      <c r="AJ15" s="777"/>
      <c r="AK15" s="777"/>
      <c r="AL15" s="766"/>
      <c r="AM15" s="766"/>
    </row>
    <row r="16" spans="1:54" s="767" customFormat="1" ht="20.100000000000001" customHeight="1" x14ac:dyDescent="0.3">
      <c r="A16" s="480" t="s">
        <v>514</v>
      </c>
      <c r="B16" s="777"/>
      <c r="C16" s="777"/>
      <c r="D16" s="777"/>
      <c r="E16" s="777"/>
      <c r="F16" s="777"/>
      <c r="G16" s="777"/>
      <c r="H16" s="778"/>
      <c r="I16" s="777"/>
      <c r="J16" s="777"/>
      <c r="K16" s="777"/>
      <c r="L16" s="778"/>
      <c r="M16" s="777"/>
      <c r="N16" s="777"/>
      <c r="O16" s="777"/>
      <c r="P16" s="777"/>
      <c r="Q16" s="777"/>
      <c r="R16" s="778"/>
      <c r="S16" s="777"/>
      <c r="T16" s="777"/>
      <c r="U16" s="778"/>
      <c r="V16" s="777"/>
      <c r="W16" s="777"/>
      <c r="X16" s="777"/>
      <c r="Y16" s="777"/>
      <c r="Z16" s="777"/>
      <c r="AA16" s="777"/>
      <c r="AB16" s="777"/>
      <c r="AC16" s="777"/>
      <c r="AD16" s="777"/>
      <c r="AE16" s="777"/>
      <c r="AF16" s="777"/>
      <c r="AG16" s="777"/>
      <c r="AH16" s="777"/>
      <c r="AI16" s="558"/>
      <c r="AJ16" s="777"/>
      <c r="AK16" s="777"/>
      <c r="AL16" s="766"/>
      <c r="AM16" s="766"/>
    </row>
    <row r="17" spans="1:39" s="767" customFormat="1" ht="20.100000000000001" customHeight="1" x14ac:dyDescent="0.3">
      <c r="A17" s="779" t="s">
        <v>509</v>
      </c>
      <c r="B17" s="777"/>
      <c r="C17" s="777">
        <f>AVERAGE(C18:C22)</f>
        <v>4.1259999999999994</v>
      </c>
      <c r="D17" s="777"/>
      <c r="E17" s="777"/>
      <c r="F17" s="777">
        <f>AVERAGE(F18:F22)</f>
        <v>4.9180000000000001</v>
      </c>
      <c r="G17" s="777"/>
      <c r="H17" s="777"/>
      <c r="I17" s="777"/>
      <c r="J17" s="777"/>
      <c r="K17" s="777"/>
      <c r="L17" s="777">
        <f>AVERAGE(L18:L22)</f>
        <v>4.3977999999999993</v>
      </c>
      <c r="M17" s="777"/>
      <c r="N17" s="777"/>
      <c r="O17" s="777">
        <f>AVERAGE(O18:O22)</f>
        <v>4.758</v>
      </c>
      <c r="P17" s="777"/>
      <c r="Q17" s="777"/>
      <c r="R17" s="777">
        <f>AVERAGE(R18:R22)</f>
        <v>4.7799999999999994</v>
      </c>
      <c r="S17" s="777"/>
      <c r="T17" s="777"/>
      <c r="U17" s="777">
        <f>AVERAGE(U18:U22)</f>
        <v>4.4060000000000006</v>
      </c>
      <c r="V17" s="777"/>
      <c r="W17" s="777"/>
      <c r="X17" s="777">
        <f>AVERAGE(X18:X22)</f>
        <v>4.5760000000000005</v>
      </c>
      <c r="Y17" s="777"/>
      <c r="Z17" s="777"/>
      <c r="AA17" s="777">
        <f>AVERAGE(AA18:AA22)</f>
        <v>4.5999999999999996</v>
      </c>
      <c r="AB17" s="777"/>
      <c r="AC17" s="777"/>
      <c r="AD17" s="777">
        <f>AVERAGE(AD18:AD22)</f>
        <v>4.2254358175088544</v>
      </c>
      <c r="AE17" s="777"/>
      <c r="AF17" s="777"/>
      <c r="AG17" s="777">
        <f>AVERAGE(AG18:AG22)</f>
        <v>5.008</v>
      </c>
      <c r="AH17" s="777"/>
      <c r="AI17" s="558"/>
      <c r="AJ17" s="777"/>
      <c r="AK17" s="777"/>
      <c r="AL17" s="766"/>
      <c r="AM17" s="766"/>
    </row>
    <row r="18" spans="1:39" s="767" customFormat="1" ht="20.100000000000001" customHeight="1" x14ac:dyDescent="0.3">
      <c r="A18" s="780">
        <v>2016</v>
      </c>
      <c r="B18" s="777"/>
      <c r="C18" s="765">
        <v>1.93</v>
      </c>
      <c r="D18" s="765"/>
      <c r="E18" s="765"/>
      <c r="F18" s="765">
        <v>4.26</v>
      </c>
      <c r="G18" s="765"/>
      <c r="H18" s="775"/>
      <c r="I18" s="765"/>
      <c r="J18" s="765"/>
      <c r="K18" s="765"/>
      <c r="L18" s="775">
        <v>3.76</v>
      </c>
      <c r="M18" s="765"/>
      <c r="N18" s="765"/>
      <c r="O18" s="765">
        <v>4.45</v>
      </c>
      <c r="P18" s="765"/>
      <c r="Q18" s="765"/>
      <c r="R18" s="775">
        <v>5.3</v>
      </c>
      <c r="S18" s="765"/>
      <c r="T18" s="765"/>
      <c r="U18" s="775">
        <v>4.1500000000000004</v>
      </c>
      <c r="V18" s="765"/>
      <c r="W18" s="765"/>
      <c r="X18" s="765">
        <v>6.28</v>
      </c>
      <c r="Y18" s="765"/>
      <c r="Z18" s="765"/>
      <c r="AA18" s="765"/>
      <c r="AB18" s="765"/>
      <c r="AC18" s="765"/>
      <c r="AD18" s="765">
        <v>3.99</v>
      </c>
      <c r="AE18" s="765"/>
      <c r="AF18" s="765"/>
      <c r="AG18" s="765">
        <v>6.01</v>
      </c>
      <c r="AH18" s="777"/>
      <c r="AI18" s="558"/>
      <c r="AJ18" s="777"/>
      <c r="AK18" s="777"/>
      <c r="AL18" s="766"/>
      <c r="AM18" s="766"/>
    </row>
    <row r="19" spans="1:39" s="762" customFormat="1" ht="20.100000000000001" customHeight="1" x14ac:dyDescent="0.3">
      <c r="A19" s="780">
        <v>2015</v>
      </c>
      <c r="B19" s="765"/>
      <c r="C19" s="765">
        <v>2.12</v>
      </c>
      <c r="D19" s="765"/>
      <c r="E19" s="765"/>
      <c r="F19" s="765">
        <v>5.05</v>
      </c>
      <c r="G19" s="765"/>
      <c r="H19" s="775"/>
      <c r="I19" s="765"/>
      <c r="J19" s="765"/>
      <c r="K19" s="765"/>
      <c r="L19" s="775">
        <v>4.6719999999999997</v>
      </c>
      <c r="M19" s="765"/>
      <c r="N19" s="765"/>
      <c r="O19" s="765">
        <v>3.63</v>
      </c>
      <c r="P19" s="765"/>
      <c r="Q19" s="765"/>
      <c r="R19" s="775">
        <v>4.8</v>
      </c>
      <c r="S19" s="765"/>
      <c r="T19" s="765"/>
      <c r="U19" s="775">
        <v>3.92</v>
      </c>
      <c r="V19" s="765"/>
      <c r="W19" s="765"/>
      <c r="X19" s="765">
        <v>2.9</v>
      </c>
      <c r="Y19" s="765"/>
      <c r="Z19" s="765"/>
      <c r="AA19" s="765">
        <v>5.6</v>
      </c>
      <c r="AB19" s="765"/>
      <c r="AC19" s="765"/>
      <c r="AD19" s="765">
        <v>2.53314578688892</v>
      </c>
      <c r="AE19" s="765"/>
      <c r="AF19" s="765"/>
      <c r="AG19" s="765">
        <v>5.24</v>
      </c>
      <c r="AH19" s="765"/>
      <c r="AI19" s="451"/>
      <c r="AJ19" s="765"/>
      <c r="AK19" s="765"/>
      <c r="AL19" s="761"/>
      <c r="AM19" s="761"/>
    </row>
    <row r="20" spans="1:39" s="767" customFormat="1" ht="20.100000000000001" customHeight="1" x14ac:dyDescent="0.3">
      <c r="A20" s="780">
        <v>2014</v>
      </c>
      <c r="B20" s="765"/>
      <c r="C20" s="765">
        <v>4.76</v>
      </c>
      <c r="D20" s="765"/>
      <c r="E20" s="765"/>
      <c r="F20" s="765">
        <v>5.4</v>
      </c>
      <c r="G20" s="765"/>
      <c r="H20" s="775"/>
      <c r="I20" s="765"/>
      <c r="J20" s="765"/>
      <c r="K20" s="765"/>
      <c r="L20" s="775">
        <v>4.4669999999999996</v>
      </c>
      <c r="M20" s="765"/>
      <c r="N20" s="765"/>
      <c r="O20" s="765">
        <v>4.34</v>
      </c>
      <c r="P20" s="765"/>
      <c r="Q20" s="765"/>
      <c r="R20" s="775">
        <v>4.5999999999999996</v>
      </c>
      <c r="S20" s="765"/>
      <c r="T20" s="765"/>
      <c r="U20" s="775">
        <v>5.36</v>
      </c>
      <c r="V20" s="765"/>
      <c r="W20" s="765"/>
      <c r="X20" s="765">
        <v>3.99</v>
      </c>
      <c r="Y20" s="765"/>
      <c r="Z20" s="765"/>
      <c r="AA20" s="765">
        <v>4.5</v>
      </c>
      <c r="AB20" s="765"/>
      <c r="AC20" s="765"/>
      <c r="AD20" s="765">
        <v>4.20349548147367</v>
      </c>
      <c r="AE20" s="765"/>
      <c r="AF20" s="765"/>
      <c r="AG20" s="765">
        <v>5.2</v>
      </c>
      <c r="AH20" s="765"/>
      <c r="AI20" s="451"/>
      <c r="AJ20" s="765"/>
      <c r="AK20" s="765"/>
      <c r="AL20" s="766"/>
      <c r="AM20" s="766"/>
    </row>
    <row r="21" spans="1:39" s="767" customFormat="1" ht="20.100000000000001" customHeight="1" x14ac:dyDescent="0.3">
      <c r="A21" s="780">
        <v>2013</v>
      </c>
      <c r="B21" s="765"/>
      <c r="C21" s="765">
        <v>5.25</v>
      </c>
      <c r="D21" s="765"/>
      <c r="E21" s="765"/>
      <c r="F21" s="765">
        <v>4.4400000000000004</v>
      </c>
      <c r="G21" s="765"/>
      <c r="H21" s="775"/>
      <c r="I21" s="765"/>
      <c r="J21" s="765"/>
      <c r="K21" s="765"/>
      <c r="L21" s="775">
        <v>4.4800000000000004</v>
      </c>
      <c r="M21" s="765"/>
      <c r="N21" s="765"/>
      <c r="O21" s="765">
        <v>6.4</v>
      </c>
      <c r="P21" s="765"/>
      <c r="Q21" s="765"/>
      <c r="R21" s="775">
        <v>4</v>
      </c>
      <c r="S21" s="765"/>
      <c r="T21" s="765"/>
      <c r="U21" s="775">
        <v>4.2699999999999996</v>
      </c>
      <c r="V21" s="765"/>
      <c r="W21" s="765"/>
      <c r="X21" s="765">
        <v>4.07</v>
      </c>
      <c r="Y21" s="765"/>
      <c r="Z21" s="765"/>
      <c r="AA21" s="765">
        <v>3.77</v>
      </c>
      <c r="AB21" s="765"/>
      <c r="AC21" s="765"/>
      <c r="AD21" s="765">
        <v>5.6822840931179703</v>
      </c>
      <c r="AE21" s="765"/>
      <c r="AF21" s="765"/>
      <c r="AG21" s="765">
        <v>3</v>
      </c>
      <c r="AH21" s="765"/>
      <c r="AI21" s="451"/>
      <c r="AJ21" s="765"/>
      <c r="AK21" s="765"/>
      <c r="AL21" s="766"/>
      <c r="AM21" s="766"/>
    </row>
    <row r="22" spans="1:39" s="767" customFormat="1" ht="20.100000000000001" customHeight="1" x14ac:dyDescent="0.3">
      <c r="A22" s="780">
        <v>2012</v>
      </c>
      <c r="B22" s="765"/>
      <c r="C22" s="765">
        <v>6.57</v>
      </c>
      <c r="D22" s="765"/>
      <c r="E22" s="765"/>
      <c r="F22" s="765">
        <v>5.44</v>
      </c>
      <c r="G22" s="765"/>
      <c r="H22" s="775"/>
      <c r="I22" s="765"/>
      <c r="J22" s="765"/>
      <c r="K22" s="765"/>
      <c r="L22" s="775">
        <v>4.6100000000000003</v>
      </c>
      <c r="M22" s="765"/>
      <c r="N22" s="765"/>
      <c r="O22" s="765">
        <v>4.97</v>
      </c>
      <c r="P22" s="765"/>
      <c r="Q22" s="765"/>
      <c r="R22" s="775">
        <v>5.2</v>
      </c>
      <c r="S22" s="765"/>
      <c r="T22" s="765"/>
      <c r="U22" s="775">
        <v>4.33</v>
      </c>
      <c r="V22" s="765"/>
      <c r="W22" s="765"/>
      <c r="X22" s="765">
        <v>5.64</v>
      </c>
      <c r="Y22" s="765"/>
      <c r="Z22" s="765"/>
      <c r="AA22" s="765">
        <v>4.53</v>
      </c>
      <c r="AB22" s="765"/>
      <c r="AC22" s="765"/>
      <c r="AD22" s="765">
        <v>4.7182537260637103</v>
      </c>
      <c r="AE22" s="765"/>
      <c r="AF22" s="765"/>
      <c r="AG22" s="765">
        <v>5.59</v>
      </c>
      <c r="AH22" s="765"/>
      <c r="AI22" s="451"/>
      <c r="AJ22" s="765"/>
      <c r="AK22" s="765"/>
      <c r="AL22" s="766"/>
      <c r="AM22" s="766"/>
    </row>
    <row r="23" spans="1:39" s="767" customFormat="1" ht="20.100000000000001" customHeight="1" x14ac:dyDescent="0.3">
      <c r="A23" s="781" t="s">
        <v>510</v>
      </c>
      <c r="B23" s="765"/>
      <c r="C23" s="765"/>
      <c r="D23" s="765"/>
      <c r="E23" s="765"/>
      <c r="F23" s="765"/>
      <c r="G23" s="765"/>
      <c r="H23" s="775"/>
      <c r="I23" s="765"/>
      <c r="J23" s="765"/>
      <c r="K23" s="765"/>
      <c r="L23" s="775"/>
      <c r="M23" s="765"/>
      <c r="N23" s="765"/>
      <c r="O23" s="765"/>
      <c r="P23" s="765"/>
      <c r="Q23" s="765"/>
      <c r="R23" s="775"/>
      <c r="S23" s="765"/>
      <c r="T23" s="765"/>
      <c r="U23" s="775"/>
      <c r="V23" s="765"/>
      <c r="W23" s="765"/>
      <c r="X23" s="765"/>
      <c r="Y23" s="765"/>
      <c r="Z23" s="765"/>
      <c r="AA23" s="765"/>
      <c r="AB23" s="765"/>
      <c r="AC23" s="765"/>
      <c r="AD23" s="765"/>
      <c r="AE23" s="765"/>
      <c r="AF23" s="765"/>
      <c r="AG23" s="765"/>
      <c r="AH23" s="765"/>
      <c r="AI23" s="451"/>
      <c r="AJ23" s="765"/>
      <c r="AK23" s="765"/>
      <c r="AL23" s="766"/>
      <c r="AM23" s="766"/>
    </row>
    <row r="24" spans="1:39" s="767" customFormat="1" ht="20.100000000000001" customHeight="1" x14ac:dyDescent="0.3">
      <c r="A24" s="780">
        <v>2016</v>
      </c>
      <c r="B24" s="765"/>
      <c r="C24" s="765"/>
      <c r="D24" s="765"/>
      <c r="E24" s="765"/>
      <c r="F24" s="765">
        <v>4.3499999999999996</v>
      </c>
      <c r="G24" s="765"/>
      <c r="H24" s="775"/>
      <c r="I24" s="765"/>
      <c r="J24" s="765"/>
      <c r="K24" s="765"/>
      <c r="L24" s="775"/>
      <c r="M24" s="765"/>
      <c r="N24" s="765"/>
      <c r="O24" s="765"/>
      <c r="P24" s="765"/>
      <c r="Q24" s="765"/>
      <c r="R24" s="775"/>
      <c r="S24" s="765"/>
      <c r="T24" s="765"/>
      <c r="U24" s="775">
        <v>4.1500000000000004</v>
      </c>
      <c r="V24" s="765"/>
      <c r="W24" s="765"/>
      <c r="X24" s="765"/>
      <c r="Y24" s="765"/>
      <c r="Z24" s="765"/>
      <c r="AA24" s="765"/>
      <c r="AB24" s="765"/>
      <c r="AC24" s="765"/>
      <c r="AD24" s="765"/>
      <c r="AE24" s="765"/>
      <c r="AF24" s="765"/>
      <c r="AG24" s="765"/>
      <c r="AH24" s="765"/>
      <c r="AI24" s="451"/>
      <c r="AJ24" s="765"/>
      <c r="AK24" s="765"/>
      <c r="AL24" s="766"/>
      <c r="AM24" s="766"/>
    </row>
    <row r="25" spans="1:39" s="767" customFormat="1" ht="20.100000000000001" customHeight="1" x14ac:dyDescent="0.3">
      <c r="A25" s="780">
        <v>2015</v>
      </c>
      <c r="B25" s="765"/>
      <c r="C25" s="765"/>
      <c r="D25" s="765"/>
      <c r="E25" s="765"/>
      <c r="F25" s="765">
        <v>5.26</v>
      </c>
      <c r="G25" s="765"/>
      <c r="H25" s="775"/>
      <c r="I25" s="765"/>
      <c r="J25" s="765"/>
      <c r="K25" s="765"/>
      <c r="L25" s="775"/>
      <c r="M25" s="765"/>
      <c r="N25" s="765"/>
      <c r="O25" s="765"/>
      <c r="P25" s="765"/>
      <c r="Q25" s="765"/>
      <c r="R25" s="775"/>
      <c r="S25" s="765"/>
      <c r="T25" s="765"/>
      <c r="U25" s="775">
        <v>3.92</v>
      </c>
      <c r="V25" s="765"/>
      <c r="W25" s="765"/>
      <c r="X25" s="765"/>
      <c r="Y25" s="765"/>
      <c r="Z25" s="765"/>
      <c r="AA25" s="765"/>
      <c r="AB25" s="765"/>
      <c r="AC25" s="765"/>
      <c r="AD25" s="765">
        <v>4.8899999999999997</v>
      </c>
      <c r="AE25" s="765"/>
      <c r="AF25" s="765"/>
      <c r="AG25" s="765"/>
      <c r="AH25" s="765"/>
      <c r="AI25" s="451"/>
      <c r="AJ25" s="765"/>
      <c r="AK25" s="765"/>
      <c r="AL25" s="766"/>
      <c r="AM25" s="766"/>
    </row>
    <row r="26" spans="1:39" s="767" customFormat="1" ht="20.100000000000001" customHeight="1" x14ac:dyDescent="0.3">
      <c r="A26" s="780">
        <v>2014</v>
      </c>
      <c r="B26" s="765"/>
      <c r="C26" s="765"/>
      <c r="D26" s="765"/>
      <c r="E26" s="765"/>
      <c r="F26" s="765">
        <v>5.2889999999999997</v>
      </c>
      <c r="G26" s="765"/>
      <c r="H26" s="775"/>
      <c r="I26" s="765"/>
      <c r="J26" s="765"/>
      <c r="K26" s="765"/>
      <c r="L26" s="775"/>
      <c r="M26" s="765"/>
      <c r="N26" s="765"/>
      <c r="O26" s="765"/>
      <c r="P26" s="765"/>
      <c r="Q26" s="765"/>
      <c r="R26" s="775"/>
      <c r="S26" s="765"/>
      <c r="T26" s="765"/>
      <c r="U26" s="775">
        <v>5.36</v>
      </c>
      <c r="V26" s="765"/>
      <c r="W26" s="765"/>
      <c r="X26" s="765"/>
      <c r="Y26" s="765"/>
      <c r="Z26" s="765"/>
      <c r="AA26" s="765"/>
      <c r="AB26" s="765"/>
      <c r="AC26" s="765"/>
      <c r="AD26" s="765">
        <v>4.8026267404587903</v>
      </c>
      <c r="AE26" s="765"/>
      <c r="AF26" s="765"/>
      <c r="AG26" s="765">
        <v>4.05</v>
      </c>
      <c r="AH26" s="765"/>
      <c r="AI26" s="451"/>
      <c r="AJ26" s="765"/>
      <c r="AK26" s="765"/>
      <c r="AL26" s="766"/>
      <c r="AM26" s="766"/>
    </row>
    <row r="27" spans="1:39" s="767" customFormat="1" ht="20.100000000000001" customHeight="1" x14ac:dyDescent="0.3">
      <c r="A27" s="780">
        <v>2013</v>
      </c>
      <c r="B27" s="765"/>
      <c r="C27" s="765"/>
      <c r="D27" s="765"/>
      <c r="E27" s="765"/>
      <c r="F27" s="765">
        <v>4.6399999999999997</v>
      </c>
      <c r="G27" s="765"/>
      <c r="H27" s="775"/>
      <c r="I27" s="765"/>
      <c r="J27" s="765"/>
      <c r="K27" s="765"/>
      <c r="L27" s="775"/>
      <c r="M27" s="765"/>
      <c r="N27" s="765"/>
      <c r="O27" s="765"/>
      <c r="P27" s="765"/>
      <c r="Q27" s="765"/>
      <c r="R27" s="775"/>
      <c r="S27" s="765"/>
      <c r="T27" s="765"/>
      <c r="U27" s="775">
        <v>4.2699999999999996</v>
      </c>
      <c r="V27" s="765"/>
      <c r="W27" s="765"/>
      <c r="X27" s="765"/>
      <c r="Y27" s="765"/>
      <c r="Z27" s="765"/>
      <c r="AA27" s="765"/>
      <c r="AB27" s="765"/>
      <c r="AC27" s="765"/>
      <c r="AD27" s="765">
        <v>5.5574282071782202</v>
      </c>
      <c r="AE27" s="765"/>
      <c r="AF27" s="765"/>
      <c r="AG27" s="765">
        <v>4.9000000000000004</v>
      </c>
      <c r="AH27" s="765"/>
      <c r="AI27" s="451"/>
      <c r="AJ27" s="765"/>
      <c r="AK27" s="765"/>
      <c r="AL27" s="766"/>
      <c r="AM27" s="766"/>
    </row>
    <row r="28" spans="1:39" s="767" customFormat="1" ht="20.100000000000001" customHeight="1" x14ac:dyDescent="0.3">
      <c r="A28" s="780">
        <v>2012</v>
      </c>
      <c r="B28" s="765"/>
      <c r="C28" s="765"/>
      <c r="D28" s="765"/>
      <c r="E28" s="765"/>
      <c r="F28" s="765">
        <v>5.09</v>
      </c>
      <c r="G28" s="765"/>
      <c r="H28" s="775"/>
      <c r="I28" s="765"/>
      <c r="J28" s="765"/>
      <c r="K28" s="765"/>
      <c r="L28" s="775"/>
      <c r="M28" s="765"/>
      <c r="N28" s="765"/>
      <c r="O28" s="765"/>
      <c r="P28" s="765"/>
      <c r="Q28" s="765"/>
      <c r="R28" s="775"/>
      <c r="S28" s="765"/>
      <c r="T28" s="765"/>
      <c r="U28" s="775">
        <v>4.33</v>
      </c>
      <c r="V28" s="765"/>
      <c r="W28" s="765"/>
      <c r="X28" s="765"/>
      <c r="Y28" s="765"/>
      <c r="Z28" s="765"/>
      <c r="AA28" s="765"/>
      <c r="AB28" s="765"/>
      <c r="AC28" s="765"/>
      <c r="AD28" s="765">
        <v>5.2117851164304296</v>
      </c>
      <c r="AE28" s="765"/>
      <c r="AF28" s="765"/>
      <c r="AG28" s="765">
        <v>5.74</v>
      </c>
      <c r="AH28" s="765"/>
      <c r="AI28" s="451"/>
      <c r="AJ28" s="765"/>
      <c r="AK28" s="765"/>
      <c r="AL28" s="766"/>
      <c r="AM28" s="766"/>
    </row>
    <row r="29" spans="1:39" s="767" customFormat="1" ht="20.100000000000001" customHeight="1" x14ac:dyDescent="0.3">
      <c r="A29" s="781" t="s">
        <v>511</v>
      </c>
      <c r="B29" s="765"/>
      <c r="C29" s="765"/>
      <c r="D29" s="765"/>
      <c r="E29" s="765"/>
      <c r="F29" s="765"/>
      <c r="G29" s="765"/>
      <c r="H29" s="775"/>
      <c r="I29" s="765"/>
      <c r="J29" s="765"/>
      <c r="K29" s="765"/>
      <c r="L29" s="775"/>
      <c r="M29" s="765"/>
      <c r="N29" s="765"/>
      <c r="O29" s="765"/>
      <c r="P29" s="765"/>
      <c r="Q29" s="765"/>
      <c r="R29" s="775"/>
      <c r="S29" s="765"/>
      <c r="T29" s="765"/>
      <c r="U29" s="775"/>
      <c r="V29" s="765"/>
      <c r="W29" s="765"/>
      <c r="X29" s="765"/>
      <c r="Y29" s="765"/>
      <c r="Z29" s="765"/>
      <c r="AA29" s="765"/>
      <c r="AB29" s="765"/>
      <c r="AC29" s="765"/>
      <c r="AD29" s="765"/>
      <c r="AE29" s="765"/>
      <c r="AF29" s="765"/>
      <c r="AG29" s="765"/>
      <c r="AH29" s="765"/>
      <c r="AI29" s="451"/>
      <c r="AJ29" s="765"/>
      <c r="AK29" s="765"/>
      <c r="AL29" s="766"/>
      <c r="AM29" s="766"/>
    </row>
    <row r="30" spans="1:39" s="767" customFormat="1" ht="20.100000000000001" customHeight="1" x14ac:dyDescent="0.3">
      <c r="A30" s="780">
        <v>2016</v>
      </c>
      <c r="B30" s="765"/>
      <c r="C30" s="513">
        <v>1.93</v>
      </c>
      <c r="D30" s="765"/>
      <c r="E30" s="765"/>
      <c r="F30" s="513">
        <v>3.54</v>
      </c>
      <c r="G30" s="765"/>
      <c r="H30" s="775"/>
      <c r="I30" s="782"/>
      <c r="J30" s="765"/>
      <c r="K30" s="765"/>
      <c r="L30" s="782">
        <v>4.08</v>
      </c>
      <c r="M30" s="765"/>
      <c r="N30" s="765"/>
      <c r="O30" s="782">
        <v>4.45</v>
      </c>
      <c r="P30" s="765"/>
      <c r="Q30" s="765"/>
      <c r="R30" s="782">
        <v>5.3</v>
      </c>
      <c r="S30" s="765"/>
      <c r="T30" s="765"/>
      <c r="U30" s="782">
        <v>4.1500000000000004</v>
      </c>
      <c r="V30" s="765"/>
      <c r="W30" s="765"/>
      <c r="X30" s="782"/>
      <c r="Y30" s="765"/>
      <c r="Z30" s="765"/>
      <c r="AA30" s="782"/>
      <c r="AB30" s="765"/>
      <c r="AC30" s="765"/>
      <c r="AD30" s="782">
        <v>3.46</v>
      </c>
      <c r="AE30" s="765"/>
      <c r="AF30" s="765"/>
      <c r="AG30" s="782"/>
      <c r="AH30" s="765"/>
      <c r="AI30" s="451"/>
      <c r="AJ30" s="765"/>
      <c r="AK30" s="765"/>
      <c r="AL30" s="766"/>
      <c r="AM30" s="766"/>
    </row>
    <row r="31" spans="1:39" s="767" customFormat="1" ht="20.100000000000001" customHeight="1" x14ac:dyDescent="0.3">
      <c r="A31" s="780">
        <v>2015</v>
      </c>
      <c r="B31" s="765"/>
      <c r="C31" s="782">
        <v>2.12</v>
      </c>
      <c r="D31" s="765"/>
      <c r="E31" s="765"/>
      <c r="F31" s="782">
        <v>4.79</v>
      </c>
      <c r="G31" s="765"/>
      <c r="H31" s="775"/>
      <c r="I31" s="782"/>
      <c r="J31" s="765"/>
      <c r="K31" s="765"/>
      <c r="L31" s="782">
        <v>5.43</v>
      </c>
      <c r="M31" s="765"/>
      <c r="N31" s="765"/>
      <c r="O31" s="782">
        <v>3.63</v>
      </c>
      <c r="P31" s="765"/>
      <c r="Q31" s="765"/>
      <c r="R31" s="782">
        <v>4.8</v>
      </c>
      <c r="S31" s="765"/>
      <c r="T31" s="765"/>
      <c r="U31" s="782">
        <v>3.92</v>
      </c>
      <c r="V31" s="765"/>
      <c r="W31" s="765"/>
      <c r="X31" s="782"/>
      <c r="Y31" s="765"/>
      <c r="Z31" s="765"/>
      <c r="AA31" s="782">
        <v>5.6</v>
      </c>
      <c r="AB31" s="765"/>
      <c r="AC31" s="765"/>
      <c r="AD31" s="782">
        <v>1.9026112643808699</v>
      </c>
      <c r="AE31" s="765"/>
      <c r="AF31" s="765"/>
      <c r="AG31" s="782"/>
      <c r="AH31" s="765"/>
      <c r="AI31" s="451"/>
      <c r="AJ31" s="765"/>
      <c r="AK31" s="765"/>
      <c r="AL31" s="766"/>
      <c r="AM31" s="766"/>
    </row>
    <row r="32" spans="1:39" s="767" customFormat="1" ht="20.100000000000001" customHeight="1" x14ac:dyDescent="0.3">
      <c r="A32" s="780">
        <v>2014</v>
      </c>
      <c r="B32" s="765"/>
      <c r="C32" s="782">
        <v>4.76</v>
      </c>
      <c r="D32" s="765"/>
      <c r="E32" s="765"/>
      <c r="F32" s="782">
        <v>5.93</v>
      </c>
      <c r="G32" s="765"/>
      <c r="H32" s="775"/>
      <c r="I32" s="782"/>
      <c r="J32" s="765"/>
      <c r="K32" s="765"/>
      <c r="L32" s="782">
        <v>4.63</v>
      </c>
      <c r="M32" s="765"/>
      <c r="N32" s="765"/>
      <c r="O32" s="782">
        <v>4.34</v>
      </c>
      <c r="P32" s="765"/>
      <c r="Q32" s="765"/>
      <c r="R32" s="782">
        <v>4.5999999999999996</v>
      </c>
      <c r="S32" s="765"/>
      <c r="T32" s="765"/>
      <c r="U32" s="782">
        <v>5.36</v>
      </c>
      <c r="V32" s="765"/>
      <c r="W32" s="765"/>
      <c r="X32" s="782"/>
      <c r="Y32" s="765"/>
      <c r="Z32" s="765"/>
      <c r="AA32" s="782">
        <v>4.5</v>
      </c>
      <c r="AB32" s="765"/>
      <c r="AC32" s="765"/>
      <c r="AD32" s="782">
        <v>3.8015995325596501</v>
      </c>
      <c r="AE32" s="765"/>
      <c r="AF32" s="765"/>
      <c r="AG32" s="782">
        <v>5.39</v>
      </c>
      <c r="AH32" s="765"/>
      <c r="AI32" s="451"/>
      <c r="AJ32" s="765"/>
      <c r="AK32" s="765"/>
      <c r="AL32" s="766"/>
      <c r="AM32" s="766"/>
    </row>
    <row r="33" spans="1:39" s="767" customFormat="1" ht="20.100000000000001" customHeight="1" x14ac:dyDescent="0.3">
      <c r="A33" s="780">
        <v>2013</v>
      </c>
      <c r="B33" s="765"/>
      <c r="C33" s="782">
        <v>5.25</v>
      </c>
      <c r="D33" s="765"/>
      <c r="E33" s="765"/>
      <c r="F33" s="782">
        <v>5.65</v>
      </c>
      <c r="G33" s="765"/>
      <c r="H33" s="775"/>
      <c r="I33" s="782"/>
      <c r="J33" s="765"/>
      <c r="K33" s="765"/>
      <c r="L33" s="782">
        <v>4.57</v>
      </c>
      <c r="M33" s="765"/>
      <c r="N33" s="765"/>
      <c r="O33" s="782">
        <v>6.4</v>
      </c>
      <c r="P33" s="765"/>
      <c r="Q33" s="765"/>
      <c r="R33" s="782">
        <v>4</v>
      </c>
      <c r="S33" s="765"/>
      <c r="T33" s="765"/>
      <c r="U33" s="782">
        <v>4.2699999999999996</v>
      </c>
      <c r="V33" s="765"/>
      <c r="W33" s="765"/>
      <c r="X33" s="782"/>
      <c r="Y33" s="765"/>
      <c r="Z33" s="765"/>
      <c r="AA33" s="782">
        <v>3.77</v>
      </c>
      <c r="AB33" s="765"/>
      <c r="AC33" s="765"/>
      <c r="AD33" s="782">
        <v>6.6529708347937904</v>
      </c>
      <c r="AE33" s="765"/>
      <c r="AF33" s="765"/>
      <c r="AG33" s="782">
        <v>2.21</v>
      </c>
      <c r="AH33" s="765"/>
      <c r="AI33" s="451"/>
      <c r="AJ33" s="765"/>
      <c r="AK33" s="765"/>
      <c r="AL33" s="766"/>
      <c r="AM33" s="766"/>
    </row>
    <row r="34" spans="1:39" s="767" customFormat="1" ht="20.100000000000001" customHeight="1" x14ac:dyDescent="0.3">
      <c r="A34" s="780">
        <v>2012</v>
      </c>
      <c r="B34" s="765"/>
      <c r="C34" s="782">
        <v>6.57</v>
      </c>
      <c r="D34" s="765"/>
      <c r="E34" s="765"/>
      <c r="F34" s="782">
        <v>5.7</v>
      </c>
      <c r="G34" s="765"/>
      <c r="H34" s="775"/>
      <c r="I34" s="782"/>
      <c r="J34" s="765"/>
      <c r="K34" s="765"/>
      <c r="L34" s="782">
        <v>4.76</v>
      </c>
      <c r="M34" s="765"/>
      <c r="N34" s="765"/>
      <c r="O34" s="782">
        <v>4.97</v>
      </c>
      <c r="P34" s="765"/>
      <c r="Q34" s="765"/>
      <c r="R34" s="782">
        <v>5.2</v>
      </c>
      <c r="S34" s="765"/>
      <c r="T34" s="765"/>
      <c r="U34" s="782">
        <v>4.33</v>
      </c>
      <c r="V34" s="765"/>
      <c r="W34" s="765"/>
      <c r="X34" s="782">
        <v>5.93</v>
      </c>
      <c r="Y34" s="765"/>
      <c r="Z34" s="765"/>
      <c r="AA34" s="782">
        <v>4.53</v>
      </c>
      <c r="AB34" s="765"/>
      <c r="AC34" s="765"/>
      <c r="AD34" s="782">
        <v>4.3050929173980199</v>
      </c>
      <c r="AE34" s="765"/>
      <c r="AF34" s="765"/>
      <c r="AG34" s="782">
        <v>5.36</v>
      </c>
      <c r="AH34" s="765"/>
      <c r="AI34" s="451"/>
      <c r="AJ34" s="765"/>
      <c r="AK34" s="765"/>
      <c r="AL34" s="766"/>
      <c r="AM34" s="766"/>
    </row>
    <row r="35" spans="1:39" s="767" customFormat="1" ht="20.100000000000001" customHeight="1" x14ac:dyDescent="0.3">
      <c r="A35" s="480" t="s">
        <v>515</v>
      </c>
      <c r="B35" s="777"/>
      <c r="C35" s="777"/>
      <c r="D35" s="777"/>
      <c r="E35" s="777"/>
      <c r="F35" s="777"/>
      <c r="G35" s="777"/>
      <c r="H35" s="778"/>
      <c r="I35" s="777"/>
      <c r="J35" s="777"/>
      <c r="K35" s="777"/>
      <c r="L35" s="778"/>
      <c r="M35" s="777"/>
      <c r="N35" s="777"/>
      <c r="O35" s="777"/>
      <c r="P35" s="777"/>
      <c r="Q35" s="777"/>
      <c r="R35" s="778"/>
      <c r="S35" s="777"/>
      <c r="T35" s="777"/>
      <c r="U35" s="778"/>
      <c r="V35" s="777"/>
      <c r="W35" s="777"/>
      <c r="X35" s="777"/>
      <c r="Y35" s="777"/>
      <c r="Z35" s="777"/>
      <c r="AA35" s="777"/>
      <c r="AB35" s="777"/>
      <c r="AC35" s="777"/>
      <c r="AD35" s="777"/>
      <c r="AE35" s="777"/>
      <c r="AF35" s="777"/>
      <c r="AG35" s="777"/>
      <c r="AH35" s="777"/>
      <c r="AI35" s="558"/>
      <c r="AJ35" s="777"/>
      <c r="AK35" s="777"/>
      <c r="AL35" s="766"/>
      <c r="AM35" s="766"/>
    </row>
    <row r="36" spans="1:39" s="767" customFormat="1" ht="20.100000000000001" customHeight="1" x14ac:dyDescent="0.3">
      <c r="A36" s="779" t="s">
        <v>509</v>
      </c>
      <c r="B36" s="783"/>
      <c r="C36" s="777">
        <f>AVERAGE(C38:C41)</f>
        <v>5.7375000000000007</v>
      </c>
      <c r="D36" s="777"/>
      <c r="E36" s="783"/>
      <c r="F36" s="777">
        <f>AVERAGE(F38:F41)</f>
        <v>5.2463249999999997</v>
      </c>
      <c r="G36" s="777"/>
      <c r="H36" s="777"/>
      <c r="I36" s="777"/>
      <c r="J36" s="777"/>
      <c r="K36" s="777"/>
      <c r="L36" s="777">
        <f>AVERAGE(L37:L41)</f>
        <v>4.6084000000000005</v>
      </c>
      <c r="M36" s="777"/>
      <c r="N36" s="783"/>
      <c r="O36" s="777">
        <f>AVERAGE(O37:O41)</f>
        <v>6.0180000000000007</v>
      </c>
      <c r="P36" s="777"/>
      <c r="Q36" s="777"/>
      <c r="R36" s="777">
        <f>AVERAGE(R37:R41)</f>
        <v>5.9060000000000006</v>
      </c>
      <c r="S36" s="777"/>
      <c r="T36" s="777"/>
      <c r="U36" s="777">
        <f>AVERAGE(U37:U41)</f>
        <v>4.8260000000000005</v>
      </c>
      <c r="V36" s="777"/>
      <c r="W36" s="783"/>
      <c r="X36" s="777">
        <f>AVERAGE(X37:X41)</f>
        <v>7.081999999999999</v>
      </c>
      <c r="Y36" s="777"/>
      <c r="Z36" s="783"/>
      <c r="AA36" s="777">
        <f>AVERAGE(AA37:AA41)</f>
        <v>5.5475000000000003</v>
      </c>
      <c r="AB36" s="777"/>
      <c r="AC36" s="783"/>
      <c r="AD36" s="777">
        <f>AVERAGE(AD37:AD41)</f>
        <v>6.2186036910859048</v>
      </c>
      <c r="AE36" s="777"/>
      <c r="AF36" s="783"/>
      <c r="AG36" s="777">
        <f>AVERAGE(AG37:AG41)</f>
        <v>5.2319999999999993</v>
      </c>
      <c r="AH36" s="777"/>
      <c r="AI36" s="558"/>
      <c r="AJ36" s="777"/>
      <c r="AK36" s="777"/>
      <c r="AL36" s="766"/>
      <c r="AM36" s="766"/>
    </row>
    <row r="37" spans="1:39" s="767" customFormat="1" ht="20.100000000000001" customHeight="1" x14ac:dyDescent="0.3">
      <c r="A37" s="780">
        <v>2016</v>
      </c>
      <c r="B37" s="783"/>
      <c r="C37" s="784">
        <v>4.18</v>
      </c>
      <c r="D37" s="777"/>
      <c r="E37" s="783"/>
      <c r="F37" s="784">
        <v>4.2699999999999996</v>
      </c>
      <c r="G37" s="777"/>
      <c r="H37" s="785"/>
      <c r="I37" s="783"/>
      <c r="J37" s="777"/>
      <c r="K37" s="777"/>
      <c r="L37" s="785">
        <v>4.66</v>
      </c>
      <c r="M37" s="777"/>
      <c r="N37" s="783"/>
      <c r="O37" s="783">
        <v>5.83</v>
      </c>
      <c r="P37" s="777"/>
      <c r="Q37" s="777"/>
      <c r="R37" s="785">
        <v>5.83</v>
      </c>
      <c r="S37" s="777"/>
      <c r="T37" s="777"/>
      <c r="U37" s="785">
        <v>4.42</v>
      </c>
      <c r="V37" s="777"/>
      <c r="W37" s="783"/>
      <c r="X37" s="783">
        <v>5.35</v>
      </c>
      <c r="Y37" s="777"/>
      <c r="Z37" s="783"/>
      <c r="AA37" s="783"/>
      <c r="AB37" s="777"/>
      <c r="AC37" s="783"/>
      <c r="AD37" s="783">
        <v>4.8899999999999997</v>
      </c>
      <c r="AE37" s="777"/>
      <c r="AF37" s="783"/>
      <c r="AG37" s="783">
        <v>4.8099999999999996</v>
      </c>
      <c r="AH37" s="777"/>
      <c r="AI37" s="558"/>
      <c r="AJ37" s="777"/>
      <c r="AK37" s="777"/>
      <c r="AL37" s="766"/>
      <c r="AM37" s="766"/>
    </row>
    <row r="38" spans="1:39" s="762" customFormat="1" ht="20.100000000000001" customHeight="1" x14ac:dyDescent="0.3">
      <c r="A38" s="780">
        <v>2015</v>
      </c>
      <c r="B38" s="776"/>
      <c r="C38" s="776">
        <v>0.69</v>
      </c>
      <c r="D38" s="765"/>
      <c r="E38" s="776"/>
      <c r="F38" s="776">
        <v>4.66</v>
      </c>
      <c r="G38" s="765"/>
      <c r="H38" s="782"/>
      <c r="I38" s="776"/>
      <c r="J38" s="765"/>
      <c r="K38" s="765"/>
      <c r="L38" s="782">
        <v>4.6790000000000003</v>
      </c>
      <c r="M38" s="765"/>
      <c r="N38" s="776"/>
      <c r="O38" s="776">
        <v>3.95</v>
      </c>
      <c r="P38" s="765"/>
      <c r="Q38" s="765"/>
      <c r="R38" s="782">
        <v>4.7</v>
      </c>
      <c r="S38" s="765"/>
      <c r="T38" s="765"/>
      <c r="U38" s="782">
        <v>3.55</v>
      </c>
      <c r="V38" s="765"/>
      <c r="W38" s="776"/>
      <c r="X38" s="776">
        <v>5.0999999999999996</v>
      </c>
      <c r="Y38" s="765"/>
      <c r="Z38" s="776"/>
      <c r="AA38" s="776">
        <v>3.39</v>
      </c>
      <c r="AB38" s="765"/>
      <c r="AC38" s="776"/>
      <c r="AD38" s="776">
        <v>3.5837826760902098</v>
      </c>
      <c r="AE38" s="765"/>
      <c r="AF38" s="776"/>
      <c r="AG38" s="776">
        <v>4.34</v>
      </c>
      <c r="AH38" s="765"/>
      <c r="AI38" s="451"/>
      <c r="AJ38" s="765"/>
      <c r="AK38" s="765"/>
      <c r="AL38" s="761"/>
      <c r="AM38" s="761"/>
    </row>
    <row r="39" spans="1:39" s="767" customFormat="1" ht="20.100000000000001" customHeight="1" x14ac:dyDescent="0.3">
      <c r="A39" s="780">
        <v>2014</v>
      </c>
      <c r="B39" s="776"/>
      <c r="C39" s="776">
        <v>6.81</v>
      </c>
      <c r="D39" s="765"/>
      <c r="E39" s="776"/>
      <c r="F39" s="776">
        <v>5.45</v>
      </c>
      <c r="G39" s="765"/>
      <c r="H39" s="782"/>
      <c r="I39" s="776"/>
      <c r="J39" s="765"/>
      <c r="K39" s="765"/>
      <c r="L39" s="782">
        <v>4.4630000000000001</v>
      </c>
      <c r="M39" s="765"/>
      <c r="N39" s="776"/>
      <c r="O39" s="776">
        <v>6.94</v>
      </c>
      <c r="P39" s="765"/>
      <c r="Q39" s="765"/>
      <c r="R39" s="782">
        <v>6.1</v>
      </c>
      <c r="S39" s="765"/>
      <c r="T39" s="765"/>
      <c r="U39" s="782">
        <v>5.1100000000000003</v>
      </c>
      <c r="V39" s="765"/>
      <c r="W39" s="776"/>
      <c r="X39" s="776">
        <v>7.56</v>
      </c>
      <c r="Y39" s="765"/>
      <c r="Z39" s="776"/>
      <c r="AA39" s="776">
        <v>6.01</v>
      </c>
      <c r="AB39" s="765"/>
      <c r="AC39" s="776"/>
      <c r="AD39" s="776">
        <v>7.2163751507943399</v>
      </c>
      <c r="AE39" s="765"/>
      <c r="AF39" s="776"/>
      <c r="AG39" s="776">
        <v>6.25</v>
      </c>
      <c r="AH39" s="765"/>
      <c r="AI39" s="451"/>
      <c r="AJ39" s="765"/>
      <c r="AK39" s="765"/>
      <c r="AL39" s="766"/>
      <c r="AM39" s="766"/>
    </row>
    <row r="40" spans="1:39" s="767" customFormat="1" ht="20.100000000000001" customHeight="1" x14ac:dyDescent="0.3">
      <c r="A40" s="780">
        <v>2013</v>
      </c>
      <c r="B40" s="776"/>
      <c r="C40" s="776">
        <v>6.4</v>
      </c>
      <c r="D40" s="765"/>
      <c r="E40" s="776"/>
      <c r="F40" s="776">
        <v>5.1452999999999998</v>
      </c>
      <c r="G40" s="765"/>
      <c r="H40" s="782"/>
      <c r="I40" s="776"/>
      <c r="J40" s="765"/>
      <c r="K40" s="765"/>
      <c r="L40" s="782">
        <v>4.55</v>
      </c>
      <c r="M40" s="765"/>
      <c r="N40" s="776"/>
      <c r="O40" s="776">
        <v>6.7</v>
      </c>
      <c r="P40" s="765"/>
      <c r="Q40" s="765"/>
      <c r="R40" s="782">
        <v>6.2</v>
      </c>
      <c r="S40" s="765"/>
      <c r="T40" s="765"/>
      <c r="U40" s="782">
        <v>5.86</v>
      </c>
      <c r="V40" s="765"/>
      <c r="W40" s="776"/>
      <c r="X40" s="776">
        <v>8.82</v>
      </c>
      <c r="Y40" s="765"/>
      <c r="Z40" s="776"/>
      <c r="AA40" s="776">
        <v>6.4</v>
      </c>
      <c r="AB40" s="765"/>
      <c r="AC40" s="776"/>
      <c r="AD40" s="776">
        <v>8.0719601497484508</v>
      </c>
      <c r="AE40" s="765"/>
      <c r="AF40" s="776"/>
      <c r="AG40" s="776">
        <v>4.59</v>
      </c>
      <c r="AH40" s="765"/>
      <c r="AI40" s="451"/>
      <c r="AJ40" s="765"/>
      <c r="AK40" s="765"/>
      <c r="AL40" s="766"/>
      <c r="AM40" s="766"/>
    </row>
    <row r="41" spans="1:39" s="767" customFormat="1" ht="20.100000000000001" customHeight="1" x14ac:dyDescent="0.3">
      <c r="A41" s="780">
        <v>2012</v>
      </c>
      <c r="B41" s="776"/>
      <c r="C41" s="776">
        <v>9.0500000000000007</v>
      </c>
      <c r="D41" s="765"/>
      <c r="E41" s="776"/>
      <c r="F41" s="776">
        <v>5.73</v>
      </c>
      <c r="G41" s="765"/>
      <c r="H41" s="782"/>
      <c r="I41" s="776"/>
      <c r="J41" s="765"/>
      <c r="K41" s="765"/>
      <c r="L41" s="782">
        <v>4.6900000000000004</v>
      </c>
      <c r="M41" s="765"/>
      <c r="N41" s="776"/>
      <c r="O41" s="776">
        <v>6.67</v>
      </c>
      <c r="P41" s="765"/>
      <c r="Q41" s="765"/>
      <c r="R41" s="782">
        <v>6.7</v>
      </c>
      <c r="S41" s="765"/>
      <c r="T41" s="765"/>
      <c r="U41" s="782">
        <v>5.19</v>
      </c>
      <c r="V41" s="765"/>
      <c r="W41" s="776"/>
      <c r="X41" s="776">
        <v>8.58</v>
      </c>
      <c r="Y41" s="765"/>
      <c r="Z41" s="776"/>
      <c r="AA41" s="776">
        <v>6.39</v>
      </c>
      <c r="AB41" s="765"/>
      <c r="AC41" s="776"/>
      <c r="AD41" s="776">
        <v>7.3309004787965204</v>
      </c>
      <c r="AE41" s="765"/>
      <c r="AF41" s="776"/>
      <c r="AG41" s="776">
        <v>6.17</v>
      </c>
      <c r="AH41" s="765"/>
      <c r="AI41" s="451"/>
      <c r="AJ41" s="765"/>
      <c r="AK41" s="765"/>
      <c r="AL41" s="766"/>
      <c r="AM41" s="766"/>
    </row>
    <row r="42" spans="1:39" s="767" customFormat="1" ht="19.5" customHeight="1" x14ac:dyDescent="0.3">
      <c r="A42" s="781" t="s">
        <v>510</v>
      </c>
      <c r="B42" s="765"/>
      <c r="C42" s="765"/>
      <c r="D42" s="765"/>
      <c r="E42" s="765"/>
      <c r="F42" s="765"/>
      <c r="G42" s="765"/>
      <c r="H42" s="775"/>
      <c r="I42" s="765"/>
      <c r="J42" s="765"/>
      <c r="K42" s="765"/>
      <c r="L42" s="775"/>
      <c r="M42" s="765"/>
      <c r="N42" s="765"/>
      <c r="O42" s="765"/>
      <c r="P42" s="765"/>
      <c r="Q42" s="765"/>
      <c r="R42" s="775"/>
      <c r="S42" s="765"/>
      <c r="T42" s="765"/>
      <c r="U42" s="775"/>
      <c r="V42" s="765"/>
      <c r="W42" s="765"/>
      <c r="X42" s="765"/>
      <c r="Y42" s="765"/>
      <c r="Z42" s="765"/>
      <c r="AA42" s="765"/>
      <c r="AB42" s="765"/>
      <c r="AC42" s="765"/>
      <c r="AD42" s="765"/>
      <c r="AE42" s="765"/>
      <c r="AF42" s="765"/>
      <c r="AG42" s="765"/>
      <c r="AH42" s="765"/>
      <c r="AI42" s="451"/>
      <c r="AJ42" s="765"/>
      <c r="AK42" s="765"/>
      <c r="AL42" s="766"/>
      <c r="AM42" s="766"/>
    </row>
    <row r="43" spans="1:39" s="767" customFormat="1" ht="20.100000000000001" customHeight="1" x14ac:dyDescent="0.3">
      <c r="A43" s="780">
        <v>2016</v>
      </c>
      <c r="B43" s="765"/>
      <c r="C43" s="765"/>
      <c r="D43" s="765"/>
      <c r="E43" s="765"/>
      <c r="F43" s="765">
        <v>4.62</v>
      </c>
      <c r="G43" s="765"/>
      <c r="H43" s="775"/>
      <c r="I43" s="765"/>
      <c r="J43" s="765"/>
      <c r="K43" s="765"/>
      <c r="L43" s="775"/>
      <c r="M43" s="765"/>
      <c r="N43" s="765"/>
      <c r="O43" s="765"/>
      <c r="P43" s="765"/>
      <c r="Q43" s="765"/>
      <c r="R43" s="775"/>
      <c r="S43" s="765"/>
      <c r="T43" s="765"/>
      <c r="U43" s="775">
        <v>4.42</v>
      </c>
      <c r="V43" s="765"/>
      <c r="W43" s="765"/>
      <c r="X43" s="765"/>
      <c r="Y43" s="765"/>
      <c r="Z43" s="765"/>
      <c r="AA43" s="765"/>
      <c r="AB43" s="765"/>
      <c r="AC43" s="765"/>
      <c r="AD43" s="765">
        <v>5.23</v>
      </c>
      <c r="AE43" s="765"/>
      <c r="AF43" s="765"/>
      <c r="AG43" s="765"/>
      <c r="AH43" s="765"/>
      <c r="AI43" s="451"/>
      <c r="AJ43" s="765"/>
      <c r="AK43" s="765"/>
      <c r="AL43" s="766"/>
      <c r="AM43" s="766"/>
    </row>
    <row r="44" spans="1:39" s="767" customFormat="1" ht="20.100000000000001" customHeight="1" x14ac:dyDescent="0.3">
      <c r="A44" s="780">
        <v>2015</v>
      </c>
      <c r="B44" s="765"/>
      <c r="C44" s="765"/>
      <c r="D44" s="765"/>
      <c r="E44" s="765"/>
      <c r="F44" s="765">
        <v>4.29</v>
      </c>
      <c r="G44" s="765"/>
      <c r="H44" s="775"/>
      <c r="I44" s="765"/>
      <c r="J44" s="765"/>
      <c r="K44" s="765"/>
      <c r="L44" s="775"/>
      <c r="M44" s="765"/>
      <c r="N44" s="765"/>
      <c r="O44" s="765"/>
      <c r="P44" s="765"/>
      <c r="Q44" s="765"/>
      <c r="R44" s="775"/>
      <c r="S44" s="765"/>
      <c r="T44" s="765"/>
      <c r="U44" s="775">
        <v>3.55</v>
      </c>
      <c r="V44" s="765"/>
      <c r="W44" s="765"/>
      <c r="X44" s="765"/>
      <c r="Y44" s="765"/>
      <c r="Z44" s="765"/>
      <c r="AA44" s="765"/>
      <c r="AB44" s="765"/>
      <c r="AC44" s="765"/>
      <c r="AD44" s="765">
        <v>4.00108762548372</v>
      </c>
      <c r="AE44" s="765"/>
      <c r="AF44" s="765"/>
      <c r="AG44" s="765">
        <v>4.41</v>
      </c>
      <c r="AH44" s="765"/>
      <c r="AI44" s="451"/>
      <c r="AJ44" s="765"/>
      <c r="AK44" s="765"/>
      <c r="AL44" s="766"/>
      <c r="AM44" s="766"/>
    </row>
    <row r="45" spans="1:39" s="767" customFormat="1" ht="20.100000000000001" customHeight="1" x14ac:dyDescent="0.3">
      <c r="A45" s="780">
        <v>2014</v>
      </c>
      <c r="B45" s="765"/>
      <c r="C45" s="765"/>
      <c r="D45" s="765"/>
      <c r="E45" s="765"/>
      <c r="F45" s="765">
        <v>5.56</v>
      </c>
      <c r="G45" s="765"/>
      <c r="H45" s="775"/>
      <c r="I45" s="765"/>
      <c r="J45" s="765"/>
      <c r="K45" s="765"/>
      <c r="L45" s="775"/>
      <c r="M45" s="765"/>
      <c r="N45" s="765"/>
      <c r="O45" s="765"/>
      <c r="P45" s="765"/>
      <c r="Q45" s="765"/>
      <c r="R45" s="775"/>
      <c r="S45" s="765"/>
      <c r="T45" s="765"/>
      <c r="U45" s="775">
        <v>5.1100000000000003</v>
      </c>
      <c r="V45" s="765"/>
      <c r="W45" s="765"/>
      <c r="X45" s="765"/>
      <c r="Y45" s="765"/>
      <c r="Z45" s="765"/>
      <c r="AA45" s="765"/>
      <c r="AB45" s="765"/>
      <c r="AC45" s="765"/>
      <c r="AD45" s="765">
        <v>7.9419173659891698</v>
      </c>
      <c r="AE45" s="765"/>
      <c r="AF45" s="765"/>
      <c r="AG45" s="765">
        <v>5.75</v>
      </c>
      <c r="AH45" s="765"/>
      <c r="AI45" s="451"/>
      <c r="AJ45" s="765"/>
      <c r="AK45" s="765"/>
      <c r="AL45" s="766"/>
      <c r="AM45" s="766"/>
    </row>
    <row r="46" spans="1:39" s="767" customFormat="1" ht="19.5" customHeight="1" x14ac:dyDescent="0.3">
      <c r="A46" s="780">
        <v>2013</v>
      </c>
      <c r="B46" s="765"/>
      <c r="C46" s="765"/>
      <c r="D46" s="765"/>
      <c r="E46" s="765"/>
      <c r="F46" s="765">
        <v>5.2495000000000003</v>
      </c>
      <c r="G46" s="765"/>
      <c r="H46" s="775"/>
      <c r="I46" s="765"/>
      <c r="J46" s="765"/>
      <c r="K46" s="765"/>
      <c r="L46" s="775"/>
      <c r="M46" s="765"/>
      <c r="N46" s="765"/>
      <c r="O46" s="765"/>
      <c r="P46" s="765"/>
      <c r="Q46" s="765"/>
      <c r="R46" s="775"/>
      <c r="S46" s="765"/>
      <c r="T46" s="765"/>
      <c r="U46" s="775">
        <v>5.86</v>
      </c>
      <c r="V46" s="765"/>
      <c r="W46" s="765"/>
      <c r="X46" s="765"/>
      <c r="Y46" s="765"/>
      <c r="Z46" s="765"/>
      <c r="AA46" s="765"/>
      <c r="AB46" s="765"/>
      <c r="AC46" s="765"/>
      <c r="AD46" s="765">
        <v>8.8568235755330598</v>
      </c>
      <c r="AE46" s="765"/>
      <c r="AF46" s="765"/>
      <c r="AG46" s="765">
        <v>5.43</v>
      </c>
      <c r="AH46" s="765"/>
      <c r="AI46" s="451"/>
      <c r="AJ46" s="765"/>
      <c r="AK46" s="765"/>
      <c r="AL46" s="766"/>
      <c r="AM46" s="766"/>
    </row>
    <row r="47" spans="1:39" ht="19.5" customHeight="1" x14ac:dyDescent="0.3">
      <c r="A47" s="780">
        <v>2012</v>
      </c>
      <c r="B47" s="765"/>
      <c r="C47" s="765"/>
      <c r="D47" s="765"/>
      <c r="E47" s="765"/>
      <c r="F47" s="765">
        <v>5.39</v>
      </c>
      <c r="G47" s="765"/>
      <c r="H47" s="775"/>
      <c r="I47" s="765"/>
      <c r="J47" s="765"/>
      <c r="K47" s="765"/>
      <c r="L47" s="775"/>
      <c r="M47" s="765"/>
      <c r="N47" s="765"/>
      <c r="O47" s="765"/>
      <c r="P47" s="765"/>
      <c r="Q47" s="765"/>
      <c r="R47" s="775"/>
      <c r="S47" s="765"/>
      <c r="T47" s="765"/>
      <c r="U47" s="775">
        <v>5.19</v>
      </c>
      <c r="V47" s="765"/>
      <c r="W47" s="765"/>
      <c r="X47" s="765"/>
      <c r="Y47" s="765"/>
      <c r="Z47" s="765"/>
      <c r="AA47" s="765"/>
      <c r="AB47" s="765"/>
      <c r="AC47" s="765"/>
      <c r="AD47" s="765">
        <v>7.5070811775453699</v>
      </c>
      <c r="AE47" s="765"/>
      <c r="AF47" s="765"/>
      <c r="AG47" s="765">
        <v>5.95</v>
      </c>
      <c r="AH47" s="765"/>
      <c r="AI47" s="451"/>
      <c r="AJ47" s="765"/>
      <c r="AK47" s="765"/>
      <c r="AL47" s="762"/>
      <c r="AM47" s="411"/>
    </row>
    <row r="48" spans="1:39" s="492" customFormat="1" ht="18.75" x14ac:dyDescent="0.3">
      <c r="A48" s="781" t="s">
        <v>511</v>
      </c>
      <c r="B48" s="765"/>
      <c r="C48" s="765"/>
      <c r="D48" s="765"/>
      <c r="E48" s="765"/>
      <c r="F48" s="765"/>
      <c r="G48" s="765"/>
      <c r="H48" s="775"/>
      <c r="I48" s="765"/>
      <c r="J48" s="765"/>
      <c r="K48" s="765"/>
      <c r="L48" s="775"/>
      <c r="M48" s="765"/>
      <c r="N48" s="765"/>
      <c r="O48" s="765"/>
      <c r="P48" s="765"/>
      <c r="Q48" s="765"/>
      <c r="R48" s="775"/>
      <c r="S48" s="765"/>
      <c r="T48" s="765"/>
      <c r="U48" s="775"/>
      <c r="V48" s="765"/>
      <c r="W48" s="776"/>
      <c r="X48" s="765"/>
      <c r="Y48" s="765"/>
      <c r="Z48" s="776"/>
      <c r="AA48" s="765"/>
      <c r="AB48" s="765"/>
      <c r="AC48" s="776"/>
      <c r="AD48" s="765"/>
      <c r="AE48" s="765"/>
      <c r="AF48" s="765"/>
      <c r="AG48" s="765"/>
      <c r="AH48" s="765"/>
      <c r="AI48" s="451"/>
      <c r="AJ48" s="765"/>
      <c r="AK48" s="765"/>
    </row>
    <row r="49" spans="1:37" s="492" customFormat="1" ht="18.75" x14ac:dyDescent="0.3">
      <c r="A49" s="780">
        <v>2016</v>
      </c>
      <c r="B49" s="765"/>
      <c r="C49" s="765">
        <v>4.18</v>
      </c>
      <c r="D49" s="765"/>
      <c r="E49" s="765"/>
      <c r="F49" s="765">
        <v>4.3499999999999996</v>
      </c>
      <c r="G49" s="765"/>
      <c r="H49" s="775"/>
      <c r="I49" s="765"/>
      <c r="J49" s="765"/>
      <c r="K49" s="765"/>
      <c r="L49" s="775">
        <v>4.87</v>
      </c>
      <c r="M49" s="765"/>
      <c r="N49" s="765"/>
      <c r="O49" s="765">
        <v>5.83</v>
      </c>
      <c r="P49" s="765"/>
      <c r="Q49" s="765"/>
      <c r="R49" s="775">
        <v>5.83</v>
      </c>
      <c r="S49" s="765"/>
      <c r="T49" s="765"/>
      <c r="U49" s="775">
        <v>4.42</v>
      </c>
      <c r="V49" s="765"/>
      <c r="W49" s="776"/>
      <c r="X49" s="765"/>
      <c r="Y49" s="765"/>
      <c r="Z49" s="776"/>
      <c r="AA49" s="765"/>
      <c r="AB49" s="765"/>
      <c r="AC49" s="776"/>
      <c r="AD49" s="765">
        <v>4.6399999999999997</v>
      </c>
      <c r="AE49" s="765"/>
      <c r="AF49" s="765"/>
      <c r="AG49" s="765"/>
      <c r="AH49" s="765"/>
      <c r="AI49" s="451"/>
      <c r="AJ49" s="765"/>
      <c r="AK49" s="765"/>
    </row>
    <row r="50" spans="1:37" s="492" customFormat="1" ht="18.75" x14ac:dyDescent="0.3">
      <c r="A50" s="780">
        <v>2015</v>
      </c>
      <c r="B50" s="765"/>
      <c r="C50" s="765">
        <v>0.69</v>
      </c>
      <c r="D50" s="765"/>
      <c r="E50" s="765"/>
      <c r="F50" s="765">
        <v>4.34</v>
      </c>
      <c r="G50" s="765"/>
      <c r="H50" s="775"/>
      <c r="I50" s="765"/>
      <c r="J50" s="765"/>
      <c r="K50" s="765"/>
      <c r="L50" s="775">
        <v>5.4189999999999996</v>
      </c>
      <c r="M50" s="765"/>
      <c r="N50" s="765"/>
      <c r="O50" s="765">
        <v>3.95</v>
      </c>
      <c r="P50" s="765"/>
      <c r="Q50" s="765"/>
      <c r="R50" s="775">
        <v>4.7</v>
      </c>
      <c r="S50" s="765"/>
      <c r="T50" s="765"/>
      <c r="U50" s="775">
        <v>3.55</v>
      </c>
      <c r="V50" s="765"/>
      <c r="W50" s="776"/>
      <c r="X50" s="765"/>
      <c r="Y50" s="765"/>
      <c r="Z50" s="776"/>
      <c r="AA50" s="765">
        <v>3.39</v>
      </c>
      <c r="AB50" s="765"/>
      <c r="AC50" s="776"/>
      <c r="AD50" s="765">
        <v>3.6594227914219499</v>
      </c>
      <c r="AE50" s="765"/>
      <c r="AF50" s="765"/>
      <c r="AG50" s="765">
        <v>4.7699999999999996</v>
      </c>
      <c r="AH50" s="765"/>
      <c r="AI50" s="451"/>
      <c r="AJ50" s="765"/>
      <c r="AK50" s="765"/>
    </row>
    <row r="51" spans="1:37" s="492" customFormat="1" ht="18.75" x14ac:dyDescent="0.3">
      <c r="A51" s="780">
        <v>2014</v>
      </c>
      <c r="B51" s="765"/>
      <c r="C51" s="765">
        <v>6.81</v>
      </c>
      <c r="D51" s="765"/>
      <c r="E51" s="765"/>
      <c r="F51" s="765">
        <v>5.87</v>
      </c>
      <c r="G51" s="765"/>
      <c r="H51" s="775"/>
      <c r="I51" s="765"/>
      <c r="J51" s="765"/>
      <c r="K51" s="765"/>
      <c r="L51" s="775">
        <v>4.625</v>
      </c>
      <c r="M51" s="765"/>
      <c r="N51" s="765"/>
      <c r="O51" s="765">
        <v>6.94</v>
      </c>
      <c r="P51" s="765"/>
      <c r="Q51" s="765"/>
      <c r="R51" s="775">
        <v>6.1</v>
      </c>
      <c r="S51" s="765"/>
      <c r="T51" s="765"/>
      <c r="U51" s="775">
        <v>5.1100000000000003</v>
      </c>
      <c r="V51" s="765"/>
      <c r="W51" s="776"/>
      <c r="X51" s="765"/>
      <c r="Y51" s="765"/>
      <c r="Z51" s="776"/>
      <c r="AA51" s="765">
        <v>6.01</v>
      </c>
      <c r="AB51" s="765"/>
      <c r="AC51" s="776"/>
      <c r="AD51" s="765">
        <v>6.9696881004068096</v>
      </c>
      <c r="AE51" s="765"/>
      <c r="AF51" s="765"/>
      <c r="AG51" s="765">
        <v>6.41</v>
      </c>
      <c r="AH51" s="765"/>
      <c r="AI51" s="451"/>
      <c r="AJ51" s="765"/>
      <c r="AK51" s="765"/>
    </row>
    <row r="52" spans="1:37" s="492" customFormat="1" ht="18.75" x14ac:dyDescent="0.3">
      <c r="A52" s="780">
        <v>2013</v>
      </c>
      <c r="B52" s="765"/>
      <c r="C52" s="765">
        <v>6.4</v>
      </c>
      <c r="D52" s="765"/>
      <c r="E52" s="765"/>
      <c r="F52" s="765">
        <v>6.6056999999999997</v>
      </c>
      <c r="G52" s="765"/>
      <c r="H52" s="775"/>
      <c r="I52" s="765"/>
      <c r="J52" s="765"/>
      <c r="K52" s="765"/>
      <c r="L52" s="775">
        <v>4.67</v>
      </c>
      <c r="M52" s="765"/>
      <c r="N52" s="765"/>
      <c r="O52" s="765">
        <v>6.7</v>
      </c>
      <c r="P52" s="765"/>
      <c r="Q52" s="765"/>
      <c r="R52" s="775">
        <v>6.2</v>
      </c>
      <c r="S52" s="765"/>
      <c r="T52" s="765"/>
      <c r="U52" s="775">
        <v>5.86</v>
      </c>
      <c r="V52" s="765"/>
      <c r="W52" s="776"/>
      <c r="X52" s="765"/>
      <c r="Y52" s="765"/>
      <c r="Z52" s="776"/>
      <c r="AA52" s="765">
        <v>6.4</v>
      </c>
      <c r="AB52" s="765"/>
      <c r="AC52" s="776"/>
      <c r="AD52" s="765">
        <v>8.1266643674760903</v>
      </c>
      <c r="AE52" s="765"/>
      <c r="AF52" s="765"/>
      <c r="AG52" s="765">
        <v>4.0199999999999996</v>
      </c>
      <c r="AH52" s="765"/>
      <c r="AI52" s="451"/>
      <c r="AJ52" s="765"/>
      <c r="AK52" s="765"/>
    </row>
    <row r="53" spans="1:37" s="492" customFormat="1" ht="18.75" x14ac:dyDescent="0.3">
      <c r="A53" s="809">
        <v>2012</v>
      </c>
      <c r="B53" s="786"/>
      <c r="C53" s="786">
        <v>9.0500000000000007</v>
      </c>
      <c r="D53" s="786"/>
      <c r="E53" s="786"/>
      <c r="F53" s="786">
        <v>5.37</v>
      </c>
      <c r="G53" s="786"/>
      <c r="H53" s="787"/>
      <c r="I53" s="786"/>
      <c r="J53" s="786"/>
      <c r="K53" s="786"/>
      <c r="L53" s="786">
        <v>4.7699999999999996</v>
      </c>
      <c r="M53" s="786"/>
      <c r="N53" s="786"/>
      <c r="O53" s="786">
        <v>6.67</v>
      </c>
      <c r="P53" s="786"/>
      <c r="Q53" s="786"/>
      <c r="R53" s="786">
        <v>6.7</v>
      </c>
      <c r="S53" s="786"/>
      <c r="T53" s="786"/>
      <c r="U53" s="786">
        <v>5.19</v>
      </c>
      <c r="V53" s="786"/>
      <c r="W53" s="788"/>
      <c r="X53" s="786">
        <v>2.54</v>
      </c>
      <c r="Y53" s="786"/>
      <c r="Z53" s="788"/>
      <c r="AA53" s="786">
        <v>6.39</v>
      </c>
      <c r="AB53" s="786"/>
      <c r="AC53" s="788"/>
      <c r="AD53" s="786">
        <v>7.2315355897800204</v>
      </c>
      <c r="AE53" s="786"/>
      <c r="AF53" s="786"/>
      <c r="AG53" s="786">
        <v>5.73</v>
      </c>
      <c r="AH53" s="786"/>
      <c r="AI53" s="621"/>
      <c r="AJ53" s="786"/>
      <c r="AK53" s="786"/>
    </row>
    <row r="54" spans="1:37" s="492" customFormat="1" ht="18.75" x14ac:dyDescent="0.3">
      <c r="A54" s="492" t="s">
        <v>286</v>
      </c>
    </row>
    <row r="55" spans="1:37" s="492" customFormat="1" ht="18.75" x14ac:dyDescent="0.3"/>
    <row r="56" spans="1:37" s="492" customFormat="1" ht="18.75" x14ac:dyDescent="0.3"/>
    <row r="57" spans="1:37" s="492" customFormat="1" ht="18.75" x14ac:dyDescent="0.3"/>
    <row r="58" spans="1:37" s="492" customFormat="1" ht="18.75" x14ac:dyDescent="0.3"/>
    <row r="59" spans="1:37" s="492" customFormat="1" ht="18.75" x14ac:dyDescent="0.3"/>
    <row r="60" spans="1:37" s="492" customFormat="1" ht="18.75" x14ac:dyDescent="0.3"/>
  </sheetData>
  <mergeCells count="32">
    <mergeCell ref="W5:Y5"/>
    <mergeCell ref="B5:D5"/>
    <mergeCell ref="E5:G5"/>
    <mergeCell ref="H5:J5"/>
    <mergeCell ref="K5:M5"/>
    <mergeCell ref="Q5:S5"/>
    <mergeCell ref="AT5:AV5"/>
    <mergeCell ref="AW5:AY5"/>
    <mergeCell ref="AZ5:BB5"/>
    <mergeCell ref="B6:D6"/>
    <mergeCell ref="E6:G6"/>
    <mergeCell ref="H6:J6"/>
    <mergeCell ref="K6:M6"/>
    <mergeCell ref="N6:P6"/>
    <mergeCell ref="Q6:S6"/>
    <mergeCell ref="T6:V6"/>
    <mergeCell ref="Z5:AB5"/>
    <mergeCell ref="AC5:AE5"/>
    <mergeCell ref="AF5:AH5"/>
    <mergeCell ref="AI5:AK5"/>
    <mergeCell ref="AN5:AP5"/>
    <mergeCell ref="AQ5:AS5"/>
    <mergeCell ref="AQ6:AS6"/>
    <mergeCell ref="AT6:AV6"/>
    <mergeCell ref="AW6:AY6"/>
    <mergeCell ref="AZ6:BB6"/>
    <mergeCell ref="W6:Y6"/>
    <mergeCell ref="Z6:AB6"/>
    <mergeCell ref="AC6:AE6"/>
    <mergeCell ref="AF6:AH6"/>
    <mergeCell ref="AI6:AK6"/>
    <mergeCell ref="AN6:AP6"/>
  </mergeCells>
  <hyperlinks>
    <hyperlink ref="B1" location="Innhold!A1" display="Tilbake"/>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2:Q65"/>
  <sheetViews>
    <sheetView showGridLines="0" topLeftCell="A3" zoomScale="70" zoomScaleNormal="70" workbookViewId="0"/>
  </sheetViews>
  <sheetFormatPr baseColWidth="10" defaultColWidth="11.42578125" defaultRowHeight="12.75" x14ac:dyDescent="0.2"/>
  <cols>
    <col min="1" max="1" width="66.28515625" style="1" customWidth="1"/>
    <col min="2" max="2" width="4.28515625" style="43" customWidth="1"/>
    <col min="3" max="3" width="105.140625" style="1" customWidth="1"/>
    <col min="4" max="8" width="12.7109375" style="1" customWidth="1"/>
    <col min="9" max="257" width="11.42578125" style="1"/>
    <col min="258" max="258" width="2.7109375" style="1" customWidth="1"/>
    <col min="259" max="259" width="176.7109375" style="1" customWidth="1"/>
    <col min="260" max="260" width="11.42578125" style="1"/>
    <col min="261" max="261" width="176.7109375" style="1" customWidth="1"/>
    <col min="262" max="262" width="11.42578125" style="1"/>
    <col min="263" max="263" width="88.7109375" style="1" customWidth="1"/>
    <col min="264" max="513" width="11.42578125" style="1"/>
    <col min="514" max="514" width="2.7109375" style="1" customWidth="1"/>
    <col min="515" max="515" width="176.7109375" style="1" customWidth="1"/>
    <col min="516" max="516" width="11.42578125" style="1"/>
    <col min="517" max="517" width="176.7109375" style="1" customWidth="1"/>
    <col min="518" max="518" width="11.42578125" style="1"/>
    <col min="519" max="519" width="88.7109375" style="1" customWidth="1"/>
    <col min="520" max="769" width="11.42578125" style="1"/>
    <col min="770" max="770" width="2.7109375" style="1" customWidth="1"/>
    <col min="771" max="771" width="176.7109375" style="1" customWidth="1"/>
    <col min="772" max="772" width="11.42578125" style="1"/>
    <col min="773" max="773" width="176.7109375" style="1" customWidth="1"/>
    <col min="774" max="774" width="11.42578125" style="1"/>
    <col min="775" max="775" width="88.7109375" style="1" customWidth="1"/>
    <col min="776" max="1025" width="11.42578125" style="1"/>
    <col min="1026" max="1026" width="2.7109375" style="1" customWidth="1"/>
    <col min="1027" max="1027" width="176.7109375" style="1" customWidth="1"/>
    <col min="1028" max="1028" width="11.42578125" style="1"/>
    <col min="1029" max="1029" width="176.7109375" style="1" customWidth="1"/>
    <col min="1030" max="1030" width="11.42578125" style="1"/>
    <col min="1031" max="1031" width="88.7109375" style="1" customWidth="1"/>
    <col min="1032" max="1281" width="11.42578125" style="1"/>
    <col min="1282" max="1282" width="2.7109375" style="1" customWidth="1"/>
    <col min="1283" max="1283" width="176.7109375" style="1" customWidth="1"/>
    <col min="1284" max="1284" width="11.42578125" style="1"/>
    <col min="1285" max="1285" width="176.7109375" style="1" customWidth="1"/>
    <col min="1286" max="1286" width="11.42578125" style="1"/>
    <col min="1287" max="1287" width="88.7109375" style="1" customWidth="1"/>
    <col min="1288" max="1537" width="11.42578125" style="1"/>
    <col min="1538" max="1538" width="2.7109375" style="1" customWidth="1"/>
    <col min="1539" max="1539" width="176.7109375" style="1" customWidth="1"/>
    <col min="1540" max="1540" width="11.42578125" style="1"/>
    <col min="1541" max="1541" width="176.7109375" style="1" customWidth="1"/>
    <col min="1542" max="1542" width="11.42578125" style="1"/>
    <col min="1543" max="1543" width="88.7109375" style="1" customWidth="1"/>
    <col min="1544" max="1793" width="11.42578125" style="1"/>
    <col min="1794" max="1794" width="2.7109375" style="1" customWidth="1"/>
    <col min="1795" max="1795" width="176.7109375" style="1" customWidth="1"/>
    <col min="1796" max="1796" width="11.42578125" style="1"/>
    <col min="1797" max="1797" width="176.7109375" style="1" customWidth="1"/>
    <col min="1798" max="1798" width="11.42578125" style="1"/>
    <col min="1799" max="1799" width="88.7109375" style="1" customWidth="1"/>
    <col min="1800" max="2049" width="11.42578125" style="1"/>
    <col min="2050" max="2050" width="2.7109375" style="1" customWidth="1"/>
    <col min="2051" max="2051" width="176.7109375" style="1" customWidth="1"/>
    <col min="2052" max="2052" width="11.42578125" style="1"/>
    <col min="2053" max="2053" width="176.7109375" style="1" customWidth="1"/>
    <col min="2054" max="2054" width="11.42578125" style="1"/>
    <col min="2055" max="2055" width="88.7109375" style="1" customWidth="1"/>
    <col min="2056" max="2305" width="11.42578125" style="1"/>
    <col min="2306" max="2306" width="2.7109375" style="1" customWidth="1"/>
    <col min="2307" max="2307" width="176.7109375" style="1" customWidth="1"/>
    <col min="2308" max="2308" width="11.42578125" style="1"/>
    <col min="2309" max="2309" width="176.7109375" style="1" customWidth="1"/>
    <col min="2310" max="2310" width="11.42578125" style="1"/>
    <col min="2311" max="2311" width="88.7109375" style="1" customWidth="1"/>
    <col min="2312" max="2561" width="11.42578125" style="1"/>
    <col min="2562" max="2562" width="2.7109375" style="1" customWidth="1"/>
    <col min="2563" max="2563" width="176.7109375" style="1" customWidth="1"/>
    <col min="2564" max="2564" width="11.42578125" style="1"/>
    <col min="2565" max="2565" width="176.7109375" style="1" customWidth="1"/>
    <col min="2566" max="2566" width="11.42578125" style="1"/>
    <col min="2567" max="2567" width="88.7109375" style="1" customWidth="1"/>
    <col min="2568" max="2817" width="11.42578125" style="1"/>
    <col min="2818" max="2818" width="2.7109375" style="1" customWidth="1"/>
    <col min="2819" max="2819" width="176.7109375" style="1" customWidth="1"/>
    <col min="2820" max="2820" width="11.42578125" style="1"/>
    <col min="2821" max="2821" width="176.7109375" style="1" customWidth="1"/>
    <col min="2822" max="2822" width="11.42578125" style="1"/>
    <col min="2823" max="2823" width="88.7109375" style="1" customWidth="1"/>
    <col min="2824" max="3073" width="11.42578125" style="1"/>
    <col min="3074" max="3074" width="2.7109375" style="1" customWidth="1"/>
    <col min="3075" max="3075" width="176.7109375" style="1" customWidth="1"/>
    <col min="3076" max="3076" width="11.42578125" style="1"/>
    <col min="3077" max="3077" width="176.7109375" style="1" customWidth="1"/>
    <col min="3078" max="3078" width="11.42578125" style="1"/>
    <col min="3079" max="3079" width="88.7109375" style="1" customWidth="1"/>
    <col min="3080" max="3329" width="11.42578125" style="1"/>
    <col min="3330" max="3330" width="2.7109375" style="1" customWidth="1"/>
    <col min="3331" max="3331" width="176.7109375" style="1" customWidth="1"/>
    <col min="3332" max="3332" width="11.42578125" style="1"/>
    <col min="3333" max="3333" width="176.7109375" style="1" customWidth="1"/>
    <col min="3334" max="3334" width="11.42578125" style="1"/>
    <col min="3335" max="3335" width="88.7109375" style="1" customWidth="1"/>
    <col min="3336" max="3585" width="11.42578125" style="1"/>
    <col min="3586" max="3586" width="2.7109375" style="1" customWidth="1"/>
    <col min="3587" max="3587" width="176.7109375" style="1" customWidth="1"/>
    <col min="3588" max="3588" width="11.42578125" style="1"/>
    <col min="3589" max="3589" width="176.7109375" style="1" customWidth="1"/>
    <col min="3590" max="3590" width="11.42578125" style="1"/>
    <col min="3591" max="3591" width="88.7109375" style="1" customWidth="1"/>
    <col min="3592" max="3841" width="11.42578125" style="1"/>
    <col min="3842" max="3842" width="2.7109375" style="1" customWidth="1"/>
    <col min="3843" max="3843" width="176.7109375" style="1" customWidth="1"/>
    <col min="3844" max="3844" width="11.42578125" style="1"/>
    <col min="3845" max="3845" width="176.7109375" style="1" customWidth="1"/>
    <col min="3846" max="3846" width="11.42578125" style="1"/>
    <col min="3847" max="3847" width="88.7109375" style="1" customWidth="1"/>
    <col min="3848" max="4097" width="11.42578125" style="1"/>
    <col min="4098" max="4098" width="2.7109375" style="1" customWidth="1"/>
    <col min="4099" max="4099" width="176.7109375" style="1" customWidth="1"/>
    <col min="4100" max="4100" width="11.42578125" style="1"/>
    <col min="4101" max="4101" width="176.7109375" style="1" customWidth="1"/>
    <col min="4102" max="4102" width="11.42578125" style="1"/>
    <col min="4103" max="4103" width="88.7109375" style="1" customWidth="1"/>
    <col min="4104" max="4353" width="11.42578125" style="1"/>
    <col min="4354" max="4354" width="2.7109375" style="1" customWidth="1"/>
    <col min="4355" max="4355" width="176.7109375" style="1" customWidth="1"/>
    <col min="4356" max="4356" width="11.42578125" style="1"/>
    <col min="4357" max="4357" width="176.7109375" style="1" customWidth="1"/>
    <col min="4358" max="4358" width="11.42578125" style="1"/>
    <col min="4359" max="4359" width="88.7109375" style="1" customWidth="1"/>
    <col min="4360" max="4609" width="11.42578125" style="1"/>
    <col min="4610" max="4610" width="2.7109375" style="1" customWidth="1"/>
    <col min="4611" max="4611" width="176.7109375" style="1" customWidth="1"/>
    <col min="4612" max="4612" width="11.42578125" style="1"/>
    <col min="4613" max="4613" width="176.7109375" style="1" customWidth="1"/>
    <col min="4614" max="4614" width="11.42578125" style="1"/>
    <col min="4615" max="4615" width="88.7109375" style="1" customWidth="1"/>
    <col min="4616" max="4865" width="11.42578125" style="1"/>
    <col min="4866" max="4866" width="2.7109375" style="1" customWidth="1"/>
    <col min="4867" max="4867" width="176.7109375" style="1" customWidth="1"/>
    <col min="4868" max="4868" width="11.42578125" style="1"/>
    <col min="4869" max="4869" width="176.7109375" style="1" customWidth="1"/>
    <col min="4870" max="4870" width="11.42578125" style="1"/>
    <col min="4871" max="4871" width="88.7109375" style="1" customWidth="1"/>
    <col min="4872" max="5121" width="11.42578125" style="1"/>
    <col min="5122" max="5122" width="2.7109375" style="1" customWidth="1"/>
    <col min="5123" max="5123" width="176.7109375" style="1" customWidth="1"/>
    <col min="5124" max="5124" width="11.42578125" style="1"/>
    <col min="5125" max="5125" width="176.7109375" style="1" customWidth="1"/>
    <col min="5126" max="5126" width="11.42578125" style="1"/>
    <col min="5127" max="5127" width="88.7109375" style="1" customWidth="1"/>
    <col min="5128" max="5377" width="11.42578125" style="1"/>
    <col min="5378" max="5378" width="2.7109375" style="1" customWidth="1"/>
    <col min="5379" max="5379" width="176.7109375" style="1" customWidth="1"/>
    <col min="5380" max="5380" width="11.42578125" style="1"/>
    <col min="5381" max="5381" width="176.7109375" style="1" customWidth="1"/>
    <col min="5382" max="5382" width="11.42578125" style="1"/>
    <col min="5383" max="5383" width="88.7109375" style="1" customWidth="1"/>
    <col min="5384" max="5633" width="11.42578125" style="1"/>
    <col min="5634" max="5634" width="2.7109375" style="1" customWidth="1"/>
    <col min="5635" max="5635" width="176.7109375" style="1" customWidth="1"/>
    <col min="5636" max="5636" width="11.42578125" style="1"/>
    <col min="5637" max="5637" width="176.7109375" style="1" customWidth="1"/>
    <col min="5638" max="5638" width="11.42578125" style="1"/>
    <col min="5639" max="5639" width="88.7109375" style="1" customWidth="1"/>
    <col min="5640" max="5889" width="11.42578125" style="1"/>
    <col min="5890" max="5890" width="2.7109375" style="1" customWidth="1"/>
    <col min="5891" max="5891" width="176.7109375" style="1" customWidth="1"/>
    <col min="5892" max="5892" width="11.42578125" style="1"/>
    <col min="5893" max="5893" width="176.7109375" style="1" customWidth="1"/>
    <col min="5894" max="5894" width="11.42578125" style="1"/>
    <col min="5895" max="5895" width="88.7109375" style="1" customWidth="1"/>
    <col min="5896" max="6145" width="11.42578125" style="1"/>
    <col min="6146" max="6146" width="2.7109375" style="1" customWidth="1"/>
    <col min="6147" max="6147" width="176.7109375" style="1" customWidth="1"/>
    <col min="6148" max="6148" width="11.42578125" style="1"/>
    <col min="6149" max="6149" width="176.7109375" style="1" customWidth="1"/>
    <col min="6150" max="6150" width="11.42578125" style="1"/>
    <col min="6151" max="6151" width="88.7109375" style="1" customWidth="1"/>
    <col min="6152" max="6401" width="11.42578125" style="1"/>
    <col min="6402" max="6402" width="2.7109375" style="1" customWidth="1"/>
    <col min="6403" max="6403" width="176.7109375" style="1" customWidth="1"/>
    <col min="6404" max="6404" width="11.42578125" style="1"/>
    <col min="6405" max="6405" width="176.7109375" style="1" customWidth="1"/>
    <col min="6406" max="6406" width="11.42578125" style="1"/>
    <col min="6407" max="6407" width="88.7109375" style="1" customWidth="1"/>
    <col min="6408" max="6657" width="11.42578125" style="1"/>
    <col min="6658" max="6658" width="2.7109375" style="1" customWidth="1"/>
    <col min="6659" max="6659" width="176.7109375" style="1" customWidth="1"/>
    <col min="6660" max="6660" width="11.42578125" style="1"/>
    <col min="6661" max="6661" width="176.7109375" style="1" customWidth="1"/>
    <col min="6662" max="6662" width="11.42578125" style="1"/>
    <col min="6663" max="6663" width="88.7109375" style="1" customWidth="1"/>
    <col min="6664" max="6913" width="11.42578125" style="1"/>
    <col min="6914" max="6914" width="2.7109375" style="1" customWidth="1"/>
    <col min="6915" max="6915" width="176.7109375" style="1" customWidth="1"/>
    <col min="6916" max="6916" width="11.42578125" style="1"/>
    <col min="6917" max="6917" width="176.7109375" style="1" customWidth="1"/>
    <col min="6918" max="6918" width="11.42578125" style="1"/>
    <col min="6919" max="6919" width="88.7109375" style="1" customWidth="1"/>
    <col min="6920" max="7169" width="11.42578125" style="1"/>
    <col min="7170" max="7170" width="2.7109375" style="1" customWidth="1"/>
    <col min="7171" max="7171" width="176.7109375" style="1" customWidth="1"/>
    <col min="7172" max="7172" width="11.42578125" style="1"/>
    <col min="7173" max="7173" width="176.7109375" style="1" customWidth="1"/>
    <col min="7174" max="7174" width="11.42578125" style="1"/>
    <col min="7175" max="7175" width="88.7109375" style="1" customWidth="1"/>
    <col min="7176" max="7425" width="11.42578125" style="1"/>
    <col min="7426" max="7426" width="2.7109375" style="1" customWidth="1"/>
    <col min="7427" max="7427" width="176.7109375" style="1" customWidth="1"/>
    <col min="7428" max="7428" width="11.42578125" style="1"/>
    <col min="7429" max="7429" width="176.7109375" style="1" customWidth="1"/>
    <col min="7430" max="7430" width="11.42578125" style="1"/>
    <col min="7431" max="7431" width="88.7109375" style="1" customWidth="1"/>
    <col min="7432" max="7681" width="11.42578125" style="1"/>
    <col min="7682" max="7682" width="2.7109375" style="1" customWidth="1"/>
    <col min="7683" max="7683" width="176.7109375" style="1" customWidth="1"/>
    <col min="7684" max="7684" width="11.42578125" style="1"/>
    <col min="7685" max="7685" width="176.7109375" style="1" customWidth="1"/>
    <col min="7686" max="7686" width="11.42578125" style="1"/>
    <col min="7687" max="7687" width="88.7109375" style="1" customWidth="1"/>
    <col min="7688" max="7937" width="11.42578125" style="1"/>
    <col min="7938" max="7938" width="2.7109375" style="1" customWidth="1"/>
    <col min="7939" max="7939" width="176.7109375" style="1" customWidth="1"/>
    <col min="7940" max="7940" width="11.42578125" style="1"/>
    <col min="7941" max="7941" width="176.7109375" style="1" customWidth="1"/>
    <col min="7942" max="7942" width="11.42578125" style="1"/>
    <col min="7943" max="7943" width="88.7109375" style="1" customWidth="1"/>
    <col min="7944" max="8193" width="11.42578125" style="1"/>
    <col min="8194" max="8194" width="2.7109375" style="1" customWidth="1"/>
    <col min="8195" max="8195" width="176.7109375" style="1" customWidth="1"/>
    <col min="8196" max="8196" width="11.42578125" style="1"/>
    <col min="8197" max="8197" width="176.7109375" style="1" customWidth="1"/>
    <col min="8198" max="8198" width="11.42578125" style="1"/>
    <col min="8199" max="8199" width="88.7109375" style="1" customWidth="1"/>
    <col min="8200" max="8449" width="11.42578125" style="1"/>
    <col min="8450" max="8450" width="2.7109375" style="1" customWidth="1"/>
    <col min="8451" max="8451" width="176.7109375" style="1" customWidth="1"/>
    <col min="8452" max="8452" width="11.42578125" style="1"/>
    <col min="8453" max="8453" width="176.7109375" style="1" customWidth="1"/>
    <col min="8454" max="8454" width="11.42578125" style="1"/>
    <col min="8455" max="8455" width="88.7109375" style="1" customWidth="1"/>
    <col min="8456" max="8705" width="11.42578125" style="1"/>
    <col min="8706" max="8706" width="2.7109375" style="1" customWidth="1"/>
    <col min="8707" max="8707" width="176.7109375" style="1" customWidth="1"/>
    <col min="8708" max="8708" width="11.42578125" style="1"/>
    <col min="8709" max="8709" width="176.7109375" style="1" customWidth="1"/>
    <col min="8710" max="8710" width="11.42578125" style="1"/>
    <col min="8711" max="8711" width="88.7109375" style="1" customWidth="1"/>
    <col min="8712" max="8961" width="11.42578125" style="1"/>
    <col min="8962" max="8962" width="2.7109375" style="1" customWidth="1"/>
    <col min="8963" max="8963" width="176.7109375" style="1" customWidth="1"/>
    <col min="8964" max="8964" width="11.42578125" style="1"/>
    <col min="8965" max="8965" width="176.7109375" style="1" customWidth="1"/>
    <col min="8966" max="8966" width="11.42578125" style="1"/>
    <col min="8967" max="8967" width="88.7109375" style="1" customWidth="1"/>
    <col min="8968" max="9217" width="11.42578125" style="1"/>
    <col min="9218" max="9218" width="2.7109375" style="1" customWidth="1"/>
    <col min="9219" max="9219" width="176.7109375" style="1" customWidth="1"/>
    <col min="9220" max="9220" width="11.42578125" style="1"/>
    <col min="9221" max="9221" width="176.7109375" style="1" customWidth="1"/>
    <col min="9222" max="9222" width="11.42578125" style="1"/>
    <col min="9223" max="9223" width="88.7109375" style="1" customWidth="1"/>
    <col min="9224" max="9473" width="11.42578125" style="1"/>
    <col min="9474" max="9474" width="2.7109375" style="1" customWidth="1"/>
    <col min="9475" max="9475" width="176.7109375" style="1" customWidth="1"/>
    <col min="9476" max="9476" width="11.42578125" style="1"/>
    <col min="9477" max="9477" width="176.7109375" style="1" customWidth="1"/>
    <col min="9478" max="9478" width="11.42578125" style="1"/>
    <col min="9479" max="9479" width="88.7109375" style="1" customWidth="1"/>
    <col min="9480" max="9729" width="11.42578125" style="1"/>
    <col min="9730" max="9730" width="2.7109375" style="1" customWidth="1"/>
    <col min="9731" max="9731" width="176.7109375" style="1" customWidth="1"/>
    <col min="9732" max="9732" width="11.42578125" style="1"/>
    <col min="9733" max="9733" width="176.7109375" style="1" customWidth="1"/>
    <col min="9734" max="9734" width="11.42578125" style="1"/>
    <col min="9735" max="9735" width="88.7109375" style="1" customWidth="1"/>
    <col min="9736" max="9985" width="11.42578125" style="1"/>
    <col min="9986" max="9986" width="2.7109375" style="1" customWidth="1"/>
    <col min="9987" max="9987" width="176.7109375" style="1" customWidth="1"/>
    <col min="9988" max="9988" width="11.42578125" style="1"/>
    <col min="9989" max="9989" width="176.7109375" style="1" customWidth="1"/>
    <col min="9990" max="9990" width="11.42578125" style="1"/>
    <col min="9991" max="9991" width="88.7109375" style="1" customWidth="1"/>
    <col min="9992" max="10241" width="11.42578125" style="1"/>
    <col min="10242" max="10242" width="2.7109375" style="1" customWidth="1"/>
    <col min="10243" max="10243" width="176.7109375" style="1" customWidth="1"/>
    <col min="10244" max="10244" width="11.42578125" style="1"/>
    <col min="10245" max="10245" width="176.7109375" style="1" customWidth="1"/>
    <col min="10246" max="10246" width="11.42578125" style="1"/>
    <col min="10247" max="10247" width="88.7109375" style="1" customWidth="1"/>
    <col min="10248" max="10497" width="11.42578125" style="1"/>
    <col min="10498" max="10498" width="2.7109375" style="1" customWidth="1"/>
    <col min="10499" max="10499" width="176.7109375" style="1" customWidth="1"/>
    <col min="10500" max="10500" width="11.42578125" style="1"/>
    <col min="10501" max="10501" width="176.7109375" style="1" customWidth="1"/>
    <col min="10502" max="10502" width="11.42578125" style="1"/>
    <col min="10503" max="10503" width="88.7109375" style="1" customWidth="1"/>
    <col min="10504" max="10753" width="11.42578125" style="1"/>
    <col min="10754" max="10754" width="2.7109375" style="1" customWidth="1"/>
    <col min="10755" max="10755" width="176.7109375" style="1" customWidth="1"/>
    <col min="10756" max="10756" width="11.42578125" style="1"/>
    <col min="10757" max="10757" width="176.7109375" style="1" customWidth="1"/>
    <col min="10758" max="10758" width="11.42578125" style="1"/>
    <col min="10759" max="10759" width="88.7109375" style="1" customWidth="1"/>
    <col min="10760" max="11009" width="11.42578125" style="1"/>
    <col min="11010" max="11010" width="2.7109375" style="1" customWidth="1"/>
    <col min="11011" max="11011" width="176.7109375" style="1" customWidth="1"/>
    <col min="11012" max="11012" width="11.42578125" style="1"/>
    <col min="11013" max="11013" width="176.7109375" style="1" customWidth="1"/>
    <col min="11014" max="11014" width="11.42578125" style="1"/>
    <col min="11015" max="11015" width="88.7109375" style="1" customWidth="1"/>
    <col min="11016" max="11265" width="11.42578125" style="1"/>
    <col min="11266" max="11266" width="2.7109375" style="1" customWidth="1"/>
    <col min="11267" max="11267" width="176.7109375" style="1" customWidth="1"/>
    <col min="11268" max="11268" width="11.42578125" style="1"/>
    <col min="11269" max="11269" width="176.7109375" style="1" customWidth="1"/>
    <col min="11270" max="11270" width="11.42578125" style="1"/>
    <col min="11271" max="11271" width="88.7109375" style="1" customWidth="1"/>
    <col min="11272" max="11521" width="11.42578125" style="1"/>
    <col min="11522" max="11522" width="2.7109375" style="1" customWidth="1"/>
    <col min="11523" max="11523" width="176.7109375" style="1" customWidth="1"/>
    <col min="11524" max="11524" width="11.42578125" style="1"/>
    <col min="11525" max="11525" width="176.7109375" style="1" customWidth="1"/>
    <col min="11526" max="11526" width="11.42578125" style="1"/>
    <col min="11527" max="11527" width="88.7109375" style="1" customWidth="1"/>
    <col min="11528" max="11777" width="11.42578125" style="1"/>
    <col min="11778" max="11778" width="2.7109375" style="1" customWidth="1"/>
    <col min="11779" max="11779" width="176.7109375" style="1" customWidth="1"/>
    <col min="11780" max="11780" width="11.42578125" style="1"/>
    <col min="11781" max="11781" width="176.7109375" style="1" customWidth="1"/>
    <col min="11782" max="11782" width="11.42578125" style="1"/>
    <col min="11783" max="11783" width="88.7109375" style="1" customWidth="1"/>
    <col min="11784" max="12033" width="11.42578125" style="1"/>
    <col min="12034" max="12034" width="2.7109375" style="1" customWidth="1"/>
    <col min="12035" max="12035" width="176.7109375" style="1" customWidth="1"/>
    <col min="12036" max="12036" width="11.42578125" style="1"/>
    <col min="12037" max="12037" width="176.7109375" style="1" customWidth="1"/>
    <col min="12038" max="12038" width="11.42578125" style="1"/>
    <col min="12039" max="12039" width="88.7109375" style="1" customWidth="1"/>
    <col min="12040" max="12289" width="11.42578125" style="1"/>
    <col min="12290" max="12290" width="2.7109375" style="1" customWidth="1"/>
    <col min="12291" max="12291" width="176.7109375" style="1" customWidth="1"/>
    <col min="12292" max="12292" width="11.42578125" style="1"/>
    <col min="12293" max="12293" width="176.7109375" style="1" customWidth="1"/>
    <col min="12294" max="12294" width="11.42578125" style="1"/>
    <col min="12295" max="12295" width="88.7109375" style="1" customWidth="1"/>
    <col min="12296" max="12545" width="11.42578125" style="1"/>
    <col min="12546" max="12546" width="2.7109375" style="1" customWidth="1"/>
    <col min="12547" max="12547" width="176.7109375" style="1" customWidth="1"/>
    <col min="12548" max="12548" width="11.42578125" style="1"/>
    <col min="12549" max="12549" width="176.7109375" style="1" customWidth="1"/>
    <col min="12550" max="12550" width="11.42578125" style="1"/>
    <col min="12551" max="12551" width="88.7109375" style="1" customWidth="1"/>
    <col min="12552" max="12801" width="11.42578125" style="1"/>
    <col min="12802" max="12802" width="2.7109375" style="1" customWidth="1"/>
    <col min="12803" max="12803" width="176.7109375" style="1" customWidth="1"/>
    <col min="12804" max="12804" width="11.42578125" style="1"/>
    <col min="12805" max="12805" width="176.7109375" style="1" customWidth="1"/>
    <col min="12806" max="12806" width="11.42578125" style="1"/>
    <col min="12807" max="12807" width="88.7109375" style="1" customWidth="1"/>
    <col min="12808" max="13057" width="11.42578125" style="1"/>
    <col min="13058" max="13058" width="2.7109375" style="1" customWidth="1"/>
    <col min="13059" max="13059" width="176.7109375" style="1" customWidth="1"/>
    <col min="13060" max="13060" width="11.42578125" style="1"/>
    <col min="13061" max="13061" width="176.7109375" style="1" customWidth="1"/>
    <col min="13062" max="13062" width="11.42578125" style="1"/>
    <col min="13063" max="13063" width="88.7109375" style="1" customWidth="1"/>
    <col min="13064" max="13313" width="11.42578125" style="1"/>
    <col min="13314" max="13314" width="2.7109375" style="1" customWidth="1"/>
    <col min="13315" max="13315" width="176.7109375" style="1" customWidth="1"/>
    <col min="13316" max="13316" width="11.42578125" style="1"/>
    <col min="13317" max="13317" width="176.7109375" style="1" customWidth="1"/>
    <col min="13318" max="13318" width="11.42578125" style="1"/>
    <col min="13319" max="13319" width="88.7109375" style="1" customWidth="1"/>
    <col min="13320" max="13569" width="11.42578125" style="1"/>
    <col min="13570" max="13570" width="2.7109375" style="1" customWidth="1"/>
    <col min="13571" max="13571" width="176.7109375" style="1" customWidth="1"/>
    <col min="13572" max="13572" width="11.42578125" style="1"/>
    <col min="13573" max="13573" width="176.7109375" style="1" customWidth="1"/>
    <col min="13574" max="13574" width="11.42578125" style="1"/>
    <col min="13575" max="13575" width="88.7109375" style="1" customWidth="1"/>
    <col min="13576" max="13825" width="11.42578125" style="1"/>
    <col min="13826" max="13826" width="2.7109375" style="1" customWidth="1"/>
    <col min="13827" max="13827" width="176.7109375" style="1" customWidth="1"/>
    <col min="13828" max="13828" width="11.42578125" style="1"/>
    <col min="13829" max="13829" width="176.7109375" style="1" customWidth="1"/>
    <col min="13830" max="13830" width="11.42578125" style="1"/>
    <col min="13831" max="13831" width="88.7109375" style="1" customWidth="1"/>
    <col min="13832" max="14081" width="11.42578125" style="1"/>
    <col min="14082" max="14082" width="2.7109375" style="1" customWidth="1"/>
    <col min="14083" max="14083" width="176.7109375" style="1" customWidth="1"/>
    <col min="14084" max="14084" width="11.42578125" style="1"/>
    <col min="14085" max="14085" width="176.7109375" style="1" customWidth="1"/>
    <col min="14086" max="14086" width="11.42578125" style="1"/>
    <col min="14087" max="14087" width="88.7109375" style="1" customWidth="1"/>
    <col min="14088" max="14337" width="11.42578125" style="1"/>
    <col min="14338" max="14338" width="2.7109375" style="1" customWidth="1"/>
    <col min="14339" max="14339" width="176.7109375" style="1" customWidth="1"/>
    <col min="14340" max="14340" width="11.42578125" style="1"/>
    <col min="14341" max="14341" width="176.7109375" style="1" customWidth="1"/>
    <col min="14342" max="14342" width="11.42578125" style="1"/>
    <col min="14343" max="14343" width="88.7109375" style="1" customWidth="1"/>
    <col min="14344" max="14593" width="11.42578125" style="1"/>
    <col min="14594" max="14594" width="2.7109375" style="1" customWidth="1"/>
    <col min="14595" max="14595" width="176.7109375" style="1" customWidth="1"/>
    <col min="14596" max="14596" width="11.42578125" style="1"/>
    <col min="14597" max="14597" width="176.7109375" style="1" customWidth="1"/>
    <col min="14598" max="14598" width="11.42578125" style="1"/>
    <col min="14599" max="14599" width="88.7109375" style="1" customWidth="1"/>
    <col min="14600" max="14849" width="11.42578125" style="1"/>
    <col min="14850" max="14850" width="2.7109375" style="1" customWidth="1"/>
    <col min="14851" max="14851" width="176.7109375" style="1" customWidth="1"/>
    <col min="14852" max="14852" width="11.42578125" style="1"/>
    <col min="14853" max="14853" width="176.7109375" style="1" customWidth="1"/>
    <col min="14854" max="14854" width="11.42578125" style="1"/>
    <col min="14855" max="14855" width="88.7109375" style="1" customWidth="1"/>
    <col min="14856" max="15105" width="11.42578125" style="1"/>
    <col min="15106" max="15106" width="2.7109375" style="1" customWidth="1"/>
    <col min="15107" max="15107" width="176.7109375" style="1" customWidth="1"/>
    <col min="15108" max="15108" width="11.42578125" style="1"/>
    <col min="15109" max="15109" width="176.7109375" style="1" customWidth="1"/>
    <col min="15110" max="15110" width="11.42578125" style="1"/>
    <col min="15111" max="15111" width="88.7109375" style="1" customWidth="1"/>
    <col min="15112" max="15361" width="11.42578125" style="1"/>
    <col min="15362" max="15362" width="2.7109375" style="1" customWidth="1"/>
    <col min="15363" max="15363" width="176.7109375" style="1" customWidth="1"/>
    <col min="15364" max="15364" width="11.42578125" style="1"/>
    <col min="15365" max="15365" width="176.7109375" style="1" customWidth="1"/>
    <col min="15366" max="15366" width="11.42578125" style="1"/>
    <col min="15367" max="15367" width="88.7109375" style="1" customWidth="1"/>
    <col min="15368" max="15617" width="11.42578125" style="1"/>
    <col min="15618" max="15618" width="2.7109375" style="1" customWidth="1"/>
    <col min="15619" max="15619" width="176.7109375" style="1" customWidth="1"/>
    <col min="15620" max="15620" width="11.42578125" style="1"/>
    <col min="15621" max="15621" width="176.7109375" style="1" customWidth="1"/>
    <col min="15622" max="15622" width="11.42578125" style="1"/>
    <col min="15623" max="15623" width="88.7109375" style="1" customWidth="1"/>
    <col min="15624" max="15873" width="11.42578125" style="1"/>
    <col min="15874" max="15874" width="2.7109375" style="1" customWidth="1"/>
    <col min="15875" max="15875" width="176.7109375" style="1" customWidth="1"/>
    <col min="15876" max="15876" width="11.42578125" style="1"/>
    <col min="15877" max="15877" width="176.7109375" style="1" customWidth="1"/>
    <col min="15878" max="15878" width="11.42578125" style="1"/>
    <col min="15879" max="15879" width="88.7109375" style="1" customWidth="1"/>
    <col min="15880" max="16129" width="11.42578125" style="1"/>
    <col min="16130" max="16130" width="2.7109375" style="1" customWidth="1"/>
    <col min="16131" max="16131" width="176.7109375" style="1" customWidth="1"/>
    <col min="16132" max="16132" width="11.42578125" style="1"/>
    <col min="16133" max="16133" width="176.7109375" style="1" customWidth="1"/>
    <col min="16134" max="16134" width="11.42578125" style="1"/>
    <col min="16135" max="16135" width="88.7109375" style="1" customWidth="1"/>
    <col min="16136" max="16384" width="11.42578125" style="1"/>
  </cols>
  <sheetData>
    <row r="2" spans="1:17" x14ac:dyDescent="0.2">
      <c r="C2" s="332"/>
      <c r="D2" s="332"/>
      <c r="E2" s="332"/>
    </row>
    <row r="3" spans="1:17" x14ac:dyDescent="0.2">
      <c r="A3" s="36" t="s">
        <v>63</v>
      </c>
    </row>
    <row r="4" spans="1:17" x14ac:dyDescent="0.2">
      <c r="C4" s="332"/>
      <c r="D4" s="332"/>
      <c r="E4" s="332"/>
      <c r="F4" s="332"/>
      <c r="G4" s="332"/>
      <c r="H4" s="332"/>
      <c r="I4" s="332"/>
      <c r="J4" s="332"/>
      <c r="K4" s="332"/>
    </row>
    <row r="6" spans="1:17" ht="15.75" x14ac:dyDescent="0.25">
      <c r="C6" s="340" t="s">
        <v>17</v>
      </c>
      <c r="D6" s="3"/>
      <c r="E6" s="340"/>
    </row>
    <row r="7" spans="1:17" ht="18.75" customHeight="1" x14ac:dyDescent="0.2">
      <c r="C7" s="3"/>
      <c r="D7" s="3"/>
      <c r="E7" s="43"/>
    </row>
    <row r="8" spans="1:17" ht="15.75" x14ac:dyDescent="0.25">
      <c r="B8" s="333">
        <v>1</v>
      </c>
      <c r="C8" s="334" t="s">
        <v>309</v>
      </c>
      <c r="E8" s="343"/>
    </row>
    <row r="9" spans="1:17" ht="31.5" x14ac:dyDescent="0.2">
      <c r="B9" s="333">
        <v>2</v>
      </c>
      <c r="C9" s="337" t="s">
        <v>310</v>
      </c>
      <c r="E9" s="8"/>
      <c r="Q9" s="3"/>
    </row>
    <row r="10" spans="1:17" ht="47.25" x14ac:dyDescent="0.2">
      <c r="B10" s="333">
        <v>3</v>
      </c>
      <c r="C10" s="334" t="s">
        <v>311</v>
      </c>
      <c r="E10" s="8"/>
    </row>
    <row r="11" spans="1:17" ht="141.75" x14ac:dyDescent="0.2">
      <c r="B11" s="333">
        <v>4</v>
      </c>
      <c r="C11" s="335" t="s">
        <v>312</v>
      </c>
      <c r="E11" s="8"/>
    </row>
    <row r="12" spans="1:17" ht="47.25" x14ac:dyDescent="0.2">
      <c r="B12" s="333">
        <v>5</v>
      </c>
      <c r="C12" s="337" t="s">
        <v>313</v>
      </c>
      <c r="E12" s="3"/>
    </row>
    <row r="13" spans="1:17" ht="31.5" x14ac:dyDescent="0.2">
      <c r="B13" s="333">
        <v>6</v>
      </c>
      <c r="C13" s="334" t="s">
        <v>22</v>
      </c>
      <c r="E13" s="3"/>
    </row>
    <row r="14" spans="1:17" ht="15.75" x14ac:dyDescent="0.2">
      <c r="B14" s="333">
        <v>7</v>
      </c>
      <c r="C14" s="334" t="s">
        <v>24</v>
      </c>
    </row>
    <row r="15" spans="1:17" ht="18.75" customHeight="1" x14ac:dyDescent="0.2">
      <c r="B15" s="333">
        <v>8</v>
      </c>
      <c r="C15" s="334" t="s">
        <v>18</v>
      </c>
    </row>
    <row r="16" spans="1:17" ht="18.75" customHeight="1" x14ac:dyDescent="0.2">
      <c r="B16" s="333">
        <v>9</v>
      </c>
      <c r="C16" s="334" t="s">
        <v>19</v>
      </c>
    </row>
    <row r="17" spans="2:9" ht="15.75" x14ac:dyDescent="0.25">
      <c r="B17" s="333">
        <v>10</v>
      </c>
      <c r="C17" s="334" t="s">
        <v>23</v>
      </c>
      <c r="E17" s="340"/>
    </row>
    <row r="18" spans="2:9" ht="15.75" x14ac:dyDescent="0.2">
      <c r="B18" s="333">
        <v>11</v>
      </c>
      <c r="C18" s="334" t="s">
        <v>25</v>
      </c>
      <c r="E18" s="8"/>
    </row>
    <row r="19" spans="2:9" ht="15.75" x14ac:dyDescent="0.2">
      <c r="B19" s="333">
        <v>12</v>
      </c>
      <c r="C19" s="334" t="s">
        <v>20</v>
      </c>
      <c r="E19" s="8"/>
    </row>
    <row r="20" spans="2:9" ht="15.75" x14ac:dyDescent="0.2">
      <c r="B20" s="333">
        <v>13</v>
      </c>
      <c r="C20" s="334" t="s">
        <v>315</v>
      </c>
      <c r="E20" s="3"/>
    </row>
    <row r="21" spans="2:9" ht="15.75" x14ac:dyDescent="0.2">
      <c r="B21" s="333">
        <v>14</v>
      </c>
      <c r="C21" s="334" t="s">
        <v>21</v>
      </c>
      <c r="E21" s="344"/>
    </row>
    <row r="22" spans="2:9" ht="47.25" x14ac:dyDescent="0.2">
      <c r="B22" s="333">
        <v>15</v>
      </c>
      <c r="C22" s="334" t="s">
        <v>316</v>
      </c>
      <c r="E22" s="3"/>
    </row>
    <row r="23" spans="2:9" ht="31.5" x14ac:dyDescent="0.2">
      <c r="B23" s="333">
        <v>16</v>
      </c>
      <c r="C23" s="337" t="s">
        <v>392</v>
      </c>
      <c r="D23" s="338"/>
      <c r="E23" s="332"/>
      <c r="F23" s="338"/>
      <c r="G23" s="2"/>
      <c r="H23" s="2"/>
      <c r="I23" s="2"/>
    </row>
    <row r="24" spans="2:9" ht="18.75" customHeight="1" x14ac:dyDescent="0.25">
      <c r="B24" s="336">
        <v>17</v>
      </c>
      <c r="C24" s="339" t="s">
        <v>314</v>
      </c>
    </row>
    <row r="25" spans="2:9" ht="18.75" customHeight="1" x14ac:dyDescent="0.25">
      <c r="B25" s="336">
        <v>18</v>
      </c>
      <c r="C25" s="339" t="s">
        <v>317</v>
      </c>
    </row>
    <row r="26" spans="2:9" ht="18.75" customHeight="1" x14ac:dyDescent="0.25">
      <c r="B26" s="336"/>
      <c r="C26" s="341"/>
    </row>
    <row r="27" spans="2:9" ht="18.75" customHeight="1" x14ac:dyDescent="0.2">
      <c r="C27" s="356"/>
    </row>
    <row r="28" spans="2:9" ht="18.75" customHeight="1" x14ac:dyDescent="0.2">
      <c r="C28" s="341"/>
    </row>
    <row r="29" spans="2:9" ht="18.75" customHeight="1" x14ac:dyDescent="0.2">
      <c r="C29" s="341"/>
    </row>
    <row r="30" spans="2:9" ht="15.75" x14ac:dyDescent="0.2">
      <c r="C30" s="341"/>
    </row>
    <row r="31" spans="2:9" ht="18.75" customHeight="1" x14ac:dyDescent="0.2"/>
    <row r="32" spans="2:9" ht="18.75" customHeight="1" x14ac:dyDescent="0.2"/>
    <row r="33" spans="1:14" ht="18.75" customHeight="1" x14ac:dyDescent="0.2"/>
    <row r="34" spans="1:14" ht="18.75" customHeight="1" x14ac:dyDescent="0.2"/>
    <row r="35" spans="1:14" ht="18.75" customHeight="1" x14ac:dyDescent="0.2"/>
    <row r="36" spans="1:14" ht="18.75" customHeight="1" x14ac:dyDescent="0.2"/>
    <row r="37" spans="1:14" ht="18.75" customHeight="1" x14ac:dyDescent="0.2">
      <c r="D37" s="3"/>
      <c r="E37" s="3"/>
      <c r="F37" s="3"/>
      <c r="G37" s="3"/>
      <c r="H37" s="3"/>
      <c r="I37" s="3"/>
      <c r="J37" s="3"/>
      <c r="K37" s="3"/>
      <c r="L37" s="3"/>
      <c r="M37" s="3"/>
      <c r="N37" s="3"/>
    </row>
    <row r="38" spans="1:14" ht="18.75" customHeight="1" x14ac:dyDescent="0.2">
      <c r="D38" s="3"/>
      <c r="E38" s="3"/>
      <c r="F38" s="3"/>
      <c r="G38" s="3"/>
      <c r="H38" s="3"/>
      <c r="I38" s="3"/>
      <c r="J38" s="3"/>
      <c r="K38" s="3"/>
      <c r="L38" s="3"/>
      <c r="M38" s="3"/>
      <c r="N38" s="3"/>
    </row>
    <row r="39" spans="1:14" ht="18.75" customHeight="1" x14ac:dyDescent="0.2">
      <c r="A39" s="4"/>
      <c r="D39" s="3"/>
      <c r="E39" s="3"/>
      <c r="F39" s="3"/>
      <c r="G39" s="3"/>
      <c r="H39" s="3"/>
      <c r="I39" s="3"/>
      <c r="J39" s="3"/>
      <c r="K39" s="3"/>
      <c r="L39" s="3"/>
      <c r="M39" s="3"/>
      <c r="N39" s="3"/>
    </row>
    <row r="40" spans="1:14" ht="18.75" customHeight="1" x14ac:dyDescent="0.2">
      <c r="A40" s="4"/>
      <c r="B40" s="8"/>
      <c r="D40" s="3"/>
      <c r="E40" s="3"/>
      <c r="F40" s="3"/>
      <c r="G40" s="3"/>
      <c r="H40" s="3"/>
      <c r="I40" s="3"/>
      <c r="J40" s="3"/>
      <c r="K40" s="3"/>
      <c r="L40" s="3"/>
      <c r="M40" s="3"/>
      <c r="N40" s="3"/>
    </row>
    <row r="41" spans="1:14" ht="18.75" customHeight="1" x14ac:dyDescent="0.2">
      <c r="A41" s="4"/>
      <c r="B41" s="8"/>
      <c r="D41" s="3"/>
      <c r="E41" s="3"/>
      <c r="F41" s="3"/>
      <c r="G41" s="3"/>
      <c r="H41" s="3"/>
      <c r="I41" s="3"/>
      <c r="J41" s="3"/>
      <c r="K41" s="3"/>
      <c r="L41" s="3"/>
      <c r="M41" s="3"/>
      <c r="N41" s="3"/>
    </row>
    <row r="42" spans="1:14" ht="18.75" customHeight="1" x14ac:dyDescent="0.2">
      <c r="A42" s="4"/>
      <c r="B42" s="8"/>
      <c r="D42" s="3"/>
      <c r="E42" s="3"/>
      <c r="F42" s="3"/>
      <c r="G42" s="3"/>
      <c r="H42" s="3"/>
      <c r="I42" s="3"/>
      <c r="J42" s="3"/>
      <c r="K42" s="3"/>
      <c r="L42" s="3"/>
      <c r="M42" s="3"/>
      <c r="N42" s="3"/>
    </row>
    <row r="43" spans="1:14" ht="18.75" customHeight="1" x14ac:dyDescent="0.2">
      <c r="A43" s="4"/>
      <c r="B43" s="342"/>
      <c r="C43" s="4"/>
      <c r="D43" s="3"/>
      <c r="E43" s="3"/>
      <c r="F43" s="3"/>
      <c r="G43" s="3"/>
      <c r="H43" s="3"/>
      <c r="I43" s="3"/>
      <c r="J43" s="3"/>
      <c r="K43" s="3"/>
      <c r="L43" s="3"/>
      <c r="M43" s="3"/>
      <c r="N43" s="3"/>
    </row>
    <row r="44" spans="1:14" ht="18.75" customHeight="1" x14ac:dyDescent="0.2">
      <c r="B44" s="8"/>
      <c r="D44" s="3"/>
      <c r="E44" s="3"/>
      <c r="F44" s="3"/>
      <c r="G44" s="3"/>
      <c r="H44" s="3"/>
      <c r="I44" s="3"/>
      <c r="J44" s="3"/>
      <c r="K44" s="3"/>
      <c r="L44" s="3"/>
      <c r="M44" s="3"/>
      <c r="N44" s="3"/>
    </row>
    <row r="45" spans="1:14" ht="18.75" customHeight="1" x14ac:dyDescent="0.2">
      <c r="B45" s="8"/>
      <c r="D45" s="3"/>
      <c r="E45" s="3"/>
      <c r="F45" s="3"/>
      <c r="G45" s="3"/>
      <c r="H45" s="3"/>
      <c r="I45" s="3"/>
      <c r="J45" s="3"/>
      <c r="K45" s="3"/>
      <c r="L45" s="3"/>
      <c r="M45" s="3"/>
      <c r="N45" s="3"/>
    </row>
    <row r="46" spans="1:14" ht="18.75" customHeight="1" x14ac:dyDescent="0.2">
      <c r="D46" s="3"/>
      <c r="E46" s="3"/>
      <c r="F46" s="3"/>
      <c r="G46" s="3"/>
      <c r="H46" s="3"/>
      <c r="I46" s="3"/>
      <c r="J46" s="3"/>
      <c r="K46" s="3"/>
      <c r="L46" s="3"/>
      <c r="M46" s="3"/>
      <c r="N46" s="3"/>
    </row>
    <row r="47" spans="1:14" ht="18.75" customHeight="1" x14ac:dyDescent="0.2">
      <c r="D47" s="3"/>
      <c r="E47" s="3"/>
      <c r="F47" s="3"/>
      <c r="G47" s="3"/>
      <c r="H47" s="3"/>
      <c r="I47" s="3"/>
      <c r="J47" s="3"/>
      <c r="K47" s="3"/>
      <c r="L47" s="3"/>
      <c r="M47" s="3"/>
      <c r="N47" s="3"/>
    </row>
    <row r="48" spans="1:14" ht="18.75" customHeight="1" x14ac:dyDescent="0.2">
      <c r="D48" s="3"/>
      <c r="E48" s="3"/>
      <c r="F48" s="3"/>
      <c r="G48" s="3"/>
      <c r="H48" s="3"/>
      <c r="I48" s="3"/>
      <c r="J48" s="3"/>
      <c r="K48" s="3"/>
      <c r="L48" s="3"/>
      <c r="M48" s="3"/>
      <c r="N48" s="3"/>
    </row>
    <row r="49" spans="4:14" ht="18.75" customHeight="1" x14ac:dyDescent="0.2">
      <c r="D49" s="3"/>
      <c r="E49" s="3"/>
      <c r="F49" s="3"/>
      <c r="G49" s="3"/>
      <c r="H49" s="3"/>
      <c r="I49" s="3"/>
      <c r="J49" s="3"/>
      <c r="K49" s="3"/>
      <c r="L49" s="3"/>
      <c r="M49" s="3"/>
      <c r="N49" s="3"/>
    </row>
    <row r="50" spans="4:14" ht="18.75" customHeight="1" x14ac:dyDescent="0.2">
      <c r="D50" s="332"/>
      <c r="E50" s="332"/>
      <c r="F50" s="332"/>
      <c r="G50" s="332"/>
      <c r="H50" s="332"/>
      <c r="I50" s="332"/>
      <c r="J50" s="332"/>
      <c r="K50" s="332"/>
      <c r="L50" s="332"/>
      <c r="M50" s="332"/>
      <c r="N50" s="332"/>
    </row>
    <row r="51" spans="4:14" ht="18.75" customHeight="1" x14ac:dyDescent="0.2"/>
    <row r="52" spans="4:14" ht="18.75" customHeight="1" x14ac:dyDescent="0.2"/>
    <row r="53" spans="4:14" ht="18.75" customHeight="1" x14ac:dyDescent="0.2"/>
    <row r="54" spans="4:14" ht="18.75" customHeight="1" x14ac:dyDescent="0.2"/>
    <row r="55" spans="4:14" ht="18.75" customHeight="1" x14ac:dyDescent="0.2"/>
    <row r="56" spans="4:14" ht="18.75" customHeight="1" x14ac:dyDescent="0.2"/>
    <row r="57" spans="4:14" ht="18.75" customHeight="1" x14ac:dyDescent="0.2"/>
    <row r="58" spans="4:14" ht="18.75" customHeight="1" x14ac:dyDescent="0.2"/>
    <row r="59" spans="4:14" ht="18.75" customHeight="1" x14ac:dyDescent="0.2"/>
    <row r="60" spans="4:14" ht="18.75" customHeight="1" x14ac:dyDescent="0.2"/>
    <row r="61" spans="4:14" ht="18.75" customHeight="1" x14ac:dyDescent="0.2"/>
    <row r="62" spans="4:14" ht="18.75" customHeight="1" x14ac:dyDescent="0.2"/>
    <row r="63" spans="4:14" ht="18.75" customHeight="1" x14ac:dyDescent="0.2"/>
    <row r="64" spans="4:14" ht="18.75" customHeight="1" x14ac:dyDescent="0.2"/>
    <row r="65" ht="18.75" customHeight="1" x14ac:dyDescent="0.2"/>
  </sheetData>
  <sortState ref="B5:E41">
    <sortCondition ref="B5:B41"/>
  </sortState>
  <pageMargins left="0.78740157480314965" right="0.78740157480314965" top="0.98425196850393704" bottom="0.98425196850393704" header="0.51181102362204722" footer="0.51181102362204722"/>
  <pageSetup paperSize="9" scale="65" fitToWidth="3" orientation="portrait" r:id="rId1"/>
  <headerFooter alignWithMargins="0"/>
  <colBreaks count="2" manualBreakCount="2">
    <brk id="1" max="42" man="1"/>
    <brk id="3" min="4" max="5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IK111"/>
  <sheetViews>
    <sheetView showGridLines="0" showZeros="0" zoomScale="60" zoomScaleNormal="60" workbookViewId="0">
      <pane ySplit="7" topLeftCell="A8" activePane="bottomLeft" state="frozen"/>
      <selection pane="bottomLeft" activeCell="A4" sqref="A4"/>
    </sheetView>
  </sheetViews>
  <sheetFormatPr baseColWidth="10" defaultColWidth="11.42578125" defaultRowHeight="12.75" x14ac:dyDescent="0.2"/>
  <cols>
    <col min="1" max="1" width="49" style="80" customWidth="1"/>
    <col min="2" max="3" width="15.7109375" style="80" customWidth="1"/>
    <col min="4" max="4" width="8.7109375" style="80" customWidth="1"/>
    <col min="5" max="5" width="9" style="80" bestFit="1" customWidth="1"/>
    <col min="6" max="6" width="4.7109375" style="80" customWidth="1"/>
    <col min="7" max="8" width="15.7109375" style="80" customWidth="1"/>
    <col min="9" max="9" width="8.7109375" style="80" customWidth="1"/>
    <col min="10" max="10" width="9" style="80" bestFit="1" customWidth="1"/>
    <col min="11" max="11" width="4.7109375" style="80" customWidth="1"/>
    <col min="12" max="12" width="18.42578125" style="80" customWidth="1"/>
    <col min="13" max="13" width="17.85546875" style="80" customWidth="1"/>
    <col min="14" max="14" width="8.7109375" style="80" customWidth="1"/>
    <col min="15" max="15" width="9" style="80" bestFit="1" customWidth="1"/>
    <col min="16" max="16" width="13.42578125" style="80" hidden="1" customWidth="1"/>
    <col min="17" max="17" width="14.85546875" style="184" hidden="1" customWidth="1"/>
    <col min="18" max="18" width="13.85546875" style="184" hidden="1" customWidth="1"/>
    <col min="19" max="20" width="15.7109375" style="184" hidden="1" customWidth="1"/>
    <col min="21" max="21" width="11.42578125" style="80" hidden="1" customWidth="1"/>
    <col min="22" max="23" width="11.42578125" style="80" customWidth="1"/>
    <col min="24" max="24" width="13.140625" style="80" bestFit="1" customWidth="1"/>
    <col min="25" max="16384" width="11.42578125" style="80"/>
  </cols>
  <sheetData>
    <row r="1" spans="1:21" ht="20.25" x14ac:dyDescent="0.3">
      <c r="A1" s="73" t="s">
        <v>94</v>
      </c>
      <c r="B1" s="66" t="s">
        <v>64</v>
      </c>
      <c r="C1" s="67"/>
      <c r="D1" s="67"/>
      <c r="E1" s="67"/>
      <c r="F1" s="67"/>
      <c r="G1" s="67"/>
      <c r="H1" s="67"/>
      <c r="I1" s="67"/>
      <c r="J1" s="67"/>
      <c r="K1" s="67"/>
      <c r="L1" s="67"/>
      <c r="M1" s="67"/>
      <c r="N1" s="67"/>
      <c r="O1" s="67"/>
      <c r="P1" s="67"/>
    </row>
    <row r="2" spans="1:21" ht="20.25" x14ac:dyDescent="0.3">
      <c r="A2" s="73" t="s">
        <v>95</v>
      </c>
      <c r="B2" s="67"/>
      <c r="C2" s="67"/>
      <c r="D2" s="67"/>
      <c r="E2" s="67"/>
      <c r="F2" s="67"/>
      <c r="G2" s="67"/>
      <c r="H2" s="67"/>
      <c r="I2" s="67"/>
      <c r="J2" s="67"/>
      <c r="K2" s="67"/>
      <c r="L2" s="67"/>
      <c r="M2" s="67"/>
      <c r="N2" s="67"/>
      <c r="O2" s="67"/>
      <c r="P2" s="67"/>
    </row>
    <row r="3" spans="1:21" ht="18.75" x14ac:dyDescent="0.3">
      <c r="A3" s="813" t="s">
        <v>96</v>
      </c>
      <c r="B3" s="813"/>
      <c r="C3" s="67"/>
      <c r="D3" s="67"/>
      <c r="E3" s="67"/>
      <c r="F3" s="67"/>
      <c r="G3" s="67"/>
      <c r="H3" s="67"/>
      <c r="I3" s="67"/>
      <c r="J3" s="67"/>
      <c r="K3" s="67"/>
      <c r="L3" s="67"/>
      <c r="M3" s="67"/>
      <c r="N3" s="67"/>
      <c r="O3" s="67"/>
      <c r="P3" s="67"/>
    </row>
    <row r="4" spans="1:21" ht="18.75" x14ac:dyDescent="0.3">
      <c r="A4" s="75" t="s">
        <v>403</v>
      </c>
      <c r="B4" s="76"/>
      <c r="C4" s="77"/>
      <c r="D4" s="77"/>
      <c r="E4" s="78"/>
      <c r="F4" s="79"/>
      <c r="G4" s="76"/>
      <c r="H4" s="77"/>
      <c r="I4" s="77"/>
      <c r="J4" s="78"/>
      <c r="K4" s="79"/>
      <c r="L4" s="76"/>
      <c r="M4" s="77"/>
      <c r="N4" s="77"/>
      <c r="O4" s="78"/>
      <c r="P4" s="105"/>
      <c r="Q4" s="206"/>
      <c r="R4" s="207"/>
      <c r="S4" s="208"/>
      <c r="T4" s="207"/>
    </row>
    <row r="5" spans="1:21" ht="22.5" x14ac:dyDescent="0.3">
      <c r="A5" s="81"/>
      <c r="B5" s="814" t="s">
        <v>97</v>
      </c>
      <c r="C5" s="815"/>
      <c r="D5" s="815"/>
      <c r="E5" s="816"/>
      <c r="F5" s="82"/>
      <c r="G5" s="814" t="s">
        <v>98</v>
      </c>
      <c r="H5" s="815"/>
      <c r="I5" s="815"/>
      <c r="J5" s="816"/>
      <c r="K5" s="83"/>
      <c r="L5" s="814" t="s">
        <v>99</v>
      </c>
      <c r="M5" s="815"/>
      <c r="N5" s="815"/>
      <c r="O5" s="816"/>
      <c r="P5" s="82"/>
      <c r="Q5" s="817" t="s">
        <v>170</v>
      </c>
      <c r="R5" s="812"/>
      <c r="S5" s="811" t="s">
        <v>171</v>
      </c>
      <c r="T5" s="812"/>
    </row>
    <row r="6" spans="1:21" ht="18.75" x14ac:dyDescent="0.3">
      <c r="A6" s="84"/>
      <c r="B6" s="85"/>
      <c r="C6" s="86"/>
      <c r="D6" s="86" t="s">
        <v>100</v>
      </c>
      <c r="E6" s="87" t="s">
        <v>37</v>
      </c>
      <c r="F6" s="88"/>
      <c r="G6" s="85"/>
      <c r="H6" s="86"/>
      <c r="I6" s="86" t="s">
        <v>100</v>
      </c>
      <c r="J6" s="87" t="s">
        <v>37</v>
      </c>
      <c r="K6" s="88"/>
      <c r="L6" s="85"/>
      <c r="M6" s="86"/>
      <c r="N6" s="86" t="s">
        <v>100</v>
      </c>
      <c r="O6" s="87" t="s">
        <v>37</v>
      </c>
      <c r="P6" s="93"/>
      <c r="Q6" s="209"/>
      <c r="R6" s="210"/>
      <c r="S6" s="211"/>
      <c r="T6" s="210"/>
    </row>
    <row r="7" spans="1:21" ht="15.75" x14ac:dyDescent="0.25">
      <c r="A7" s="89" t="s">
        <v>101</v>
      </c>
      <c r="B7" s="90">
        <v>2015</v>
      </c>
      <c r="C7" s="90">
        <v>2016</v>
      </c>
      <c r="D7" s="91" t="s">
        <v>102</v>
      </c>
      <c r="E7" s="92" t="s">
        <v>38</v>
      </c>
      <c r="F7" s="93"/>
      <c r="G7" s="90">
        <v>2015</v>
      </c>
      <c r="H7" s="90">
        <v>2016</v>
      </c>
      <c r="I7" s="91" t="s">
        <v>102</v>
      </c>
      <c r="J7" s="92" t="s">
        <v>38</v>
      </c>
      <c r="K7" s="88"/>
      <c r="L7" s="90">
        <v>2015</v>
      </c>
      <c r="M7" s="90">
        <v>2016</v>
      </c>
      <c r="N7" s="91" t="s">
        <v>102</v>
      </c>
      <c r="O7" s="92" t="s">
        <v>38</v>
      </c>
      <c r="P7" s="93"/>
      <c r="Q7" s="212">
        <v>2015</v>
      </c>
      <c r="R7" s="213">
        <v>2016</v>
      </c>
      <c r="S7" s="214">
        <v>2015</v>
      </c>
      <c r="T7" s="213">
        <v>2016</v>
      </c>
      <c r="U7" s="80" t="s">
        <v>174</v>
      </c>
    </row>
    <row r="8" spans="1:21" ht="18.75" x14ac:dyDescent="0.3">
      <c r="A8" s="94" t="s">
        <v>0</v>
      </c>
      <c r="B8" s="122"/>
      <c r="C8" s="96"/>
      <c r="D8" s="97"/>
      <c r="E8" s="171"/>
      <c r="F8" s="96"/>
      <c r="G8" s="123"/>
      <c r="H8" s="96"/>
      <c r="I8" s="97"/>
      <c r="J8" s="171"/>
      <c r="K8" s="171"/>
      <c r="L8" s="122"/>
      <c r="M8" s="122"/>
      <c r="N8" s="96"/>
      <c r="O8" s="171"/>
      <c r="P8" s="133"/>
      <c r="Q8" s="215" t="s">
        <v>0</v>
      </c>
      <c r="R8" s="216"/>
      <c r="S8" s="217"/>
      <c r="T8" s="216"/>
      <c r="U8" s="80" t="s">
        <v>182</v>
      </c>
    </row>
    <row r="9" spans="1:21" ht="18.75" x14ac:dyDescent="0.3">
      <c r="A9" s="188" t="s">
        <v>103</v>
      </c>
      <c r="B9" s="171">
        <f>'ACE European Group'!B7+'ACE European Group'!B25+'ACE European Group'!B42+'ACE European Group'!B54+'ACE European Group'!B79+'ACE European Group'!B165</f>
        <v>107796.07081</v>
      </c>
      <c r="C9" s="171">
        <f>'ACE European Group'!C7+'ACE European Group'!C25+'ACE European Group'!C42+'ACE European Group'!C54+'ACE European Group'!C79+'ACE European Group'!C165</f>
        <v>0</v>
      </c>
      <c r="D9" s="97">
        <f t="shared" ref="D9:D31" si="0">IF(B9=0, "    ---- ", IF(ABS(ROUND(100/B9*C9-100,1))&lt;999,ROUND(100/B9*C9-100,1),IF(ROUND(100/B9*C9-100,1)&gt;999,999,-999)))</f>
        <v>-100</v>
      </c>
      <c r="E9" s="171">
        <f>100/C$31*C9</f>
        <v>0</v>
      </c>
      <c r="F9" s="133"/>
      <c r="G9" s="171">
        <f>'ACE European Group'!B10+'ACE European Group'!B31+'ACE European Group'!B43+'ACE European Group'!B60+'ACE European Group'!B99+'ACE European Group'!B166</f>
        <v>4749.2426599999999</v>
      </c>
      <c r="H9" s="171">
        <f>'ACE European Group'!C10+'ACE European Group'!C31+'ACE European Group'!C43+'ACE European Group'!C60+'ACE European Group'!C99+'ACE European Group'!C166</f>
        <v>0</v>
      </c>
      <c r="I9" s="97">
        <f t="shared" ref="I9:I31" si="1">IF(G9=0, "    ---- ", IF(ABS(ROUND(100/G9*H9-100,1))&lt;999,ROUND(100/G9*H9-100,1),IF(ROUND(100/G9*H9-100,1)&gt;999,999,-999)))</f>
        <v>-100</v>
      </c>
      <c r="J9" s="171">
        <f>100/H$31*H9</f>
        <v>0</v>
      </c>
      <c r="K9" s="96"/>
      <c r="L9" s="171">
        <f>'ACE European Group'!B13+'ACE European Group'!B36+'ACE European Group'!B44+'ACE European Group'!B119+'ACE European Group'!B167</f>
        <v>0</v>
      </c>
      <c r="M9" s="171">
        <f>'ACE European Group'!C13+'ACE European Group'!C36+'ACE European Group'!C44+'ACE European Group'!C119+'ACE European Group'!C167</f>
        <v>0</v>
      </c>
      <c r="N9" s="97"/>
      <c r="O9" s="171">
        <f t="shared" ref="O9" si="2">100/M$31*M9</f>
        <v>0</v>
      </c>
      <c r="P9" s="202" t="s">
        <v>178</v>
      </c>
      <c r="Q9" s="218">
        <f t="shared" ref="Q9:Q30" ca="1" si="3">INDIRECT("'" &amp; $A9 &amp; "'!" &amp; $U$7)</f>
        <v>0</v>
      </c>
      <c r="R9" s="216">
        <f t="shared" ref="R9:R30" ca="1" si="4">INDIRECT("'" &amp; $A9 &amp; "'!" &amp; $U$8)</f>
        <v>0</v>
      </c>
      <c r="S9" s="218">
        <f t="shared" ref="S9:S30" ca="1" si="5">INDIRECT("'" &amp; $A9 &amp; "'!" &amp; $U$9)</f>
        <v>0</v>
      </c>
      <c r="T9" s="216">
        <f t="shared" ref="T9:T30" ca="1" si="6">INDIRECT("'" &amp; $A9 &amp; "'!" &amp; $U$10)</f>
        <v>0</v>
      </c>
      <c r="U9" s="80" t="s">
        <v>186</v>
      </c>
    </row>
    <row r="10" spans="1:21" ht="18.75" x14ac:dyDescent="0.3">
      <c r="A10" s="188" t="s">
        <v>104</v>
      </c>
      <c r="B10" s="171">
        <f>'Danica Pensjonsforsikring'!B7+'Danica Pensjonsforsikring'!B25+'Danica Pensjonsforsikring'!B42+'Danica Pensjonsforsikring'!B54+'Danica Pensjonsforsikring'!B79+'Danica Pensjonsforsikring'!B165</f>
        <v>380538.26800000004</v>
      </c>
      <c r="C10" s="171">
        <f>'Danica Pensjonsforsikring'!C7+'Danica Pensjonsforsikring'!C25+'Danica Pensjonsforsikring'!C42+'Danica Pensjonsforsikring'!C54+'Danica Pensjonsforsikring'!C79+'Danica Pensjonsforsikring'!C165</f>
        <v>392275.09299999999</v>
      </c>
      <c r="D10" s="97">
        <f t="shared" si="0"/>
        <v>3.1</v>
      </c>
      <c r="E10" s="171">
        <f t="shared" ref="E10:E30" si="7">100/C$31*C10</f>
        <v>0.65828505380553892</v>
      </c>
      <c r="F10" s="133"/>
      <c r="G10" s="171">
        <f>'Danica Pensjonsforsikring'!B10+'Danica Pensjonsforsikring'!B31+'Danica Pensjonsforsikring'!B43+'Danica Pensjonsforsikring'!B60+'Danica Pensjonsforsikring'!B99+'Danica Pensjonsforsikring'!B166</f>
        <v>21906.855</v>
      </c>
      <c r="H10" s="171">
        <f>'Danica Pensjonsforsikring'!C10+'Danica Pensjonsforsikring'!C31+'Danica Pensjonsforsikring'!C43+'Danica Pensjonsforsikring'!C60+'Danica Pensjonsforsikring'!C99+'Danica Pensjonsforsikring'!C166</f>
        <v>34640</v>
      </c>
      <c r="I10" s="97">
        <f t="shared" si="1"/>
        <v>58.1</v>
      </c>
      <c r="J10" s="171">
        <f t="shared" ref="J10:J30" si="8">100/H$31*H10</f>
        <v>3.3423412718943228</v>
      </c>
      <c r="K10" s="96"/>
      <c r="L10" s="171">
        <f>'Danica Pensjonsforsikring'!B13+'Danica Pensjonsforsikring'!B36+'Danica Pensjonsforsikring'!B44+'Danica Pensjonsforsikring'!B119+'Danica Pensjonsforsikring'!B167</f>
        <v>893959.11699999997</v>
      </c>
      <c r="M10" s="171">
        <f>'Danica Pensjonsforsikring'!C13+'Danica Pensjonsforsikring'!C36+'Danica Pensjonsforsikring'!C44+'Danica Pensjonsforsikring'!C119+'Danica Pensjonsforsikring'!C167</f>
        <v>937089.63400000008</v>
      </c>
      <c r="N10" s="97">
        <f t="shared" ref="N10:N31" si="9">IF(L10=0, "    ---- ", IF(ABS(ROUND(100/L10*M10-100,1))&lt;999,ROUND(100/L10*M10-100,1),IF(ROUND(100/L10*M10-100,1)&gt;999,999,-999)))</f>
        <v>4.8</v>
      </c>
      <c r="O10" s="171">
        <f t="shared" ref="O10:O30" si="10">100/M$31*M10</f>
        <v>9.9388588699354477E-2</v>
      </c>
      <c r="P10" s="203" t="s">
        <v>179</v>
      </c>
      <c r="Q10" s="218">
        <f t="shared" ca="1" si="3"/>
        <v>0</v>
      </c>
      <c r="R10" s="216">
        <f t="shared" ca="1" si="4"/>
        <v>0</v>
      </c>
      <c r="S10" s="218">
        <f t="shared" ca="1" si="5"/>
        <v>0</v>
      </c>
      <c r="T10" s="216">
        <f t="shared" ca="1" si="6"/>
        <v>0</v>
      </c>
      <c r="U10" s="80" t="s">
        <v>191</v>
      </c>
    </row>
    <row r="11" spans="1:21" ht="18.75" x14ac:dyDescent="0.3">
      <c r="A11" s="188" t="s">
        <v>105</v>
      </c>
      <c r="B11" s="171">
        <f>'DNB Livsforsikring'!B7+'DNB Livsforsikring'!B25+'DNB Livsforsikring'!B42+'DNB Livsforsikring'!B54+'DNB Livsforsikring'!B79+'DNB Livsforsikring'!B165</f>
        <v>11032332</v>
      </c>
      <c r="C11" s="171">
        <f>'DNB Livsforsikring'!C7+'DNB Livsforsikring'!C25+'DNB Livsforsikring'!C42+'DNB Livsforsikring'!C54+'DNB Livsforsikring'!C79+'DNB Livsforsikring'!C165</f>
        <v>6354769</v>
      </c>
      <c r="D11" s="97">
        <f t="shared" si="0"/>
        <v>-42.4</v>
      </c>
      <c r="E11" s="171">
        <f t="shared" si="7"/>
        <v>10.664071024990543</v>
      </c>
      <c r="F11" s="133"/>
      <c r="G11" s="171">
        <f>'DNB Livsforsikring'!B10+'DNB Livsforsikring'!B31+'DNB Livsforsikring'!B43+'DNB Livsforsikring'!B60+'DNB Livsforsikring'!B99+'DNB Livsforsikring'!B166</f>
        <v>2098027</v>
      </c>
      <c r="H11" s="171">
        <f>'DNB Livsforsikring'!C10+'DNB Livsforsikring'!C31+'DNB Livsforsikring'!C43+'DNB Livsforsikring'!C60+'DNB Livsforsikring'!C99+'DNB Livsforsikring'!C166</f>
        <v>273122</v>
      </c>
      <c r="I11" s="97">
        <f t="shared" si="1"/>
        <v>-87</v>
      </c>
      <c r="J11" s="171">
        <f t="shared" si="8"/>
        <v>26.352971502953846</v>
      </c>
      <c r="K11" s="96"/>
      <c r="L11" s="171">
        <f>'DNB Livsforsikring'!B13+'DNB Livsforsikring'!B36+'DNB Livsforsikring'!B44+'DNB Livsforsikring'!B119+'DNB Livsforsikring'!B167</f>
        <v>204051672</v>
      </c>
      <c r="M11" s="171">
        <f>'DNB Livsforsikring'!C13+'DNB Livsforsikring'!C36+'DNB Livsforsikring'!C44+'DNB Livsforsikring'!C119+'DNB Livsforsikring'!C167</f>
        <v>203364389</v>
      </c>
      <c r="N11" s="97">
        <f t="shared" si="9"/>
        <v>-0.3</v>
      </c>
      <c r="O11" s="171">
        <f t="shared" si="10"/>
        <v>21.5690141914605</v>
      </c>
      <c r="P11" s="80" t="s">
        <v>172</v>
      </c>
      <c r="Q11" s="218">
        <f t="shared" ca="1" si="3"/>
        <v>0</v>
      </c>
      <c r="R11" s="216">
        <f t="shared" ca="1" si="4"/>
        <v>0</v>
      </c>
      <c r="S11" s="218">
        <f t="shared" ca="1" si="5"/>
        <v>0</v>
      </c>
      <c r="T11" s="216">
        <f t="shared" ca="1" si="6"/>
        <v>0</v>
      </c>
    </row>
    <row r="12" spans="1:21" ht="18.75" x14ac:dyDescent="0.3">
      <c r="A12" s="188" t="s">
        <v>106</v>
      </c>
      <c r="B12" s="171">
        <f>'Eika Forsikring AS'!B7+'Eika Forsikring AS'!B25+'Eika Forsikring AS'!B42+'Eika Forsikring AS'!B54+'Eika Forsikring AS'!B79+'Eika Forsikring AS'!B165</f>
        <v>222483</v>
      </c>
      <c r="C12" s="171">
        <f>'Eika Forsikring AS'!C7+'Eika Forsikring AS'!C25+'Eika Forsikring AS'!C42+'Eika Forsikring AS'!C54+'Eika Forsikring AS'!C79+'Eika Forsikring AS'!C165</f>
        <v>351394</v>
      </c>
      <c r="D12" s="97">
        <f t="shared" si="0"/>
        <v>57.9</v>
      </c>
      <c r="E12" s="171">
        <f t="shared" si="7"/>
        <v>0.58968163496667259</v>
      </c>
      <c r="F12" s="133"/>
      <c r="G12" s="171">
        <f>'Eika Forsikring AS'!B10+'Eika Forsikring AS'!B31+'Eika Forsikring AS'!B43+'Eika Forsikring AS'!B60+'Eika Forsikring AS'!B99+'Eika Forsikring AS'!B166</f>
        <v>34634</v>
      </c>
      <c r="H12" s="171">
        <f>'Eika Forsikring AS'!C10+'Eika Forsikring AS'!C31+'Eika Forsikring AS'!C43+'Eika Forsikring AS'!C60+'Eika Forsikring AS'!C99+'Eika Forsikring AS'!C166</f>
        <v>35755</v>
      </c>
      <c r="I12" s="97">
        <f t="shared" si="1"/>
        <v>3.2</v>
      </c>
      <c r="J12" s="171">
        <f t="shared" si="8"/>
        <v>3.4499252937812215</v>
      </c>
      <c r="K12" s="96"/>
      <c r="L12" s="171">
        <f>'Eika Forsikring AS'!B13+'Eika Forsikring AS'!B36+'Eika Forsikring AS'!B44+'Eika Forsikring AS'!B119+'Eika Forsikring AS'!B167</f>
        <v>377974</v>
      </c>
      <c r="M12" s="171">
        <f>'Eika Forsikring AS'!C13+'Eika Forsikring AS'!C36+'Eika Forsikring AS'!C44+'Eika Forsikring AS'!C119+'Eika Forsikring AS'!C167</f>
        <v>401746</v>
      </c>
      <c r="N12" s="97">
        <f t="shared" si="9"/>
        <v>6.3</v>
      </c>
      <c r="O12" s="171">
        <f t="shared" si="10"/>
        <v>4.2609550364112618E-2</v>
      </c>
      <c r="P12" s="80" t="s">
        <v>180</v>
      </c>
      <c r="Q12" s="218">
        <f t="shared" ca="1" si="3"/>
        <v>0</v>
      </c>
      <c r="R12" s="216">
        <f t="shared" ca="1" si="4"/>
        <v>0</v>
      </c>
      <c r="S12" s="218">
        <f t="shared" ca="1" si="5"/>
        <v>0</v>
      </c>
      <c r="T12" s="216">
        <f t="shared" ca="1" si="6"/>
        <v>0</v>
      </c>
    </row>
    <row r="13" spans="1:21" ht="18.75" x14ac:dyDescent="0.3">
      <c r="A13" s="188" t="s">
        <v>107</v>
      </c>
      <c r="B13" s="172">
        <f>'Frende Livsforsikring'!B7+'Frende Livsforsikring'!B25+'Frende Livsforsikring'!B42+'Frende Livsforsikring'!B54+'Frende Livsforsikring'!B79+'Frende Livsforsikring'!B165</f>
        <v>422840</v>
      </c>
      <c r="C13" s="172">
        <f>'Frende Livsforsikring'!C7+'Frende Livsforsikring'!C25+'Frende Livsforsikring'!C42+'Frende Livsforsikring'!C54+'Frende Livsforsikring'!C79+'Frende Livsforsikring'!C165</f>
        <v>452991</v>
      </c>
      <c r="D13" s="97">
        <f t="shared" si="0"/>
        <v>7.1</v>
      </c>
      <c r="E13" s="171">
        <f t="shared" si="7"/>
        <v>0.76017368966228216</v>
      </c>
      <c r="F13" s="133"/>
      <c r="G13" s="172">
        <f>'Frende Livsforsikring'!B10+'Frende Livsforsikring'!B31+'Frende Livsforsikring'!B43+'Frende Livsforsikring'!B60+'Frende Livsforsikring'!B99+'Frende Livsforsikring'!B166</f>
        <v>10344</v>
      </c>
      <c r="H13" s="172">
        <f>'Frende Livsforsikring'!C10+'Frende Livsforsikring'!C31+'Frende Livsforsikring'!C43+'Frende Livsforsikring'!C60+'Frende Livsforsikring'!C99+'Frende Livsforsikring'!C166</f>
        <v>6501</v>
      </c>
      <c r="I13" s="97">
        <f t="shared" si="1"/>
        <v>-37.200000000000003</v>
      </c>
      <c r="J13" s="171">
        <f t="shared" si="8"/>
        <v>0.62726791595222264</v>
      </c>
      <c r="K13" s="96"/>
      <c r="L13" s="171">
        <f>'Frende Livsforsikring'!B13+'Frende Livsforsikring'!B36+'Frende Livsforsikring'!B44+'Frende Livsforsikring'!B119+'Frende Livsforsikring'!B167</f>
        <v>585097</v>
      </c>
      <c r="M13" s="171">
        <f>'Frende Livsforsikring'!C13+'Frende Livsforsikring'!C36+'Frende Livsforsikring'!C44+'Frende Livsforsikring'!C119+'Frende Livsforsikring'!C167</f>
        <v>667456</v>
      </c>
      <c r="N13" s="97">
        <f t="shared" si="9"/>
        <v>14.1</v>
      </c>
      <c r="O13" s="171">
        <f t="shared" si="10"/>
        <v>7.079099741585268E-2</v>
      </c>
      <c r="P13" s="80" t="s">
        <v>173</v>
      </c>
      <c r="Q13" s="218">
        <f t="shared" ca="1" si="3"/>
        <v>0</v>
      </c>
      <c r="R13" s="216">
        <f t="shared" ca="1" si="4"/>
        <v>0</v>
      </c>
      <c r="S13" s="218">
        <f t="shared" ca="1" si="5"/>
        <v>0</v>
      </c>
      <c r="T13" s="216">
        <f t="shared" ca="1" si="6"/>
        <v>0</v>
      </c>
    </row>
    <row r="14" spans="1:21" ht="18.75" x14ac:dyDescent="0.3">
      <c r="A14" s="188" t="s">
        <v>108</v>
      </c>
      <c r="B14" s="171">
        <f>'Frende Skadeforsikring'!B7+'Frende Skadeforsikring'!B25+'Frende Skadeforsikring'!B42+'Frende Skadeforsikring'!B54+'Frende Skadeforsikring'!B79+'Frende Skadeforsikring'!B165</f>
        <v>3484</v>
      </c>
      <c r="C14" s="171">
        <f>'Frende Skadeforsikring'!C7+'Frende Skadeforsikring'!C25+'Frende Skadeforsikring'!C42+'Frende Skadeforsikring'!C54+'Frende Skadeforsikring'!C79+'Frende Skadeforsikring'!C165</f>
        <v>4460</v>
      </c>
      <c r="D14" s="97">
        <f t="shared" si="0"/>
        <v>28</v>
      </c>
      <c r="E14" s="171">
        <f t="shared" si="7"/>
        <v>7.4844194606378013E-3</v>
      </c>
      <c r="F14" s="133"/>
      <c r="G14" s="171">
        <f>'Frende Skadeforsikring'!B10+'Frende Skadeforsikring'!B31+'Frende Skadeforsikring'!B43+'Frende Skadeforsikring'!B60+'Frende Skadeforsikring'!B99+'Frende Skadeforsikring'!B166</f>
        <v>0</v>
      </c>
      <c r="H14" s="171">
        <f>'Frende Skadeforsikring'!C10+'Frende Skadeforsikring'!C31+'Frende Skadeforsikring'!C43+'Frende Skadeforsikring'!C60+'Frende Skadeforsikring'!C99+'Frende Skadeforsikring'!C166</f>
        <v>0</v>
      </c>
      <c r="I14" s="97"/>
      <c r="J14" s="171">
        <f t="shared" si="8"/>
        <v>0</v>
      </c>
      <c r="K14" s="96"/>
      <c r="L14" s="171">
        <f>'Frende Skadeforsikring'!B13+'Frende Skadeforsikring'!B36+'Frende Skadeforsikring'!B44+'Frende Skadeforsikring'!B119+'Frende Skadeforsikring'!B167</f>
        <v>0</v>
      </c>
      <c r="M14" s="171">
        <f>'Frende Skadeforsikring'!C13+'Frende Skadeforsikring'!C36+'Frende Skadeforsikring'!C44+'Frende Skadeforsikring'!C119+'Frende Skadeforsikring'!C167</f>
        <v>0</v>
      </c>
      <c r="N14" s="97"/>
      <c r="O14" s="171">
        <f t="shared" si="10"/>
        <v>0</v>
      </c>
      <c r="P14" s="80" t="s">
        <v>181</v>
      </c>
      <c r="Q14" s="218">
        <f t="shared" ca="1" si="3"/>
        <v>0</v>
      </c>
      <c r="R14" s="216">
        <f t="shared" ca="1" si="4"/>
        <v>0</v>
      </c>
      <c r="S14" s="218">
        <f t="shared" ca="1" si="5"/>
        <v>0</v>
      </c>
      <c r="T14" s="216">
        <f t="shared" ca="1" si="6"/>
        <v>0</v>
      </c>
    </row>
    <row r="15" spans="1:21" ht="18.75" x14ac:dyDescent="0.3">
      <c r="A15" s="188" t="s">
        <v>109</v>
      </c>
      <c r="B15" s="171">
        <f>'Gjensidige Forsikring'!B7+'Gjensidige Forsikring'!B25+'Gjensidige Forsikring'!B42+'Gjensidige Forsikring'!B54+'Gjensidige Forsikring'!B79+'Gjensidige Forsikring'!B165</f>
        <v>1534904</v>
      </c>
      <c r="C15" s="171">
        <f>'Gjensidige Forsikring'!C7+'Gjensidige Forsikring'!C25+'Gjensidige Forsikring'!C42+'Gjensidige Forsikring'!C54+'Gjensidige Forsikring'!C79+'Gjensidige Forsikring'!C165</f>
        <v>1537000</v>
      </c>
      <c r="D15" s="97">
        <f t="shared" si="0"/>
        <v>0.1</v>
      </c>
      <c r="E15" s="171">
        <f t="shared" si="7"/>
        <v>2.5792719082960316</v>
      </c>
      <c r="F15" s="133"/>
      <c r="G15" s="171">
        <f>'Gjensidige Forsikring'!B10+'Gjensidige Forsikring'!B31+'Gjensidige Forsikring'!B43+'Gjensidige Forsikring'!B60+'Gjensidige Forsikring'!B99+'Gjensidige Forsikring'!B166</f>
        <v>55314</v>
      </c>
      <c r="H15" s="171">
        <f>'Gjensidige Forsikring'!C10+'Gjensidige Forsikring'!C31+'Gjensidige Forsikring'!C43+'Gjensidige Forsikring'!C60+'Gjensidige Forsikring'!C99+'Gjensidige Forsikring'!C166</f>
        <v>59672</v>
      </c>
      <c r="I15" s="97">
        <f t="shared" si="1"/>
        <v>7.9</v>
      </c>
      <c r="J15" s="171">
        <f t="shared" si="8"/>
        <v>5.7576266852331992</v>
      </c>
      <c r="K15" s="96"/>
      <c r="L15" s="171">
        <f>'Gjensidige Forsikring'!B13+'Gjensidige Forsikring'!B36+'Gjensidige Forsikring'!B44+'Gjensidige Forsikring'!B119+'Gjensidige Forsikring'!B167</f>
        <v>1246980</v>
      </c>
      <c r="M15" s="171">
        <f>'Gjensidige Forsikring'!C13+'Gjensidige Forsikring'!C36+'Gjensidige Forsikring'!C44+'Gjensidige Forsikring'!C119+'Gjensidige Forsikring'!C167</f>
        <v>1194028</v>
      </c>
      <c r="N15" s="97">
        <f t="shared" si="9"/>
        <v>-4.2</v>
      </c>
      <c r="O15" s="171">
        <f t="shared" si="10"/>
        <v>0.12663970817919945</v>
      </c>
      <c r="P15" s="80" t="s">
        <v>174</v>
      </c>
      <c r="Q15" s="218">
        <f t="shared" ca="1" si="3"/>
        <v>0</v>
      </c>
      <c r="R15" s="216">
        <f t="shared" ca="1" si="4"/>
        <v>0</v>
      </c>
      <c r="S15" s="218">
        <f t="shared" ca="1" si="5"/>
        <v>0</v>
      </c>
      <c r="T15" s="216">
        <f t="shared" ca="1" si="6"/>
        <v>0</v>
      </c>
    </row>
    <row r="16" spans="1:21" ht="18.75" x14ac:dyDescent="0.3">
      <c r="A16" s="188" t="s">
        <v>110</v>
      </c>
      <c r="B16" s="171">
        <f>'Gjensidige Pensjon'!B7+'Gjensidige Pensjon'!B25+'Gjensidige Pensjon'!B42+'Gjensidige Pensjon'!B54+'Gjensidige Pensjon'!B79+'Gjensidige Pensjon'!B165</f>
        <v>393529</v>
      </c>
      <c r="C16" s="171">
        <f>'Gjensidige Pensjon'!C7+'Gjensidige Pensjon'!C25+'Gjensidige Pensjon'!C42+'Gjensidige Pensjon'!C54+'Gjensidige Pensjon'!C79+'Gjensidige Pensjon'!C165</f>
        <v>459333</v>
      </c>
      <c r="D16" s="97">
        <f t="shared" si="0"/>
        <v>16.7</v>
      </c>
      <c r="E16" s="171">
        <f t="shared" si="7"/>
        <v>0.77081633276079442</v>
      </c>
      <c r="F16" s="133"/>
      <c r="G16" s="171">
        <f>'Gjensidige Pensjon'!B10+'Gjensidige Pensjon'!B31+'Gjensidige Pensjon'!B43+'Gjensidige Pensjon'!B60+'Gjensidige Pensjon'!B99+'Gjensidige Pensjon'!B166</f>
        <v>72471</v>
      </c>
      <c r="H16" s="171">
        <f>'Gjensidige Pensjon'!C10+'Gjensidige Pensjon'!C31+'Gjensidige Pensjon'!C43+'Gjensidige Pensjon'!C60+'Gjensidige Pensjon'!C99+'Gjensidige Pensjon'!C166</f>
        <v>76624</v>
      </c>
      <c r="I16" s="97">
        <f t="shared" si="1"/>
        <v>5.7</v>
      </c>
      <c r="J16" s="171">
        <f t="shared" si="8"/>
        <v>7.3932897695620845</v>
      </c>
      <c r="K16" s="96"/>
      <c r="L16" s="171">
        <f>'Gjensidige Pensjon'!B13+'Gjensidige Pensjon'!B36+'Gjensidige Pensjon'!B44+'Gjensidige Pensjon'!B119+'Gjensidige Pensjon'!B167</f>
        <v>4877540</v>
      </c>
      <c r="M16" s="171">
        <f>'Gjensidige Pensjon'!C13+'Gjensidige Pensjon'!C36+'Gjensidige Pensjon'!C44+'Gjensidige Pensjon'!C119+'Gjensidige Pensjon'!C167</f>
        <v>5409556</v>
      </c>
      <c r="N16" s="97">
        <f t="shared" si="9"/>
        <v>10.9</v>
      </c>
      <c r="O16" s="171">
        <f t="shared" si="10"/>
        <v>0.57374248612179735</v>
      </c>
      <c r="P16" s="80" t="s">
        <v>182</v>
      </c>
      <c r="Q16" s="218">
        <f t="shared" ca="1" si="3"/>
        <v>0</v>
      </c>
      <c r="R16" s="216">
        <f t="shared" ca="1" si="4"/>
        <v>0</v>
      </c>
      <c r="S16" s="218">
        <f t="shared" ca="1" si="5"/>
        <v>0</v>
      </c>
      <c r="T16" s="216">
        <f t="shared" ca="1" si="6"/>
        <v>0</v>
      </c>
    </row>
    <row r="17" spans="1:26" ht="18.75" x14ac:dyDescent="0.3">
      <c r="A17" s="188" t="s">
        <v>111</v>
      </c>
      <c r="B17" s="171">
        <f>'Handelsbanken Liv'!B7+'Handelsbanken Liv'!B25+'Handelsbanken Liv'!B42+'Handelsbanken Liv'!B54+'Handelsbanken Liv'!B79+'Handelsbanken Liv'!B165</f>
        <v>40133</v>
      </c>
      <c r="C17" s="171">
        <f>'Handelsbanken Liv'!C7+'Handelsbanken Liv'!C25+'Handelsbanken Liv'!C42+'Handelsbanken Liv'!C54+'Handelsbanken Liv'!C79+'Handelsbanken Liv'!C165</f>
        <v>38617</v>
      </c>
      <c r="D17" s="97">
        <f t="shared" si="0"/>
        <v>-3.8</v>
      </c>
      <c r="E17" s="171">
        <f t="shared" si="7"/>
        <v>6.4803996930818383E-2</v>
      </c>
      <c r="F17" s="133"/>
      <c r="G17" s="171">
        <f>'Handelsbanken Liv'!B10+'Handelsbanken Liv'!B31+'Handelsbanken Liv'!B43+'Handelsbanken Liv'!B60+'Handelsbanken Liv'!B99+'Handelsbanken Liv'!B166</f>
        <v>2739</v>
      </c>
      <c r="H17" s="171">
        <f>'Handelsbanken Liv'!C10+'Handelsbanken Liv'!C31+'Handelsbanken Liv'!C43+'Handelsbanken Liv'!C60+'Handelsbanken Liv'!C99+'Handelsbanken Liv'!C166</f>
        <v>1814</v>
      </c>
      <c r="I17" s="97">
        <f t="shared" si="1"/>
        <v>-33.799999999999997</v>
      </c>
      <c r="J17" s="171">
        <f t="shared" si="8"/>
        <v>0.17502907237922349</v>
      </c>
      <c r="K17" s="96"/>
      <c r="L17" s="171">
        <f>'Handelsbanken Liv'!B13+'Handelsbanken Liv'!B36+'Handelsbanken Liv'!B44+'Handelsbanken Liv'!B119+'Handelsbanken Liv'!B167</f>
        <v>29117</v>
      </c>
      <c r="M17" s="171">
        <f>'Handelsbanken Liv'!C13+'Handelsbanken Liv'!C36+'Handelsbanken Liv'!C44+'Handelsbanken Liv'!C119+'Handelsbanken Liv'!C167</f>
        <v>25901</v>
      </c>
      <c r="N17" s="97">
        <f t="shared" si="9"/>
        <v>-11</v>
      </c>
      <c r="O17" s="171">
        <f t="shared" si="10"/>
        <v>2.7470838887776877E-3</v>
      </c>
      <c r="P17" s="133"/>
      <c r="Q17" s="218">
        <f t="shared" ca="1" si="3"/>
        <v>0</v>
      </c>
      <c r="R17" s="216">
        <f t="shared" ca="1" si="4"/>
        <v>0</v>
      </c>
      <c r="S17" s="218">
        <f t="shared" ca="1" si="5"/>
        <v>0</v>
      </c>
      <c r="T17" s="216">
        <f t="shared" ca="1" si="6"/>
        <v>0</v>
      </c>
    </row>
    <row r="18" spans="1:26" ht="18.75" x14ac:dyDescent="0.3">
      <c r="A18" s="188" t="s">
        <v>112</v>
      </c>
      <c r="B18" s="171">
        <f>'If Skadeforsikring NUF'!B7+'If Skadeforsikring NUF'!B25+'If Skadeforsikring NUF'!B42+'If Skadeforsikring NUF'!B54+'If Skadeforsikring NUF'!B79+'If Skadeforsikring NUF'!B165</f>
        <v>390668.43199999997</v>
      </c>
      <c r="C18" s="171">
        <f>'If Skadeforsikring NUF'!C7+'If Skadeforsikring NUF'!C25+'If Skadeforsikring NUF'!C42+'If Skadeforsikring NUF'!C54+'If Skadeforsikring NUF'!C79+'If Skadeforsikring NUF'!C165</f>
        <v>414284.755</v>
      </c>
      <c r="D18" s="97">
        <f t="shared" si="0"/>
        <v>6</v>
      </c>
      <c r="E18" s="171">
        <f t="shared" si="7"/>
        <v>0.69521992882680805</v>
      </c>
      <c r="F18" s="133"/>
      <c r="G18" s="171">
        <f>'If Skadeforsikring NUF'!B10+'If Skadeforsikring NUF'!B31+'If Skadeforsikring NUF'!B43+'If Skadeforsikring NUF'!B60+'If Skadeforsikring NUF'!B99+'If Skadeforsikring NUF'!B166</f>
        <v>30210.170999999998</v>
      </c>
      <c r="H18" s="171">
        <f>'If Skadeforsikring NUF'!C10+'If Skadeforsikring NUF'!C31+'If Skadeforsikring NUF'!C43+'If Skadeforsikring NUF'!C60+'If Skadeforsikring NUF'!C99+'If Skadeforsikring NUF'!C166</f>
        <v>34592.843000000001</v>
      </c>
      <c r="I18" s="97">
        <f t="shared" si="1"/>
        <v>14.5</v>
      </c>
      <c r="J18" s="171">
        <f t="shared" si="8"/>
        <v>3.3377911914278471</v>
      </c>
      <c r="K18" s="96"/>
      <c r="L18" s="171">
        <f>'If Skadeforsikring NUF'!B13+'If Skadeforsikring NUF'!B36+'If Skadeforsikring NUF'!B44+'If Skadeforsikring NUF'!B119+'If Skadeforsikring NUF'!B167</f>
        <v>311920</v>
      </c>
      <c r="M18" s="171">
        <f>'If Skadeforsikring NUF'!C13+'If Skadeforsikring NUF'!C36+'If Skadeforsikring NUF'!C44+'If Skadeforsikring NUF'!C119+'If Skadeforsikring NUF'!C167</f>
        <v>378750</v>
      </c>
      <c r="N18" s="97">
        <f t="shared" si="9"/>
        <v>21.4</v>
      </c>
      <c r="O18" s="171">
        <f t="shared" si="10"/>
        <v>4.0170573447918974E-2</v>
      </c>
      <c r="P18" s="133"/>
      <c r="Q18" s="218">
        <f t="shared" ca="1" si="3"/>
        <v>0</v>
      </c>
      <c r="R18" s="216">
        <f t="shared" ca="1" si="4"/>
        <v>0</v>
      </c>
      <c r="S18" s="218">
        <f t="shared" ca="1" si="5"/>
        <v>0</v>
      </c>
      <c r="T18" s="216">
        <f t="shared" ca="1" si="6"/>
        <v>0</v>
      </c>
    </row>
    <row r="19" spans="1:26" ht="18.75" x14ac:dyDescent="0.3">
      <c r="A19" s="188" t="s">
        <v>76</v>
      </c>
      <c r="B19" s="171">
        <f>KLP!B7+KLP!B25+KLP!B42+KLP!B54+KLP!B79+KLP!B165</f>
        <v>29434379.388159998</v>
      </c>
      <c r="C19" s="171">
        <f>KLP!C7+KLP!C25+KLP!C42+KLP!C54+KLP!C79+KLP!C165</f>
        <v>33472682.388949998</v>
      </c>
      <c r="D19" s="97">
        <f t="shared" si="0"/>
        <v>13.7</v>
      </c>
      <c r="E19" s="171">
        <f t="shared" si="7"/>
        <v>56.171209746996766</v>
      </c>
      <c r="F19" s="133"/>
      <c r="G19" s="171">
        <f>KLP!B10+KLP!B31+KLP!B43+KLP!B60+KLP!B99+KLP!B166</f>
        <v>6252.7</v>
      </c>
      <c r="H19" s="171">
        <f>KLP!C10+KLP!C31+KLP!C43+KLP!C60+KLP!C99+KLP!C166</f>
        <v>6182</v>
      </c>
      <c r="I19" s="97">
        <f t="shared" si="1"/>
        <v>-1.1000000000000001</v>
      </c>
      <c r="J19" s="171">
        <f t="shared" si="8"/>
        <v>0.59648827202224897</v>
      </c>
      <c r="K19" s="96"/>
      <c r="L19" s="171">
        <f>KLP!B13+KLP!B36+KLP!B44+KLP!B119+KLP!B167</f>
        <v>388847836</v>
      </c>
      <c r="M19" s="171">
        <f>KLP!C13+KLP!C36+KLP!C44+KLP!C119+KLP!C167</f>
        <v>421845952.55084002</v>
      </c>
      <c r="N19" s="97">
        <f t="shared" si="9"/>
        <v>8.5</v>
      </c>
      <c r="O19" s="171">
        <f t="shared" si="10"/>
        <v>44.741369823500619</v>
      </c>
      <c r="P19" s="133"/>
      <c r="Q19" s="218">
        <f t="shared" ca="1" si="3"/>
        <v>0</v>
      </c>
      <c r="R19" s="216">
        <f t="shared" ca="1" si="4"/>
        <v>0</v>
      </c>
      <c r="S19" s="218">
        <f t="shared" ca="1" si="5"/>
        <v>0</v>
      </c>
      <c r="T19" s="216">
        <f t="shared" ca="1" si="6"/>
        <v>0</v>
      </c>
    </row>
    <row r="20" spans="1:26" ht="18.75" x14ac:dyDescent="0.3">
      <c r="A20" s="101" t="s">
        <v>113</v>
      </c>
      <c r="B20" s="171">
        <f>'KLP Bedriftspensjon AS'!B7+'KLP Bedriftspensjon AS'!B25+'KLP Bedriftspensjon AS'!B42+'KLP Bedriftspensjon AS'!B54+'KLP Bedriftspensjon AS'!B79+'KLP Bedriftspensjon AS'!B165</f>
        <v>123611</v>
      </c>
      <c r="C20" s="171">
        <f>'KLP Bedriftspensjon AS'!C7+'KLP Bedriftspensjon AS'!C25+'KLP Bedriftspensjon AS'!C42+'KLP Bedriftspensjon AS'!C54+'KLP Bedriftspensjon AS'!C79+'KLP Bedriftspensjon AS'!C165</f>
        <v>115325</v>
      </c>
      <c r="D20" s="97">
        <f t="shared" si="0"/>
        <v>-6.7</v>
      </c>
      <c r="E20" s="171">
        <f t="shared" si="7"/>
        <v>0.19352929916996736</v>
      </c>
      <c r="F20" s="133"/>
      <c r="G20" s="171">
        <f>'KLP Bedriftspensjon AS'!B10+'KLP Bedriftspensjon AS'!B31+'KLP Bedriftspensjon AS'!B43+'KLP Bedriftspensjon AS'!B60+'KLP Bedriftspensjon AS'!B99+'KLP Bedriftspensjon AS'!B166</f>
        <v>0</v>
      </c>
      <c r="H20" s="171">
        <f>'KLP Bedriftspensjon AS'!C10+'KLP Bedriftspensjon AS'!C31+'KLP Bedriftspensjon AS'!C43+'KLP Bedriftspensjon AS'!C60+'KLP Bedriftspensjon AS'!C99+'KLP Bedriftspensjon AS'!C166</f>
        <v>0</v>
      </c>
      <c r="I20" s="97"/>
      <c r="J20" s="171">
        <f t="shared" si="8"/>
        <v>0</v>
      </c>
      <c r="K20" s="96"/>
      <c r="L20" s="171">
        <f>'KLP Bedriftspensjon AS'!B13+'KLP Bedriftspensjon AS'!B36+'KLP Bedriftspensjon AS'!B44+'KLP Bedriftspensjon AS'!B119+'KLP Bedriftspensjon AS'!B167</f>
        <v>1379522</v>
      </c>
      <c r="M20" s="171">
        <f>'KLP Bedriftspensjon AS'!C13+'KLP Bedriftspensjon AS'!C36+'KLP Bedriftspensjon AS'!C44+'KLP Bedriftspensjon AS'!C119+'KLP Bedriftspensjon AS'!C167</f>
        <v>1500502</v>
      </c>
      <c r="N20" s="97">
        <f t="shared" si="9"/>
        <v>8.8000000000000007</v>
      </c>
      <c r="O20" s="171">
        <f t="shared" si="10"/>
        <v>0.15914462257359555</v>
      </c>
      <c r="P20" s="133"/>
      <c r="Q20" s="218">
        <f t="shared" ca="1" si="3"/>
        <v>0</v>
      </c>
      <c r="R20" s="216">
        <f t="shared" ca="1" si="4"/>
        <v>0</v>
      </c>
      <c r="S20" s="218">
        <f t="shared" ca="1" si="5"/>
        <v>0</v>
      </c>
      <c r="T20" s="216">
        <f t="shared" ca="1" si="6"/>
        <v>0</v>
      </c>
    </row>
    <row r="21" spans="1:26" ht="18.75" x14ac:dyDescent="0.3">
      <c r="A21" s="101" t="s">
        <v>114</v>
      </c>
      <c r="B21" s="171">
        <f>'KLP Skadeforsikring AS'!B7+'KLP Skadeforsikring AS'!B25+'KLP Skadeforsikring AS'!B42+'KLP Skadeforsikring AS'!B54+'KLP Skadeforsikring AS'!B79+'KLP Skadeforsikring AS'!B165</f>
        <v>115950</v>
      </c>
      <c r="C21" s="171">
        <f>'KLP Skadeforsikring AS'!C7+'KLP Skadeforsikring AS'!C25+'KLP Skadeforsikring AS'!C42+'KLP Skadeforsikring AS'!C54+'KLP Skadeforsikring AS'!C79+'KLP Skadeforsikring AS'!C165</f>
        <v>135344</v>
      </c>
      <c r="D21" s="97">
        <f t="shared" si="0"/>
        <v>16.7</v>
      </c>
      <c r="E21" s="171">
        <f t="shared" si="7"/>
        <v>0.22712360257411718</v>
      </c>
      <c r="F21" s="133"/>
      <c r="G21" s="171">
        <f>'KLP Skadeforsikring AS'!B10+'KLP Skadeforsikring AS'!B31+'KLP Skadeforsikring AS'!B43+'KLP Skadeforsikring AS'!B60+'KLP Skadeforsikring AS'!B99+'KLP Skadeforsikring AS'!B166</f>
        <v>6485</v>
      </c>
      <c r="H21" s="171">
        <f>'KLP Skadeforsikring AS'!C10+'KLP Skadeforsikring AS'!C31+'KLP Skadeforsikring AS'!C43+'KLP Skadeforsikring AS'!C60+'KLP Skadeforsikring AS'!C99+'KLP Skadeforsikring AS'!C166</f>
        <v>7686</v>
      </c>
      <c r="I21" s="97">
        <f t="shared" si="1"/>
        <v>18.5</v>
      </c>
      <c r="J21" s="171">
        <f t="shared" si="8"/>
        <v>0.74160609167955438</v>
      </c>
      <c r="K21" s="96"/>
      <c r="L21" s="171">
        <f>'KLP Skadeforsikring AS'!B13+'KLP Skadeforsikring AS'!B36+'KLP Skadeforsikring AS'!B44+'KLP Skadeforsikring AS'!B119+'KLP Skadeforsikring AS'!B167</f>
        <v>0</v>
      </c>
      <c r="M21" s="171">
        <f>'KLP Skadeforsikring AS'!C13+'KLP Skadeforsikring AS'!C36+'KLP Skadeforsikring AS'!C44+'KLP Skadeforsikring AS'!C119+'KLP Skadeforsikring AS'!C167</f>
        <v>3590</v>
      </c>
      <c r="N21" s="97" t="str">
        <f t="shared" si="9"/>
        <v xml:space="preserve">    ---- </v>
      </c>
      <c r="O21" s="171">
        <f t="shared" si="10"/>
        <v>3.8075870278027487E-4</v>
      </c>
      <c r="P21" s="133"/>
      <c r="Q21" s="218">
        <f t="shared" ca="1" si="3"/>
        <v>0</v>
      </c>
      <c r="R21" s="216">
        <f t="shared" ca="1" si="4"/>
        <v>0</v>
      </c>
      <c r="S21" s="218">
        <f t="shared" ca="1" si="5"/>
        <v>0</v>
      </c>
      <c r="T21" s="216">
        <f t="shared" ca="1" si="6"/>
        <v>0</v>
      </c>
    </row>
    <row r="22" spans="1:26" ht="18.75" x14ac:dyDescent="0.3">
      <c r="A22" s="101" t="s">
        <v>115</v>
      </c>
      <c r="B22" s="171">
        <f>'Landbruksforsikring AS'!B7+'Landbruksforsikring AS'!B25+'Landbruksforsikring AS'!B42+'Landbruksforsikring AS'!B54+'Landbruksforsikring AS'!B79+'Landbruksforsikring AS'!B165</f>
        <v>39880</v>
      </c>
      <c r="C22" s="171">
        <f>'Landbruksforsikring AS'!C7+'Landbruksforsikring AS'!C25+'Landbruksforsikring AS'!C42+'Landbruksforsikring AS'!C54+'Landbruksforsikring AS'!C79+'Landbruksforsikring AS'!C165</f>
        <v>25735</v>
      </c>
      <c r="D22" s="97">
        <f t="shared" si="0"/>
        <v>-35.5</v>
      </c>
      <c r="E22" s="171">
        <f t="shared" si="7"/>
        <v>4.3186442784644355E-2</v>
      </c>
      <c r="F22" s="133"/>
      <c r="G22" s="171">
        <f>'Landbruksforsikring AS'!B10+'Landbruksforsikring AS'!B31+'Landbruksforsikring AS'!B43+'Landbruksforsikring AS'!B60+'Landbruksforsikring AS'!B99+'Landbruksforsikring AS'!B166</f>
        <v>2270</v>
      </c>
      <c r="H22" s="171">
        <f>'Landbruksforsikring AS'!C10+'Landbruksforsikring AS'!C31+'Landbruksforsikring AS'!C43+'Landbruksforsikring AS'!C60+'Landbruksforsikring AS'!C99+'Landbruksforsikring AS'!C166</f>
        <v>2376</v>
      </c>
      <c r="I22" s="97">
        <f t="shared" si="1"/>
        <v>4.7</v>
      </c>
      <c r="J22" s="171">
        <f t="shared" si="8"/>
        <v>0.22925527892670067</v>
      </c>
      <c r="K22" s="96"/>
      <c r="L22" s="171">
        <f>'Landbruksforsikring AS'!B13+'Landbruksforsikring AS'!B36+'Landbruksforsikring AS'!B44+'Landbruksforsikring AS'!B119+'Landbruksforsikring AS'!B167</f>
        <v>0</v>
      </c>
      <c r="M22" s="171">
        <f>'Landbruksforsikring AS'!C13+'Landbruksforsikring AS'!C36+'Landbruksforsikring AS'!C44+'Landbruksforsikring AS'!C119+'Landbruksforsikring AS'!C167</f>
        <v>0</v>
      </c>
      <c r="N22" s="97"/>
      <c r="O22" s="171">
        <f t="shared" si="10"/>
        <v>0</v>
      </c>
      <c r="P22" s="133"/>
      <c r="Q22" s="218">
        <f t="shared" ca="1" si="3"/>
        <v>0</v>
      </c>
      <c r="R22" s="216">
        <f t="shared" ca="1" si="4"/>
        <v>0</v>
      </c>
      <c r="S22" s="218">
        <f t="shared" ca="1" si="5"/>
        <v>0</v>
      </c>
      <c r="T22" s="216">
        <f t="shared" ca="1" si="6"/>
        <v>0</v>
      </c>
    </row>
    <row r="23" spans="1:26" ht="18.75" x14ac:dyDescent="0.3">
      <c r="A23" s="188" t="s">
        <v>116</v>
      </c>
      <c r="B23" s="171">
        <f>'NEMI Forsikring'!B7+'NEMI Forsikring'!B25+'NEMI Forsikring'!B42+'NEMI Forsikring'!B54+'NEMI Forsikring'!B79+'NEMI Forsikring'!B165</f>
        <v>2346</v>
      </c>
      <c r="C23" s="171">
        <f>'NEMI Forsikring'!C7+'NEMI Forsikring'!C25+'NEMI Forsikring'!C42+'NEMI Forsikring'!C54+'NEMI Forsikring'!C79+'NEMI Forsikring'!C165</f>
        <v>2338</v>
      </c>
      <c r="D23" s="97">
        <f t="shared" si="0"/>
        <v>-0.3</v>
      </c>
      <c r="E23" s="171">
        <f t="shared" si="7"/>
        <v>3.9234467934912958E-3</v>
      </c>
      <c r="F23" s="133"/>
      <c r="G23" s="171">
        <f>'NEMI Forsikring'!B10+'NEMI Forsikring'!B31+'NEMI Forsikring'!B43+'NEMI Forsikring'!B60+'NEMI Forsikring'!B99+'NEMI Forsikring'!B166</f>
        <v>0</v>
      </c>
      <c r="H23" s="171">
        <f>'NEMI Forsikring'!C10+'NEMI Forsikring'!C31+'NEMI Forsikring'!C43+'NEMI Forsikring'!C60+'NEMI Forsikring'!C99+'NEMI Forsikring'!C166</f>
        <v>28</v>
      </c>
      <c r="I23" s="97" t="str">
        <f t="shared" si="1"/>
        <v xml:space="preserve">    ---- </v>
      </c>
      <c r="J23" s="171">
        <f t="shared" si="8"/>
        <v>2.7016615361732401E-3</v>
      </c>
      <c r="K23" s="96"/>
      <c r="L23" s="171">
        <f>'NEMI Forsikring'!B13+'NEMI Forsikring'!B36+'NEMI Forsikring'!B44+'NEMI Forsikring'!B119+'NEMI Forsikring'!B167</f>
        <v>0</v>
      </c>
      <c r="M23" s="171">
        <f>'NEMI Forsikring'!C13+'NEMI Forsikring'!C36+'NEMI Forsikring'!C44+'NEMI Forsikring'!C119+'NEMI Forsikring'!C167</f>
        <v>0</v>
      </c>
      <c r="N23" s="97"/>
      <c r="O23" s="171">
        <f t="shared" si="10"/>
        <v>0</v>
      </c>
      <c r="P23" s="133"/>
      <c r="Q23" s="218">
        <f t="shared" ca="1" si="3"/>
        <v>0</v>
      </c>
      <c r="R23" s="216">
        <f t="shared" ca="1" si="4"/>
        <v>0</v>
      </c>
      <c r="S23" s="218">
        <f t="shared" ca="1" si="5"/>
        <v>0</v>
      </c>
      <c r="T23" s="216">
        <f t="shared" ca="1" si="6"/>
        <v>0</v>
      </c>
    </row>
    <row r="24" spans="1:26" ht="18.75" x14ac:dyDescent="0.3">
      <c r="A24" s="101" t="s">
        <v>117</v>
      </c>
      <c r="B24" s="171">
        <f>'Nordea Liv '!B7+'Nordea Liv '!B25+'Nordea Liv '!B42+'Nordea Liv '!B54+'Nordea Liv '!B79+'Nordea Liv '!B165</f>
        <v>2657396.2051484557</v>
      </c>
      <c r="C24" s="171">
        <f>'Nordea Liv '!C7+'Nordea Liv '!C25+'Nordea Liv '!C42+'Nordea Liv '!C54+'Nordea Liv '!C79+'Nordea Liv '!C165</f>
        <v>2085502.9796573399</v>
      </c>
      <c r="D24" s="97">
        <f t="shared" si="0"/>
        <v>-21.5</v>
      </c>
      <c r="E24" s="171">
        <f t="shared" si="7"/>
        <v>3.4997262525034789</v>
      </c>
      <c r="F24" s="133"/>
      <c r="G24" s="171">
        <f>'Nordea Liv '!B10+'Nordea Liv '!B31+'Nordea Liv '!B43+'Nordea Liv '!B60+'Nordea Liv '!B99+'Nordea Liv '!B166</f>
        <v>83372.505000000005</v>
      </c>
      <c r="H24" s="171">
        <f>'Nordea Liv '!C10+'Nordea Liv '!C31+'Nordea Liv '!C43+'Nordea Liv '!C60+'Nordea Liv '!C99+'Nordea Liv '!C166</f>
        <v>68567.329759244501</v>
      </c>
      <c r="I24" s="97">
        <f t="shared" si="1"/>
        <v>-17.8</v>
      </c>
      <c r="J24" s="171">
        <f t="shared" si="8"/>
        <v>6.615918480309201</v>
      </c>
      <c r="K24" s="96"/>
      <c r="L24" s="172">
        <f>'Nordea Liv '!B13+'Nordea Liv '!B36+'Nordea Liv '!B44+'Nordea Liv '!B119+'Nordea Liv '!B167</f>
        <v>47126733.776330195</v>
      </c>
      <c r="M24" s="172">
        <f>'Nordea Liv '!C13+'Nordea Liv '!C36+'Nordea Liv '!C44+'Nordea Liv '!C119+'Nordea Liv '!C167</f>
        <v>48522570.000125237</v>
      </c>
      <c r="N24" s="97">
        <f t="shared" si="9"/>
        <v>3</v>
      </c>
      <c r="O24" s="171">
        <f t="shared" si="10"/>
        <v>5.1463484147110776</v>
      </c>
      <c r="P24" s="133"/>
      <c r="Q24" s="218">
        <f t="shared" ca="1" si="3"/>
        <v>0</v>
      </c>
      <c r="R24" s="216">
        <f t="shared" ca="1" si="4"/>
        <v>0</v>
      </c>
      <c r="S24" s="218">
        <f t="shared" ca="1" si="5"/>
        <v>0</v>
      </c>
      <c r="T24" s="216">
        <f t="shared" ca="1" si="6"/>
        <v>0</v>
      </c>
    </row>
    <row r="25" spans="1:26" ht="18.75" x14ac:dyDescent="0.3">
      <c r="A25" s="101" t="s">
        <v>118</v>
      </c>
      <c r="B25" s="171">
        <f>'Oslo Pensjonsforsikring'!B7+'Oslo Pensjonsforsikring'!B25+'Oslo Pensjonsforsikring'!B42+'Oslo Pensjonsforsikring'!B54+'Oslo Pensjonsforsikring'!B79+'Oslo Pensjonsforsikring'!B165</f>
        <v>4084610</v>
      </c>
      <c r="C25" s="171">
        <f>'Oslo Pensjonsforsikring'!C7+'Oslo Pensjonsforsikring'!C25+'Oslo Pensjonsforsikring'!C42+'Oslo Pensjonsforsikring'!C54+'Oslo Pensjonsforsikring'!C79+'Oslo Pensjonsforsikring'!C165</f>
        <v>4018088</v>
      </c>
      <c r="D25" s="97">
        <f t="shared" si="0"/>
        <v>-1.6</v>
      </c>
      <c r="E25" s="171">
        <f t="shared" si="7"/>
        <v>6.742837673039288</v>
      </c>
      <c r="F25" s="133"/>
      <c r="G25" s="171">
        <f>'Oslo Pensjonsforsikring'!B10+'Oslo Pensjonsforsikring'!B31+'Oslo Pensjonsforsikring'!B43+'Oslo Pensjonsforsikring'!B60+'Oslo Pensjonsforsikring'!B99+'Oslo Pensjonsforsikring'!B166</f>
        <v>0</v>
      </c>
      <c r="H25" s="171">
        <f>'Oslo Pensjonsforsikring'!C10+'Oslo Pensjonsforsikring'!C31+'Oslo Pensjonsforsikring'!C43+'Oslo Pensjonsforsikring'!C60+'Oslo Pensjonsforsikring'!C99+'Oslo Pensjonsforsikring'!C166</f>
        <v>0</v>
      </c>
      <c r="I25" s="97"/>
      <c r="J25" s="171">
        <f t="shared" si="8"/>
        <v>0</v>
      </c>
      <c r="K25" s="96"/>
      <c r="L25" s="171">
        <f>'Oslo Pensjonsforsikring'!B13+'Oslo Pensjonsforsikring'!B36+'Oslo Pensjonsforsikring'!B44+'Oslo Pensjonsforsikring'!B119+'Oslo Pensjonsforsikring'!B167</f>
        <v>60552187</v>
      </c>
      <c r="M25" s="171">
        <f>'Oslo Pensjonsforsikring'!C13+'Oslo Pensjonsforsikring'!C36+'Oslo Pensjonsforsikring'!C44+'Oslo Pensjonsforsikring'!C119+'Oslo Pensjonsforsikring'!C167</f>
        <v>64732970</v>
      </c>
      <c r="N25" s="97">
        <f t="shared" si="9"/>
        <v>6.9</v>
      </c>
      <c r="O25" s="171">
        <f t="shared" si="10"/>
        <v>6.8656383521767266</v>
      </c>
      <c r="P25" s="133"/>
      <c r="Q25" s="218">
        <f t="shared" ca="1" si="3"/>
        <v>0</v>
      </c>
      <c r="R25" s="216">
        <f t="shared" ca="1" si="4"/>
        <v>0</v>
      </c>
      <c r="S25" s="218">
        <f t="shared" ca="1" si="5"/>
        <v>0</v>
      </c>
      <c r="T25" s="216">
        <f t="shared" ca="1" si="6"/>
        <v>0</v>
      </c>
    </row>
    <row r="26" spans="1:26" ht="18.75" x14ac:dyDescent="0.3">
      <c r="A26" s="101" t="s">
        <v>119</v>
      </c>
      <c r="B26" s="171">
        <f>'Silver Pensjonsforsikring AS'!B7+'Silver Pensjonsforsikring AS'!B25+'Silver Pensjonsforsikring AS'!B42+'Silver Pensjonsforsikring AS'!B54+'Silver Pensjonsforsikring AS'!B79+'Silver Pensjonsforsikring AS'!B165</f>
        <v>0</v>
      </c>
      <c r="C26" s="171">
        <f>'Silver Pensjonsforsikring AS'!C7+'Silver Pensjonsforsikring AS'!C25+'Silver Pensjonsforsikring AS'!C42+'Silver Pensjonsforsikring AS'!C54+'Silver Pensjonsforsikring AS'!C79+'Silver Pensjonsforsikring AS'!C165</f>
        <v>0</v>
      </c>
      <c r="D26" s="97"/>
      <c r="E26" s="171">
        <f t="shared" si="7"/>
        <v>0</v>
      </c>
      <c r="F26" s="133"/>
      <c r="G26" s="171">
        <f>'Silver Pensjonsforsikring AS'!B10+'Silver Pensjonsforsikring AS'!B31+'Silver Pensjonsforsikring AS'!B43+'Silver Pensjonsforsikring AS'!B60+'Silver Pensjonsforsikring AS'!B99+'Silver Pensjonsforsikring AS'!B166</f>
        <v>0</v>
      </c>
      <c r="H26" s="171">
        <f>'Silver Pensjonsforsikring AS'!C10+'Silver Pensjonsforsikring AS'!C31+'Silver Pensjonsforsikring AS'!C43+'Silver Pensjonsforsikring AS'!C60+'Silver Pensjonsforsikring AS'!C99+'Silver Pensjonsforsikring AS'!C166</f>
        <v>0</v>
      </c>
      <c r="I26" s="97"/>
      <c r="J26" s="171">
        <f t="shared" si="8"/>
        <v>0</v>
      </c>
      <c r="K26" s="96"/>
      <c r="L26" s="171">
        <f>'Silver Pensjonsforsikring AS'!B13+'Silver Pensjonsforsikring AS'!B36+'Silver Pensjonsforsikring AS'!B44+'Silver Pensjonsforsikring AS'!B119+'Silver Pensjonsforsikring AS'!B167</f>
        <v>8556698.3527799994</v>
      </c>
      <c r="M26" s="171">
        <f>'Silver Pensjonsforsikring AS'!C13+'Silver Pensjonsforsikring AS'!C36+'Silver Pensjonsforsikring AS'!C44+'Silver Pensjonsforsikring AS'!C119+'Silver Pensjonsforsikring AS'!C167</f>
        <v>0</v>
      </c>
      <c r="N26" s="97">
        <f t="shared" si="9"/>
        <v>-100</v>
      </c>
      <c r="O26" s="171">
        <f t="shared" si="10"/>
        <v>0</v>
      </c>
      <c r="P26" s="133"/>
      <c r="Q26" s="218">
        <f t="shared" ca="1" si="3"/>
        <v>0</v>
      </c>
      <c r="R26" s="216">
        <f t="shared" ca="1" si="4"/>
        <v>0</v>
      </c>
      <c r="S26" s="218">
        <f t="shared" ca="1" si="5"/>
        <v>0</v>
      </c>
      <c r="T26" s="216">
        <f t="shared" ca="1" si="6"/>
        <v>0</v>
      </c>
    </row>
    <row r="27" spans="1:26" ht="18.75" x14ac:dyDescent="0.3">
      <c r="A27" s="188" t="s">
        <v>83</v>
      </c>
      <c r="B27" s="171">
        <f>'Sparebank 1'!B7+'Sparebank 1'!B25+'Sparebank 1'!B42+'Sparebank 1'!B54+'Sparebank 1'!B79+'Sparebank 1'!B165</f>
        <v>2449137.9735400002</v>
      </c>
      <c r="C27" s="171">
        <f>'Sparebank 1'!C7+'Sparebank 1'!C25+'Sparebank 1'!C42+'Sparebank 1'!C54+'Sparebank 1'!C79+'Sparebank 1'!C165</f>
        <v>2505584.0598300006</v>
      </c>
      <c r="D27" s="97">
        <f t="shared" si="0"/>
        <v>2.2999999999999998</v>
      </c>
      <c r="E27" s="171">
        <f t="shared" si="7"/>
        <v>4.2046731160662612</v>
      </c>
      <c r="F27" s="133"/>
      <c r="G27" s="171">
        <f>'Sparebank 1'!B10+'Sparebank 1'!B31+'Sparebank 1'!B43+'Sparebank 1'!B60+'Sparebank 1'!B99+'Sparebank 1'!B166</f>
        <v>162186.32499999998</v>
      </c>
      <c r="H27" s="171">
        <f>'Sparebank 1'!C10+'Sparebank 1'!C31+'Sparebank 1'!C43+'Sparebank 1'!C60+'Sparebank 1'!C99+'Sparebank 1'!C166</f>
        <v>191591</v>
      </c>
      <c r="I27" s="97">
        <f t="shared" si="1"/>
        <v>18.100000000000001</v>
      </c>
      <c r="J27" s="171">
        <f t="shared" si="8"/>
        <v>18.486215549177402</v>
      </c>
      <c r="K27" s="96"/>
      <c r="L27" s="171">
        <f>'Sparebank 1'!B13+'Sparebank 1'!B36+'Sparebank 1'!B44+'Sparebank 1'!B119+'Sparebank 1'!B167</f>
        <v>16536094.940310001</v>
      </c>
      <c r="M27" s="171">
        <f>'Sparebank 1'!C13+'Sparebank 1'!C36+'Sparebank 1'!C44+'Sparebank 1'!C119+'Sparebank 1'!C167</f>
        <v>17312529.77214</v>
      </c>
      <c r="N27" s="97">
        <f t="shared" si="9"/>
        <v>4.7</v>
      </c>
      <c r="O27" s="171">
        <f t="shared" si="10"/>
        <v>1.8361828350654357</v>
      </c>
      <c r="P27" s="133"/>
      <c r="Q27" s="218">
        <f t="shared" ca="1" si="3"/>
        <v>0</v>
      </c>
      <c r="R27" s="216">
        <f t="shared" ca="1" si="4"/>
        <v>0</v>
      </c>
      <c r="S27" s="218">
        <f t="shared" ca="1" si="5"/>
        <v>0</v>
      </c>
      <c r="T27" s="216">
        <f t="shared" ca="1" si="6"/>
        <v>0</v>
      </c>
    </row>
    <row r="28" spans="1:26" ht="18.75" x14ac:dyDescent="0.3">
      <c r="A28" s="188" t="s">
        <v>120</v>
      </c>
      <c r="B28" s="171">
        <f>'Storebrand Livsforsikring'!B7+'Storebrand Livsforsikring'!B25+'Storebrand Livsforsikring'!B42+'Storebrand Livsforsikring'!B54+'Storebrand Livsforsikring'!B79+'Storebrand Livsforsikring'!B165</f>
        <v>7918141.5200000005</v>
      </c>
      <c r="C28" s="171">
        <f>'Storebrand Livsforsikring'!C7+'Storebrand Livsforsikring'!C25+'Storebrand Livsforsikring'!C42+'Storebrand Livsforsikring'!C54+'Storebrand Livsforsikring'!C79+'Storebrand Livsforsikring'!C165</f>
        <v>6656214.8409999991</v>
      </c>
      <c r="D28" s="97">
        <f t="shared" si="0"/>
        <v>-15.9</v>
      </c>
      <c r="E28" s="171">
        <f t="shared" si="7"/>
        <v>11.16993360766066</v>
      </c>
      <c r="F28" s="133"/>
      <c r="G28" s="171">
        <f>'Storebrand Livsforsikring'!B10+'Storebrand Livsforsikring'!B31+'Storebrand Livsforsikring'!B43+'Storebrand Livsforsikring'!B60+'Storebrand Livsforsikring'!B99+'Storebrand Livsforsikring'!B166</f>
        <v>128440.82500000001</v>
      </c>
      <c r="H28" s="171">
        <f>'Storebrand Livsforsikring'!C10+'Storebrand Livsforsikring'!C31+'Storebrand Livsforsikring'!C43+'Storebrand Livsforsikring'!C60+'Storebrand Livsforsikring'!C99+'Storebrand Livsforsikring'!C166</f>
        <v>227389.864</v>
      </c>
      <c r="I28" s="97">
        <f t="shared" si="1"/>
        <v>77</v>
      </c>
      <c r="J28" s="171">
        <f t="shared" si="8"/>
        <v>21.940373188730863</v>
      </c>
      <c r="K28" s="96"/>
      <c r="L28" s="171">
        <f>'Storebrand Livsforsikring'!B13+'Storebrand Livsforsikring'!B36+'Storebrand Livsforsikring'!B44+'Storebrand Livsforsikring'!B119+'Storebrand Livsforsikring'!B167</f>
        <v>173057918.17499998</v>
      </c>
      <c r="M28" s="171">
        <f>'Storebrand Livsforsikring'!C13+'Storebrand Livsforsikring'!C36+'Storebrand Livsforsikring'!C44+'Storebrand Livsforsikring'!C119+'Storebrand Livsforsikring'!C167</f>
        <v>176557322.10000002</v>
      </c>
      <c r="N28" s="97">
        <f t="shared" si="9"/>
        <v>2</v>
      </c>
      <c r="O28" s="171">
        <f t="shared" si="10"/>
        <v>18.725832013692248</v>
      </c>
      <c r="P28" s="133"/>
      <c r="Q28" s="218">
        <f t="shared" ca="1" si="3"/>
        <v>0</v>
      </c>
      <c r="R28" s="216">
        <f t="shared" ca="1" si="4"/>
        <v>0</v>
      </c>
      <c r="S28" s="218">
        <f t="shared" ca="1" si="5"/>
        <v>0</v>
      </c>
      <c r="T28" s="216">
        <f t="shared" ca="1" si="6"/>
        <v>0</v>
      </c>
    </row>
    <row r="29" spans="1:26" ht="18.75" x14ac:dyDescent="0.3">
      <c r="A29" s="188" t="s">
        <v>121</v>
      </c>
      <c r="B29" s="171">
        <f>'Telenor Forsikring'!B7+'Telenor Forsikring'!B25+'Telenor Forsikring'!B42+'Telenor Forsikring'!B54+'Telenor Forsikring'!B79+'Telenor Forsikring'!B165</f>
        <v>24710</v>
      </c>
      <c r="C29" s="171">
        <f>'Telenor Forsikring'!C7+'Telenor Forsikring'!C25+'Telenor Forsikring'!C42+'Telenor Forsikring'!C54+'Telenor Forsikring'!C79+'Telenor Forsikring'!C165</f>
        <v>25828</v>
      </c>
      <c r="D29" s="97">
        <f t="shared" si="0"/>
        <v>4.5</v>
      </c>
      <c r="E29" s="171">
        <f t="shared" si="7"/>
        <v>4.334250803348725E-2</v>
      </c>
      <c r="F29" s="133"/>
      <c r="G29" s="171">
        <f>'Telenor Forsikring'!B10+'Telenor Forsikring'!B31+'Telenor Forsikring'!B43+'Telenor Forsikring'!B60+'Telenor Forsikring'!B99+'Telenor Forsikring'!B166</f>
        <v>0</v>
      </c>
      <c r="H29" s="171">
        <f>'Telenor Forsikring'!C10+'Telenor Forsikring'!C31+'Telenor Forsikring'!C43+'Telenor Forsikring'!C60+'Telenor Forsikring'!C99+'Telenor Forsikring'!C166</f>
        <v>0</v>
      </c>
      <c r="I29" s="97"/>
      <c r="J29" s="171">
        <f t="shared" si="8"/>
        <v>0</v>
      </c>
      <c r="K29" s="96"/>
      <c r="L29" s="171">
        <f>'Telenor Forsikring'!B13+'Telenor Forsikring'!B36+'Telenor Forsikring'!B44+'Telenor Forsikring'!B119+'Telenor Forsikring'!B167</f>
        <v>0</v>
      </c>
      <c r="M29" s="171">
        <f>'Telenor Forsikring'!C13+'Telenor Forsikring'!C36+'Telenor Forsikring'!C44+'Telenor Forsikring'!C119+'Telenor Forsikring'!C167</f>
        <v>0</v>
      </c>
      <c r="N29" s="97"/>
      <c r="O29" s="171">
        <f t="shared" si="10"/>
        <v>0</v>
      </c>
      <c r="P29" s="202"/>
      <c r="Q29" s="218">
        <f t="shared" ca="1" si="3"/>
        <v>0</v>
      </c>
      <c r="R29" s="216">
        <f t="shared" ca="1" si="4"/>
        <v>0</v>
      </c>
      <c r="S29" s="218">
        <f t="shared" ca="1" si="5"/>
        <v>0</v>
      </c>
      <c r="T29" s="216">
        <f t="shared" ca="1" si="6"/>
        <v>0</v>
      </c>
    </row>
    <row r="30" spans="1:26" ht="18.75" x14ac:dyDescent="0.3">
      <c r="A30" s="188" t="s">
        <v>122</v>
      </c>
      <c r="B30" s="171">
        <f>'Tryg Forsikring'!B7+'Tryg Forsikring'!B25+'Tryg Forsikring'!B42+'Tryg Forsikring'!B54+'Tryg Forsikring'!B79+'Tryg Forsikring'!B165</f>
        <v>555281.85226000007</v>
      </c>
      <c r="C30" s="171">
        <f>'Tryg Forsikring'!C7+'Tryg Forsikring'!C25+'Tryg Forsikring'!C42+'Tryg Forsikring'!C54+'Tryg Forsikring'!C79+'Tryg Forsikring'!C165</f>
        <v>542694.08400000003</v>
      </c>
      <c r="D30" s="97">
        <f t="shared" si="0"/>
        <v>-2.2999999999999998</v>
      </c>
      <c r="E30" s="171">
        <f t="shared" si="7"/>
        <v>0.91070631467771435</v>
      </c>
      <c r="F30" s="133"/>
      <c r="G30" s="171">
        <f>'Tryg Forsikring'!B10+'Tryg Forsikring'!B31+'Tryg Forsikring'!B43+'Tryg Forsikring'!B60+'Tryg Forsikring'!B99+'Tryg Forsikring'!B166</f>
        <v>11707.462000000001</v>
      </c>
      <c r="H30" s="171">
        <f>'Tryg Forsikring'!C10+'Tryg Forsikring'!C31+'Tryg Forsikring'!C43+'Tryg Forsikring'!C60+'Tryg Forsikring'!C99+'Tryg Forsikring'!C166</f>
        <v>9858.2170000000006</v>
      </c>
      <c r="I30" s="97">
        <f t="shared" si="1"/>
        <v>-15.8</v>
      </c>
      <c r="J30" s="171">
        <f t="shared" si="8"/>
        <v>0.95119877443389833</v>
      </c>
      <c r="K30" s="96"/>
      <c r="L30" s="171">
        <f>'Tryg Forsikring'!B13+'Tryg Forsikring'!B36+'Tryg Forsikring'!B44+'Tryg Forsikring'!B119+'Tryg Forsikring'!B167</f>
        <v>0</v>
      </c>
      <c r="M30" s="171">
        <f>'Tryg Forsikring'!C13+'Tryg Forsikring'!C36+'Tryg Forsikring'!C44+'Tryg Forsikring'!C119+'Tryg Forsikring'!C167</f>
        <v>0</v>
      </c>
      <c r="N30" s="97"/>
      <c r="O30" s="171">
        <f t="shared" si="10"/>
        <v>0</v>
      </c>
      <c r="P30" s="202"/>
      <c r="Q30" s="218">
        <f t="shared" ca="1" si="3"/>
        <v>0</v>
      </c>
      <c r="R30" s="216">
        <f t="shared" ca="1" si="4"/>
        <v>0</v>
      </c>
      <c r="S30" s="218">
        <f t="shared" ca="1" si="5"/>
        <v>0</v>
      </c>
      <c r="T30" s="216">
        <f t="shared" ca="1" si="6"/>
        <v>0</v>
      </c>
    </row>
    <row r="31" spans="1:26" s="104" customFormat="1" ht="18.75" x14ac:dyDescent="0.3">
      <c r="A31" s="131" t="s">
        <v>123</v>
      </c>
      <c r="B31" s="174">
        <f>SUM(B9:B30)</f>
        <v>61934151.709918462</v>
      </c>
      <c r="C31" s="238">
        <f>SUM(C9:C30)</f>
        <v>59590460.201437332</v>
      </c>
      <c r="D31" s="97">
        <f t="shared" si="0"/>
        <v>-3.8</v>
      </c>
      <c r="E31" s="174">
        <f>SUM(E9:E30)</f>
        <v>100</v>
      </c>
      <c r="F31" s="175"/>
      <c r="G31" s="174">
        <f>SUM(G9:G30)</f>
        <v>2731110.0856600003</v>
      </c>
      <c r="H31" s="238">
        <f>SUM(H9:H30)</f>
        <v>1036399.2537592445</v>
      </c>
      <c r="I31" s="97">
        <f t="shared" si="1"/>
        <v>-62.1</v>
      </c>
      <c r="J31" s="174">
        <f>SUM(J9:J30)</f>
        <v>100.00000000000001</v>
      </c>
      <c r="K31" s="102"/>
      <c r="L31" s="174">
        <f>SUM(L9:L30)</f>
        <v>908431249.36142015</v>
      </c>
      <c r="M31" s="174">
        <f>SUM(M9:M30)</f>
        <v>942854352.0571053</v>
      </c>
      <c r="N31" s="97">
        <f t="shared" si="9"/>
        <v>3.8</v>
      </c>
      <c r="O31" s="174">
        <f>SUM(O9:O30)</f>
        <v>99.999999999999972</v>
      </c>
      <c r="P31" s="204"/>
      <c r="Q31" s="218">
        <f ca="1">SUM(Q9:Q30)</f>
        <v>0</v>
      </c>
      <c r="R31" s="216">
        <f ca="1">SUM(R9:R30)</f>
        <v>0</v>
      </c>
      <c r="S31" s="218">
        <f ca="1">SUM(S9:S30)</f>
        <v>0</v>
      </c>
      <c r="T31" s="216">
        <f ca="1">SUM(T9:T30)</f>
        <v>0</v>
      </c>
      <c r="Z31" s="200"/>
    </row>
    <row r="32" spans="1:26" ht="18.75" x14ac:dyDescent="0.3">
      <c r="A32" s="79"/>
      <c r="B32" s="171"/>
      <c r="C32" s="133"/>
      <c r="D32" s="97"/>
      <c r="E32" s="171"/>
      <c r="F32" s="133"/>
      <c r="G32" s="171"/>
      <c r="H32" s="96"/>
      <c r="I32" s="97"/>
      <c r="J32" s="171"/>
      <c r="K32" s="96"/>
      <c r="L32" s="171"/>
      <c r="M32" s="96"/>
      <c r="N32" s="97"/>
      <c r="O32" s="171"/>
      <c r="P32" s="202"/>
      <c r="Q32" s="215" t="s">
        <v>1</v>
      </c>
      <c r="R32" s="216"/>
      <c r="S32" s="218"/>
      <c r="T32" s="216"/>
    </row>
    <row r="33" spans="1:25" ht="18.75" x14ac:dyDescent="0.3">
      <c r="A33" s="94" t="s">
        <v>1</v>
      </c>
      <c r="B33" s="171"/>
      <c r="C33" s="133"/>
      <c r="D33" s="97"/>
      <c r="E33" s="171"/>
      <c r="F33" s="133"/>
      <c r="G33" s="171"/>
      <c r="H33" s="96"/>
      <c r="I33" s="97"/>
      <c r="J33" s="171"/>
      <c r="K33" s="96"/>
      <c r="L33" s="171"/>
      <c r="M33" s="96"/>
      <c r="N33" s="97"/>
      <c r="O33" s="171"/>
      <c r="P33" s="202"/>
      <c r="Q33" s="219">
        <v>2015</v>
      </c>
      <c r="R33" s="220">
        <v>2016</v>
      </c>
      <c r="S33" s="219">
        <v>2015</v>
      </c>
      <c r="T33" s="220">
        <v>2016</v>
      </c>
      <c r="U33" s="80" t="s">
        <v>187</v>
      </c>
    </row>
    <row r="34" spans="1:25" ht="18.75" x14ac:dyDescent="0.3">
      <c r="A34" s="100" t="s">
        <v>104</v>
      </c>
      <c r="B34" s="124">
        <f>'Danica Pensjonsforsikring'!F7+'Danica Pensjonsforsikring'!F25+'Danica Pensjonsforsikring'!F79+'Danica Pensjonsforsikring'!F165</f>
        <v>1318736.672</v>
      </c>
      <c r="C34" s="124">
        <f>'Danica Pensjonsforsikring'!G7+'Danica Pensjonsforsikring'!G25+'Danica Pensjonsforsikring'!G79+'Danica Pensjonsforsikring'!G165</f>
        <v>1601249.9339999999</v>
      </c>
      <c r="D34" s="97">
        <f t="shared" ref="D34:D45" si="11">IF(B34=0, "    ---- ", IF(ABS(ROUND(100/B34*C34-100,1))&lt;999,ROUND(100/B34*C34-100,1),IF(ROUND(100/B34*C34-100,1)&gt;999,999,-999)))</f>
        <v>21.4</v>
      </c>
      <c r="E34" s="171">
        <f t="shared" ref="E34" si="12">100/C$45*C34</f>
        <v>4.8917070373369738</v>
      </c>
      <c r="F34" s="133"/>
      <c r="G34" s="172">
        <f>'Danica Pensjonsforsikring'!F10+'Danica Pensjonsforsikring'!F31+'Danica Pensjonsforsikring'!F99+'Danica Pensjonsforsikring'!F166</f>
        <v>297843.3</v>
      </c>
      <c r="H34" s="171">
        <f>'Danica Pensjonsforsikring'!G10+'Danica Pensjonsforsikring'!G31+'Danica Pensjonsforsikring'!G99+'Danica Pensjonsforsikring'!G166</f>
        <v>484261</v>
      </c>
      <c r="I34" s="97">
        <f t="shared" ref="I34:I45" si="13">IF(G34=0, "    ---- ", IF(ABS(ROUND(100/G34*H34-100,1))&lt;999,ROUND(100/G34*H34-100,1),IF(ROUND(100/G34*H34-100,1)&gt;999,999,-999)))</f>
        <v>62.6</v>
      </c>
      <c r="J34" s="171">
        <f t="shared" ref="J34" si="14">100/H$45*H34</f>
        <v>5.4409603362985548</v>
      </c>
      <c r="K34" s="96"/>
      <c r="L34" s="171">
        <f>'Danica Pensjonsforsikring'!F13+'Danica Pensjonsforsikring'!F36+'Danica Pensjonsforsikring'!F119+'Danica Pensjonsforsikring'!F167</f>
        <v>12330572.925000001</v>
      </c>
      <c r="M34" s="171">
        <f>'Danica Pensjonsforsikring'!G13+'Danica Pensjonsforsikring'!G36+'Danica Pensjonsforsikring'!G119+'Danica Pensjonsforsikring'!G167</f>
        <v>14037345.691</v>
      </c>
      <c r="N34" s="97">
        <f t="shared" ref="N34:N45" si="15">IF(L34=0, "    ---- ", IF(ABS(ROUND(100/L34*M34-100,1))&lt;999,ROUND(100/L34*M34-100,1),IF(ROUND(100/L34*M34-100,1)&gt;999,999,-999)))</f>
        <v>13.8</v>
      </c>
      <c r="O34" s="171">
        <f t="shared" ref="O34" si="16">100/M$45*M34</f>
        <v>6.0467929539027621</v>
      </c>
      <c r="P34" s="202" t="s">
        <v>175</v>
      </c>
      <c r="Q34" s="218">
        <f t="shared" ref="Q34:Q44" ca="1" si="17">INDIRECT("'" &amp; $A34 &amp; "'!" &amp; $U$33)</f>
        <v>0</v>
      </c>
      <c r="R34" s="216">
        <f t="shared" ref="R34:R44" ca="1" si="18">INDIRECT("'" &amp; $A34 &amp; "'!" &amp; $U$34)</f>
        <v>0</v>
      </c>
      <c r="S34" s="218">
        <f t="shared" ref="S34:S44" ca="1" si="19">INDIRECT("'" &amp; $A34 &amp; "'!" &amp; $U$35)</f>
        <v>0</v>
      </c>
      <c r="T34" s="216">
        <f t="shared" ref="T34:T44" ca="1" si="20">INDIRECT("'"&amp;$A34&amp;"'!"&amp;$U$36)</f>
        <v>0</v>
      </c>
      <c r="U34" s="80" t="s">
        <v>189</v>
      </c>
    </row>
    <row r="35" spans="1:25" ht="18.75" x14ac:dyDescent="0.3">
      <c r="A35" s="79" t="s">
        <v>105</v>
      </c>
      <c r="B35" s="124">
        <f>'DNB Livsforsikring'!F7+'DNB Livsforsikring'!F25+'DNB Livsforsikring'!F79+'DNB Livsforsikring'!F165</f>
        <v>6671259</v>
      </c>
      <c r="C35" s="124">
        <f>'DNB Livsforsikring'!G7+'DNB Livsforsikring'!G25+'DNB Livsforsikring'!G79+'DNB Livsforsikring'!G165</f>
        <v>7888720</v>
      </c>
      <c r="D35" s="97">
        <f t="shared" si="11"/>
        <v>18.2</v>
      </c>
      <c r="E35" s="171">
        <f t="shared" ref="E35:E44" si="21">100/C$45*C35</f>
        <v>24.099490229600182</v>
      </c>
      <c r="F35" s="133"/>
      <c r="G35" s="171">
        <f>'DNB Livsforsikring'!F10+'DNB Livsforsikring'!F31+'DNB Livsforsikring'!F99+'DNB Livsforsikring'!F166</f>
        <v>646194.66399999999</v>
      </c>
      <c r="H35" s="171">
        <f>'DNB Livsforsikring'!G10+'DNB Livsforsikring'!G31+'DNB Livsforsikring'!G99+'DNB Livsforsikring'!G166</f>
        <v>694367.89100000006</v>
      </c>
      <c r="I35" s="97">
        <f t="shared" si="13"/>
        <v>7.5</v>
      </c>
      <c r="J35" s="171">
        <f t="shared" ref="J35:J44" si="22">100/H$45*H35</f>
        <v>7.801636212146505</v>
      </c>
      <c r="K35" s="96"/>
      <c r="L35" s="171">
        <f>'DNB Livsforsikring'!F13+'DNB Livsforsikring'!F36+'DNB Livsforsikring'!F119+'DNB Livsforsikring'!F167</f>
        <v>49679142.280000001</v>
      </c>
      <c r="M35" s="171">
        <f>'DNB Livsforsikring'!G13+'DNB Livsforsikring'!G36+'DNB Livsforsikring'!G119+'DNB Livsforsikring'!G167</f>
        <v>60220192.588040002</v>
      </c>
      <c r="N35" s="97">
        <f t="shared" si="15"/>
        <v>21.2</v>
      </c>
      <c r="O35" s="171">
        <f t="shared" ref="O35:O44" si="23">100/M$45*M35</f>
        <v>25.940732973292395</v>
      </c>
      <c r="P35" s="80" t="s">
        <v>183</v>
      </c>
      <c r="Q35" s="218">
        <f t="shared" ca="1" si="17"/>
        <v>0</v>
      </c>
      <c r="R35" s="216">
        <f t="shared" ca="1" si="18"/>
        <v>0</v>
      </c>
      <c r="S35" s="218">
        <f t="shared" ca="1" si="19"/>
        <v>0</v>
      </c>
      <c r="T35" s="216">
        <f t="shared" ca="1" si="20"/>
        <v>0</v>
      </c>
      <c r="U35" s="80" t="s">
        <v>188</v>
      </c>
    </row>
    <row r="36" spans="1:25" ht="18.75" x14ac:dyDescent="0.3">
      <c r="A36" s="100" t="s">
        <v>107</v>
      </c>
      <c r="B36" s="124">
        <f>'Frende Livsforsikring'!F7+'Frende Livsforsikring'!F25+'Frende Livsforsikring'!F79+'Frende Livsforsikring'!F165</f>
        <v>288724</v>
      </c>
      <c r="C36" s="124">
        <f>'Frende Livsforsikring'!G7+'Frende Livsforsikring'!G25+'Frende Livsforsikring'!G79+'Frende Livsforsikring'!G165</f>
        <v>317316</v>
      </c>
      <c r="D36" s="97">
        <f t="shared" si="11"/>
        <v>9.9</v>
      </c>
      <c r="E36" s="171">
        <f t="shared" si="21"/>
        <v>0.96937828211621291</v>
      </c>
      <c r="F36" s="133"/>
      <c r="G36" s="171">
        <f>'Frende Livsforsikring'!F10+'Frende Livsforsikring'!F31+'Frende Livsforsikring'!F99+'Frende Livsforsikring'!F166</f>
        <v>44529</v>
      </c>
      <c r="H36" s="171">
        <f>'Frende Livsforsikring'!G10+'Frende Livsforsikring'!G31+'Frende Livsforsikring'!G99+'Frende Livsforsikring'!G166</f>
        <v>13587</v>
      </c>
      <c r="I36" s="97">
        <f t="shared" si="13"/>
        <v>-69.5</v>
      </c>
      <c r="J36" s="171">
        <f t="shared" si="22"/>
        <v>0.15265802550543708</v>
      </c>
      <c r="K36" s="96"/>
      <c r="L36" s="171">
        <f>'Frende Livsforsikring'!F13+'Frende Livsforsikring'!F36+'Frende Livsforsikring'!F119+'Frende Livsforsikring'!F167</f>
        <v>2345808</v>
      </c>
      <c r="M36" s="171">
        <f>'Frende Livsforsikring'!G13+'Frende Livsforsikring'!G36+'Frende Livsforsikring'!G119+'Frende Livsforsikring'!G167</f>
        <v>2660563</v>
      </c>
      <c r="N36" s="97">
        <f t="shared" si="15"/>
        <v>13.4</v>
      </c>
      <c r="O36" s="171">
        <f t="shared" si="23"/>
        <v>1.1460766127693987</v>
      </c>
      <c r="P36" s="80" t="s">
        <v>176</v>
      </c>
      <c r="Q36" s="218">
        <f t="shared" ca="1" si="17"/>
        <v>0</v>
      </c>
      <c r="R36" s="216">
        <f t="shared" ca="1" si="18"/>
        <v>0</v>
      </c>
      <c r="S36" s="218">
        <f t="shared" ca="1" si="19"/>
        <v>0</v>
      </c>
      <c r="T36" s="216">
        <f t="shared" ca="1" si="20"/>
        <v>0</v>
      </c>
      <c r="U36" s="80" t="s">
        <v>190</v>
      </c>
    </row>
    <row r="37" spans="1:25" ht="18.75" x14ac:dyDescent="0.3">
      <c r="A37" s="100" t="s">
        <v>110</v>
      </c>
      <c r="B37" s="124">
        <f>'Gjensidige Pensjon'!F7+'Gjensidige Pensjon'!F25+'Gjensidige Pensjon'!F79+'Gjensidige Pensjon'!F165</f>
        <v>1752127</v>
      </c>
      <c r="C37" s="124">
        <f>'Gjensidige Pensjon'!G7+'Gjensidige Pensjon'!G25+'Gjensidige Pensjon'!G79+'Gjensidige Pensjon'!G165</f>
        <v>2012747</v>
      </c>
      <c r="D37" s="97">
        <f t="shared" si="11"/>
        <v>14.9</v>
      </c>
      <c r="E37" s="171">
        <f t="shared" si="21"/>
        <v>6.1488019173144792</v>
      </c>
      <c r="F37" s="133"/>
      <c r="G37" s="171">
        <f>'Gjensidige Pensjon'!F10+'Gjensidige Pensjon'!F31+'Gjensidige Pensjon'!F99+'Gjensidige Pensjon'!F166</f>
        <v>151008</v>
      </c>
      <c r="H37" s="171">
        <f>'Gjensidige Pensjon'!G10+'Gjensidige Pensjon'!G31+'Gjensidige Pensjon'!G99+'Gjensidige Pensjon'!G166</f>
        <v>151960</v>
      </c>
      <c r="I37" s="97">
        <f t="shared" si="13"/>
        <v>0.6</v>
      </c>
      <c r="J37" s="171">
        <f t="shared" si="22"/>
        <v>1.7073609741522204</v>
      </c>
      <c r="K37" s="96"/>
      <c r="L37" s="171">
        <f>'Gjensidige Pensjon'!F13+'Gjensidige Pensjon'!F36+'Gjensidige Pensjon'!F119+'Gjensidige Pensjon'!F167</f>
        <v>15155471</v>
      </c>
      <c r="M37" s="171">
        <f>'Gjensidige Pensjon'!G13+'Gjensidige Pensjon'!G36+'Gjensidige Pensjon'!G119+'Gjensidige Pensjon'!G167</f>
        <v>17827699</v>
      </c>
      <c r="N37" s="97">
        <f t="shared" si="15"/>
        <v>17.600000000000001</v>
      </c>
      <c r="O37" s="171">
        <f t="shared" si="23"/>
        <v>7.6795433460483356</v>
      </c>
      <c r="P37" s="80" t="s">
        <v>184</v>
      </c>
      <c r="Q37" s="218">
        <f t="shared" ca="1" si="17"/>
        <v>0</v>
      </c>
      <c r="R37" s="216">
        <f t="shared" ca="1" si="18"/>
        <v>0</v>
      </c>
      <c r="S37" s="218">
        <f t="shared" ca="1" si="19"/>
        <v>0</v>
      </c>
      <c r="T37" s="216">
        <f t="shared" ca="1" si="20"/>
        <v>0</v>
      </c>
    </row>
    <row r="38" spans="1:25" ht="18.75" x14ac:dyDescent="0.3">
      <c r="A38" s="100" t="s">
        <v>76</v>
      </c>
      <c r="B38" s="124">
        <f>KLP!F7+KLP!F25+KLP!F79+KLP!F165</f>
        <v>108686.046</v>
      </c>
      <c r="C38" s="124">
        <f>KLP!G7+KLP!G25+KLP!G79+KLP!G165</f>
        <v>133629.31599999999</v>
      </c>
      <c r="D38" s="97">
        <f t="shared" si="11"/>
        <v>22.9</v>
      </c>
      <c r="E38" s="171">
        <f t="shared" si="21"/>
        <v>0.40822825443546673</v>
      </c>
      <c r="F38" s="133"/>
      <c r="G38" s="171">
        <f>KLP!F10+KLP!F31+KLP!F99+KLP!F166</f>
        <v>0</v>
      </c>
      <c r="H38" s="171">
        <f>KLP!G10+KLP!G31+KLP!G99+KLP!G166</f>
        <v>0</v>
      </c>
      <c r="I38" s="97"/>
      <c r="J38" s="171">
        <f t="shared" si="22"/>
        <v>0</v>
      </c>
      <c r="K38" s="96"/>
      <c r="L38" s="171">
        <f>KLP!F13+KLP!F36+KLP!F119+KLP!F167</f>
        <v>2035724</v>
      </c>
      <c r="M38" s="171">
        <f>KLP!G13+KLP!G36+KLP!G119+KLP!G167</f>
        <v>2181469.20615</v>
      </c>
      <c r="N38" s="97">
        <f t="shared" si="15"/>
        <v>7.2</v>
      </c>
      <c r="O38" s="171">
        <f t="shared" si="23"/>
        <v>0.9396999201466536</v>
      </c>
      <c r="P38" s="80" t="s">
        <v>177</v>
      </c>
      <c r="Q38" s="218">
        <f t="shared" ca="1" si="17"/>
        <v>0</v>
      </c>
      <c r="R38" s="216">
        <f t="shared" ca="1" si="18"/>
        <v>0</v>
      </c>
      <c r="S38" s="218">
        <f t="shared" ca="1" si="19"/>
        <v>0</v>
      </c>
      <c r="T38" s="216">
        <f t="shared" ca="1" si="20"/>
        <v>0</v>
      </c>
    </row>
    <row r="39" spans="1:25" ht="18.75" x14ac:dyDescent="0.3">
      <c r="A39" s="100" t="s">
        <v>113</v>
      </c>
      <c r="B39" s="124">
        <f>'KLP Bedriftspensjon AS'!F7+'KLP Bedriftspensjon AS'!F25+'KLP Bedriftspensjon AS'!F79+'KLP Bedriftspensjon AS'!F165</f>
        <v>212431</v>
      </c>
      <c r="C39" s="124">
        <f>'KLP Bedriftspensjon AS'!G7+'KLP Bedriftspensjon AS'!G25+'KLP Bedriftspensjon AS'!G79+'KLP Bedriftspensjon AS'!G165</f>
        <v>274248</v>
      </c>
      <c r="D39" s="97">
        <f t="shared" si="11"/>
        <v>29.1</v>
      </c>
      <c r="E39" s="171">
        <f t="shared" si="21"/>
        <v>0.83780854137140004</v>
      </c>
      <c r="F39" s="133"/>
      <c r="G39" s="171">
        <f>'KLP Bedriftspensjon AS'!F10+'KLP Bedriftspensjon AS'!F31+'KLP Bedriftspensjon AS'!F99+'KLP Bedriftspensjon AS'!F166</f>
        <v>62123</v>
      </c>
      <c r="H39" s="171">
        <f>'KLP Bedriftspensjon AS'!G10+'KLP Bedriftspensjon AS'!G31+'KLP Bedriftspensjon AS'!G99+'KLP Bedriftspensjon AS'!G166</f>
        <v>80082</v>
      </c>
      <c r="I39" s="97">
        <f t="shared" si="13"/>
        <v>28.9</v>
      </c>
      <c r="J39" s="171">
        <f t="shared" si="22"/>
        <v>0.89976889663107473</v>
      </c>
      <c r="K39" s="96"/>
      <c r="L39" s="171">
        <f>'KLP Bedriftspensjon AS'!F13+'KLP Bedriftspensjon AS'!F36+'KLP Bedriftspensjon AS'!F119+'KLP Bedriftspensjon AS'!F167</f>
        <v>1182480</v>
      </c>
      <c r="M39" s="171">
        <f>'KLP Bedriftspensjon AS'!G13+'KLP Bedriftspensjon AS'!G36+'KLP Bedriftspensjon AS'!G119+'KLP Bedriftspensjon AS'!G167</f>
        <v>1673718</v>
      </c>
      <c r="N39" s="97">
        <f t="shared" si="15"/>
        <v>41.5</v>
      </c>
      <c r="O39" s="171">
        <f t="shared" si="23"/>
        <v>0.72097862601681395</v>
      </c>
      <c r="P39" s="80" t="s">
        <v>185</v>
      </c>
      <c r="Q39" s="218">
        <f t="shared" ca="1" si="17"/>
        <v>0</v>
      </c>
      <c r="R39" s="216">
        <f t="shared" ca="1" si="18"/>
        <v>0</v>
      </c>
      <c r="S39" s="218">
        <f t="shared" ca="1" si="19"/>
        <v>0</v>
      </c>
      <c r="T39" s="216">
        <f t="shared" ca="1" si="20"/>
        <v>0</v>
      </c>
    </row>
    <row r="40" spans="1:25" ht="18.75" x14ac:dyDescent="0.3">
      <c r="A40" s="100" t="s">
        <v>117</v>
      </c>
      <c r="B40" s="124">
        <f>'Nordea Liv '!F7+'Nordea Liv '!F25+'Nordea Liv '!F79+'Nordea Liv '!F165</f>
        <v>8718284.4820400029</v>
      </c>
      <c r="C40" s="124">
        <f>'Nordea Liv '!G7+'Nordea Liv '!G25+'Nordea Liv '!G79+'Nordea Liv '!G165</f>
        <v>8569024.0165900029</v>
      </c>
      <c r="D40" s="97">
        <f t="shared" si="11"/>
        <v>-1.7</v>
      </c>
      <c r="E40" s="171">
        <f t="shared" si="21"/>
        <v>26.177771623916183</v>
      </c>
      <c r="F40" s="133"/>
      <c r="G40" s="171">
        <f>'Nordea Liv '!F10+'Nordea Liv '!F31+'Nordea Liv '!F99+'Nordea Liv '!F166</f>
        <v>5238162.1816099994</v>
      </c>
      <c r="H40" s="171">
        <f>'Nordea Liv '!G10+'Nordea Liv '!G31+'Nordea Liv '!G99+'Nordea Liv '!G166</f>
        <v>5526911.1478300001</v>
      </c>
      <c r="I40" s="97">
        <f t="shared" si="13"/>
        <v>5.5</v>
      </c>
      <c r="J40" s="171">
        <f t="shared" si="22"/>
        <v>62.098133728690414</v>
      </c>
      <c r="K40" s="96"/>
      <c r="L40" s="171">
        <f>'Nordea Liv '!F13+'Nordea Liv '!F36+'Nordea Liv '!F119+'Nordea Liv '!F167</f>
        <v>39157649.860661566</v>
      </c>
      <c r="M40" s="171">
        <f>'Nordea Liv '!G13+'Nordea Liv '!G36+'Nordea Liv '!G119+'Nordea Liv '!G167</f>
        <v>47300719.99999994</v>
      </c>
      <c r="N40" s="97">
        <f t="shared" si="15"/>
        <v>20.8</v>
      </c>
      <c r="O40" s="171">
        <f t="shared" si="23"/>
        <v>20.375480287124827</v>
      </c>
      <c r="P40" s="202"/>
      <c r="Q40" s="218">
        <f t="shared" ca="1" si="17"/>
        <v>0</v>
      </c>
      <c r="R40" s="216">
        <f t="shared" ca="1" si="18"/>
        <v>0</v>
      </c>
      <c r="S40" s="218">
        <f t="shared" ca="1" si="19"/>
        <v>0</v>
      </c>
      <c r="T40" s="216">
        <f t="shared" ca="1" si="20"/>
        <v>0</v>
      </c>
    </row>
    <row r="41" spans="1:25" ht="18.75" x14ac:dyDescent="0.3">
      <c r="A41" s="100" t="s">
        <v>87</v>
      </c>
      <c r="B41" s="124">
        <f>'SHB Liv'!F7+'SHB Liv'!F25+'SHB Liv'!F79+'SHB Liv'!F165</f>
        <v>155206</v>
      </c>
      <c r="C41" s="124">
        <f>'SHB Liv'!G7+'SHB Liv'!G25+'SHB Liv'!G79+'SHB Liv'!G165</f>
        <v>173110</v>
      </c>
      <c r="D41" s="97">
        <f t="shared" si="11"/>
        <v>11.5</v>
      </c>
      <c r="E41" s="171">
        <f t="shared" si="21"/>
        <v>0.5288389946209382</v>
      </c>
      <c r="F41" s="133"/>
      <c r="G41" s="171">
        <f>'SHB Liv'!F10+'SHB Liv'!F31+'SHB Liv'!F99+'SHB Liv'!F166</f>
        <v>91161</v>
      </c>
      <c r="H41" s="171">
        <f>'SHB Liv'!G10+'SHB Liv'!G31+'SHB Liv'!G99+'SHB Liv'!G166</f>
        <v>172618</v>
      </c>
      <c r="I41" s="97">
        <f t="shared" si="13"/>
        <v>89.4</v>
      </c>
      <c r="J41" s="171">
        <f t="shared" si="22"/>
        <v>1.939465889946091</v>
      </c>
      <c r="K41" s="96"/>
      <c r="L41" s="171">
        <f>'SHB Liv'!F13+'SHB Liv'!F36+'SHB Liv'!F119+'SHB Liv'!F167</f>
        <v>1610956</v>
      </c>
      <c r="M41" s="171">
        <f>'SHB Liv'!G13+'SHB Liv'!G36+'SHB Liv'!G119+'SHB Liv'!G167</f>
        <v>1764000</v>
      </c>
      <c r="N41" s="97">
        <f t="shared" si="15"/>
        <v>9.5</v>
      </c>
      <c r="O41" s="171">
        <f t="shared" si="23"/>
        <v>0.75986892433113573</v>
      </c>
      <c r="P41" s="202"/>
      <c r="Q41" s="218">
        <f t="shared" ca="1" si="17"/>
        <v>0</v>
      </c>
      <c r="R41" s="216">
        <f t="shared" ca="1" si="18"/>
        <v>0</v>
      </c>
      <c r="S41" s="218">
        <f t="shared" ca="1" si="19"/>
        <v>0</v>
      </c>
      <c r="T41" s="216">
        <f t="shared" ca="1" si="20"/>
        <v>0</v>
      </c>
    </row>
    <row r="42" spans="1:25" ht="18.75" x14ac:dyDescent="0.3">
      <c r="A42" s="100" t="s">
        <v>119</v>
      </c>
      <c r="B42" s="124">
        <f>'Silver Pensjonsforsikring AS'!F7+'Silver Pensjonsforsikring AS'!F25+'Silver Pensjonsforsikring AS'!F79+'Silver Pensjonsforsikring AS'!F165</f>
        <v>14.59357003</v>
      </c>
      <c r="C42" s="124">
        <f>'Silver Pensjonsforsikring AS'!G7+'Silver Pensjonsforsikring AS'!G25+'Silver Pensjonsforsikring AS'!G79+'Silver Pensjonsforsikring AS'!G165</f>
        <v>0</v>
      </c>
      <c r="D42" s="97">
        <f t="shared" si="11"/>
        <v>-100</v>
      </c>
      <c r="E42" s="171">
        <f t="shared" si="21"/>
        <v>0</v>
      </c>
      <c r="F42" s="133"/>
      <c r="G42" s="171">
        <f>'Silver Pensjonsforsikring AS'!F10+'Silver Pensjonsforsikring AS'!F31+'Silver Pensjonsforsikring AS'!F99+'Silver Pensjonsforsikring AS'!F166</f>
        <v>0</v>
      </c>
      <c r="H42" s="171">
        <f>'Silver Pensjonsforsikring AS'!G10+'Silver Pensjonsforsikring AS'!G31+'Silver Pensjonsforsikring AS'!G99+'Silver Pensjonsforsikring AS'!G166</f>
        <v>0</v>
      </c>
      <c r="I42" s="97"/>
      <c r="J42" s="171">
        <f t="shared" si="22"/>
        <v>0</v>
      </c>
      <c r="K42" s="96"/>
      <c r="L42" s="171">
        <f>'Silver Pensjonsforsikring AS'!F13+'Silver Pensjonsforsikring AS'!F36+'Silver Pensjonsforsikring AS'!F119+'Silver Pensjonsforsikring AS'!F167</f>
        <v>554655.76254000003</v>
      </c>
      <c r="M42" s="171">
        <f>'Silver Pensjonsforsikring AS'!G13+'Silver Pensjonsforsikring AS'!G36+'Silver Pensjonsforsikring AS'!G119+'Silver Pensjonsforsikring AS'!G167</f>
        <v>0</v>
      </c>
      <c r="N42" s="97">
        <f t="shared" si="15"/>
        <v>-100</v>
      </c>
      <c r="O42" s="171">
        <f t="shared" si="23"/>
        <v>0</v>
      </c>
      <c r="P42" s="133"/>
      <c r="Q42" s="218">
        <f t="shared" ca="1" si="17"/>
        <v>0</v>
      </c>
      <c r="R42" s="216">
        <f t="shared" ca="1" si="18"/>
        <v>0</v>
      </c>
      <c r="S42" s="218">
        <f t="shared" ca="1" si="19"/>
        <v>0</v>
      </c>
      <c r="T42" s="216">
        <f t="shared" ca="1" si="20"/>
        <v>0</v>
      </c>
    </row>
    <row r="43" spans="1:25" ht="18.75" x14ac:dyDescent="0.3">
      <c r="A43" s="79" t="s">
        <v>83</v>
      </c>
      <c r="B43" s="124">
        <f>'Sparebank 1'!F7+'Sparebank 1'!F25+'Sparebank 1'!F79+'Sparebank 1'!F165</f>
        <v>1662297.2335399999</v>
      </c>
      <c r="C43" s="124">
        <f>'Sparebank 1'!G7+'Sparebank 1'!G25+'Sparebank 1'!G79+'Sparebank 1'!G165</f>
        <v>2177088.1554299998</v>
      </c>
      <c r="D43" s="97">
        <f t="shared" si="11"/>
        <v>31</v>
      </c>
      <c r="E43" s="171">
        <f t="shared" si="21"/>
        <v>6.6508527024363344</v>
      </c>
      <c r="F43" s="133"/>
      <c r="G43" s="171">
        <f>'Sparebank 1'!F10+'Sparebank 1'!F31+'Sparebank 1'!F99+'Sparebank 1'!F166</f>
        <v>174692.01799999998</v>
      </c>
      <c r="H43" s="171">
        <f>'Sparebank 1'!G10+'Sparebank 1'!G31+'Sparebank 1'!G99+'Sparebank 1'!G166</f>
        <v>436852</v>
      </c>
      <c r="I43" s="97">
        <f t="shared" si="13"/>
        <v>150.1</v>
      </c>
      <c r="J43" s="171">
        <f t="shared" si="22"/>
        <v>4.9082920260617646</v>
      </c>
      <c r="K43" s="96"/>
      <c r="L43" s="171">
        <f>'Sparebank 1'!F13+'Sparebank 1'!F36+'Sparebank 1'!F119+'Sparebank 1'!F167</f>
        <v>15766545.6006</v>
      </c>
      <c r="M43" s="171">
        <f>'Sparebank 1'!G13+'Sparebank 1'!G36+'Sparebank 1'!G119+'Sparebank 1'!G167</f>
        <v>19386681.029040001</v>
      </c>
      <c r="N43" s="97">
        <f t="shared" si="15"/>
        <v>23</v>
      </c>
      <c r="O43" s="171">
        <f t="shared" si="23"/>
        <v>8.3510977663761121</v>
      </c>
      <c r="P43" s="133"/>
      <c r="Q43" s="218">
        <f t="shared" ca="1" si="17"/>
        <v>0</v>
      </c>
      <c r="R43" s="216">
        <f t="shared" ca="1" si="18"/>
        <v>0</v>
      </c>
      <c r="S43" s="218">
        <f t="shared" ca="1" si="19"/>
        <v>0</v>
      </c>
      <c r="T43" s="216">
        <f t="shared" ca="1" si="20"/>
        <v>0</v>
      </c>
    </row>
    <row r="44" spans="1:25" ht="18.75" x14ac:dyDescent="0.3">
      <c r="A44" s="79" t="s">
        <v>120</v>
      </c>
      <c r="B44" s="124">
        <f>'Storebrand Livsforsikring'!F7+'Storebrand Livsforsikring'!F25+'Storebrand Livsforsikring'!F79+'Storebrand Livsforsikring'!F165</f>
        <v>7963561.2149999999</v>
      </c>
      <c r="C44" s="124">
        <f>'Storebrand Livsforsikring'!G7+'Storebrand Livsforsikring'!G25+'Storebrand Livsforsikring'!G79+'Storebrand Livsforsikring'!G165</f>
        <v>9586837.9849999994</v>
      </c>
      <c r="D44" s="97">
        <f t="shared" si="11"/>
        <v>20.399999999999999</v>
      </c>
      <c r="E44" s="171">
        <f t="shared" si="21"/>
        <v>29.28712241685183</v>
      </c>
      <c r="F44" s="133"/>
      <c r="G44" s="171">
        <f>'Storebrand Livsforsikring'!F10+'Storebrand Livsforsikring'!F31+'Storebrand Livsforsikring'!F99+'Storebrand Livsforsikring'!F166</f>
        <v>1538451.3119999999</v>
      </c>
      <c r="H44" s="171">
        <f>'Storebrand Livsforsikring'!G10+'Storebrand Livsforsikring'!G31+'Storebrand Livsforsikring'!G99+'Storebrand Livsforsikring'!G166</f>
        <v>1339646.3900000001</v>
      </c>
      <c r="I44" s="97">
        <f t="shared" si="13"/>
        <v>-12.9</v>
      </c>
      <c r="J44" s="171">
        <f t="shared" si="22"/>
        <v>15.051723910567949</v>
      </c>
      <c r="K44" s="96"/>
      <c r="L44" s="171">
        <f>'Storebrand Livsforsikring'!F13+'Storebrand Livsforsikring'!F36+'Storebrand Livsforsikring'!F119+'Storebrand Livsforsikring'!F167</f>
        <v>53833907.767999999</v>
      </c>
      <c r="M44" s="171">
        <f>'Storebrand Livsforsikring'!G13+'Storebrand Livsforsikring'!G36+'Storebrand Livsforsikring'!G119+'Storebrand Livsforsikring'!G167</f>
        <v>65092912.276000008</v>
      </c>
      <c r="N44" s="97">
        <f t="shared" si="15"/>
        <v>20.9</v>
      </c>
      <c r="O44" s="171">
        <f t="shared" si="23"/>
        <v>28.039728589991554</v>
      </c>
      <c r="P44" s="133"/>
      <c r="Q44" s="218">
        <f t="shared" ca="1" si="17"/>
        <v>0</v>
      </c>
      <c r="R44" s="216">
        <f t="shared" ca="1" si="18"/>
        <v>0</v>
      </c>
      <c r="S44" s="218">
        <f t="shared" ca="1" si="19"/>
        <v>0</v>
      </c>
      <c r="T44" s="216">
        <f t="shared" ca="1" si="20"/>
        <v>0</v>
      </c>
    </row>
    <row r="45" spans="1:25" s="104" customFormat="1" ht="18.75" x14ac:dyDescent="0.3">
      <c r="A45" s="94" t="s">
        <v>124</v>
      </c>
      <c r="B45" s="238">
        <f>SUM(B34:B44)</f>
        <v>28851327.242150035</v>
      </c>
      <c r="C45" s="238">
        <f>SUM(C34:C44)</f>
        <v>32733970.407020003</v>
      </c>
      <c r="D45" s="97">
        <f t="shared" si="11"/>
        <v>13.5</v>
      </c>
      <c r="E45" s="174">
        <f>SUM(E34:E44)</f>
        <v>100</v>
      </c>
      <c r="F45" s="175"/>
      <c r="G45" s="174">
        <f>SUM(G34:G44)</f>
        <v>8244164.4756099992</v>
      </c>
      <c r="H45" s="238">
        <f>SUM(H34:H44)</f>
        <v>8900285.4288299996</v>
      </c>
      <c r="I45" s="97">
        <f t="shared" si="13"/>
        <v>8</v>
      </c>
      <c r="J45" s="174">
        <f>SUM(J34:J44)</f>
        <v>100</v>
      </c>
      <c r="K45" s="102"/>
      <c r="L45" s="174">
        <f>SUM(L34:L44)</f>
        <v>193652913.19680157</v>
      </c>
      <c r="M45" s="174">
        <f>SUM(M34:M44)</f>
        <v>232145300.79022998</v>
      </c>
      <c r="N45" s="97">
        <f t="shared" si="15"/>
        <v>19.899999999999999</v>
      </c>
      <c r="O45" s="174">
        <f>SUM(O34:O44)</f>
        <v>99.999999999999986</v>
      </c>
      <c r="P45" s="133"/>
      <c r="Q45" s="218">
        <f ca="1">SUM(Q34:Q44)</f>
        <v>0</v>
      </c>
      <c r="R45" s="216">
        <f t="shared" ref="R45:T45" ca="1" si="24">SUM(R34:R44)</f>
        <v>0</v>
      </c>
      <c r="S45" s="218">
        <f t="shared" ca="1" si="24"/>
        <v>0</v>
      </c>
      <c r="T45" s="216">
        <f t="shared" ca="1" si="24"/>
        <v>0</v>
      </c>
    </row>
    <row r="46" spans="1:25" ht="18.75" x14ac:dyDescent="0.3">
      <c r="A46" s="94"/>
      <c r="B46" s="124"/>
      <c r="C46" s="102"/>
      <c r="D46" s="103"/>
      <c r="E46" s="171"/>
      <c r="F46" s="133"/>
      <c r="G46" s="174"/>
      <c r="H46" s="102"/>
      <c r="I46" s="103"/>
      <c r="J46" s="174"/>
      <c r="K46" s="102"/>
      <c r="L46" s="174"/>
      <c r="M46" s="102"/>
      <c r="N46" s="103"/>
      <c r="O46" s="174"/>
      <c r="P46" s="133"/>
      <c r="Q46" s="215" t="s">
        <v>125</v>
      </c>
      <c r="R46" s="221"/>
      <c r="S46" s="222"/>
      <c r="T46" s="221"/>
    </row>
    <row r="47" spans="1:25" ht="18.75" x14ac:dyDescent="0.3">
      <c r="A47" s="79"/>
      <c r="B47" s="124"/>
      <c r="C47" s="96"/>
      <c r="D47" s="97"/>
      <c r="E47" s="171"/>
      <c r="F47" s="133"/>
      <c r="G47" s="171"/>
      <c r="H47" s="96"/>
      <c r="I47" s="97"/>
      <c r="J47" s="171"/>
      <c r="K47" s="96"/>
      <c r="L47" s="171"/>
      <c r="M47" s="96"/>
      <c r="N47" s="97"/>
      <c r="O47" s="171"/>
      <c r="P47" s="133"/>
      <c r="Q47" s="219">
        <v>2015</v>
      </c>
      <c r="R47" s="220">
        <v>2016</v>
      </c>
      <c r="S47" s="219">
        <v>2015</v>
      </c>
      <c r="T47" s="220">
        <v>2016</v>
      </c>
    </row>
    <row r="48" spans="1:25" ht="18.75" x14ac:dyDescent="0.3">
      <c r="A48" s="94" t="s">
        <v>125</v>
      </c>
      <c r="B48" s="124"/>
      <c r="C48" s="96"/>
      <c r="D48" s="97"/>
      <c r="E48" s="171"/>
      <c r="F48" s="133"/>
      <c r="G48" s="171"/>
      <c r="H48" s="96"/>
      <c r="I48" s="97"/>
      <c r="J48" s="171"/>
      <c r="K48" s="96"/>
      <c r="L48" s="171"/>
      <c r="M48" s="96"/>
      <c r="N48" s="97"/>
      <c r="O48" s="171"/>
      <c r="P48" s="133"/>
      <c r="Q48" s="218"/>
      <c r="R48" s="216"/>
      <c r="S48" s="218"/>
      <c r="T48" s="216"/>
      <c r="U48" s="202"/>
      <c r="V48" s="202"/>
      <c r="W48" s="202"/>
      <c r="X48" s="178"/>
      <c r="Y48" s="133"/>
    </row>
    <row r="49" spans="1:25" ht="18.75" x14ac:dyDescent="0.3">
      <c r="A49" s="79" t="s">
        <v>103</v>
      </c>
      <c r="B49" s="124">
        <f>B9</f>
        <v>107796.07081</v>
      </c>
      <c r="C49" s="176">
        <f>C9</f>
        <v>0</v>
      </c>
      <c r="D49" s="97">
        <f t="shared" ref="D49:D71" si="25">IF(B49=0, "    ---- ", IF(ABS(ROUND(100/B49*C49-100,1))&lt;999,ROUND(100/B49*C49-100,1),IF(ROUND(100/B49*C49-100,1)&gt;999,999,-999)))</f>
        <v>-100</v>
      </c>
      <c r="E49" s="171">
        <f t="shared" ref="E49:E71" si="26">100/C$72*C49</f>
        <v>0</v>
      </c>
      <c r="F49" s="133"/>
      <c r="G49" s="171">
        <f>G9</f>
        <v>4749.2426599999999</v>
      </c>
      <c r="H49" s="176">
        <f>H9</f>
        <v>0</v>
      </c>
      <c r="I49" s="97">
        <f t="shared" ref="I49:I71" si="27">IF(G49=0, "    ---- ", IF(ABS(ROUND(100/G49*H49-100,1))&lt;999,ROUND(100/G49*H49-100,1),IF(ROUND(100/G49*H49-100,1)&gt;999,999,-999)))</f>
        <v>-100</v>
      </c>
      <c r="J49" s="171">
        <f>100/H$72*H49</f>
        <v>0</v>
      </c>
      <c r="K49" s="96"/>
      <c r="L49" s="171">
        <f>L9</f>
        <v>0</v>
      </c>
      <c r="M49" s="171">
        <f>M9</f>
        <v>0</v>
      </c>
      <c r="N49" s="97"/>
      <c r="O49" s="171">
        <f>100/M$72*M49</f>
        <v>0</v>
      </c>
      <c r="P49" s="133"/>
      <c r="Q49" s="218">
        <f ca="1">Q9</f>
        <v>0</v>
      </c>
      <c r="R49" s="223">
        <f ca="1">R9</f>
        <v>0</v>
      </c>
      <c r="S49" s="218">
        <f ca="1">S9</f>
        <v>0</v>
      </c>
      <c r="T49" s="223">
        <f ca="1">T9</f>
        <v>0</v>
      </c>
      <c r="U49" s="202"/>
      <c r="V49" s="202"/>
      <c r="W49" s="202"/>
      <c r="X49" s="178"/>
      <c r="Y49" s="133"/>
    </row>
    <row r="50" spans="1:25" ht="18.75" x14ac:dyDescent="0.3">
      <c r="A50" s="100" t="s">
        <v>104</v>
      </c>
      <c r="B50" s="124">
        <f>B10+B34</f>
        <v>1699274.94</v>
      </c>
      <c r="C50" s="96">
        <f>C10+C34</f>
        <v>1993525.0269999998</v>
      </c>
      <c r="D50" s="97">
        <f t="shared" si="25"/>
        <v>17.3</v>
      </c>
      <c r="E50" s="171">
        <f t="shared" si="26"/>
        <v>2.1592605704273726</v>
      </c>
      <c r="F50" s="133"/>
      <c r="G50" s="171">
        <f>G10+G34</f>
        <v>319750.15499999997</v>
      </c>
      <c r="H50" s="96">
        <f>H10+H34</f>
        <v>518901</v>
      </c>
      <c r="I50" s="97">
        <f t="shared" si="27"/>
        <v>62.3</v>
      </c>
      <c r="J50" s="171">
        <f>100/H$72*H50</f>
        <v>5.2220737255475402</v>
      </c>
      <c r="K50" s="96"/>
      <c r="L50" s="171">
        <f>L10+L34</f>
        <v>13224532.042000001</v>
      </c>
      <c r="M50" s="171">
        <f>M10+M34</f>
        <v>14974435.324999999</v>
      </c>
      <c r="N50" s="97">
        <f t="shared" ref="N50:N69" si="28">IF(L50=0, "    ---- ", IF(ABS(ROUND(100/L50*M50-100,1))&lt;999,ROUND(100/L50*M50-100,1),IF(ROUND(100/L50*M50-100,1)&gt;999,999,-999)))</f>
        <v>13.2</v>
      </c>
      <c r="O50" s="171">
        <f>100/M$72*M50</f>
        <v>1.2744204041859057</v>
      </c>
      <c r="P50" s="133"/>
      <c r="Q50" s="218">
        <f ca="1">Q10+Q34</f>
        <v>0</v>
      </c>
      <c r="R50" s="216">
        <f ca="1">R10+R34</f>
        <v>0</v>
      </c>
      <c r="S50" s="218">
        <f ca="1">S10+S34</f>
        <v>0</v>
      </c>
      <c r="T50" s="216">
        <f ca="1">T10+T34</f>
        <v>0</v>
      </c>
      <c r="U50" s="202"/>
      <c r="V50" s="202"/>
      <c r="W50" s="202"/>
      <c r="X50" s="178"/>
      <c r="Y50" s="133"/>
    </row>
    <row r="51" spans="1:25" ht="18.75" x14ac:dyDescent="0.3">
      <c r="A51" s="79" t="s">
        <v>105</v>
      </c>
      <c r="B51" s="124">
        <f>B11+B35</f>
        <v>17703591</v>
      </c>
      <c r="C51" s="96">
        <f>+C11+C35</f>
        <v>14243489</v>
      </c>
      <c r="D51" s="97">
        <f t="shared" si="25"/>
        <v>-19.5</v>
      </c>
      <c r="E51" s="171">
        <f t="shared" si="26"/>
        <v>15.427648896537285</v>
      </c>
      <c r="F51" s="133"/>
      <c r="G51" s="171">
        <f>+G11+G35</f>
        <v>2744221.6639999999</v>
      </c>
      <c r="H51" s="96">
        <f>+H11+H35</f>
        <v>967489.89100000006</v>
      </c>
      <c r="I51" s="97">
        <f t="shared" si="27"/>
        <v>-64.7</v>
      </c>
      <c r="J51" s="171">
        <f>100/H$72*H51</f>
        <v>9.7365461610672437</v>
      </c>
      <c r="K51" s="96"/>
      <c r="L51" s="171">
        <f>+L11+L35</f>
        <v>253730814.28</v>
      </c>
      <c r="M51" s="171">
        <f>+M11+M35</f>
        <v>263584581.58803999</v>
      </c>
      <c r="N51" s="97">
        <f t="shared" si="28"/>
        <v>3.9</v>
      </c>
      <c r="O51" s="171">
        <f>100/M$72*M51</f>
        <v>22.432736975649714</v>
      </c>
      <c r="P51" s="133"/>
      <c r="Q51" s="218">
        <f ca="1">Q11+Q35</f>
        <v>0</v>
      </c>
      <c r="R51" s="216">
        <f ca="1">+R11+R35</f>
        <v>0</v>
      </c>
      <c r="S51" s="218">
        <f ca="1">+S11+S35</f>
        <v>0</v>
      </c>
      <c r="T51" s="216">
        <f ca="1">+T11+T35</f>
        <v>0</v>
      </c>
      <c r="U51" s="202"/>
      <c r="V51" s="202"/>
      <c r="W51" s="202"/>
      <c r="X51" s="178"/>
      <c r="Y51" s="133"/>
    </row>
    <row r="52" spans="1:25" ht="18.75" x14ac:dyDescent="0.3">
      <c r="A52" s="79" t="s">
        <v>106</v>
      </c>
      <c r="B52" s="124">
        <f>B12</f>
        <v>222483</v>
      </c>
      <c r="C52" s="96">
        <f>C12</f>
        <v>351394</v>
      </c>
      <c r="D52" s="97">
        <f t="shared" si="25"/>
        <v>57.9</v>
      </c>
      <c r="E52" s="171">
        <f t="shared" si="26"/>
        <v>0.38060781711207292</v>
      </c>
      <c r="F52" s="133"/>
      <c r="G52" s="171">
        <f>G12</f>
        <v>34634</v>
      </c>
      <c r="H52" s="98">
        <f>+H12</f>
        <v>35755</v>
      </c>
      <c r="I52" s="97">
        <f t="shared" si="27"/>
        <v>3.2</v>
      </c>
      <c r="J52" s="171">
        <f>100/H$72*H52</f>
        <v>0.35982826407532903</v>
      </c>
      <c r="K52" s="96"/>
      <c r="L52" s="171">
        <f>L12</f>
        <v>377974</v>
      </c>
      <c r="M52" s="171">
        <f>M12</f>
        <v>401746</v>
      </c>
      <c r="N52" s="97">
        <f t="shared" si="28"/>
        <v>6.3</v>
      </c>
      <c r="O52" s="171">
        <f>100/M$72*M52</f>
        <v>3.4191159037916571E-2</v>
      </c>
      <c r="P52" s="133"/>
      <c r="Q52" s="218">
        <f ca="1">Q12</f>
        <v>0</v>
      </c>
      <c r="R52" s="216">
        <f ca="1">R12</f>
        <v>0</v>
      </c>
      <c r="S52" s="218">
        <f ca="1">S12</f>
        <v>0</v>
      </c>
      <c r="T52" s="216">
        <f ca="1">+T12+T36</f>
        <v>0</v>
      </c>
      <c r="U52" s="202"/>
      <c r="V52" s="202"/>
      <c r="W52" s="202"/>
      <c r="X52" s="178"/>
      <c r="Y52" s="133"/>
    </row>
    <row r="53" spans="1:25" ht="18.75" x14ac:dyDescent="0.3">
      <c r="A53" s="100" t="s">
        <v>107</v>
      </c>
      <c r="B53" s="124">
        <f>B13+B36</f>
        <v>711564</v>
      </c>
      <c r="C53" s="98">
        <f>C13+C36</f>
        <v>770307</v>
      </c>
      <c r="D53" s="99">
        <f t="shared" si="25"/>
        <v>8.3000000000000007</v>
      </c>
      <c r="E53" s="172">
        <f t="shared" si="26"/>
        <v>0.8343479563571079</v>
      </c>
      <c r="F53" s="173"/>
      <c r="G53" s="172">
        <f>G13+G36</f>
        <v>54873</v>
      </c>
      <c r="H53" s="98">
        <f>H13+H36</f>
        <v>20088</v>
      </c>
      <c r="I53" s="99">
        <f t="shared" si="27"/>
        <v>-63.4</v>
      </c>
      <c r="J53" s="172">
        <f t="shared" ref="J53:J71" si="29">100/H$72*H53</f>
        <v>0.20215998234499258</v>
      </c>
      <c r="K53" s="98"/>
      <c r="L53" s="172">
        <f>L13+L36</f>
        <v>2930905</v>
      </c>
      <c r="M53" s="172">
        <f>M13+M36</f>
        <v>3328019</v>
      </c>
      <c r="N53" s="97">
        <f t="shared" si="28"/>
        <v>13.5</v>
      </c>
      <c r="O53" s="171">
        <f t="shared" ref="O53:O71" si="30">100/M$72*M53</f>
        <v>0.28323574325620682</v>
      </c>
      <c r="P53" s="133"/>
      <c r="Q53" s="218">
        <f ca="1">Q13+Q36</f>
        <v>0</v>
      </c>
      <c r="R53" s="216">
        <f ca="1">R13+R36</f>
        <v>0</v>
      </c>
      <c r="S53" s="218">
        <f ca="1">S13+S36</f>
        <v>0</v>
      </c>
      <c r="T53" s="216">
        <f ca="1">T13+T36</f>
        <v>0</v>
      </c>
      <c r="U53" s="205"/>
      <c r="V53" s="205"/>
      <c r="W53" s="205"/>
      <c r="X53" s="178"/>
      <c r="Y53" s="133"/>
    </row>
    <row r="54" spans="1:25" ht="18.75" x14ac:dyDescent="0.3">
      <c r="A54" s="100" t="s">
        <v>108</v>
      </c>
      <c r="B54" s="124">
        <f>B14</f>
        <v>3484</v>
      </c>
      <c r="C54" s="98">
        <f>C14</f>
        <v>4460</v>
      </c>
      <c r="D54" s="99">
        <f t="shared" si="25"/>
        <v>28</v>
      </c>
      <c r="E54" s="172">
        <f t="shared" si="26"/>
        <v>4.8307906917017512E-3</v>
      </c>
      <c r="F54" s="173"/>
      <c r="G54" s="172">
        <f>G14</f>
        <v>0</v>
      </c>
      <c r="H54" s="98">
        <f>H14</f>
        <v>0</v>
      </c>
      <c r="I54" s="99"/>
      <c r="J54" s="172">
        <f t="shared" si="29"/>
        <v>0</v>
      </c>
      <c r="K54" s="98"/>
      <c r="L54" s="172">
        <f>L14</f>
        <v>0</v>
      </c>
      <c r="M54" s="172">
        <f>M14</f>
        <v>0</v>
      </c>
      <c r="N54" s="97"/>
      <c r="O54" s="171">
        <f t="shared" si="30"/>
        <v>0</v>
      </c>
      <c r="P54" s="133"/>
      <c r="Q54" s="218">
        <f ca="1">Q14</f>
        <v>0</v>
      </c>
      <c r="R54" s="216">
        <f ca="1">R14</f>
        <v>0</v>
      </c>
      <c r="S54" s="218">
        <f ca="1">S14</f>
        <v>0</v>
      </c>
      <c r="T54" s="216">
        <f ca="1">T14</f>
        <v>0</v>
      </c>
      <c r="U54" s="205"/>
      <c r="V54" s="205"/>
      <c r="W54" s="205"/>
      <c r="X54" s="178"/>
      <c r="Y54" s="133"/>
    </row>
    <row r="55" spans="1:25" ht="18.75" x14ac:dyDescent="0.3">
      <c r="A55" s="79" t="s">
        <v>109</v>
      </c>
      <c r="B55" s="96">
        <f>B15</f>
        <v>1534904</v>
      </c>
      <c r="C55" s="96">
        <f>+C15</f>
        <v>1537000</v>
      </c>
      <c r="D55" s="97">
        <f t="shared" si="25"/>
        <v>0.1</v>
      </c>
      <c r="E55" s="171">
        <f t="shared" si="26"/>
        <v>1.6647814558622405</v>
      </c>
      <c r="F55" s="133"/>
      <c r="G55" s="171">
        <f>+G15</f>
        <v>55314</v>
      </c>
      <c r="H55" s="96">
        <f>+H15</f>
        <v>59672</v>
      </c>
      <c r="I55" s="97">
        <f t="shared" si="27"/>
        <v>7.9</v>
      </c>
      <c r="J55" s="171">
        <f t="shared" si="29"/>
        <v>0.60052222553217827</v>
      </c>
      <c r="K55" s="96"/>
      <c r="L55" s="171">
        <f>+L15</f>
        <v>1246980</v>
      </c>
      <c r="M55" s="171">
        <f>+M15</f>
        <v>1194028</v>
      </c>
      <c r="N55" s="97">
        <f t="shared" si="28"/>
        <v>-4.2</v>
      </c>
      <c r="O55" s="171">
        <f t="shared" si="30"/>
        <v>0.10161943427868714</v>
      </c>
      <c r="P55" s="133"/>
      <c r="Q55" s="218">
        <f ca="1">Q15</f>
        <v>0</v>
      </c>
      <c r="R55" s="216">
        <f ca="1">+R15</f>
        <v>0</v>
      </c>
      <c r="S55" s="218">
        <f ca="1">+S15</f>
        <v>0</v>
      </c>
      <c r="T55" s="216">
        <f ca="1">+T15</f>
        <v>0</v>
      </c>
      <c r="U55" s="202"/>
      <c r="V55" s="202"/>
      <c r="W55" s="202"/>
      <c r="X55" s="178"/>
      <c r="Y55" s="133"/>
    </row>
    <row r="56" spans="1:25" ht="18.75" x14ac:dyDescent="0.3">
      <c r="A56" s="79" t="s">
        <v>110</v>
      </c>
      <c r="B56" s="96">
        <f>B16+B37</f>
        <v>2145656</v>
      </c>
      <c r="C56" s="96">
        <f>C16+C37</f>
        <v>2472080</v>
      </c>
      <c r="D56" s="97">
        <f t="shared" si="25"/>
        <v>15.2</v>
      </c>
      <c r="E56" s="171">
        <f t="shared" si="26"/>
        <v>2.6776011329914948</v>
      </c>
      <c r="F56" s="133"/>
      <c r="G56" s="171">
        <f>G16+G37</f>
        <v>223479</v>
      </c>
      <c r="H56" s="96">
        <f>H16+H37</f>
        <v>228584</v>
      </c>
      <c r="I56" s="97">
        <f t="shared" si="27"/>
        <v>2.2999999999999998</v>
      </c>
      <c r="J56" s="171">
        <f t="shared" si="29"/>
        <v>2.3004050878309332</v>
      </c>
      <c r="K56" s="96"/>
      <c r="L56" s="171">
        <f>L16+L37</f>
        <v>20033011</v>
      </c>
      <c r="M56" s="171">
        <f>M16+M37</f>
        <v>23237255</v>
      </c>
      <c r="N56" s="97">
        <f t="shared" si="28"/>
        <v>16</v>
      </c>
      <c r="O56" s="171">
        <f t="shared" si="30"/>
        <v>1.977639307695962</v>
      </c>
      <c r="P56" s="133"/>
      <c r="Q56" s="218">
        <f ca="1">Q16+Q37</f>
        <v>0</v>
      </c>
      <c r="R56" s="216">
        <f ca="1">R16+R37</f>
        <v>0</v>
      </c>
      <c r="S56" s="218">
        <f ca="1">S16+S37</f>
        <v>0</v>
      </c>
      <c r="T56" s="216">
        <f ca="1">T16+T37</f>
        <v>0</v>
      </c>
      <c r="U56" s="202"/>
      <c r="V56" s="202"/>
      <c r="W56" s="202"/>
      <c r="X56" s="178"/>
      <c r="Y56" s="133"/>
    </row>
    <row r="57" spans="1:25" ht="18.75" x14ac:dyDescent="0.3">
      <c r="A57" s="79" t="s">
        <v>111</v>
      </c>
      <c r="B57" s="96">
        <f>B17</f>
        <v>40133</v>
      </c>
      <c r="C57" s="96">
        <f>+C17</f>
        <v>38617</v>
      </c>
      <c r="D57" s="97">
        <f t="shared" si="25"/>
        <v>-3.8</v>
      </c>
      <c r="E57" s="171">
        <f t="shared" si="26"/>
        <v>4.1827498686422993E-2</v>
      </c>
      <c r="F57" s="133"/>
      <c r="G57" s="171">
        <f>+G17</f>
        <v>2739</v>
      </c>
      <c r="H57" s="96">
        <f>+H17</f>
        <v>1814</v>
      </c>
      <c r="I57" s="97">
        <f t="shared" si="27"/>
        <v>-33.799999999999997</v>
      </c>
      <c r="J57" s="171">
        <f t="shared" si="29"/>
        <v>1.8255585821078082E-2</v>
      </c>
      <c r="K57" s="96"/>
      <c r="L57" s="171">
        <f>+L17</f>
        <v>29117</v>
      </c>
      <c r="M57" s="171">
        <f>+M17</f>
        <v>25901</v>
      </c>
      <c r="N57" s="97">
        <f t="shared" si="28"/>
        <v>-11</v>
      </c>
      <c r="O57" s="171">
        <f t="shared" si="30"/>
        <v>2.2043410768024501E-3</v>
      </c>
      <c r="P57" s="133"/>
      <c r="Q57" s="218">
        <f ca="1">Q17</f>
        <v>0</v>
      </c>
      <c r="R57" s="216">
        <f t="shared" ref="R57:T58" ca="1" si="31">+R17</f>
        <v>0</v>
      </c>
      <c r="S57" s="218">
        <f t="shared" ca="1" si="31"/>
        <v>0</v>
      </c>
      <c r="T57" s="216">
        <f t="shared" ca="1" si="31"/>
        <v>0</v>
      </c>
      <c r="U57" s="202"/>
      <c r="V57" s="202"/>
      <c r="W57" s="202"/>
      <c r="X57" s="178"/>
      <c r="Y57" s="133"/>
    </row>
    <row r="58" spans="1:25" ht="18.75" x14ac:dyDescent="0.3">
      <c r="A58" s="79" t="s">
        <v>112</v>
      </c>
      <c r="B58" s="96">
        <f>B18</f>
        <v>390668.43199999997</v>
      </c>
      <c r="C58" s="96">
        <f>+C18</f>
        <v>414284.755</v>
      </c>
      <c r="D58" s="97">
        <f t="shared" si="25"/>
        <v>6</v>
      </c>
      <c r="E58" s="171">
        <f t="shared" si="26"/>
        <v>0.44872711618115263</v>
      </c>
      <c r="F58" s="133"/>
      <c r="G58" s="171">
        <f>+G18</f>
        <v>30210.170999999998</v>
      </c>
      <c r="H58" s="96">
        <f>+H18</f>
        <v>34592.843000000001</v>
      </c>
      <c r="I58" s="97">
        <f t="shared" si="27"/>
        <v>14.5</v>
      </c>
      <c r="J58" s="171">
        <f t="shared" si="29"/>
        <v>0.34813264287848966</v>
      </c>
      <c r="K58" s="96"/>
      <c r="L58" s="171">
        <f>+L18</f>
        <v>311920</v>
      </c>
      <c r="M58" s="171">
        <f>+M18</f>
        <v>378750</v>
      </c>
      <c r="N58" s="97">
        <f t="shared" si="28"/>
        <v>21.4</v>
      </c>
      <c r="O58" s="171">
        <f t="shared" si="30"/>
        <v>3.2234052076712399E-2</v>
      </c>
      <c r="P58" s="133"/>
      <c r="Q58" s="218">
        <f ca="1">Q18</f>
        <v>0</v>
      </c>
      <c r="R58" s="216">
        <f t="shared" ca="1" si="31"/>
        <v>0</v>
      </c>
      <c r="S58" s="218">
        <f t="shared" ca="1" si="31"/>
        <v>0</v>
      </c>
      <c r="T58" s="216">
        <f t="shared" ca="1" si="31"/>
        <v>0</v>
      </c>
      <c r="U58" s="202"/>
      <c r="V58" s="202"/>
      <c r="W58" s="202"/>
      <c r="X58" s="178"/>
      <c r="Y58" s="133"/>
    </row>
    <row r="59" spans="1:25" ht="18.75" x14ac:dyDescent="0.3">
      <c r="A59" s="79" t="s">
        <v>76</v>
      </c>
      <c r="B59" s="98">
        <f>B19+B38</f>
        <v>29543065.434159998</v>
      </c>
      <c r="C59" s="98">
        <f>C19+C38</f>
        <v>33606311.704949997</v>
      </c>
      <c r="D59" s="99">
        <f t="shared" si="25"/>
        <v>13.8</v>
      </c>
      <c r="E59" s="172">
        <f t="shared" si="26"/>
        <v>36.400237167421537</v>
      </c>
      <c r="F59" s="173"/>
      <c r="G59" s="172">
        <f>G19+G38</f>
        <v>6252.7</v>
      </c>
      <c r="H59" s="98">
        <f>H19+H38</f>
        <v>6182</v>
      </c>
      <c r="I59" s="99">
        <f t="shared" si="27"/>
        <v>-1.1000000000000001</v>
      </c>
      <c r="J59" s="172">
        <f t="shared" si="29"/>
        <v>6.2213909341733577E-2</v>
      </c>
      <c r="K59" s="98"/>
      <c r="L59" s="172">
        <f>L19+L38</f>
        <v>390883560</v>
      </c>
      <c r="M59" s="172">
        <f>M19+M38</f>
        <v>424027421.75699002</v>
      </c>
      <c r="N59" s="97">
        <f t="shared" si="28"/>
        <v>8.5</v>
      </c>
      <c r="O59" s="171">
        <f t="shared" si="30"/>
        <v>36.087450811535071</v>
      </c>
      <c r="P59" s="133"/>
      <c r="Q59" s="218">
        <f ca="1">Q19+Q38</f>
        <v>0</v>
      </c>
      <c r="R59" s="216">
        <f ca="1">R19+R38</f>
        <v>0</v>
      </c>
      <c r="S59" s="218">
        <f ca="1">S19+S38</f>
        <v>0</v>
      </c>
      <c r="T59" s="216">
        <f ca="1">T19+T38</f>
        <v>0</v>
      </c>
      <c r="U59" s="205"/>
      <c r="V59" s="205"/>
      <c r="W59" s="205"/>
      <c r="X59" s="178"/>
      <c r="Y59" s="133"/>
    </row>
    <row r="60" spans="1:25" ht="18.75" x14ac:dyDescent="0.3">
      <c r="A60" s="79" t="s">
        <v>113</v>
      </c>
      <c r="B60" s="96">
        <f>B20+B39</f>
        <v>336042</v>
      </c>
      <c r="C60" s="96">
        <f>+C20+C39</f>
        <v>389573</v>
      </c>
      <c r="D60" s="97">
        <f t="shared" si="25"/>
        <v>15.9</v>
      </c>
      <c r="E60" s="171">
        <f t="shared" si="26"/>
        <v>0.42196090182473689</v>
      </c>
      <c r="F60" s="133"/>
      <c r="G60" s="171">
        <f>G20+G39</f>
        <v>62123</v>
      </c>
      <c r="H60" s="96">
        <f>H20+H39</f>
        <v>80082</v>
      </c>
      <c r="I60" s="97">
        <f t="shared" si="27"/>
        <v>28.9</v>
      </c>
      <c r="J60" s="171">
        <f t="shared" si="29"/>
        <v>0.80592272531619347</v>
      </c>
      <c r="K60" s="96"/>
      <c r="L60" s="171">
        <f>L20+L39</f>
        <v>2562002</v>
      </c>
      <c r="M60" s="171">
        <f>M20+M39</f>
        <v>3174220</v>
      </c>
      <c r="N60" s="97">
        <f t="shared" si="28"/>
        <v>23.9</v>
      </c>
      <c r="O60" s="171">
        <f t="shared" si="30"/>
        <v>0.27014646279324628</v>
      </c>
      <c r="P60" s="133"/>
      <c r="Q60" s="218">
        <f ca="1">Q20+Q39</f>
        <v>0</v>
      </c>
      <c r="R60" s="216">
        <f ca="1">+R20+R39</f>
        <v>0</v>
      </c>
      <c r="S60" s="218">
        <f ca="1">S20+S39</f>
        <v>0</v>
      </c>
      <c r="T60" s="216">
        <f ca="1">T20+T39</f>
        <v>0</v>
      </c>
      <c r="U60" s="202"/>
      <c r="V60" s="202"/>
      <c r="W60" s="202"/>
      <c r="X60" s="178"/>
      <c r="Y60" s="133"/>
    </row>
    <row r="61" spans="1:25" ht="18.75" x14ac:dyDescent="0.3">
      <c r="A61" s="79" t="s">
        <v>114</v>
      </c>
      <c r="B61" s="96">
        <f>B21</f>
        <v>115950</v>
      </c>
      <c r="C61" s="96">
        <f t="shared" ref="C61:C63" si="32">C21</f>
        <v>135344</v>
      </c>
      <c r="D61" s="97">
        <f t="shared" si="25"/>
        <v>16.7</v>
      </c>
      <c r="E61" s="171">
        <f t="shared" si="26"/>
        <v>0.14659608416539952</v>
      </c>
      <c r="F61" s="133"/>
      <c r="G61" s="171">
        <f t="shared" ref="G61:H63" si="33">G21</f>
        <v>6485</v>
      </c>
      <c r="H61" s="96">
        <f t="shared" si="33"/>
        <v>7686</v>
      </c>
      <c r="I61" s="97">
        <f t="shared" si="27"/>
        <v>18.5</v>
      </c>
      <c r="J61" s="171">
        <f t="shared" si="29"/>
        <v>7.7349742348845729E-2</v>
      </c>
      <c r="K61" s="96"/>
      <c r="L61" s="171">
        <f t="shared" ref="L61:L63" si="34">L21</f>
        <v>0</v>
      </c>
      <c r="M61" s="171">
        <f t="shared" ref="M61" si="35">M21</f>
        <v>3590</v>
      </c>
      <c r="N61" s="97" t="str">
        <f t="shared" si="28"/>
        <v xml:space="preserve">    ---- </v>
      </c>
      <c r="O61" s="171">
        <f t="shared" si="30"/>
        <v>3.0553200516276574E-4</v>
      </c>
      <c r="P61" s="133"/>
      <c r="Q61" s="218">
        <f ca="1">Q21</f>
        <v>0</v>
      </c>
      <c r="R61" s="216">
        <f t="shared" ref="R61:R63" ca="1" si="36">R21</f>
        <v>0</v>
      </c>
      <c r="S61" s="218">
        <f t="shared" ref="S61:T61" ca="1" si="37">S21</f>
        <v>0</v>
      </c>
      <c r="T61" s="216">
        <f t="shared" ca="1" si="37"/>
        <v>0</v>
      </c>
      <c r="U61" s="202"/>
      <c r="V61" s="202"/>
      <c r="W61" s="202"/>
      <c r="X61" s="178"/>
      <c r="Y61" s="133"/>
    </row>
    <row r="62" spans="1:25" ht="18.75" x14ac:dyDescent="0.3">
      <c r="A62" s="79" t="s">
        <v>115</v>
      </c>
      <c r="B62" s="96">
        <f>B22</f>
        <v>39880</v>
      </c>
      <c r="C62" s="96">
        <f t="shared" si="32"/>
        <v>25735</v>
      </c>
      <c r="D62" s="97">
        <f t="shared" si="25"/>
        <v>-35.5</v>
      </c>
      <c r="E62" s="171">
        <f t="shared" si="26"/>
        <v>2.7874528800660218E-2</v>
      </c>
      <c r="F62" s="133"/>
      <c r="G62" s="171">
        <f t="shared" si="33"/>
        <v>2270</v>
      </c>
      <c r="H62" s="96">
        <f t="shared" si="33"/>
        <v>2376</v>
      </c>
      <c r="I62" s="97">
        <f t="shared" si="27"/>
        <v>4.7</v>
      </c>
      <c r="J62" s="171">
        <f t="shared" si="29"/>
        <v>2.3911395761235681E-2</v>
      </c>
      <c r="K62" s="96"/>
      <c r="L62" s="171">
        <f t="shared" si="34"/>
        <v>0</v>
      </c>
      <c r="M62" s="171">
        <f t="shared" ref="M62" si="38">M22</f>
        <v>0</v>
      </c>
      <c r="N62" s="97"/>
      <c r="O62" s="171">
        <f t="shared" si="30"/>
        <v>0</v>
      </c>
      <c r="P62" s="133"/>
      <c r="Q62" s="218">
        <f ca="1">Q22</f>
        <v>0</v>
      </c>
      <c r="R62" s="216">
        <f t="shared" ca="1" si="36"/>
        <v>0</v>
      </c>
      <c r="S62" s="218">
        <f t="shared" ref="S62:T62" ca="1" si="39">S22</f>
        <v>0</v>
      </c>
      <c r="T62" s="216">
        <f t="shared" ca="1" si="39"/>
        <v>0</v>
      </c>
      <c r="U62" s="202"/>
      <c r="V62" s="202"/>
      <c r="W62" s="202"/>
      <c r="X62" s="178"/>
      <c r="Y62" s="133"/>
    </row>
    <row r="63" spans="1:25" ht="18.75" x14ac:dyDescent="0.3">
      <c r="A63" s="79" t="s">
        <v>116</v>
      </c>
      <c r="B63" s="96">
        <f>B23</f>
        <v>2346</v>
      </c>
      <c r="C63" s="96">
        <f t="shared" si="32"/>
        <v>2338</v>
      </c>
      <c r="D63" s="97">
        <f t="shared" si="25"/>
        <v>-0.3</v>
      </c>
      <c r="E63" s="171">
        <f t="shared" si="26"/>
        <v>2.5323741339010526E-3</v>
      </c>
      <c r="F63" s="133"/>
      <c r="G63" s="171">
        <f t="shared" si="33"/>
        <v>0</v>
      </c>
      <c r="H63" s="96">
        <f t="shared" si="33"/>
        <v>28</v>
      </c>
      <c r="I63" s="97" t="str">
        <f t="shared" si="27"/>
        <v xml:space="preserve">    ---- </v>
      </c>
      <c r="J63" s="171">
        <f t="shared" si="29"/>
        <v>2.8178412513240702E-4</v>
      </c>
      <c r="K63" s="96"/>
      <c r="L63" s="171">
        <f t="shared" si="34"/>
        <v>0</v>
      </c>
      <c r="M63" s="171">
        <f t="shared" ref="M63" si="40">M23</f>
        <v>0</v>
      </c>
      <c r="N63" s="97"/>
      <c r="O63" s="171">
        <f t="shared" si="30"/>
        <v>0</v>
      </c>
      <c r="P63" s="133"/>
      <c r="Q63" s="218">
        <f ca="1">Q23</f>
        <v>0</v>
      </c>
      <c r="R63" s="216">
        <f t="shared" ca="1" si="36"/>
        <v>0</v>
      </c>
      <c r="S63" s="218">
        <f t="shared" ref="S63:T63" ca="1" si="41">S23</f>
        <v>0</v>
      </c>
      <c r="T63" s="216">
        <f t="shared" ca="1" si="41"/>
        <v>0</v>
      </c>
      <c r="U63" s="202"/>
      <c r="V63" s="202"/>
      <c r="W63" s="202"/>
      <c r="X63" s="178"/>
      <c r="Y63" s="133"/>
    </row>
    <row r="64" spans="1:25" ht="18.75" x14ac:dyDescent="0.3">
      <c r="A64" s="100" t="s">
        <v>81</v>
      </c>
      <c r="B64" s="96">
        <f>B24+B40</f>
        <v>11375680.687188458</v>
      </c>
      <c r="C64" s="96">
        <f>+C24+C40</f>
        <v>10654526.996247344</v>
      </c>
      <c r="D64" s="97">
        <f t="shared" si="25"/>
        <v>-6.3</v>
      </c>
      <c r="E64" s="171">
        <f t="shared" si="26"/>
        <v>11.540311622860244</v>
      </c>
      <c r="F64" s="133"/>
      <c r="G64" s="171">
        <f>+G24+G40</f>
        <v>5321534.6866099993</v>
      </c>
      <c r="H64" s="96">
        <f>+H24+H40</f>
        <v>5595478.477589245</v>
      </c>
      <c r="I64" s="97">
        <f t="shared" si="27"/>
        <v>5.0999999999999996</v>
      </c>
      <c r="J64" s="171">
        <f t="shared" si="29"/>
        <v>56.311321696596359</v>
      </c>
      <c r="K64" s="96"/>
      <c r="L64" s="171">
        <f>+L24+L40</f>
        <v>86284383.636991769</v>
      </c>
      <c r="M64" s="171">
        <f>+M24+M40</f>
        <v>95823290.00012517</v>
      </c>
      <c r="N64" s="97">
        <f t="shared" si="28"/>
        <v>11.1</v>
      </c>
      <c r="O64" s="171">
        <f t="shared" si="30"/>
        <v>8.1551760264711532</v>
      </c>
      <c r="P64" s="133"/>
      <c r="Q64" s="218">
        <f ca="1">Q24+Q40</f>
        <v>0</v>
      </c>
      <c r="R64" s="216">
        <f ca="1">+R24+R40</f>
        <v>0</v>
      </c>
      <c r="S64" s="218">
        <f ca="1">+S24+S40</f>
        <v>0</v>
      </c>
      <c r="T64" s="216">
        <f ca="1">+T24+T40</f>
        <v>0</v>
      </c>
      <c r="U64" s="202"/>
      <c r="V64" s="202"/>
      <c r="W64" s="202"/>
      <c r="X64" s="178"/>
      <c r="Y64" s="133"/>
    </row>
    <row r="65" spans="1:245" ht="18.75" customHeight="1" x14ac:dyDescent="0.3">
      <c r="A65" s="100" t="s">
        <v>118</v>
      </c>
      <c r="B65" s="96">
        <f>B25</f>
        <v>4084610</v>
      </c>
      <c r="C65" s="96">
        <f>C25</f>
        <v>4018088</v>
      </c>
      <c r="D65" s="97">
        <f t="shared" si="25"/>
        <v>-1.6</v>
      </c>
      <c r="E65" s="171">
        <f t="shared" si="26"/>
        <v>4.3521394862866609</v>
      </c>
      <c r="F65" s="133"/>
      <c r="G65" s="171">
        <f>G25</f>
        <v>0</v>
      </c>
      <c r="H65" s="96">
        <f>H25</f>
        <v>0</v>
      </c>
      <c r="I65" s="97"/>
      <c r="J65" s="171">
        <f t="shared" si="29"/>
        <v>0</v>
      </c>
      <c r="K65" s="96"/>
      <c r="L65" s="171">
        <f>L25</f>
        <v>60552187</v>
      </c>
      <c r="M65" s="171">
        <f>M25</f>
        <v>64732970</v>
      </c>
      <c r="N65" s="97">
        <f t="shared" si="28"/>
        <v>6.9</v>
      </c>
      <c r="O65" s="171">
        <f t="shared" si="30"/>
        <v>5.5091905638554763</v>
      </c>
      <c r="P65" s="133"/>
      <c r="Q65" s="218">
        <f ca="1">Q25</f>
        <v>0</v>
      </c>
      <c r="R65" s="216">
        <f ca="1">R25</f>
        <v>0</v>
      </c>
      <c r="S65" s="218">
        <f ca="1">S25</f>
        <v>0</v>
      </c>
      <c r="T65" s="216">
        <f ca="1">T25</f>
        <v>0</v>
      </c>
      <c r="U65" s="202"/>
      <c r="V65" s="202"/>
      <c r="W65" s="202"/>
      <c r="X65" s="178"/>
      <c r="Y65" s="133"/>
    </row>
    <row r="66" spans="1:245" ht="18.75" customHeight="1" x14ac:dyDescent="0.3">
      <c r="A66" s="100" t="s">
        <v>87</v>
      </c>
      <c r="B66" s="96">
        <f>B41</f>
        <v>155206</v>
      </c>
      <c r="C66" s="96">
        <f>C41</f>
        <v>173110</v>
      </c>
      <c r="D66" s="97">
        <f t="shared" si="25"/>
        <v>11.5</v>
      </c>
      <c r="E66" s="171">
        <f t="shared" si="26"/>
        <v>0.18750183332746417</v>
      </c>
      <c r="F66" s="133"/>
      <c r="G66" s="171">
        <f>G41</f>
        <v>91161</v>
      </c>
      <c r="H66" s="96">
        <f>H41</f>
        <v>172618</v>
      </c>
      <c r="I66" s="97">
        <f t="shared" si="27"/>
        <v>89.4</v>
      </c>
      <c r="J66" s="171">
        <f t="shared" si="29"/>
        <v>1.7371790040037798</v>
      </c>
      <c r="K66" s="96"/>
      <c r="L66" s="171">
        <f>L41</f>
        <v>1610956</v>
      </c>
      <c r="M66" s="171">
        <f>M41</f>
        <v>1764000</v>
      </c>
      <c r="N66" s="97">
        <f t="shared" si="28"/>
        <v>9.5</v>
      </c>
      <c r="O66" s="171">
        <f t="shared" si="30"/>
        <v>0.15012770392955954</v>
      </c>
      <c r="P66" s="133"/>
      <c r="Q66" s="218">
        <f ca="1">Q41</f>
        <v>0</v>
      </c>
      <c r="R66" s="216">
        <f ca="1">R41</f>
        <v>0</v>
      </c>
      <c r="S66" s="218">
        <f ca="1">S41</f>
        <v>0</v>
      </c>
      <c r="T66" s="216">
        <f ca="1">T41</f>
        <v>0</v>
      </c>
      <c r="U66" s="202"/>
      <c r="V66" s="202"/>
      <c r="W66" s="202"/>
      <c r="X66" s="178"/>
      <c r="Y66" s="133"/>
    </row>
    <row r="67" spans="1:245" ht="18.75" customHeight="1" x14ac:dyDescent="0.3">
      <c r="A67" s="100" t="s">
        <v>119</v>
      </c>
      <c r="B67" s="96">
        <f>B42+B26</f>
        <v>14.59357003</v>
      </c>
      <c r="C67" s="96">
        <f>C26+C42</f>
        <v>0</v>
      </c>
      <c r="D67" s="97">
        <f t="shared" si="25"/>
        <v>-100</v>
      </c>
      <c r="E67" s="171">
        <f t="shared" si="26"/>
        <v>0</v>
      </c>
      <c r="F67" s="133"/>
      <c r="G67" s="171">
        <f>G26+G42</f>
        <v>0</v>
      </c>
      <c r="H67" s="96">
        <f>H26+H42</f>
        <v>0</v>
      </c>
      <c r="I67" s="97"/>
      <c r="J67" s="171">
        <f t="shared" si="29"/>
        <v>0</v>
      </c>
      <c r="K67" s="96"/>
      <c r="L67" s="171">
        <f>L26+L42</f>
        <v>9111354.1153199989</v>
      </c>
      <c r="M67" s="171">
        <f>M26+M42</f>
        <v>0</v>
      </c>
      <c r="N67" s="97">
        <f t="shared" si="28"/>
        <v>-100</v>
      </c>
      <c r="O67" s="171">
        <f t="shared" si="30"/>
        <v>0</v>
      </c>
      <c r="P67" s="133"/>
      <c r="Q67" s="218">
        <f ca="1">Q42+Q26</f>
        <v>0</v>
      </c>
      <c r="R67" s="216">
        <f ca="1">R26+R42</f>
        <v>0</v>
      </c>
      <c r="S67" s="218">
        <f ca="1">S26+S42</f>
        <v>0</v>
      </c>
      <c r="T67" s="216">
        <f ca="1">T26+T42</f>
        <v>0</v>
      </c>
      <c r="U67" s="202"/>
      <c r="V67" s="202"/>
      <c r="W67" s="202"/>
      <c r="X67" s="178"/>
      <c r="Y67" s="133"/>
    </row>
    <row r="68" spans="1:245" ht="18.75" customHeight="1" x14ac:dyDescent="0.3">
      <c r="A68" s="79" t="s">
        <v>83</v>
      </c>
      <c r="B68" s="96">
        <f>B27+B43</f>
        <v>4111435.2070800001</v>
      </c>
      <c r="C68" s="96">
        <f>+C27+C43</f>
        <v>4682672.2152600009</v>
      </c>
      <c r="D68" s="97">
        <f t="shared" si="25"/>
        <v>13.9</v>
      </c>
      <c r="E68" s="171">
        <f t="shared" si="26"/>
        <v>5.0719751905310391</v>
      </c>
      <c r="F68" s="133"/>
      <c r="G68" s="171">
        <f>+G27+G43</f>
        <v>336878.34299999999</v>
      </c>
      <c r="H68" s="96">
        <f>+H27+H43</f>
        <v>628443</v>
      </c>
      <c r="I68" s="97">
        <f t="shared" si="27"/>
        <v>86.5</v>
      </c>
      <c r="J68" s="171">
        <f t="shared" si="29"/>
        <v>6.3244736053780448</v>
      </c>
      <c r="K68" s="96"/>
      <c r="L68" s="171">
        <f>+L27+L43</f>
        <v>32302640.540910002</v>
      </c>
      <c r="M68" s="171">
        <f>+M27+M43</f>
        <v>36699210.801180005</v>
      </c>
      <c r="N68" s="97">
        <f t="shared" si="28"/>
        <v>13.6</v>
      </c>
      <c r="O68" s="171">
        <f t="shared" si="30"/>
        <v>3.1233380122494587</v>
      </c>
      <c r="P68" s="133"/>
      <c r="Q68" s="218">
        <f ca="1">Q27+Q43</f>
        <v>0</v>
      </c>
      <c r="R68" s="216">
        <f t="shared" ref="R68:T69" ca="1" si="42">+R27+R43</f>
        <v>0</v>
      </c>
      <c r="S68" s="218">
        <f t="shared" ca="1" si="42"/>
        <v>0</v>
      </c>
      <c r="T68" s="216">
        <f t="shared" ca="1" si="42"/>
        <v>0</v>
      </c>
      <c r="U68" s="202"/>
      <c r="V68" s="202"/>
      <c r="W68" s="202"/>
      <c r="X68" s="178"/>
      <c r="Y68" s="133"/>
    </row>
    <row r="69" spans="1:245" ht="18.75" customHeight="1" x14ac:dyDescent="0.3">
      <c r="A69" s="79" t="s">
        <v>120</v>
      </c>
      <c r="B69" s="96">
        <f>B44+B28</f>
        <v>15881702.734999999</v>
      </c>
      <c r="C69" s="96">
        <f>+C28+C44</f>
        <v>16243052.825999998</v>
      </c>
      <c r="D69" s="97">
        <f t="shared" si="25"/>
        <v>2.2999999999999998</v>
      </c>
      <c r="E69" s="171">
        <f t="shared" si="26"/>
        <v>17.593450313152605</v>
      </c>
      <c r="F69" s="133"/>
      <c r="G69" s="171">
        <f>+G28+G44</f>
        <v>1666892.1369999999</v>
      </c>
      <c r="H69" s="96">
        <f>+H28+H44</f>
        <v>1567036.2540000002</v>
      </c>
      <c r="I69" s="97">
        <f t="shared" si="27"/>
        <v>-6</v>
      </c>
      <c r="J69" s="171">
        <f t="shared" si="29"/>
        <v>15.770212138719799</v>
      </c>
      <c r="K69" s="96"/>
      <c r="L69" s="171">
        <f>+L28+L44</f>
        <v>226891825.94299999</v>
      </c>
      <c r="M69" s="171">
        <f>+M28+M44</f>
        <v>241650234.37600005</v>
      </c>
      <c r="N69" s="97">
        <f t="shared" si="28"/>
        <v>6.5</v>
      </c>
      <c r="O69" s="171">
        <f t="shared" si="30"/>
        <v>20.56598346990295</v>
      </c>
      <c r="P69" s="133"/>
      <c r="Q69" s="218">
        <f ca="1">Q44+Q28</f>
        <v>0</v>
      </c>
      <c r="R69" s="216">
        <f t="shared" ca="1" si="42"/>
        <v>0</v>
      </c>
      <c r="S69" s="218">
        <f t="shared" ca="1" si="42"/>
        <v>0</v>
      </c>
      <c r="T69" s="216">
        <f t="shared" ca="1" si="42"/>
        <v>0</v>
      </c>
      <c r="U69" s="202"/>
      <c r="V69" s="202"/>
      <c r="W69" s="202"/>
      <c r="X69" s="178"/>
      <c r="Y69" s="133"/>
    </row>
    <row r="70" spans="1:245" ht="18.75" customHeight="1" x14ac:dyDescent="0.3">
      <c r="A70" s="79" t="s">
        <v>121</v>
      </c>
      <c r="B70" s="96">
        <f>B29</f>
        <v>24710</v>
      </c>
      <c r="C70" s="96">
        <f>+C29</f>
        <v>25828</v>
      </c>
      <c r="D70" s="97">
        <f t="shared" si="25"/>
        <v>4.5</v>
      </c>
      <c r="E70" s="171">
        <f t="shared" si="26"/>
        <v>2.7975260534814538E-2</v>
      </c>
      <c r="F70" s="133"/>
      <c r="G70" s="171">
        <f>+G29</f>
        <v>0</v>
      </c>
      <c r="H70" s="96">
        <f>+H29</f>
        <v>0</v>
      </c>
      <c r="I70" s="97"/>
      <c r="J70" s="171">
        <f t="shared" si="29"/>
        <v>0</v>
      </c>
      <c r="K70" s="96"/>
      <c r="L70" s="171">
        <f>+L29</f>
        <v>0</v>
      </c>
      <c r="M70" s="171">
        <f>+M29</f>
        <v>0</v>
      </c>
      <c r="N70" s="97"/>
      <c r="O70" s="171">
        <f t="shared" si="30"/>
        <v>0</v>
      </c>
      <c r="P70" s="133"/>
      <c r="Q70" s="218">
        <f ca="1">Q29</f>
        <v>0</v>
      </c>
      <c r="R70" s="216">
        <f t="shared" ref="R70:T71" ca="1" si="43">+R29</f>
        <v>0</v>
      </c>
      <c r="S70" s="218">
        <f t="shared" ca="1" si="43"/>
        <v>0</v>
      </c>
      <c r="T70" s="216">
        <f t="shared" ca="1" si="43"/>
        <v>0</v>
      </c>
      <c r="U70" s="202"/>
      <c r="V70" s="202"/>
      <c r="W70" s="202"/>
      <c r="X70" s="178"/>
      <c r="Y70" s="133"/>
    </row>
    <row r="71" spans="1:245" ht="18.75" customHeight="1" x14ac:dyDescent="0.3">
      <c r="A71" s="79" t="s">
        <v>122</v>
      </c>
      <c r="B71" s="96">
        <f>B30</f>
        <v>555281.85226000007</v>
      </c>
      <c r="C71" s="96">
        <f>+C30</f>
        <v>542694.08400000003</v>
      </c>
      <c r="D71" s="97">
        <f t="shared" si="25"/>
        <v>-2.2999999999999998</v>
      </c>
      <c r="E71" s="171">
        <f t="shared" si="26"/>
        <v>0.58781200211408269</v>
      </c>
      <c r="F71" s="133"/>
      <c r="G71" s="171">
        <f>+G30</f>
        <v>11707.462000000001</v>
      </c>
      <c r="H71" s="96">
        <f>+H30</f>
        <v>9858.2170000000006</v>
      </c>
      <c r="I71" s="97">
        <f t="shared" si="27"/>
        <v>-15.8</v>
      </c>
      <c r="J71" s="171">
        <f t="shared" si="29"/>
        <v>9.9210323311086507E-2</v>
      </c>
      <c r="K71" s="96"/>
      <c r="L71" s="171">
        <f>+L30</f>
        <v>0</v>
      </c>
      <c r="M71" s="171">
        <f>+M30</f>
        <v>0</v>
      </c>
      <c r="N71" s="97"/>
      <c r="O71" s="171">
        <f t="shared" si="30"/>
        <v>0</v>
      </c>
      <c r="P71" s="133"/>
      <c r="Q71" s="218">
        <f ca="1">Q30</f>
        <v>0</v>
      </c>
      <c r="R71" s="216">
        <f t="shared" ca="1" si="43"/>
        <v>0</v>
      </c>
      <c r="S71" s="218">
        <f t="shared" ca="1" si="43"/>
        <v>0</v>
      </c>
      <c r="T71" s="216">
        <f t="shared" ca="1" si="43"/>
        <v>0</v>
      </c>
      <c r="U71" s="202"/>
      <c r="V71" s="202"/>
      <c r="W71" s="202"/>
      <c r="X71" s="178"/>
      <c r="Y71" s="133"/>
    </row>
    <row r="72" spans="1:245" s="104" customFormat="1" ht="18.75" customHeight="1" x14ac:dyDescent="0.3">
      <c r="A72" s="106" t="s">
        <v>2</v>
      </c>
      <c r="B72" s="107">
        <f>SUM(B49:B71)</f>
        <v>90785478.952068478</v>
      </c>
      <c r="C72" s="107">
        <f>SUM(C49:C71)</f>
        <v>92324430.608457342</v>
      </c>
      <c r="D72" s="108">
        <f>IF(B72=0, "    ---- ", IF(ABS(ROUND(100/B72*C72-100,1))&lt;999,ROUND(100/B72*C72-100,1),IF(ROUND(100/B72*C72-100,1)&gt;999,999,-999)))</f>
        <v>1.7</v>
      </c>
      <c r="E72" s="177">
        <f>SUM(E49:E71)</f>
        <v>99.999999999999972</v>
      </c>
      <c r="F72" s="175"/>
      <c r="G72" s="177">
        <f>SUM(G49:G71)</f>
        <v>10975274.561269999</v>
      </c>
      <c r="H72" s="347">
        <f>SUM(H49:H71)</f>
        <v>9936684.682589246</v>
      </c>
      <c r="I72" s="108">
        <f>IF(G72=0, "    ---- ", IF(ABS(ROUND(100/G72*H72-100,1))&lt;999,ROUND(100/G72*H72-100,1),IF(ROUND(100/G72*H72-100,1)&gt;999,999,-999)))</f>
        <v>-9.5</v>
      </c>
      <c r="J72" s="177">
        <f>SUM(J49:J71)</f>
        <v>99.999999999999986</v>
      </c>
      <c r="K72" s="102"/>
      <c r="L72" s="177">
        <f>SUM(L49:L71)</f>
        <v>1102084162.5582218</v>
      </c>
      <c r="M72" s="177">
        <f>SUM(M49:M71)</f>
        <v>1174999652.8473353</v>
      </c>
      <c r="N72" s="108">
        <f>IF(L72=0, "    ---- ", IF(ABS(ROUND(100/L72*M72-100,1))&lt;999,ROUND(100/L72*M72-100,1),IF(ROUND(100/L72*M72-100,1)&gt;999,999,-999)))</f>
        <v>6.6</v>
      </c>
      <c r="O72" s="177">
        <f>SUM(O49:O71)</f>
        <v>99.999999999999972</v>
      </c>
      <c r="P72" s="175"/>
      <c r="Q72" s="224">
        <f ca="1">SUM(Q49:Q71)</f>
        <v>0</v>
      </c>
      <c r="R72" s="225">
        <f ca="1">SUM(R49:R71)</f>
        <v>0</v>
      </c>
      <c r="S72" s="224">
        <f ca="1">SUM(S49:S71)</f>
        <v>0</v>
      </c>
      <c r="T72" s="225">
        <f ca="1">SUM(T49:T71)</f>
        <v>0</v>
      </c>
      <c r="U72" s="204"/>
      <c r="V72" s="204"/>
      <c r="W72" s="204"/>
      <c r="X72" s="132"/>
      <c r="Y72" s="175"/>
    </row>
    <row r="73" spans="1:245" ht="18.75" customHeight="1" x14ac:dyDescent="0.3">
      <c r="A73" s="105" t="s">
        <v>126</v>
      </c>
      <c r="B73" s="105"/>
      <c r="C73" s="105"/>
      <c r="D73" s="105"/>
      <c r="E73" s="105"/>
      <c r="F73" s="105"/>
      <c r="G73" s="105"/>
      <c r="H73" s="105"/>
      <c r="I73" s="105"/>
      <c r="J73" s="105"/>
      <c r="K73" s="105"/>
      <c r="L73" s="105"/>
      <c r="M73" s="105"/>
      <c r="N73" s="105"/>
      <c r="O73" s="105"/>
      <c r="P73" s="105"/>
      <c r="Q73" s="182"/>
      <c r="R73" s="182"/>
      <c r="S73" s="182"/>
      <c r="T73" s="182"/>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5"/>
      <c r="BJ73" s="105"/>
      <c r="BK73" s="105"/>
      <c r="BL73" s="105"/>
      <c r="BM73" s="105"/>
      <c r="BN73" s="105"/>
      <c r="BO73" s="105"/>
      <c r="BP73" s="105"/>
      <c r="BQ73" s="105"/>
      <c r="BR73" s="105"/>
      <c r="BS73" s="105"/>
      <c r="BT73" s="105"/>
      <c r="BU73" s="105"/>
      <c r="BV73" s="105"/>
      <c r="BW73" s="105"/>
      <c r="BX73" s="105"/>
      <c r="BY73" s="105"/>
      <c r="BZ73" s="105"/>
      <c r="CA73" s="105"/>
      <c r="CB73" s="105"/>
      <c r="CC73" s="105"/>
      <c r="CD73" s="105"/>
      <c r="CE73" s="105"/>
      <c r="CF73" s="105"/>
      <c r="CG73" s="105"/>
      <c r="CH73" s="105"/>
      <c r="CI73" s="105"/>
      <c r="CJ73" s="105"/>
      <c r="CK73" s="105"/>
      <c r="CL73" s="105"/>
      <c r="CM73" s="105"/>
      <c r="CN73" s="105"/>
      <c r="CO73" s="105"/>
      <c r="CP73" s="105"/>
      <c r="CQ73" s="105"/>
      <c r="CR73" s="105"/>
      <c r="CS73" s="105"/>
      <c r="CT73" s="105"/>
      <c r="CU73" s="105"/>
      <c r="CV73" s="105"/>
      <c r="CW73" s="105"/>
      <c r="CX73" s="105"/>
      <c r="CY73" s="105"/>
      <c r="CZ73" s="105"/>
      <c r="DA73" s="105"/>
      <c r="DB73" s="105"/>
      <c r="DC73" s="105"/>
      <c r="DD73" s="105"/>
      <c r="DE73" s="105"/>
      <c r="DF73" s="105"/>
      <c r="DG73" s="105"/>
      <c r="DH73" s="105"/>
      <c r="DI73" s="105"/>
      <c r="DJ73" s="105"/>
      <c r="DK73" s="105"/>
      <c r="DL73" s="105"/>
      <c r="DM73" s="105"/>
      <c r="DN73" s="105"/>
      <c r="DO73" s="105"/>
      <c r="DP73" s="105"/>
      <c r="DQ73" s="105"/>
      <c r="DR73" s="105"/>
      <c r="DS73" s="105"/>
      <c r="DT73" s="105"/>
      <c r="DU73" s="105"/>
      <c r="DV73" s="105"/>
      <c r="DW73" s="105"/>
      <c r="DX73" s="105"/>
      <c r="DY73" s="105"/>
      <c r="DZ73" s="105"/>
      <c r="EA73" s="105"/>
      <c r="EB73" s="105"/>
      <c r="EC73" s="105"/>
      <c r="ED73" s="105"/>
      <c r="EE73" s="105"/>
      <c r="EF73" s="105"/>
      <c r="EG73" s="105"/>
      <c r="EH73" s="105"/>
      <c r="EI73" s="105"/>
      <c r="EJ73" s="105"/>
      <c r="EK73" s="105"/>
      <c r="EL73" s="105"/>
      <c r="EM73" s="105"/>
      <c r="EN73" s="105"/>
      <c r="EO73" s="105"/>
      <c r="EP73" s="105"/>
      <c r="EQ73" s="105"/>
      <c r="ER73" s="105"/>
      <c r="ES73" s="105"/>
      <c r="ET73" s="105"/>
      <c r="EU73" s="105"/>
      <c r="EV73" s="105"/>
      <c r="EW73" s="105"/>
      <c r="EX73" s="105"/>
      <c r="EY73" s="105"/>
      <c r="EZ73" s="105"/>
      <c r="FA73" s="105"/>
      <c r="FB73" s="105"/>
      <c r="FC73" s="105"/>
      <c r="FD73" s="105"/>
      <c r="FE73" s="105"/>
      <c r="FF73" s="105"/>
      <c r="FG73" s="105"/>
      <c r="FH73" s="105"/>
      <c r="FI73" s="105"/>
      <c r="FJ73" s="105"/>
      <c r="FK73" s="105"/>
      <c r="FL73" s="105"/>
      <c r="FM73" s="105"/>
      <c r="FN73" s="105"/>
      <c r="FO73" s="105"/>
      <c r="FP73" s="105"/>
      <c r="FQ73" s="105"/>
      <c r="FR73" s="105"/>
      <c r="FS73" s="105"/>
      <c r="FT73" s="105"/>
      <c r="FU73" s="105"/>
      <c r="FV73" s="105"/>
      <c r="FW73" s="105"/>
      <c r="FX73" s="105"/>
      <c r="FY73" s="105"/>
      <c r="FZ73" s="105"/>
      <c r="GA73" s="105"/>
      <c r="GB73" s="105"/>
      <c r="GC73" s="105"/>
      <c r="GD73" s="105"/>
      <c r="GE73" s="105"/>
      <c r="GF73" s="105"/>
      <c r="GG73" s="105"/>
      <c r="GH73" s="105"/>
      <c r="GI73" s="105"/>
      <c r="GJ73" s="105"/>
      <c r="GK73" s="105"/>
      <c r="GL73" s="105"/>
      <c r="GM73" s="105"/>
      <c r="GN73" s="105"/>
      <c r="GO73" s="105"/>
      <c r="GP73" s="105"/>
      <c r="GQ73" s="105"/>
      <c r="GR73" s="105"/>
      <c r="GS73" s="105"/>
      <c r="GT73" s="105"/>
      <c r="GU73" s="105"/>
      <c r="GV73" s="105"/>
      <c r="GW73" s="105"/>
      <c r="GX73" s="105"/>
      <c r="GY73" s="105"/>
      <c r="GZ73" s="105"/>
      <c r="HA73" s="105"/>
      <c r="HB73" s="105"/>
      <c r="HC73" s="105"/>
      <c r="HD73" s="105"/>
      <c r="HE73" s="105"/>
      <c r="HF73" s="105"/>
      <c r="HG73" s="105"/>
      <c r="HH73" s="105"/>
      <c r="HI73" s="105"/>
      <c r="HJ73" s="105"/>
      <c r="HK73" s="105"/>
      <c r="HL73" s="105"/>
      <c r="HM73" s="105"/>
      <c r="HN73" s="105"/>
      <c r="HO73" s="105"/>
      <c r="HP73" s="105"/>
      <c r="HQ73" s="105"/>
      <c r="HR73" s="105"/>
      <c r="HS73" s="105"/>
      <c r="HT73" s="105"/>
      <c r="HU73" s="105"/>
      <c r="HV73" s="105"/>
      <c r="HW73" s="105"/>
      <c r="HX73" s="105"/>
      <c r="HY73" s="105"/>
      <c r="HZ73" s="105"/>
      <c r="IA73" s="105"/>
      <c r="IB73" s="105"/>
      <c r="IC73" s="105"/>
      <c r="ID73" s="105"/>
      <c r="IE73" s="105"/>
      <c r="IF73" s="105"/>
      <c r="IG73" s="105"/>
      <c r="IH73" s="105"/>
      <c r="II73" s="105"/>
      <c r="IJ73" s="105"/>
      <c r="IK73" s="105"/>
    </row>
    <row r="74" spans="1:245" ht="18.75" customHeight="1" x14ac:dyDescent="0.3">
      <c r="A74" s="67"/>
      <c r="B74" s="67"/>
      <c r="C74" s="67"/>
      <c r="D74" s="67"/>
      <c r="E74" s="67"/>
      <c r="F74" s="67"/>
      <c r="G74" s="67"/>
      <c r="H74" s="67"/>
      <c r="I74" s="67"/>
      <c r="J74" s="67"/>
      <c r="K74" s="67"/>
      <c r="L74" s="67"/>
      <c r="M74" s="67"/>
      <c r="N74" s="67"/>
      <c r="O74" s="67"/>
      <c r="P74" s="67"/>
    </row>
    <row r="75" spans="1:245" ht="18.75" customHeight="1" x14ac:dyDescent="0.3">
      <c r="A75" s="67"/>
      <c r="B75" s="67"/>
      <c r="C75" s="67"/>
      <c r="D75" s="67"/>
      <c r="E75" s="67"/>
      <c r="F75" s="67"/>
      <c r="G75" s="67"/>
      <c r="H75" s="67"/>
      <c r="I75" s="67"/>
      <c r="J75" s="67"/>
      <c r="K75" s="67"/>
      <c r="L75" s="67"/>
      <c r="M75" s="67"/>
      <c r="N75" s="67"/>
      <c r="O75" s="67"/>
      <c r="P75" s="67"/>
    </row>
    <row r="76" spans="1:245" ht="18.75" customHeight="1" x14ac:dyDescent="0.3">
      <c r="A76" s="67"/>
      <c r="B76" s="70"/>
      <c r="C76" s="70"/>
      <c r="D76" s="67"/>
      <c r="E76" s="67"/>
      <c r="F76" s="67"/>
      <c r="G76" s="70"/>
      <c r="H76" s="70"/>
      <c r="I76" s="67"/>
      <c r="J76" s="67"/>
      <c r="K76" s="67"/>
      <c r="L76" s="70"/>
      <c r="M76" s="70"/>
      <c r="N76" s="67"/>
      <c r="O76" s="67"/>
      <c r="P76" s="67"/>
    </row>
    <row r="77" spans="1:245" ht="18.75" customHeight="1" x14ac:dyDescent="0.3">
      <c r="A77" s="67"/>
      <c r="B77" s="67"/>
      <c r="C77" s="67"/>
      <c r="D77" s="67"/>
      <c r="E77" s="67"/>
      <c r="F77" s="67"/>
      <c r="G77" s="67"/>
      <c r="H77" s="67"/>
      <c r="I77" s="67"/>
      <c r="J77" s="67"/>
      <c r="K77" s="67"/>
      <c r="L77" s="67"/>
      <c r="M77" s="67"/>
      <c r="N77" s="67"/>
      <c r="O77" s="67"/>
      <c r="P77" s="67"/>
    </row>
    <row r="78" spans="1:245" ht="18.75" customHeight="1" x14ac:dyDescent="0.3">
      <c r="A78" s="67"/>
      <c r="B78" s="67"/>
      <c r="C78" s="67"/>
      <c r="D78" s="67"/>
      <c r="E78" s="67"/>
      <c r="F78" s="67"/>
      <c r="G78" s="67"/>
      <c r="H78" s="67"/>
      <c r="I78" s="67"/>
      <c r="J78" s="67"/>
      <c r="K78" s="67"/>
      <c r="L78" s="67"/>
      <c r="M78" s="67"/>
      <c r="N78" s="67"/>
      <c r="O78" s="67"/>
      <c r="P78" s="67"/>
    </row>
    <row r="79" spans="1:245" ht="18.75" customHeight="1" x14ac:dyDescent="0.3">
      <c r="A79" s="67"/>
      <c r="B79" s="67"/>
      <c r="C79" s="67"/>
      <c r="D79" s="67"/>
      <c r="E79" s="67"/>
      <c r="F79" s="67"/>
      <c r="G79" s="67"/>
      <c r="H79" s="67"/>
      <c r="I79" s="67"/>
      <c r="J79" s="67"/>
      <c r="K79" s="67"/>
      <c r="L79" s="67"/>
      <c r="M79" s="67"/>
      <c r="N79" s="67"/>
      <c r="O79" s="67"/>
      <c r="P79" s="67"/>
    </row>
    <row r="80" spans="1:245" ht="18.75" customHeight="1" x14ac:dyDescent="0.3">
      <c r="A80" s="67"/>
      <c r="B80" s="67"/>
      <c r="C80" s="67"/>
      <c r="D80" s="67"/>
      <c r="E80" s="67"/>
      <c r="F80" s="67"/>
      <c r="G80" s="67"/>
      <c r="H80" s="67"/>
      <c r="I80" s="67"/>
      <c r="J80" s="67"/>
      <c r="K80" s="67"/>
      <c r="L80" s="67"/>
      <c r="M80" s="67"/>
      <c r="N80" s="67"/>
      <c r="O80" s="67"/>
      <c r="P80" s="67"/>
    </row>
    <row r="81" spans="1:16" ht="18.75" x14ac:dyDescent="0.3">
      <c r="A81" s="67"/>
      <c r="B81" s="67"/>
      <c r="C81" s="67"/>
      <c r="D81" s="67"/>
      <c r="E81" s="67"/>
      <c r="F81" s="67"/>
      <c r="G81" s="67"/>
      <c r="H81" s="67"/>
      <c r="I81" s="67"/>
      <c r="J81" s="67"/>
      <c r="K81" s="67"/>
      <c r="L81" s="67"/>
      <c r="M81" s="67"/>
      <c r="N81" s="67"/>
      <c r="O81" s="67"/>
      <c r="P81" s="67"/>
    </row>
    <row r="82" spans="1:16" ht="18.75" x14ac:dyDescent="0.3">
      <c r="A82" s="67"/>
      <c r="B82" s="67"/>
      <c r="C82" s="67"/>
      <c r="D82" s="67"/>
      <c r="E82" s="67"/>
      <c r="F82" s="67"/>
      <c r="G82" s="67"/>
      <c r="H82" s="67"/>
      <c r="I82" s="67"/>
      <c r="J82" s="67"/>
      <c r="K82" s="67"/>
      <c r="L82" s="67"/>
      <c r="M82" s="67"/>
      <c r="N82" s="67"/>
      <c r="O82" s="67"/>
      <c r="P82" s="67"/>
    </row>
    <row r="83" spans="1:16" ht="18.75" x14ac:dyDescent="0.3">
      <c r="A83" s="67"/>
      <c r="B83" s="67"/>
      <c r="C83" s="67"/>
      <c r="D83" s="67"/>
      <c r="E83" s="67"/>
      <c r="F83" s="67"/>
      <c r="G83" s="67"/>
      <c r="H83" s="67"/>
      <c r="I83" s="67"/>
      <c r="J83" s="67"/>
      <c r="K83" s="67"/>
      <c r="L83" s="67"/>
      <c r="M83" s="67"/>
      <c r="N83" s="67"/>
      <c r="O83" s="67"/>
      <c r="P83" s="67"/>
    </row>
    <row r="84" spans="1:16" ht="18.75" x14ac:dyDescent="0.3">
      <c r="A84" s="67"/>
      <c r="B84" s="67"/>
      <c r="C84" s="67"/>
      <c r="D84" s="67"/>
      <c r="E84" s="67"/>
      <c r="F84" s="67"/>
      <c r="G84" s="67"/>
      <c r="H84" s="67"/>
      <c r="I84" s="67"/>
      <c r="J84" s="67"/>
      <c r="K84" s="67"/>
      <c r="L84" s="67"/>
      <c r="M84" s="67"/>
      <c r="N84" s="67"/>
      <c r="O84" s="67"/>
      <c r="P84" s="67"/>
    </row>
    <row r="85" spans="1:16" ht="18.75" x14ac:dyDescent="0.3">
      <c r="A85" s="67"/>
      <c r="B85" s="67"/>
      <c r="C85" s="67"/>
      <c r="D85" s="67"/>
      <c r="E85" s="67"/>
      <c r="F85" s="67"/>
      <c r="G85" s="67"/>
      <c r="H85" s="67"/>
      <c r="I85" s="67"/>
      <c r="J85" s="67"/>
      <c r="K85" s="67"/>
      <c r="L85" s="67"/>
      <c r="M85" s="67"/>
      <c r="N85" s="67"/>
      <c r="O85" s="67"/>
      <c r="P85" s="67"/>
    </row>
    <row r="86" spans="1:16" ht="18.75" x14ac:dyDescent="0.3">
      <c r="A86" s="67"/>
      <c r="B86" s="67"/>
      <c r="C86" s="67"/>
      <c r="D86" s="67"/>
      <c r="E86" s="67"/>
      <c r="F86" s="67"/>
      <c r="G86" s="67"/>
      <c r="H86" s="67"/>
      <c r="I86" s="67"/>
      <c r="J86" s="67"/>
      <c r="K86" s="67"/>
      <c r="L86" s="67"/>
      <c r="M86" s="67"/>
      <c r="N86" s="67"/>
      <c r="O86" s="67"/>
      <c r="P86" s="67"/>
    </row>
    <row r="87" spans="1:16" ht="18.75" x14ac:dyDescent="0.3">
      <c r="A87" s="67"/>
      <c r="B87" s="67"/>
      <c r="C87" s="67"/>
      <c r="D87" s="67"/>
      <c r="E87" s="67"/>
      <c r="F87" s="67"/>
      <c r="G87" s="67"/>
      <c r="H87" s="67"/>
      <c r="I87" s="67"/>
      <c r="J87" s="67"/>
      <c r="K87" s="67"/>
      <c r="L87" s="67"/>
      <c r="M87" s="67"/>
      <c r="N87" s="67"/>
      <c r="O87" s="67"/>
      <c r="P87" s="67"/>
    </row>
    <row r="88" spans="1:16" ht="18.75" x14ac:dyDescent="0.3">
      <c r="A88" s="67"/>
      <c r="B88" s="67"/>
      <c r="C88" s="67"/>
      <c r="D88" s="67"/>
      <c r="E88" s="67"/>
      <c r="F88" s="67"/>
      <c r="G88" s="67"/>
      <c r="H88" s="67"/>
      <c r="I88" s="67"/>
      <c r="J88" s="67"/>
      <c r="K88" s="67"/>
      <c r="L88" s="67"/>
      <c r="M88" s="67"/>
      <c r="N88" s="67"/>
      <c r="O88" s="67"/>
      <c r="P88" s="67"/>
    </row>
    <row r="89" spans="1:16" ht="18.75" x14ac:dyDescent="0.3">
      <c r="A89" s="67"/>
      <c r="B89" s="67"/>
      <c r="C89" s="67"/>
      <c r="D89" s="67"/>
      <c r="E89" s="67"/>
      <c r="F89" s="67"/>
      <c r="G89" s="67"/>
      <c r="H89" s="67"/>
      <c r="I89" s="67"/>
      <c r="J89" s="67"/>
      <c r="K89" s="67"/>
      <c r="L89" s="67"/>
      <c r="M89" s="67"/>
      <c r="N89" s="67"/>
      <c r="O89" s="67"/>
      <c r="P89" s="67"/>
    </row>
    <row r="90" spans="1:16" ht="18.75" x14ac:dyDescent="0.3">
      <c r="A90" s="67"/>
      <c r="B90" s="67"/>
      <c r="C90" s="67"/>
      <c r="D90" s="67"/>
      <c r="E90" s="67"/>
      <c r="F90" s="67"/>
      <c r="G90" s="67"/>
      <c r="H90" s="67"/>
      <c r="I90" s="67"/>
      <c r="J90" s="67"/>
      <c r="K90" s="67"/>
      <c r="L90" s="67"/>
      <c r="M90" s="67"/>
      <c r="N90" s="67"/>
      <c r="O90" s="67"/>
      <c r="P90" s="67"/>
    </row>
    <row r="91" spans="1:16" ht="18.75" x14ac:dyDescent="0.3">
      <c r="A91" s="67"/>
      <c r="B91" s="67"/>
      <c r="C91" s="67"/>
      <c r="D91" s="67"/>
      <c r="E91" s="67"/>
      <c r="F91" s="67"/>
      <c r="G91" s="67"/>
      <c r="H91" s="67"/>
      <c r="I91" s="67"/>
      <c r="J91" s="67"/>
      <c r="K91" s="67"/>
      <c r="L91" s="67"/>
      <c r="M91" s="67"/>
      <c r="N91" s="67"/>
      <c r="O91" s="67"/>
      <c r="P91" s="67"/>
    </row>
    <row r="92" spans="1:16" ht="18.75" x14ac:dyDescent="0.3">
      <c r="A92" s="67"/>
      <c r="B92" s="67"/>
      <c r="C92" s="67"/>
      <c r="D92" s="67"/>
      <c r="E92" s="67"/>
      <c r="F92" s="67"/>
      <c r="G92" s="67"/>
      <c r="H92" s="67"/>
      <c r="I92" s="67"/>
      <c r="J92" s="67"/>
      <c r="K92" s="67"/>
      <c r="L92" s="67"/>
      <c r="M92" s="67"/>
      <c r="N92" s="67"/>
      <c r="O92" s="67"/>
      <c r="P92" s="67"/>
    </row>
    <row r="93" spans="1:16" ht="18.75" x14ac:dyDescent="0.3">
      <c r="A93" s="67"/>
      <c r="B93" s="67"/>
      <c r="C93" s="67"/>
      <c r="D93" s="67"/>
      <c r="E93" s="67"/>
      <c r="F93" s="67"/>
      <c r="G93" s="67"/>
      <c r="H93" s="67"/>
      <c r="I93" s="67"/>
      <c r="J93" s="67"/>
      <c r="K93" s="67"/>
      <c r="L93" s="67"/>
      <c r="M93" s="67"/>
      <c r="N93" s="67"/>
      <c r="O93" s="67"/>
      <c r="P93" s="67"/>
    </row>
    <row r="94" spans="1:16" ht="18.75" x14ac:dyDescent="0.3">
      <c r="A94" s="67"/>
      <c r="B94" s="67"/>
      <c r="C94" s="67"/>
      <c r="D94" s="67"/>
      <c r="E94" s="67"/>
      <c r="F94" s="67"/>
      <c r="G94" s="67"/>
      <c r="H94" s="67"/>
      <c r="I94" s="67"/>
      <c r="J94" s="67"/>
      <c r="K94" s="67"/>
      <c r="L94" s="67"/>
      <c r="M94" s="67"/>
      <c r="N94" s="67"/>
      <c r="O94" s="67"/>
      <c r="P94" s="67"/>
    </row>
    <row r="95" spans="1:16" ht="18.75" x14ac:dyDescent="0.3">
      <c r="A95" s="67"/>
      <c r="B95" s="67"/>
      <c r="C95" s="67"/>
      <c r="D95" s="67"/>
      <c r="E95" s="67"/>
      <c r="F95" s="67"/>
      <c r="G95" s="67"/>
      <c r="H95" s="67"/>
      <c r="I95" s="67"/>
      <c r="J95" s="67"/>
      <c r="K95" s="67"/>
      <c r="L95" s="67"/>
      <c r="M95" s="67"/>
      <c r="N95" s="67"/>
      <c r="O95" s="67"/>
      <c r="P95" s="67"/>
    </row>
    <row r="96" spans="1:16" ht="18.75" x14ac:dyDescent="0.3">
      <c r="A96" s="67"/>
      <c r="B96" s="67"/>
      <c r="C96" s="67"/>
      <c r="D96" s="67"/>
      <c r="E96" s="67"/>
      <c r="F96" s="67"/>
      <c r="G96" s="67"/>
      <c r="H96" s="67"/>
      <c r="I96" s="67"/>
      <c r="J96" s="67"/>
      <c r="K96" s="67"/>
      <c r="L96" s="67"/>
      <c r="M96" s="67"/>
      <c r="N96" s="67"/>
      <c r="O96" s="67"/>
      <c r="P96" s="67"/>
    </row>
    <row r="97" spans="1:16" ht="18.75" x14ac:dyDescent="0.3">
      <c r="A97" s="67"/>
      <c r="B97" s="67"/>
      <c r="C97" s="67"/>
      <c r="D97" s="67"/>
      <c r="E97" s="67"/>
      <c r="F97" s="67"/>
      <c r="G97" s="67"/>
      <c r="H97" s="67"/>
      <c r="I97" s="67"/>
      <c r="J97" s="67"/>
      <c r="K97" s="67"/>
      <c r="L97" s="67"/>
      <c r="M97" s="67"/>
      <c r="N97" s="67"/>
      <c r="O97" s="67"/>
      <c r="P97" s="67"/>
    </row>
    <row r="98" spans="1:16" ht="18.75" x14ac:dyDescent="0.3">
      <c r="A98" s="105"/>
      <c r="B98" s="105"/>
      <c r="C98" s="105"/>
      <c r="D98" s="105"/>
      <c r="E98" s="105"/>
      <c r="F98" s="105"/>
      <c r="G98" s="105"/>
      <c r="H98" s="105"/>
      <c r="I98" s="105"/>
      <c r="J98" s="105"/>
      <c r="K98" s="105"/>
      <c r="L98" s="105"/>
      <c r="M98" s="105"/>
      <c r="N98" s="105"/>
      <c r="O98" s="105"/>
      <c r="P98" s="105"/>
    </row>
    <row r="99" spans="1:16" ht="18.75" x14ac:dyDescent="0.3">
      <c r="A99" s="109"/>
      <c r="B99" s="110"/>
      <c r="C99" s="110"/>
      <c r="D99" s="110"/>
      <c r="E99" s="67"/>
      <c r="F99" s="67"/>
      <c r="G99" s="67"/>
      <c r="H99" s="67"/>
      <c r="I99" s="67"/>
      <c r="J99" s="67"/>
      <c r="K99" s="67"/>
      <c r="L99" s="67"/>
      <c r="M99" s="67"/>
      <c r="N99" s="67"/>
      <c r="O99" s="68"/>
      <c r="P99" s="68"/>
    </row>
    <row r="100" spans="1:16" ht="18.75" x14ac:dyDescent="0.3">
      <c r="A100" s="67"/>
      <c r="B100" s="67"/>
      <c r="C100" s="67"/>
      <c r="D100" s="67"/>
      <c r="E100" s="67"/>
      <c r="F100" s="67"/>
      <c r="G100" s="67"/>
      <c r="H100" s="67"/>
      <c r="I100" s="67"/>
      <c r="J100" s="67"/>
      <c r="K100" s="67"/>
      <c r="L100" s="67"/>
      <c r="M100" s="67"/>
      <c r="N100" s="67"/>
      <c r="O100" s="67"/>
      <c r="P100" s="67"/>
    </row>
    <row r="101" spans="1:16" ht="18.75" x14ac:dyDescent="0.3">
      <c r="A101" s="67"/>
      <c r="B101" s="67"/>
      <c r="C101" s="67"/>
      <c r="D101" s="67"/>
      <c r="E101" s="67"/>
      <c r="F101" s="67"/>
      <c r="G101" s="67"/>
      <c r="H101" s="67"/>
      <c r="I101" s="67"/>
      <c r="J101" s="67"/>
      <c r="K101" s="67"/>
      <c r="L101" s="67"/>
      <c r="M101" s="67"/>
      <c r="N101" s="67"/>
      <c r="O101" s="67"/>
      <c r="P101" s="67"/>
    </row>
    <row r="102" spans="1:16" ht="18.75" x14ac:dyDescent="0.3">
      <c r="A102" s="67"/>
      <c r="B102" s="67"/>
      <c r="C102" s="67"/>
      <c r="D102" s="67"/>
      <c r="E102" s="67"/>
      <c r="F102" s="67"/>
      <c r="G102" s="67"/>
      <c r="H102" s="67"/>
      <c r="I102" s="67"/>
      <c r="J102" s="67"/>
      <c r="K102" s="67"/>
      <c r="L102" s="67"/>
      <c r="M102" s="67"/>
      <c r="N102" s="67"/>
      <c r="O102" s="67"/>
      <c r="P102" s="67"/>
    </row>
    <row r="103" spans="1:16" ht="18.75" x14ac:dyDescent="0.3">
      <c r="A103" s="67"/>
      <c r="B103" s="67"/>
      <c r="C103" s="67"/>
      <c r="D103" s="67"/>
      <c r="E103" s="67"/>
      <c r="F103" s="67"/>
      <c r="G103" s="67"/>
      <c r="H103" s="67"/>
      <c r="I103" s="67"/>
      <c r="J103" s="67"/>
      <c r="K103" s="67"/>
      <c r="L103" s="67"/>
      <c r="M103" s="67"/>
      <c r="N103" s="67"/>
      <c r="O103" s="67"/>
      <c r="P103" s="67"/>
    </row>
    <row r="104" spans="1:16" ht="18.75" x14ac:dyDescent="0.3">
      <c r="A104" s="67"/>
      <c r="B104" s="67"/>
      <c r="C104" s="67"/>
      <c r="D104" s="67"/>
      <c r="E104" s="67"/>
      <c r="F104" s="67"/>
      <c r="G104" s="67"/>
      <c r="H104" s="67"/>
      <c r="I104" s="67"/>
      <c r="J104" s="67"/>
      <c r="K104" s="67"/>
      <c r="L104" s="67"/>
      <c r="M104" s="67"/>
      <c r="N104" s="67"/>
      <c r="O104" s="67"/>
      <c r="P104" s="67"/>
    </row>
    <row r="105" spans="1:16" ht="18.75" x14ac:dyDescent="0.3">
      <c r="A105" s="67"/>
      <c r="B105" s="67"/>
      <c r="C105" s="67"/>
      <c r="D105" s="67"/>
      <c r="E105" s="67"/>
      <c r="F105" s="67"/>
      <c r="G105" s="67"/>
      <c r="H105" s="67"/>
      <c r="I105" s="67"/>
      <c r="J105" s="67"/>
      <c r="K105" s="67"/>
      <c r="L105" s="67"/>
      <c r="M105" s="67"/>
      <c r="N105" s="67"/>
      <c r="O105" s="67"/>
      <c r="P105" s="67"/>
    </row>
    <row r="106" spans="1:16" ht="18.75" x14ac:dyDescent="0.3">
      <c r="A106" s="67"/>
      <c r="B106" s="67"/>
      <c r="C106" s="67"/>
      <c r="D106" s="67"/>
      <c r="E106" s="67"/>
      <c r="F106" s="67"/>
      <c r="G106" s="67"/>
      <c r="H106" s="67"/>
      <c r="I106" s="67"/>
      <c r="J106" s="67"/>
      <c r="K106" s="67"/>
      <c r="L106" s="67"/>
      <c r="M106" s="67"/>
      <c r="N106" s="67"/>
      <c r="O106" s="67"/>
      <c r="P106" s="67"/>
    </row>
    <row r="107" spans="1:16" ht="18.75" x14ac:dyDescent="0.3">
      <c r="A107" s="67"/>
      <c r="B107" s="67"/>
      <c r="C107" s="67"/>
      <c r="D107" s="67"/>
      <c r="E107" s="67"/>
      <c r="F107" s="67"/>
      <c r="G107" s="67"/>
      <c r="H107" s="67"/>
      <c r="I107" s="67"/>
      <c r="J107" s="67"/>
      <c r="K107" s="67"/>
      <c r="L107" s="67"/>
      <c r="M107" s="67"/>
      <c r="N107" s="67"/>
      <c r="O107" s="67"/>
      <c r="P107" s="67"/>
    </row>
    <row r="108" spans="1:16" ht="18.75" x14ac:dyDescent="0.3">
      <c r="A108" s="67"/>
      <c r="B108" s="67"/>
      <c r="C108" s="67"/>
      <c r="D108" s="67"/>
      <c r="E108" s="67"/>
      <c r="F108" s="67"/>
      <c r="G108" s="67"/>
      <c r="H108" s="67"/>
      <c r="I108" s="67"/>
      <c r="J108" s="67"/>
      <c r="K108" s="67"/>
      <c r="L108" s="67"/>
      <c r="M108" s="67"/>
      <c r="N108" s="67"/>
      <c r="O108" s="67"/>
      <c r="P108" s="67"/>
    </row>
    <row r="109" spans="1:16" ht="18.75" x14ac:dyDescent="0.3">
      <c r="A109" s="67"/>
      <c r="B109" s="67"/>
      <c r="C109" s="67"/>
      <c r="D109" s="67"/>
      <c r="E109" s="67"/>
      <c r="F109" s="67"/>
      <c r="G109" s="67"/>
      <c r="H109" s="67"/>
      <c r="I109" s="67"/>
      <c r="J109" s="67"/>
      <c r="K109" s="67"/>
      <c r="L109" s="67"/>
      <c r="M109" s="67"/>
      <c r="N109" s="67"/>
      <c r="O109" s="67"/>
      <c r="P109" s="67"/>
    </row>
    <row r="110" spans="1:16" ht="18.75" x14ac:dyDescent="0.3">
      <c r="A110" s="67"/>
      <c r="B110" s="67"/>
      <c r="C110" s="67"/>
      <c r="D110" s="67"/>
      <c r="E110" s="67"/>
      <c r="F110" s="67"/>
      <c r="G110" s="67"/>
      <c r="H110" s="67"/>
      <c r="I110" s="67"/>
      <c r="J110" s="67"/>
      <c r="K110" s="67"/>
      <c r="L110" s="67"/>
      <c r="M110" s="67"/>
      <c r="N110" s="67"/>
      <c r="O110" s="67"/>
      <c r="P110" s="67"/>
    </row>
    <row r="111" spans="1:16" ht="18.75" x14ac:dyDescent="0.3">
      <c r="A111" s="67"/>
      <c r="B111" s="67"/>
      <c r="C111" s="67"/>
      <c r="D111" s="67"/>
      <c r="E111" s="67"/>
      <c r="F111" s="67"/>
      <c r="G111" s="67"/>
      <c r="H111" s="67"/>
      <c r="I111" s="67"/>
      <c r="J111" s="67"/>
      <c r="K111" s="67"/>
      <c r="L111" s="67"/>
      <c r="M111" s="67"/>
      <c r="N111" s="67"/>
      <c r="O111" s="67"/>
      <c r="P111" s="67"/>
    </row>
  </sheetData>
  <mergeCells count="6">
    <mergeCell ref="S5:T5"/>
    <mergeCell ref="A3:B3"/>
    <mergeCell ref="B5:E5"/>
    <mergeCell ref="G5:J5"/>
    <mergeCell ref="L5:O5"/>
    <mergeCell ref="Q5:R5"/>
  </mergeCells>
  <hyperlinks>
    <hyperlink ref="B1" location="Innhold!A1" display="Tilbake"/>
  </hyperlinks>
  <pageMargins left="0.70866141732283472" right="0.70866141732283472" top="0.78740157480314965" bottom="0.78740157480314965" header="0.31496062992125984" footer="0.31496062992125984"/>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W126"/>
  <sheetViews>
    <sheetView showGridLines="0" showZeros="0" zoomScale="60" zoomScaleNormal="60" workbookViewId="0">
      <selection activeCell="A4" sqref="A4"/>
    </sheetView>
  </sheetViews>
  <sheetFormatPr baseColWidth="10" defaultColWidth="11.42578125" defaultRowHeight="18" x14ac:dyDescent="0.25"/>
  <cols>
    <col min="1" max="1" width="51" style="74" customWidth="1"/>
    <col min="2" max="3" width="16.7109375" style="74" customWidth="1"/>
    <col min="4" max="4" width="9.28515625" style="74" bestFit="1" customWidth="1"/>
    <col min="5" max="5" width="4.7109375" style="74" customWidth="1"/>
    <col min="6" max="7" width="16.7109375" style="74" customWidth="1"/>
    <col min="8" max="8" width="9.28515625" style="74" bestFit="1" customWidth="1"/>
    <col min="9" max="9" width="4.7109375" style="74" customWidth="1"/>
    <col min="10" max="10" width="18.85546875" style="74" customWidth="1"/>
    <col min="11" max="11" width="18" style="74" bestFit="1" customWidth="1"/>
    <col min="12" max="12" width="9.28515625" style="74" bestFit="1" customWidth="1"/>
    <col min="13" max="13" width="11.42578125" style="74"/>
    <col min="14" max="15" width="17.140625" style="74" bestFit="1" customWidth="1"/>
    <col min="16" max="16384" width="11.42578125" style="74"/>
  </cols>
  <sheetData>
    <row r="1" spans="1:13" ht="20.25" x14ac:dyDescent="0.3">
      <c r="A1" s="73" t="s">
        <v>94</v>
      </c>
      <c r="B1" s="66" t="s">
        <v>64</v>
      </c>
      <c r="C1" s="67"/>
      <c r="D1" s="67"/>
      <c r="E1" s="67"/>
      <c r="F1" s="67"/>
      <c r="G1" s="67"/>
      <c r="H1" s="67"/>
      <c r="I1" s="67"/>
      <c r="J1" s="67"/>
      <c r="K1" s="67"/>
      <c r="L1" s="67"/>
      <c r="M1" s="67"/>
    </row>
    <row r="2" spans="1:13" ht="20.25" x14ac:dyDescent="0.3">
      <c r="A2" s="73" t="s">
        <v>127</v>
      </c>
      <c r="B2" s="66"/>
      <c r="C2" s="67"/>
      <c r="D2" s="67"/>
      <c r="E2" s="67"/>
      <c r="F2" s="67"/>
      <c r="G2" s="67"/>
      <c r="H2" s="67"/>
      <c r="I2" s="67"/>
      <c r="J2" s="67"/>
      <c r="K2" s="67"/>
      <c r="L2" s="67"/>
      <c r="M2" s="67"/>
    </row>
    <row r="3" spans="1:13" ht="18.75" x14ac:dyDescent="0.3">
      <c r="A3" s="68" t="s">
        <v>128</v>
      </c>
      <c r="B3" s="67"/>
      <c r="C3" s="67"/>
      <c r="D3" s="67"/>
      <c r="E3" s="67"/>
      <c r="F3" s="67"/>
      <c r="G3" s="67"/>
      <c r="H3" s="67"/>
      <c r="I3" s="67"/>
      <c r="J3" s="67"/>
      <c r="K3" s="67"/>
      <c r="L3" s="67"/>
      <c r="M3" s="67"/>
    </row>
    <row r="4" spans="1:13" ht="18.75" x14ac:dyDescent="0.3">
      <c r="A4" s="75" t="s">
        <v>403</v>
      </c>
      <c r="B4" s="95"/>
      <c r="C4" s="111"/>
      <c r="D4" s="112"/>
      <c r="E4" s="105"/>
      <c r="F4" s="76"/>
      <c r="G4" s="77"/>
      <c r="H4" s="78"/>
      <c r="I4" s="105"/>
      <c r="J4" s="76"/>
      <c r="K4" s="77"/>
      <c r="L4" s="78"/>
      <c r="M4" s="67"/>
    </row>
    <row r="5" spans="1:13" ht="18.75" x14ac:dyDescent="0.3">
      <c r="A5" s="113"/>
      <c r="B5" s="814" t="s">
        <v>0</v>
      </c>
      <c r="C5" s="815"/>
      <c r="D5" s="816"/>
      <c r="E5" s="82"/>
      <c r="F5" s="814" t="s">
        <v>1</v>
      </c>
      <c r="G5" s="815"/>
      <c r="H5" s="816"/>
      <c r="I5" s="114"/>
      <c r="J5" s="814" t="s">
        <v>129</v>
      </c>
      <c r="K5" s="815"/>
      <c r="L5" s="816"/>
      <c r="M5" s="67"/>
    </row>
    <row r="6" spans="1:13" ht="18.75" x14ac:dyDescent="0.3">
      <c r="A6" s="115"/>
      <c r="B6" s="116"/>
      <c r="C6" s="117"/>
      <c r="D6" s="87" t="s">
        <v>130</v>
      </c>
      <c r="E6" s="93"/>
      <c r="F6" s="116"/>
      <c r="G6" s="117"/>
      <c r="H6" s="87" t="s">
        <v>130</v>
      </c>
      <c r="I6" s="118"/>
      <c r="J6" s="116"/>
      <c r="K6" s="117"/>
      <c r="L6" s="87" t="s">
        <v>130</v>
      </c>
      <c r="M6" s="67"/>
    </row>
    <row r="7" spans="1:13" ht="18.75" x14ac:dyDescent="0.3">
      <c r="A7" s="119" t="s">
        <v>131</v>
      </c>
      <c r="B7" s="120">
        <v>2015</v>
      </c>
      <c r="C7" s="181">
        <v>2016</v>
      </c>
      <c r="D7" s="92" t="s">
        <v>102</v>
      </c>
      <c r="E7" s="93"/>
      <c r="F7" s="90">
        <v>2015</v>
      </c>
      <c r="G7" s="120">
        <v>2016</v>
      </c>
      <c r="H7" s="92" t="s">
        <v>102</v>
      </c>
      <c r="I7" s="121"/>
      <c r="J7" s="180">
        <v>2015</v>
      </c>
      <c r="K7" s="181">
        <v>2016</v>
      </c>
      <c r="L7" s="92" t="s">
        <v>102</v>
      </c>
      <c r="M7" s="67"/>
    </row>
    <row r="8" spans="1:13" ht="22.5" x14ac:dyDescent="0.3">
      <c r="A8" s="187" t="s">
        <v>132</v>
      </c>
      <c r="B8" s="227"/>
      <c r="C8" s="196"/>
      <c r="D8" s="196"/>
      <c r="E8" s="178"/>
      <c r="F8" s="196"/>
      <c r="G8" s="196"/>
      <c r="H8" s="196"/>
      <c r="I8" s="197"/>
      <c r="J8" s="196"/>
      <c r="K8" s="196"/>
      <c r="L8" s="196"/>
      <c r="M8" s="67"/>
    </row>
    <row r="9" spans="1:13" ht="18.75" x14ac:dyDescent="0.3">
      <c r="A9" s="188" t="s">
        <v>133</v>
      </c>
      <c r="B9" s="97">
        <f>'Skjema total MA'!B7</f>
        <v>7146682.767888139</v>
      </c>
      <c r="C9" s="97">
        <f>'Skjema total MA'!C7</f>
        <v>5016631.288206039</v>
      </c>
      <c r="D9" s="228">
        <f>IF(B9=0, "    ---- ", IF(ABS(ROUND(100/B9*C9-100,1))&lt;999,ROUND(100/B9*C9-100,1),IF(ROUND(100/B9*C9-100,1)&gt;999,999,-999)))</f>
        <v>-29.8</v>
      </c>
      <c r="E9" s="178"/>
      <c r="F9" s="191">
        <f>'Skjema total MA'!E7</f>
        <v>8165465.9014100004</v>
      </c>
      <c r="G9" s="191">
        <f>'Skjema total MA'!F7</f>
        <v>9096278.6254500002</v>
      </c>
      <c r="H9" s="228">
        <f>IF(F9=0, "    ---- ", IF(ABS(ROUND(100/F9*G9-100,1))&lt;999,ROUND(100/F9*G9-100,1),IF(ROUND(100/F9*G9-100,1)&gt;999,999,-999)))</f>
        <v>11.4</v>
      </c>
      <c r="I9" s="178"/>
      <c r="J9" s="191">
        <f t="shared" ref="J9:K71" si="0">SUM(B9+F9)</f>
        <v>15312148.669298138</v>
      </c>
      <c r="K9" s="191">
        <f t="shared" si="0"/>
        <v>14112909.913656039</v>
      </c>
      <c r="L9" s="226">
        <f>IF(J9=0, "    ---- ", IF(ABS(ROUND(100/J9*K9-100,1))&lt;999,ROUND(100/J9*K9-100,1),IF(ROUND(100/J9*K9-100,1)&gt;999,999,-999)))</f>
        <v>-7.8</v>
      </c>
      <c r="M9" s="67"/>
    </row>
    <row r="10" spans="1:13" ht="18.75" x14ac:dyDescent="0.3">
      <c r="A10" s="188" t="s">
        <v>134</v>
      </c>
      <c r="B10" s="97">
        <f>'Skjema total MA'!B25</f>
        <v>1358692.7513703171</v>
      </c>
      <c r="C10" s="97">
        <f>'Skjema total MA'!C25</f>
        <v>1435432.9500913012</v>
      </c>
      <c r="D10" s="228">
        <f t="shared" ref="D10:D17" si="1">IF(B10=0, "    ---- ", IF(ABS(ROUND(100/B10*C10-100,1))&lt;999,ROUND(100/B10*C10-100,1),IF(ROUND(100/B10*C10-100,1)&gt;999,999,-999)))</f>
        <v>5.6</v>
      </c>
      <c r="E10" s="178"/>
      <c r="F10" s="191">
        <f>'Skjema total MA'!E25</f>
        <v>434852.32044002996</v>
      </c>
      <c r="G10" s="191">
        <f>'Skjema total MA'!F25</f>
        <v>398608.38134000002</v>
      </c>
      <c r="H10" s="228">
        <f t="shared" ref="H10:H68" si="2">IF(F10=0, "    ---- ", IF(ABS(ROUND(100/F10*G10-100,1))&lt;999,ROUND(100/F10*G10-100,1),IF(ROUND(100/F10*G10-100,1)&gt;999,999,-999)))</f>
        <v>-8.3000000000000007</v>
      </c>
      <c r="I10" s="178"/>
      <c r="J10" s="191">
        <f t="shared" si="0"/>
        <v>1793545.071810347</v>
      </c>
      <c r="K10" s="191">
        <f t="shared" si="0"/>
        <v>1834041.3314313013</v>
      </c>
      <c r="L10" s="226">
        <f t="shared" ref="L10:L71" si="3">IF(J10=0, "    ---- ", IF(ABS(ROUND(100/J10*K10-100,1))&lt;999,ROUND(100/J10*K10-100,1),IF(ROUND(100/J10*K10-100,1)&gt;999,999,-999)))</f>
        <v>2.2999999999999998</v>
      </c>
      <c r="M10" s="67"/>
    </row>
    <row r="11" spans="1:13" ht="18.75" x14ac:dyDescent="0.3">
      <c r="A11" s="188" t="s">
        <v>135</v>
      </c>
      <c r="B11" s="97">
        <f>'Skjema total MA'!B54</f>
        <v>3913796.9463799996</v>
      </c>
      <c r="C11" s="97">
        <f>'Skjema total MA'!C54</f>
        <v>3733624.8820599997</v>
      </c>
      <c r="D11" s="228">
        <f t="shared" si="1"/>
        <v>-4.5999999999999996</v>
      </c>
      <c r="E11" s="178"/>
      <c r="F11" s="191"/>
      <c r="G11" s="191"/>
      <c r="H11" s="228"/>
      <c r="I11" s="178"/>
      <c r="J11" s="191">
        <f t="shared" si="0"/>
        <v>3913796.9463799996</v>
      </c>
      <c r="K11" s="191">
        <f t="shared" si="0"/>
        <v>3733624.8820599997</v>
      </c>
      <c r="L11" s="226">
        <f t="shared" si="3"/>
        <v>-4.5999999999999996</v>
      </c>
      <c r="M11" s="67"/>
    </row>
    <row r="12" spans="1:13" ht="18.75" x14ac:dyDescent="0.3">
      <c r="A12" s="188" t="s">
        <v>136</v>
      </c>
      <c r="B12" s="97">
        <f>'Skjema total MA'!B79</f>
        <v>15381767.02366</v>
      </c>
      <c r="C12" s="97">
        <f>'Skjema total MA'!C79</f>
        <v>11673802.52513</v>
      </c>
      <c r="D12" s="228">
        <f t="shared" si="1"/>
        <v>-24.1</v>
      </c>
      <c r="E12" s="178"/>
      <c r="F12" s="191">
        <f>'Skjema total MA'!E79</f>
        <v>20142322.974300005</v>
      </c>
      <c r="G12" s="191">
        <f>'Skjema total MA'!F79</f>
        <v>23105454.084230002</v>
      </c>
      <c r="H12" s="228">
        <f t="shared" si="2"/>
        <v>14.7</v>
      </c>
      <c r="I12" s="178"/>
      <c r="J12" s="191">
        <f t="shared" si="0"/>
        <v>35524089.997960001</v>
      </c>
      <c r="K12" s="191">
        <f t="shared" si="0"/>
        <v>34779256.609360002</v>
      </c>
      <c r="L12" s="226">
        <f t="shared" si="3"/>
        <v>-2.1</v>
      </c>
      <c r="M12" s="67"/>
    </row>
    <row r="13" spans="1:13" ht="18.75" x14ac:dyDescent="0.3">
      <c r="A13" s="188" t="s">
        <v>137</v>
      </c>
      <c r="B13" s="97">
        <f>'Skjema total MA'!B81</f>
        <v>171709.57206000001</v>
      </c>
      <c r="C13" s="97">
        <f>'Skjema total MA'!C81</f>
        <v>172194.47798</v>
      </c>
      <c r="D13" s="228">
        <f t="shared" si="1"/>
        <v>0.3</v>
      </c>
      <c r="E13" s="178"/>
      <c r="F13" s="191">
        <f>'Skjema total MA'!E81</f>
        <v>20142322.974300005</v>
      </c>
      <c r="G13" s="191">
        <f>'Skjema total MA'!F81</f>
        <v>22896836.631450001</v>
      </c>
      <c r="H13" s="228">
        <f t="shared" si="2"/>
        <v>13.7</v>
      </c>
      <c r="I13" s="178"/>
      <c r="J13" s="191">
        <f t="shared" si="0"/>
        <v>20314032.546360005</v>
      </c>
      <c r="K13" s="191">
        <f t="shared" si="0"/>
        <v>23069031.10943</v>
      </c>
      <c r="L13" s="226">
        <f t="shared" si="3"/>
        <v>13.6</v>
      </c>
      <c r="M13" s="67"/>
    </row>
    <row r="14" spans="1:13" s="127" customFormat="1" ht="18.75" x14ac:dyDescent="0.3">
      <c r="A14" s="189" t="s">
        <v>138</v>
      </c>
      <c r="B14" s="125">
        <f>'Skjema total MA'!B88</f>
        <v>48799.82</v>
      </c>
      <c r="C14" s="125">
        <f>'Skjema total MA'!C88</f>
        <v>80235.473960000003</v>
      </c>
      <c r="D14" s="228">
        <f t="shared" si="1"/>
        <v>64.400000000000006</v>
      </c>
      <c r="E14" s="179"/>
      <c r="F14" s="192">
        <f>'Skjema total MA'!E88</f>
        <v>0</v>
      </c>
      <c r="G14" s="192">
        <f>'Skjema total MA'!F88</f>
        <v>208617.45277999999</v>
      </c>
      <c r="H14" s="228" t="str">
        <f t="shared" si="2"/>
        <v xml:space="preserve">    ---- </v>
      </c>
      <c r="I14" s="179"/>
      <c r="J14" s="191">
        <f t="shared" si="0"/>
        <v>48799.82</v>
      </c>
      <c r="K14" s="191">
        <f t="shared" si="0"/>
        <v>288852.92674000002</v>
      </c>
      <c r="L14" s="226">
        <f t="shared" si="3"/>
        <v>491.9</v>
      </c>
      <c r="M14" s="126"/>
    </row>
    <row r="15" spans="1:13" ht="22.5" x14ac:dyDescent="0.3">
      <c r="A15" s="188" t="s">
        <v>139</v>
      </c>
      <c r="B15" s="97">
        <f>'Skjema total MA'!B165</f>
        <v>34112706.766619995</v>
      </c>
      <c r="C15" s="97">
        <f>'Skjema total MA'!C165</f>
        <v>37711667.575949997</v>
      </c>
      <c r="D15" s="228">
        <f t="shared" si="1"/>
        <v>10.6</v>
      </c>
      <c r="E15" s="178"/>
      <c r="F15" s="191">
        <f>'Skjema total MA'!E165</f>
        <v>108686.046</v>
      </c>
      <c r="G15" s="191">
        <f>'Skjema total MA'!F165</f>
        <v>133629.31599999999</v>
      </c>
      <c r="H15" s="228">
        <f t="shared" si="2"/>
        <v>22.9</v>
      </c>
      <c r="I15" s="178"/>
      <c r="J15" s="191">
        <f t="shared" si="0"/>
        <v>34221392.812619992</v>
      </c>
      <c r="K15" s="191">
        <f t="shared" si="0"/>
        <v>37845296.891949996</v>
      </c>
      <c r="L15" s="226">
        <f t="shared" si="3"/>
        <v>10.6</v>
      </c>
    </row>
    <row r="16" spans="1:13" ht="18.75" x14ac:dyDescent="0.3">
      <c r="A16" s="188" t="s">
        <v>140</v>
      </c>
      <c r="B16" s="97">
        <f>'Skjema total MA'!B42</f>
        <v>20505.454000000002</v>
      </c>
      <c r="C16" s="97">
        <f>'Skjema total MA'!C42</f>
        <v>19300.98</v>
      </c>
      <c r="D16" s="228">
        <f t="shared" si="1"/>
        <v>-5.9</v>
      </c>
      <c r="E16" s="178"/>
      <c r="F16" s="191">
        <f>'Skjema total MA'!E42</f>
        <v>0</v>
      </c>
      <c r="G16" s="191">
        <f>'Skjema total MA'!F42</f>
        <v>0</v>
      </c>
      <c r="H16" s="228"/>
      <c r="I16" s="178"/>
      <c r="J16" s="191">
        <f t="shared" si="0"/>
        <v>20505.454000000002</v>
      </c>
      <c r="K16" s="191">
        <f t="shared" si="0"/>
        <v>19300.98</v>
      </c>
      <c r="L16" s="226">
        <f t="shared" si="3"/>
        <v>-5.9</v>
      </c>
      <c r="M16" s="67"/>
    </row>
    <row r="17" spans="1:23" s="129" customFormat="1" ht="18.75" customHeight="1" x14ac:dyDescent="0.3">
      <c r="A17" s="131" t="s">
        <v>141</v>
      </c>
      <c r="B17" s="103">
        <f>'Tabel 1.1'!B31</f>
        <v>61934151.709918462</v>
      </c>
      <c r="C17" s="193">
        <f>'Tabel 1.1'!C31</f>
        <v>59590460.201437332</v>
      </c>
      <c r="D17" s="228">
        <f t="shared" si="1"/>
        <v>-3.8</v>
      </c>
      <c r="E17" s="132"/>
      <c r="F17" s="193">
        <f>'Tabel 1.1'!B45</f>
        <v>28851327.242150035</v>
      </c>
      <c r="G17" s="193">
        <f>'Tabel 1.1'!C45</f>
        <v>32733970.407020003</v>
      </c>
      <c r="H17" s="228">
        <f t="shared" si="2"/>
        <v>13.5</v>
      </c>
      <c r="I17" s="132"/>
      <c r="J17" s="193">
        <f t="shared" si="0"/>
        <v>90785478.952068493</v>
      </c>
      <c r="K17" s="193">
        <f t="shared" si="0"/>
        <v>92324430.608457327</v>
      </c>
      <c r="L17" s="226">
        <f t="shared" si="3"/>
        <v>1.7</v>
      </c>
      <c r="M17" s="68"/>
      <c r="N17" s="128"/>
      <c r="O17" s="128"/>
      <c r="Q17" s="130"/>
      <c r="R17" s="130"/>
      <c r="S17" s="130"/>
      <c r="T17" s="130"/>
      <c r="U17" s="130"/>
      <c r="V17" s="130"/>
      <c r="W17" s="130"/>
    </row>
    <row r="18" spans="1:23" ht="18.75" customHeight="1" x14ac:dyDescent="0.3">
      <c r="A18" s="131"/>
      <c r="B18" s="97"/>
      <c r="C18" s="191"/>
      <c r="D18" s="191"/>
      <c r="E18" s="178"/>
      <c r="F18" s="191"/>
      <c r="G18" s="191"/>
      <c r="H18" s="228"/>
      <c r="I18" s="178"/>
      <c r="J18" s="191"/>
      <c r="K18" s="191"/>
      <c r="L18" s="226"/>
      <c r="M18" s="67"/>
    </row>
    <row r="19" spans="1:23" ht="18.75" customHeight="1" x14ac:dyDescent="0.3">
      <c r="A19" s="187" t="s">
        <v>142</v>
      </c>
      <c r="B19" s="195"/>
      <c r="C19" s="198"/>
      <c r="D19" s="191"/>
      <c r="E19" s="178"/>
      <c r="F19" s="198"/>
      <c r="G19" s="198"/>
      <c r="H19" s="228"/>
      <c r="I19" s="178"/>
      <c r="J19" s="191"/>
      <c r="K19" s="191"/>
      <c r="L19" s="226"/>
      <c r="M19" s="67"/>
    </row>
    <row r="20" spans="1:23" ht="18.75" customHeight="1" x14ac:dyDescent="0.3">
      <c r="A20" s="188" t="s">
        <v>133</v>
      </c>
      <c r="B20" s="97">
        <f>'Skjema total MA'!B10</f>
        <v>2196627.0260000001</v>
      </c>
      <c r="C20" s="97">
        <f>'Skjema total MA'!C10</f>
        <v>355620.25677757949</v>
      </c>
      <c r="D20" s="228">
        <f>IF(B20=0, "    ---- ", IF(ABS(ROUND(100/B20*C20-100,1))&lt;999,ROUND(100/B20*C20-100,1),IF(ROUND(100/B20*C20-100,1)&gt;999,999,-999)))</f>
        <v>-83.8</v>
      </c>
      <c r="E20" s="178"/>
      <c r="F20" s="191">
        <f>'Skjema total MA'!E10</f>
        <v>6426985.3549999995</v>
      </c>
      <c r="G20" s="191">
        <f>'Skjema total MA'!F10</f>
        <v>7667112.6979999999</v>
      </c>
      <c r="H20" s="228">
        <f t="shared" si="2"/>
        <v>19.3</v>
      </c>
      <c r="I20" s="178"/>
      <c r="J20" s="191">
        <f t="shared" si="0"/>
        <v>8623612.3809999991</v>
      </c>
      <c r="K20" s="191">
        <f t="shared" si="0"/>
        <v>8022732.9547775798</v>
      </c>
      <c r="L20" s="226">
        <f t="shared" si="3"/>
        <v>-7</v>
      </c>
      <c r="M20" s="67"/>
    </row>
    <row r="21" spans="1:23" ht="18.75" customHeight="1" x14ac:dyDescent="0.3">
      <c r="A21" s="188" t="s">
        <v>134</v>
      </c>
      <c r="B21" s="97">
        <f>'Skjema total MA'!B31</f>
        <v>276467.076</v>
      </c>
      <c r="C21" s="97">
        <f>'Skjema total MA'!C31</f>
        <v>263422.04698166501</v>
      </c>
      <c r="D21" s="228">
        <f t="shared" ref="D21:D28" si="4">IF(B21=0, "    ---- ", IF(ABS(ROUND(100/B21*C21-100,1))&lt;999,ROUND(100/B21*C21-100,1),IF(ROUND(100/B21*C21-100,1)&gt;999,999,-999)))</f>
        <v>-4.7</v>
      </c>
      <c r="E21" s="178"/>
      <c r="F21" s="191">
        <f>'Skjema total MA'!E31</f>
        <v>30017.079610000001</v>
      </c>
      <c r="G21" s="191">
        <f>'Skjema total MA'!F31</f>
        <v>12974.778829999999</v>
      </c>
      <c r="H21" s="228">
        <f t="shared" si="2"/>
        <v>-56.8</v>
      </c>
      <c r="I21" s="178"/>
      <c r="J21" s="191">
        <f t="shared" si="0"/>
        <v>306484.15561000002</v>
      </c>
      <c r="K21" s="191">
        <f t="shared" si="0"/>
        <v>276396.82581166504</v>
      </c>
      <c r="L21" s="226">
        <f t="shared" si="3"/>
        <v>-9.8000000000000007</v>
      </c>
      <c r="M21" s="67"/>
    </row>
    <row r="22" spans="1:23" ht="18.75" customHeight="1" x14ac:dyDescent="0.3">
      <c r="A22" s="188" t="s">
        <v>135</v>
      </c>
      <c r="B22" s="97">
        <f>'Skjema total MA'!B60</f>
        <v>73044.613660000003</v>
      </c>
      <c r="C22" s="97">
        <f>'Skjema total MA'!C60</f>
        <v>88324.402000000002</v>
      </c>
      <c r="D22" s="228">
        <f t="shared" si="4"/>
        <v>20.9</v>
      </c>
      <c r="E22" s="178"/>
      <c r="F22" s="191"/>
      <c r="G22" s="191"/>
      <c r="H22" s="228"/>
      <c r="I22" s="178"/>
      <c r="J22" s="191">
        <f t="shared" si="0"/>
        <v>73044.613660000003</v>
      </c>
      <c r="K22" s="191">
        <f t="shared" si="0"/>
        <v>88324.402000000002</v>
      </c>
      <c r="L22" s="226">
        <f t="shared" si="3"/>
        <v>20.9</v>
      </c>
      <c r="M22" s="67"/>
    </row>
    <row r="23" spans="1:23" ht="18.75" customHeight="1" x14ac:dyDescent="0.3">
      <c r="A23" s="188" t="s">
        <v>136</v>
      </c>
      <c r="B23" s="97">
        <f>'Skjema total MA'!B99</f>
        <v>178693.58100000001</v>
      </c>
      <c r="C23" s="97">
        <f>'Skjema total MA'!C99</f>
        <v>322850.54800000001</v>
      </c>
      <c r="D23" s="228">
        <f t="shared" si="4"/>
        <v>80.7</v>
      </c>
      <c r="E23" s="178"/>
      <c r="F23" s="191">
        <f>'Skjema total MA'!E99</f>
        <v>1787162.041</v>
      </c>
      <c r="G23" s="191">
        <f>'Skjema total MA'!F99</f>
        <v>1220197.952</v>
      </c>
      <c r="H23" s="228">
        <f t="shared" si="2"/>
        <v>-31.7</v>
      </c>
      <c r="I23" s="178"/>
      <c r="J23" s="191">
        <f t="shared" si="0"/>
        <v>1965855.622</v>
      </c>
      <c r="K23" s="191">
        <f t="shared" si="0"/>
        <v>1543048.5</v>
      </c>
      <c r="L23" s="226">
        <f t="shared" si="3"/>
        <v>-21.5</v>
      </c>
      <c r="M23" s="67"/>
    </row>
    <row r="24" spans="1:23" ht="18.75" customHeight="1" x14ac:dyDescent="0.3">
      <c r="A24" s="188" t="s">
        <v>137</v>
      </c>
      <c r="B24" s="97">
        <f>'Skjema total MA'!B101</f>
        <v>6224.8639999999996</v>
      </c>
      <c r="C24" s="97">
        <f>'Skjema total MA'!C101</f>
        <v>6947</v>
      </c>
      <c r="D24" s="228">
        <f t="shared" si="4"/>
        <v>11.6</v>
      </c>
      <c r="E24" s="178"/>
      <c r="F24" s="191">
        <f>'Skjema total MA'!E101</f>
        <v>1787162.041</v>
      </c>
      <c r="G24" s="191">
        <f>'Skjema total MA'!F101</f>
        <v>1004025.7359999999</v>
      </c>
      <c r="H24" s="228">
        <f t="shared" si="2"/>
        <v>-43.8</v>
      </c>
      <c r="I24" s="178"/>
      <c r="J24" s="191">
        <f t="shared" si="0"/>
        <v>1793386.905</v>
      </c>
      <c r="K24" s="191">
        <f t="shared" si="0"/>
        <v>1010972.7359999999</v>
      </c>
      <c r="L24" s="226">
        <f t="shared" si="3"/>
        <v>-43.6</v>
      </c>
      <c r="M24" s="67"/>
    </row>
    <row r="25" spans="1:23" ht="18.75" customHeight="1" x14ac:dyDescent="0.3">
      <c r="A25" s="189" t="s">
        <v>138</v>
      </c>
      <c r="B25" s="97">
        <f>'Skjema total MA'!B108</f>
        <v>48799.82</v>
      </c>
      <c r="C25" s="97">
        <f>'Skjema total MA'!C108</f>
        <v>57628.652000000002</v>
      </c>
      <c r="D25" s="228">
        <f t="shared" si="4"/>
        <v>18.100000000000001</v>
      </c>
      <c r="E25" s="178"/>
      <c r="F25" s="191">
        <f>'Skjema total MA'!E108</f>
        <v>0</v>
      </c>
      <c r="G25" s="191">
        <f>'Skjema total MA'!F108</f>
        <v>216172.21600000001</v>
      </c>
      <c r="H25" s="228" t="str">
        <f t="shared" si="2"/>
        <v xml:space="preserve">    ---- </v>
      </c>
      <c r="I25" s="178"/>
      <c r="J25" s="191">
        <f t="shared" si="0"/>
        <v>48799.82</v>
      </c>
      <c r="K25" s="191">
        <f t="shared" si="0"/>
        <v>273800.86800000002</v>
      </c>
      <c r="L25" s="226">
        <f t="shared" si="3"/>
        <v>461.1</v>
      </c>
      <c r="M25" s="67"/>
    </row>
    <row r="26" spans="1:23" ht="18.75" customHeight="1" x14ac:dyDescent="0.3">
      <c r="A26" s="188" t="s">
        <v>139</v>
      </c>
      <c r="B26" s="97">
        <f>'Skjema total MA'!B166</f>
        <v>6277.7889999999998</v>
      </c>
      <c r="C26" s="97">
        <f>'Skjema total MA'!C166</f>
        <v>6182</v>
      </c>
      <c r="D26" s="228">
        <f t="shared" si="4"/>
        <v>-1.5</v>
      </c>
      <c r="E26" s="178"/>
      <c r="F26" s="191">
        <f>'Skjema total MA'!E166</f>
        <v>0</v>
      </c>
      <c r="G26" s="191">
        <f>'Skjema total MA'!F166</f>
        <v>0</v>
      </c>
      <c r="H26" s="228"/>
      <c r="I26" s="178"/>
      <c r="J26" s="191">
        <f t="shared" si="0"/>
        <v>6277.7889999999998</v>
      </c>
      <c r="K26" s="191">
        <f t="shared" si="0"/>
        <v>6182</v>
      </c>
      <c r="L26" s="226">
        <f t="shared" si="3"/>
        <v>-1.5</v>
      </c>
      <c r="M26" s="67"/>
    </row>
    <row r="27" spans="1:23" ht="18.75" customHeight="1" x14ac:dyDescent="0.3">
      <c r="A27" s="188" t="s">
        <v>140</v>
      </c>
      <c r="B27" s="97">
        <f>'Skjema total MA'!B43</f>
        <v>0</v>
      </c>
      <c r="C27" s="97">
        <f>'Skjema total MA'!C43</f>
        <v>0</v>
      </c>
      <c r="D27" s="228"/>
      <c r="E27" s="178"/>
      <c r="F27" s="191">
        <f>'Skjema total MA'!E43</f>
        <v>0</v>
      </c>
      <c r="G27" s="191">
        <f>'Skjema total MA'!F43</f>
        <v>0</v>
      </c>
      <c r="H27" s="228"/>
      <c r="I27" s="178"/>
      <c r="J27" s="191">
        <f t="shared" si="0"/>
        <v>0</v>
      </c>
      <c r="K27" s="191">
        <f t="shared" si="0"/>
        <v>0</v>
      </c>
      <c r="L27" s="226"/>
      <c r="M27" s="67"/>
    </row>
    <row r="28" spans="1:23" s="129" customFormat="1" ht="18.75" customHeight="1" x14ac:dyDescent="0.3">
      <c r="A28" s="131" t="s">
        <v>143</v>
      </c>
      <c r="B28" s="103">
        <f>'Tabel 1.1'!G31</f>
        <v>2731110.0856600003</v>
      </c>
      <c r="C28" s="193">
        <f>'Tabel 1.1'!H31</f>
        <v>1036399.2537592445</v>
      </c>
      <c r="D28" s="228">
        <f t="shared" si="4"/>
        <v>-62.1</v>
      </c>
      <c r="E28" s="132"/>
      <c r="F28" s="193">
        <f>'Tabel 1.1'!G45</f>
        <v>8244164.4756099992</v>
      </c>
      <c r="G28" s="193">
        <f>'Tabel 1.1'!H45</f>
        <v>8900285.4288299996</v>
      </c>
      <c r="H28" s="228">
        <f t="shared" si="2"/>
        <v>8</v>
      </c>
      <c r="I28" s="132"/>
      <c r="J28" s="193">
        <f t="shared" si="0"/>
        <v>10975274.561269999</v>
      </c>
      <c r="K28" s="193">
        <f t="shared" si="0"/>
        <v>9936684.6825892441</v>
      </c>
      <c r="L28" s="226">
        <f t="shared" si="3"/>
        <v>-9.5</v>
      </c>
      <c r="M28" s="68"/>
      <c r="N28" s="128"/>
      <c r="O28" s="128"/>
    </row>
    <row r="29" spans="1:23" ht="18.75" customHeight="1" x14ac:dyDescent="0.3">
      <c r="A29" s="131"/>
      <c r="B29" s="97"/>
      <c r="C29" s="191"/>
      <c r="D29" s="191"/>
      <c r="E29" s="178"/>
      <c r="F29" s="191"/>
      <c r="G29" s="191"/>
      <c r="H29" s="228"/>
      <c r="I29" s="178"/>
      <c r="J29" s="191"/>
      <c r="K29" s="191"/>
      <c r="L29" s="226"/>
      <c r="M29" s="67"/>
    </row>
    <row r="30" spans="1:23" ht="18.75" customHeight="1" x14ac:dyDescent="0.3">
      <c r="A30" s="187" t="s">
        <v>144</v>
      </c>
      <c r="B30" s="195"/>
      <c r="C30" s="198"/>
      <c r="D30" s="191"/>
      <c r="E30" s="178"/>
      <c r="F30" s="198"/>
      <c r="G30" s="198"/>
      <c r="H30" s="228"/>
      <c r="I30" s="178"/>
      <c r="J30" s="191"/>
      <c r="K30" s="191"/>
      <c r="L30" s="226"/>
      <c r="M30" s="67"/>
    </row>
    <row r="31" spans="1:23" ht="18.75" customHeight="1" x14ac:dyDescent="0.3">
      <c r="A31" s="188" t="s">
        <v>133</v>
      </c>
      <c r="B31" s="97">
        <f>'Skjema total MA'!B13</f>
        <v>27174310.920384403</v>
      </c>
      <c r="C31" s="97">
        <f>'Skjema total MA'!C13</f>
        <v>25864014.21037323</v>
      </c>
      <c r="D31" s="228">
        <f>IF(B31=0, "    ---- ", IF(ABS(ROUND(100/B31*C31-100,1))&lt;999,ROUND(100/B31*C31-100,1),IF(ROUND(100/B31*C31-100,1)&gt;999,999,-999)))</f>
        <v>-4.8</v>
      </c>
      <c r="E31" s="178"/>
      <c r="F31" s="191">
        <f>'Skjema total MA'!E13</f>
        <v>25941443.302026097</v>
      </c>
      <c r="G31" s="191">
        <f>'Skjema total MA'!F13</f>
        <v>33118562.891345605</v>
      </c>
      <c r="H31" s="228">
        <f t="shared" si="2"/>
        <v>27.7</v>
      </c>
      <c r="I31" s="178"/>
      <c r="J31" s="191">
        <f t="shared" si="0"/>
        <v>53115754.2224105</v>
      </c>
      <c r="K31" s="191">
        <f t="shared" si="0"/>
        <v>58982577.101718836</v>
      </c>
      <c r="L31" s="226">
        <f t="shared" si="3"/>
        <v>11</v>
      </c>
      <c r="M31" s="67"/>
    </row>
    <row r="32" spans="1:23" ht="18.75" customHeight="1" x14ac:dyDescent="0.3">
      <c r="A32" s="188" t="s">
        <v>134</v>
      </c>
      <c r="B32" s="97">
        <f>'Skjema total MA'!B36</f>
        <v>52193326.939549997</v>
      </c>
      <c r="C32" s="97">
        <f>'Skjema total MA'!C36</f>
        <v>50568923.362620004</v>
      </c>
      <c r="D32" s="228">
        <f t="shared" ref="D32:D38" si="5">IF(B32=0, "    ---- ", IF(ABS(ROUND(100/B32*C32-100,1))&lt;999,ROUND(100/B32*C32-100,1),IF(ROUND(100/B32*C32-100,1)&gt;999,999,-999)))</f>
        <v>-3.1</v>
      </c>
      <c r="E32" s="178"/>
      <c r="F32" s="191">
        <f>'Skjema total MA'!E36</f>
        <v>19689939.683009997</v>
      </c>
      <c r="G32" s="191">
        <f>'Skjema total MA'!F36</f>
        <v>19113702.243369997</v>
      </c>
      <c r="H32" s="228">
        <f t="shared" si="2"/>
        <v>-2.9</v>
      </c>
      <c r="I32" s="178"/>
      <c r="J32" s="191">
        <f t="shared" si="0"/>
        <v>71883266.622559994</v>
      </c>
      <c r="K32" s="191">
        <f t="shared" si="0"/>
        <v>69682625.605989993</v>
      </c>
      <c r="L32" s="226">
        <f t="shared" si="3"/>
        <v>-3.1</v>
      </c>
      <c r="M32" s="67"/>
    </row>
    <row r="33" spans="1:15" ht="18.75" x14ac:dyDescent="0.3">
      <c r="A33" s="188" t="s">
        <v>136</v>
      </c>
      <c r="B33" s="97">
        <f>'Skjema total MA'!B119</f>
        <v>368658443.86848575</v>
      </c>
      <c r="C33" s="97">
        <f>'Skjema total MA'!C119</f>
        <v>372982202.13527203</v>
      </c>
      <c r="D33" s="228">
        <f t="shared" si="5"/>
        <v>1.2</v>
      </c>
      <c r="E33" s="178"/>
      <c r="F33" s="191">
        <f>'Skjema total MA'!E119</f>
        <v>145985806.21176547</v>
      </c>
      <c r="G33" s="191">
        <f>'Skjema total MA'!F119</f>
        <v>177731566.44936433</v>
      </c>
      <c r="H33" s="228">
        <f t="shared" si="2"/>
        <v>21.7</v>
      </c>
      <c r="I33" s="178"/>
      <c r="J33" s="191">
        <f t="shared" si="0"/>
        <v>514644250.08025122</v>
      </c>
      <c r="K33" s="191">
        <f t="shared" si="0"/>
        <v>550713768.58463633</v>
      </c>
      <c r="L33" s="226">
        <f t="shared" si="3"/>
        <v>7</v>
      </c>
      <c r="M33" s="67"/>
    </row>
    <row r="34" spans="1:15" ht="22.5" x14ac:dyDescent="0.3">
      <c r="A34" s="188" t="s">
        <v>145</v>
      </c>
      <c r="B34" s="97">
        <f>'Skjema total MA'!B121</f>
        <v>1544510.38616</v>
      </c>
      <c r="C34" s="97">
        <f>'Skjema total MA'!C121</f>
        <v>2273169.6015999997</v>
      </c>
      <c r="D34" s="228">
        <f t="shared" si="5"/>
        <v>47.2</v>
      </c>
      <c r="E34" s="178"/>
      <c r="F34" s="191">
        <f>'Skjema total MA'!E121</f>
        <v>145985806.21176547</v>
      </c>
      <c r="G34" s="191">
        <f>'Skjema total MA'!F121</f>
        <v>177516436.03479433</v>
      </c>
      <c r="H34" s="228">
        <f t="shared" si="2"/>
        <v>21.6</v>
      </c>
      <c r="I34" s="178"/>
      <c r="J34" s="191">
        <f t="shared" si="0"/>
        <v>147530316.59792545</v>
      </c>
      <c r="K34" s="191">
        <f t="shared" si="0"/>
        <v>179789605.63639432</v>
      </c>
      <c r="L34" s="226">
        <f t="shared" si="3"/>
        <v>21.9</v>
      </c>
      <c r="M34" s="67"/>
    </row>
    <row r="35" spans="1:15" ht="18.75" x14ac:dyDescent="0.3">
      <c r="A35" s="189" t="s">
        <v>138</v>
      </c>
      <c r="B35" s="97">
        <f>'Skjema total MA'!B128</f>
        <v>49950.536999999997</v>
      </c>
      <c r="C35" s="97">
        <f>'Skjema total MA'!C128</f>
        <v>99514.081470000005</v>
      </c>
      <c r="D35" s="228">
        <f t="shared" si="5"/>
        <v>99.2</v>
      </c>
      <c r="E35" s="178"/>
      <c r="F35" s="191">
        <f>'Skjema total MA'!E128</f>
        <v>0</v>
      </c>
      <c r="G35" s="191">
        <f>'Skjema total MA'!F128</f>
        <v>215130.41457000002</v>
      </c>
      <c r="H35" s="228" t="str">
        <f t="shared" si="2"/>
        <v xml:space="preserve">    ---- </v>
      </c>
      <c r="I35" s="178"/>
      <c r="J35" s="191">
        <f t="shared" si="0"/>
        <v>49950.536999999997</v>
      </c>
      <c r="K35" s="191">
        <f t="shared" si="0"/>
        <v>314644.49604</v>
      </c>
      <c r="L35" s="226">
        <f t="shared" si="3"/>
        <v>529.9</v>
      </c>
      <c r="M35" s="67"/>
    </row>
    <row r="36" spans="1:15" ht="22.5" x14ac:dyDescent="0.3">
      <c r="A36" s="188" t="s">
        <v>139</v>
      </c>
      <c r="B36" s="97">
        <f>'Skjema total MA'!B167</f>
        <v>456211312.898</v>
      </c>
      <c r="C36" s="97">
        <f>'Skjema total MA'!C167</f>
        <v>489367156.48284</v>
      </c>
      <c r="D36" s="228">
        <f t="shared" si="5"/>
        <v>7.3</v>
      </c>
      <c r="E36" s="178"/>
      <c r="F36" s="191">
        <f>'Skjema total MA'!E167</f>
        <v>2035724</v>
      </c>
      <c r="G36" s="191">
        <f>'Skjema total MA'!F167</f>
        <v>2181469.20615</v>
      </c>
      <c r="H36" s="228">
        <f t="shared" si="2"/>
        <v>7.2</v>
      </c>
      <c r="I36" s="178"/>
      <c r="J36" s="191">
        <f t="shared" si="0"/>
        <v>458247036.898</v>
      </c>
      <c r="K36" s="191">
        <f t="shared" si="0"/>
        <v>491548625.68899</v>
      </c>
      <c r="L36" s="226">
        <f t="shared" si="3"/>
        <v>7.3</v>
      </c>
      <c r="M36" s="67"/>
    </row>
    <row r="37" spans="1:15" ht="18.75" x14ac:dyDescent="0.3">
      <c r="A37" s="188" t="s">
        <v>140</v>
      </c>
      <c r="B37" s="97">
        <f>'Skjema total MA'!B44</f>
        <v>4193854.7349999999</v>
      </c>
      <c r="C37" s="97">
        <f>'Skjema total MA'!C44</f>
        <v>4072055.8659999999</v>
      </c>
      <c r="D37" s="228">
        <f t="shared" si="5"/>
        <v>-2.9</v>
      </c>
      <c r="E37" s="178"/>
      <c r="F37" s="191">
        <f>'Skjema total MA'!E44</f>
        <v>0</v>
      </c>
      <c r="G37" s="191">
        <f>'Skjema total MA'!F44</f>
        <v>0</v>
      </c>
      <c r="H37" s="228"/>
      <c r="I37" s="178"/>
      <c r="J37" s="191">
        <f t="shared" si="0"/>
        <v>4193854.7349999999</v>
      </c>
      <c r="K37" s="191">
        <f t="shared" si="0"/>
        <v>4072055.8659999999</v>
      </c>
      <c r="L37" s="226">
        <f t="shared" si="3"/>
        <v>-2.9</v>
      </c>
      <c r="M37" s="67"/>
    </row>
    <row r="38" spans="1:15" s="129" customFormat="1" ht="18.75" x14ac:dyDescent="0.3">
      <c r="A38" s="131" t="s">
        <v>146</v>
      </c>
      <c r="B38" s="103">
        <f>'Tabel 1.1'!L31</f>
        <v>908431249.36142015</v>
      </c>
      <c r="C38" s="193">
        <f>'Tabel 1.1'!M31</f>
        <v>942854352.0571053</v>
      </c>
      <c r="D38" s="228">
        <f t="shared" si="5"/>
        <v>3.8</v>
      </c>
      <c r="E38" s="132"/>
      <c r="F38" s="193">
        <f>'Tabel 1.1'!L45</f>
        <v>193652913.19680157</v>
      </c>
      <c r="G38" s="193">
        <f>'Tabel 1.1'!M45</f>
        <v>232145300.79022998</v>
      </c>
      <c r="H38" s="228">
        <f t="shared" si="2"/>
        <v>19.899999999999999</v>
      </c>
      <c r="I38" s="132"/>
      <c r="J38" s="193">
        <f t="shared" si="0"/>
        <v>1102084162.5582218</v>
      </c>
      <c r="K38" s="193">
        <f t="shared" si="0"/>
        <v>1174999652.8473353</v>
      </c>
      <c r="L38" s="226">
        <f t="shared" si="3"/>
        <v>6.6</v>
      </c>
      <c r="M38" s="68"/>
      <c r="N38" s="128"/>
      <c r="O38" s="128"/>
    </row>
    <row r="39" spans="1:15" ht="18.75" x14ac:dyDescent="0.3">
      <c r="A39" s="131"/>
      <c r="B39" s="97"/>
      <c r="C39" s="191"/>
      <c r="D39" s="228"/>
      <c r="E39" s="178"/>
      <c r="F39" s="191"/>
      <c r="G39" s="191"/>
      <c r="H39" s="228"/>
      <c r="I39" s="178"/>
      <c r="J39" s="191">
        <f t="shared" si="0"/>
        <v>0</v>
      </c>
      <c r="K39" s="191">
        <f t="shared" si="0"/>
        <v>0</v>
      </c>
      <c r="L39" s="226"/>
      <c r="M39" s="67"/>
    </row>
    <row r="40" spans="1:15" ht="22.5" x14ac:dyDescent="0.3">
      <c r="A40" s="187" t="s">
        <v>147</v>
      </c>
      <c r="B40" s="195"/>
      <c r="C40" s="198"/>
      <c r="D40" s="191"/>
      <c r="E40" s="178"/>
      <c r="F40" s="191"/>
      <c r="G40" s="191"/>
      <c r="H40" s="228"/>
      <c r="I40" s="178"/>
      <c r="J40" s="191"/>
      <c r="K40" s="191"/>
      <c r="L40" s="226"/>
      <c r="M40" s="67"/>
    </row>
    <row r="41" spans="1:15" ht="18.75" x14ac:dyDescent="0.3">
      <c r="A41" s="188" t="s">
        <v>133</v>
      </c>
      <c r="B41" s="97">
        <f>'Skjema total MA'!B14</f>
        <v>103371</v>
      </c>
      <c r="C41" s="97">
        <f>'Skjema total MA'!C14</f>
        <v>81436</v>
      </c>
      <c r="D41" s="228">
        <f>IF(B41=0, "    ---- ", IF(ABS(ROUND(100/B41*C41-100,1))&lt;999,ROUND(100/B41*C41-100,1),IF(ROUND(100/B41*C41-100,1)&gt;999,999,-999)))</f>
        <v>-21.2</v>
      </c>
      <c r="E41" s="178"/>
      <c r="F41" s="191">
        <f>'Skjema total MA'!E14</f>
        <v>360489.74154999998</v>
      </c>
      <c r="G41" s="191">
        <f>'Skjema total MA'!F14</f>
        <v>455222.07000999997</v>
      </c>
      <c r="H41" s="228">
        <f t="shared" si="2"/>
        <v>26.3</v>
      </c>
      <c r="I41" s="178"/>
      <c r="J41" s="191">
        <f t="shared" si="0"/>
        <v>463860.74154999998</v>
      </c>
      <c r="K41" s="191">
        <f t="shared" si="0"/>
        <v>536658.07000999991</v>
      </c>
      <c r="L41" s="226">
        <f t="shared" si="3"/>
        <v>15.7</v>
      </c>
      <c r="M41" s="67"/>
    </row>
    <row r="42" spans="1:15" ht="18.75" x14ac:dyDescent="0.3">
      <c r="A42" s="188" t="s">
        <v>134</v>
      </c>
      <c r="B42" s="97">
        <f>'Skjema total MA'!B40</f>
        <v>46135.155949999993</v>
      </c>
      <c r="C42" s="97">
        <f>'Skjema total MA'!C40</f>
        <v>44311.521549999998</v>
      </c>
      <c r="D42" s="228">
        <f t="shared" ref="D42:D49" si="6">IF(B42=0, "    ---- ", IF(ABS(ROUND(100/B42*C42-100,1))&lt;999,ROUND(100/B42*C42-100,1),IF(ROUND(100/B42*C42-100,1)&gt;999,999,-999)))</f>
        <v>-4</v>
      </c>
      <c r="E42" s="178"/>
      <c r="F42" s="191">
        <f>'Skjema total MA'!E40</f>
        <v>137404.92702999999</v>
      </c>
      <c r="G42" s="191">
        <f>'Skjema total MA'!F40</f>
        <v>78697.841959999991</v>
      </c>
      <c r="H42" s="228">
        <f t="shared" si="2"/>
        <v>-42.7</v>
      </c>
      <c r="I42" s="178"/>
      <c r="J42" s="191">
        <f t="shared" si="0"/>
        <v>183540.08297999998</v>
      </c>
      <c r="K42" s="191">
        <f t="shared" si="0"/>
        <v>123009.36351</v>
      </c>
      <c r="L42" s="226">
        <f t="shared" si="3"/>
        <v>-33</v>
      </c>
      <c r="M42" s="67"/>
    </row>
    <row r="43" spans="1:15" ht="18.75" x14ac:dyDescent="0.3">
      <c r="A43" s="188" t="s">
        <v>136</v>
      </c>
      <c r="B43" s="97">
        <f>'Skjema total MA'!B142</f>
        <v>1194481.88344</v>
      </c>
      <c r="C43" s="97">
        <f>'Skjema total MA'!C142</f>
        <v>1238885.1512199999</v>
      </c>
      <c r="D43" s="228">
        <f t="shared" si="6"/>
        <v>3.7</v>
      </c>
      <c r="E43" s="178"/>
      <c r="F43" s="191">
        <f>'Skjema total MA'!E142</f>
        <v>4323484.6934000002</v>
      </c>
      <c r="G43" s="191">
        <f>'Skjema total MA'!F142</f>
        <v>6066133.60054</v>
      </c>
      <c r="H43" s="228">
        <f t="shared" si="2"/>
        <v>40.299999999999997</v>
      </c>
      <c r="I43" s="178"/>
      <c r="J43" s="191">
        <f t="shared" si="0"/>
        <v>5517966.5768400002</v>
      </c>
      <c r="K43" s="191">
        <f t="shared" si="0"/>
        <v>7305018.7517600004</v>
      </c>
      <c r="L43" s="226">
        <f t="shared" si="3"/>
        <v>32.4</v>
      </c>
      <c r="M43" s="67"/>
    </row>
    <row r="44" spans="1:15" ht="22.5" x14ac:dyDescent="0.3">
      <c r="A44" s="188" t="s">
        <v>139</v>
      </c>
      <c r="B44" s="97">
        <f>'Skjema total MA'!B168</f>
        <v>9266253.0258799996</v>
      </c>
      <c r="C44" s="97">
        <f>'Skjema total MA'!C168</f>
        <v>3252327.7580000004</v>
      </c>
      <c r="D44" s="228">
        <f t="shared" si="6"/>
        <v>-64.900000000000006</v>
      </c>
      <c r="E44" s="178"/>
      <c r="F44" s="191">
        <f>'Skjema total MA'!E168</f>
        <v>121.548</v>
      </c>
      <c r="G44" s="191">
        <f>'Skjema total MA'!F168</f>
        <v>-35.832000000000001</v>
      </c>
      <c r="H44" s="228">
        <f t="shared" si="2"/>
        <v>-129.5</v>
      </c>
      <c r="I44" s="178"/>
      <c r="J44" s="191">
        <f t="shared" si="0"/>
        <v>9266374.57388</v>
      </c>
      <c r="K44" s="191">
        <f t="shared" si="0"/>
        <v>3252291.9260000004</v>
      </c>
      <c r="L44" s="226">
        <f t="shared" si="3"/>
        <v>-64.900000000000006</v>
      </c>
      <c r="M44" s="67"/>
    </row>
    <row r="45" spans="1:15" ht="18.75" x14ac:dyDescent="0.3">
      <c r="A45" s="188" t="s">
        <v>140</v>
      </c>
      <c r="B45" s="97">
        <f>'Skjema total MA'!B45</f>
        <v>412</v>
      </c>
      <c r="C45" s="97">
        <f>'Skjema total MA'!C45</f>
        <v>0</v>
      </c>
      <c r="D45" s="228">
        <f t="shared" si="6"/>
        <v>-100</v>
      </c>
      <c r="E45" s="178"/>
      <c r="F45" s="191">
        <f>'Skjema total MA'!E45</f>
        <v>0</v>
      </c>
      <c r="G45" s="191">
        <f>'Skjema total MA'!F45</f>
        <v>0</v>
      </c>
      <c r="H45" s="228"/>
      <c r="I45" s="178"/>
      <c r="J45" s="191">
        <f t="shared" si="0"/>
        <v>412</v>
      </c>
      <c r="K45" s="191">
        <f t="shared" si="0"/>
        <v>0</v>
      </c>
      <c r="L45" s="226">
        <f t="shared" si="3"/>
        <v>-100</v>
      </c>
      <c r="M45" s="67"/>
    </row>
    <row r="46" spans="1:15" s="129" customFormat="1" ht="18.75" x14ac:dyDescent="0.3">
      <c r="A46" s="131" t="s">
        <v>148</v>
      </c>
      <c r="B46" s="103">
        <f>SUM(B41:B45)</f>
        <v>10610653.065269999</v>
      </c>
      <c r="C46" s="193">
        <f>SUM(C41:C45)</f>
        <v>4616960.4307700004</v>
      </c>
      <c r="D46" s="228">
        <f t="shared" si="6"/>
        <v>-56.5</v>
      </c>
      <c r="E46" s="132"/>
      <c r="F46" s="193">
        <f>SUM(F41:F45)</f>
        <v>4821500.9099800009</v>
      </c>
      <c r="G46" s="193">
        <f>SUM(G41:G45)</f>
        <v>6600017.6805099994</v>
      </c>
      <c r="H46" s="228">
        <f t="shared" si="2"/>
        <v>36.9</v>
      </c>
      <c r="I46" s="132"/>
      <c r="J46" s="193">
        <f t="shared" si="0"/>
        <v>15432153.97525</v>
      </c>
      <c r="K46" s="193">
        <f t="shared" si="0"/>
        <v>11216978.11128</v>
      </c>
      <c r="L46" s="226">
        <f t="shared" si="3"/>
        <v>-27.3</v>
      </c>
      <c r="M46" s="68"/>
    </row>
    <row r="47" spans="1:15" ht="18.75" x14ac:dyDescent="0.3">
      <c r="A47" s="131"/>
      <c r="B47" s="103"/>
      <c r="C47" s="193"/>
      <c r="D47" s="228"/>
      <c r="E47" s="132"/>
      <c r="F47" s="193"/>
      <c r="G47" s="193"/>
      <c r="H47" s="228"/>
      <c r="I47" s="132"/>
      <c r="J47" s="191"/>
      <c r="K47" s="191"/>
      <c r="L47" s="226"/>
      <c r="M47" s="67"/>
    </row>
    <row r="48" spans="1:15" ht="22.5" x14ac:dyDescent="0.3">
      <c r="A48" s="131" t="s">
        <v>149</v>
      </c>
      <c r="B48" s="103"/>
      <c r="C48" s="193"/>
      <c r="D48" s="191"/>
      <c r="E48" s="132"/>
      <c r="F48" s="193"/>
      <c r="G48" s="193"/>
      <c r="H48" s="228"/>
      <c r="I48" s="132"/>
      <c r="J48" s="191"/>
      <c r="K48" s="191"/>
      <c r="L48" s="226"/>
      <c r="M48" s="67"/>
    </row>
    <row r="49" spans="1:15" s="129" customFormat="1" ht="18.75" x14ac:dyDescent="0.3">
      <c r="A49" s="131" t="s">
        <v>135</v>
      </c>
      <c r="B49" s="103">
        <f>'Skjema total MA'!B66</f>
        <v>228655.17600000001</v>
      </c>
      <c r="C49" s="103">
        <f>'Skjema total MA'!C66</f>
        <v>168223.61300000001</v>
      </c>
      <c r="D49" s="228">
        <f t="shared" si="6"/>
        <v>-26.4</v>
      </c>
      <c r="E49" s="132"/>
      <c r="F49" s="193"/>
      <c r="G49" s="193"/>
      <c r="H49" s="228"/>
      <c r="I49" s="132"/>
      <c r="J49" s="193">
        <f t="shared" si="0"/>
        <v>228655.17600000001</v>
      </c>
      <c r="K49" s="193">
        <f t="shared" si="0"/>
        <v>168223.61300000001</v>
      </c>
      <c r="L49" s="226">
        <f t="shared" si="3"/>
        <v>-26.4</v>
      </c>
      <c r="M49" s="68"/>
    </row>
    <row r="50" spans="1:15" ht="18.75" x14ac:dyDescent="0.3">
      <c r="A50" s="131"/>
      <c r="B50" s="103"/>
      <c r="C50" s="193"/>
      <c r="D50" s="191"/>
      <c r="E50" s="132"/>
      <c r="F50" s="193"/>
      <c r="G50" s="193"/>
      <c r="H50" s="228"/>
      <c r="I50" s="132"/>
      <c r="J50" s="191"/>
      <c r="K50" s="191"/>
      <c r="L50" s="226"/>
      <c r="M50" s="67"/>
    </row>
    <row r="51" spans="1:15" ht="22.5" x14ac:dyDescent="0.3">
      <c r="A51" s="187" t="s">
        <v>150</v>
      </c>
      <c r="B51" s="195"/>
      <c r="C51" s="198"/>
      <c r="D51" s="191"/>
      <c r="E51" s="178"/>
      <c r="F51" s="191"/>
      <c r="G51" s="191"/>
      <c r="H51" s="228"/>
      <c r="I51" s="178"/>
      <c r="J51" s="191"/>
      <c r="K51" s="191"/>
      <c r="L51" s="226"/>
      <c r="M51" s="67"/>
    </row>
    <row r="52" spans="1:15" ht="18.75" x14ac:dyDescent="0.3">
      <c r="A52" s="188" t="s">
        <v>133</v>
      </c>
      <c r="B52" s="97">
        <f>'Skjema total MA'!B15</f>
        <v>50954.542650000003</v>
      </c>
      <c r="C52" s="97">
        <f>'Skjema total MA'!C15</f>
        <v>41660.740440000001</v>
      </c>
      <c r="D52" s="228">
        <f>IF(B52=0, "    ---- ", IF(ABS(ROUND(100/B52*C52-100,1))&lt;999,ROUND(100/B52*C52-100,1),IF(ROUND(100/B52*C52-100,1)&gt;999,999,-999)))</f>
        <v>-18.2</v>
      </c>
      <c r="E52" s="178"/>
      <c r="F52" s="191">
        <f>'Skjema total MA'!E15</f>
        <v>128239.56138000001</v>
      </c>
      <c r="G52" s="191">
        <f>'Skjema total MA'!F15</f>
        <v>170904.02306000001</v>
      </c>
      <c r="H52" s="228">
        <f t="shared" si="2"/>
        <v>33.299999999999997</v>
      </c>
      <c r="I52" s="178"/>
      <c r="J52" s="191">
        <f t="shared" si="0"/>
        <v>179194.10403000002</v>
      </c>
      <c r="K52" s="191">
        <f t="shared" si="0"/>
        <v>212564.7635</v>
      </c>
      <c r="L52" s="226">
        <f t="shared" si="3"/>
        <v>18.600000000000001</v>
      </c>
      <c r="M52" s="67"/>
    </row>
    <row r="53" spans="1:15" ht="18.75" x14ac:dyDescent="0.3">
      <c r="A53" s="188" t="s">
        <v>134</v>
      </c>
      <c r="B53" s="97">
        <f>'Skjema total MA'!B41</f>
        <v>-84988.044039999993</v>
      </c>
      <c r="C53" s="97">
        <f>'Skjema total MA'!C41</f>
        <v>-60317.801070000001</v>
      </c>
      <c r="D53" s="228">
        <f t="shared" ref="D53:D57" si="7">IF(B53=0, "    ---- ", IF(ABS(ROUND(100/B53*C53-100,1))&lt;999,ROUND(100/B53*C53-100,1),IF(ROUND(100/B53*C53-100,1)&gt;999,999,-999)))</f>
        <v>-29</v>
      </c>
      <c r="E53" s="178"/>
      <c r="F53" s="191">
        <f>'Skjema total MA'!E41</f>
        <v>125286.07258000001</v>
      </c>
      <c r="G53" s="191">
        <f>'Skjema total MA'!F41</f>
        <v>104469.40084999999</v>
      </c>
      <c r="H53" s="228">
        <f t="shared" si="2"/>
        <v>-16.600000000000001</v>
      </c>
      <c r="I53" s="178"/>
      <c r="J53" s="191">
        <f t="shared" si="0"/>
        <v>40298.028540000014</v>
      </c>
      <c r="K53" s="191">
        <f t="shared" si="0"/>
        <v>44151.59977999999</v>
      </c>
      <c r="L53" s="226">
        <f t="shared" si="3"/>
        <v>9.6</v>
      </c>
      <c r="M53" s="67"/>
    </row>
    <row r="54" spans="1:15" ht="18.75" x14ac:dyDescent="0.3">
      <c r="A54" s="188" t="s">
        <v>136</v>
      </c>
      <c r="B54" s="97">
        <f>'Skjema total MA'!B150</f>
        <v>692304.66505000007</v>
      </c>
      <c r="C54" s="97">
        <f>'Skjema total MA'!C150</f>
        <v>872976.52811000007</v>
      </c>
      <c r="D54" s="228">
        <f t="shared" si="7"/>
        <v>26.1</v>
      </c>
      <c r="E54" s="178"/>
      <c r="F54" s="191">
        <f>'Skjema total MA'!E150</f>
        <v>4372904.56348</v>
      </c>
      <c r="G54" s="191">
        <f>'Skjema total MA'!F150</f>
        <v>6203039.4937200006</v>
      </c>
      <c r="H54" s="228">
        <f t="shared" si="2"/>
        <v>41.9</v>
      </c>
      <c r="I54" s="178"/>
      <c r="J54" s="191">
        <f t="shared" si="0"/>
        <v>5065209.22853</v>
      </c>
      <c r="K54" s="191">
        <f t="shared" si="0"/>
        <v>7076016.0218300009</v>
      </c>
      <c r="L54" s="226">
        <f t="shared" si="3"/>
        <v>39.700000000000003</v>
      </c>
      <c r="M54" s="67"/>
    </row>
    <row r="55" spans="1:15" ht="22.5" x14ac:dyDescent="0.3">
      <c r="A55" s="188" t="s">
        <v>139</v>
      </c>
      <c r="B55" s="97">
        <f>'Skjema total MA'!B169</f>
        <v>17631933.530999999</v>
      </c>
      <c r="C55" s="97">
        <f>'Skjema total MA'!C169</f>
        <v>1936486.4849999999</v>
      </c>
      <c r="D55" s="228">
        <f t="shared" si="7"/>
        <v>-89</v>
      </c>
      <c r="E55" s="178"/>
      <c r="F55" s="191">
        <f>'Skjema total MA'!E169</f>
        <v>0</v>
      </c>
      <c r="G55" s="191">
        <f>'Skjema total MA'!F169</f>
        <v>0</v>
      </c>
      <c r="H55" s="228"/>
      <c r="I55" s="178"/>
      <c r="J55" s="191">
        <f t="shared" si="0"/>
        <v>17631933.530999999</v>
      </c>
      <c r="K55" s="191">
        <f t="shared" si="0"/>
        <v>1936486.4849999999</v>
      </c>
      <c r="L55" s="226">
        <f t="shared" si="3"/>
        <v>-89</v>
      </c>
      <c r="M55" s="67"/>
    </row>
    <row r="56" spans="1:15" ht="18.75" x14ac:dyDescent="0.3">
      <c r="A56" s="188" t="s">
        <v>140</v>
      </c>
      <c r="B56" s="97">
        <f>'Skjema total MA'!B46</f>
        <v>0</v>
      </c>
      <c r="C56" s="97">
        <f>'Skjema total MA'!C46</f>
        <v>19</v>
      </c>
      <c r="D56" s="228" t="str">
        <f t="shared" si="7"/>
        <v xml:space="preserve">    ---- </v>
      </c>
      <c r="E56" s="178"/>
      <c r="F56" s="191"/>
      <c r="G56" s="191"/>
      <c r="H56" s="228"/>
      <c r="I56" s="178"/>
      <c r="J56" s="191">
        <f t="shared" si="0"/>
        <v>0</v>
      </c>
      <c r="K56" s="191">
        <f t="shared" si="0"/>
        <v>19</v>
      </c>
      <c r="L56" s="226" t="str">
        <f t="shared" si="3"/>
        <v xml:space="preserve">    ---- </v>
      </c>
      <c r="M56" s="67"/>
    </row>
    <row r="57" spans="1:15" s="129" customFormat="1" ht="18.75" x14ac:dyDescent="0.3">
      <c r="A57" s="131" t="s">
        <v>151</v>
      </c>
      <c r="B57" s="103">
        <f>SUM(B52:B56)</f>
        <v>18290204.694660001</v>
      </c>
      <c r="C57" s="193">
        <f>SUM(C52:C56)</f>
        <v>2790824.95248</v>
      </c>
      <c r="D57" s="228">
        <f t="shared" si="7"/>
        <v>-84.7</v>
      </c>
      <c r="E57" s="132"/>
      <c r="F57" s="193">
        <f>SUM(F52:F56)</f>
        <v>4626430.1974400003</v>
      </c>
      <c r="G57" s="274">
        <f>SUM(G52:G56)</f>
        <v>6478412.917630001</v>
      </c>
      <c r="H57" s="228">
        <f t="shared" si="2"/>
        <v>40</v>
      </c>
      <c r="I57" s="132"/>
      <c r="J57" s="193">
        <f t="shared" si="0"/>
        <v>22916634.892099999</v>
      </c>
      <c r="K57" s="193">
        <f t="shared" si="0"/>
        <v>9269237.8701100014</v>
      </c>
      <c r="L57" s="226">
        <f t="shared" si="3"/>
        <v>-59.6</v>
      </c>
      <c r="M57" s="68"/>
      <c r="N57" s="128"/>
      <c r="O57" s="128"/>
    </row>
    <row r="58" spans="1:15" ht="18.75" x14ac:dyDescent="0.3">
      <c r="A58" s="131"/>
      <c r="B58" s="103"/>
      <c r="C58" s="193"/>
      <c r="D58" s="191"/>
      <c r="E58" s="132"/>
      <c r="F58" s="193"/>
      <c r="G58" s="193"/>
      <c r="H58" s="228"/>
      <c r="I58" s="132"/>
      <c r="J58" s="191"/>
      <c r="K58" s="191"/>
      <c r="L58" s="226"/>
      <c r="M58" s="67"/>
    </row>
    <row r="59" spans="1:15" ht="22.5" x14ac:dyDescent="0.3">
      <c r="A59" s="131" t="s">
        <v>152</v>
      </c>
      <c r="B59" s="103"/>
      <c r="C59" s="193"/>
      <c r="D59" s="191"/>
      <c r="E59" s="132"/>
      <c r="F59" s="193"/>
      <c r="G59" s="193"/>
      <c r="H59" s="228"/>
      <c r="I59" s="132"/>
      <c r="J59" s="191"/>
      <c r="K59" s="191"/>
      <c r="L59" s="226"/>
      <c r="M59" s="67"/>
    </row>
    <row r="60" spans="1:15" s="129" customFormat="1" ht="18.75" x14ac:dyDescent="0.3">
      <c r="A60" s="131" t="s">
        <v>135</v>
      </c>
      <c r="B60" s="103">
        <f>'Skjema total MA'!B69</f>
        <v>304373.55</v>
      </c>
      <c r="C60" s="103">
        <f>'Skjema total MA'!C69</f>
        <v>190226.55099999998</v>
      </c>
      <c r="D60" s="228">
        <f t="shared" ref="D60" si="8">IF(B60=0, "    ---- ", IF(ABS(ROUND(100/B60*C60-100,1))&lt;999,ROUND(100/B60*C60-100,1),IF(ROUND(100/B60*C60-100,1)&gt;999,999,-999)))</f>
        <v>-37.5</v>
      </c>
      <c r="E60" s="132"/>
      <c r="F60" s="193"/>
      <c r="G60" s="193"/>
      <c r="H60" s="228"/>
      <c r="I60" s="132"/>
      <c r="J60" s="193">
        <f>SUM(B60+F60)</f>
        <v>304373.55</v>
      </c>
      <c r="K60" s="193">
        <f>SUM(C60+G60)</f>
        <v>190226.55099999998</v>
      </c>
      <c r="L60" s="226">
        <f t="shared" si="3"/>
        <v>-37.5</v>
      </c>
      <c r="M60" s="68"/>
    </row>
    <row r="61" spans="1:15" ht="18.75" x14ac:dyDescent="0.3">
      <c r="A61" s="131"/>
      <c r="B61" s="97"/>
      <c r="C61" s="191"/>
      <c r="D61" s="191"/>
      <c r="E61" s="178"/>
      <c r="F61" s="191"/>
      <c r="G61" s="191"/>
      <c r="H61" s="228"/>
      <c r="I61" s="178"/>
      <c r="J61" s="191"/>
      <c r="K61" s="191"/>
      <c r="L61" s="226"/>
      <c r="M61" s="67"/>
    </row>
    <row r="62" spans="1:15" ht="21.75" x14ac:dyDescent="0.3">
      <c r="A62" s="187" t="s">
        <v>153</v>
      </c>
      <c r="B62" s="97"/>
      <c r="C62" s="191"/>
      <c r="D62" s="191"/>
      <c r="E62" s="178"/>
      <c r="F62" s="191"/>
      <c r="G62" s="191"/>
      <c r="H62" s="228"/>
      <c r="I62" s="178"/>
      <c r="J62" s="191"/>
      <c r="K62" s="191"/>
      <c r="L62" s="226"/>
      <c r="M62" s="67"/>
    </row>
    <row r="63" spans="1:15" ht="18.75" x14ac:dyDescent="0.3">
      <c r="A63" s="188" t="s">
        <v>133</v>
      </c>
      <c r="B63" s="97">
        <f>B41-B52</f>
        <v>52416.457349999997</v>
      </c>
      <c r="C63" s="191">
        <f>C41-C52</f>
        <v>39775.259559999999</v>
      </c>
      <c r="D63" s="228">
        <f>IF(B63=0, "    ---- ", IF(ABS(ROUND(100/B63*C63-100,1))&lt;999,ROUND(100/B63*C63-100,1),IF(ROUND(100/B63*C63-100,1)&gt;999,999,-999)))</f>
        <v>-24.1</v>
      </c>
      <c r="E63" s="178"/>
      <c r="F63" s="191">
        <f>F41-F52</f>
        <v>232250.18016999995</v>
      </c>
      <c r="G63" s="191">
        <f>G41-G52</f>
        <v>284318.04694999999</v>
      </c>
      <c r="H63" s="228">
        <f t="shared" si="2"/>
        <v>22.4</v>
      </c>
      <c r="I63" s="178"/>
      <c r="J63" s="191">
        <f t="shared" si="0"/>
        <v>284666.63751999993</v>
      </c>
      <c r="K63" s="191">
        <f t="shared" si="0"/>
        <v>324093.30650999997</v>
      </c>
      <c r="L63" s="226">
        <f t="shared" si="3"/>
        <v>13.9</v>
      </c>
      <c r="M63" s="67"/>
    </row>
    <row r="64" spans="1:15" ht="18.75" x14ac:dyDescent="0.3">
      <c r="A64" s="188" t="s">
        <v>134</v>
      </c>
      <c r="B64" s="97">
        <f t="shared" ref="B64:C67" si="9">B42-B53</f>
        <v>131123.19998999999</v>
      </c>
      <c r="C64" s="191">
        <f t="shared" si="9"/>
        <v>104629.32261999999</v>
      </c>
      <c r="D64" s="228">
        <f t="shared" ref="D64:D71" si="10">IF(B64=0, "    ---- ", IF(ABS(ROUND(100/B64*C64-100,1))&lt;999,ROUND(100/B64*C64-100,1),IF(ROUND(100/B64*C64-100,1)&gt;999,999,-999)))</f>
        <v>-20.2</v>
      </c>
      <c r="E64" s="178"/>
      <c r="F64" s="191">
        <f t="shared" ref="F64:G67" si="11">F42-F53</f>
        <v>12118.854449999984</v>
      </c>
      <c r="G64" s="191">
        <f t="shared" si="11"/>
        <v>-25771.55889</v>
      </c>
      <c r="H64" s="228">
        <f t="shared" si="2"/>
        <v>-312.7</v>
      </c>
      <c r="I64" s="178"/>
      <c r="J64" s="191">
        <f t="shared" si="0"/>
        <v>143242.05443999998</v>
      </c>
      <c r="K64" s="191">
        <f t="shared" si="0"/>
        <v>78857.763729999991</v>
      </c>
      <c r="L64" s="226">
        <f t="shared" si="3"/>
        <v>-44.9</v>
      </c>
      <c r="M64" s="67"/>
    </row>
    <row r="65" spans="1:15" ht="18.75" x14ac:dyDescent="0.3">
      <c r="A65" s="188" t="s">
        <v>136</v>
      </c>
      <c r="B65" s="97">
        <f t="shared" si="9"/>
        <v>502177.21838999994</v>
      </c>
      <c r="C65" s="191">
        <f t="shared" si="9"/>
        <v>365908.62310999981</v>
      </c>
      <c r="D65" s="228">
        <f t="shared" si="10"/>
        <v>-27.1</v>
      </c>
      <c r="E65" s="178"/>
      <c r="F65" s="191">
        <f t="shared" si="11"/>
        <v>-49419.87007999979</v>
      </c>
      <c r="G65" s="191">
        <f t="shared" si="11"/>
        <v>-136905.8931800006</v>
      </c>
      <c r="H65" s="228">
        <f t="shared" si="2"/>
        <v>177</v>
      </c>
      <c r="I65" s="178"/>
      <c r="J65" s="191">
        <f t="shared" si="0"/>
        <v>452757.34831000015</v>
      </c>
      <c r="K65" s="191">
        <f t="shared" si="0"/>
        <v>229002.72992999922</v>
      </c>
      <c r="L65" s="226">
        <f t="shared" si="3"/>
        <v>-49.4</v>
      </c>
      <c r="M65" s="67"/>
    </row>
    <row r="66" spans="1:15" ht="22.5" x14ac:dyDescent="0.3">
      <c r="A66" s="188" t="s">
        <v>139</v>
      </c>
      <c r="B66" s="97">
        <f t="shared" si="9"/>
        <v>-8365680.5051199999</v>
      </c>
      <c r="C66" s="191">
        <f t="shared" si="9"/>
        <v>1315841.2730000005</v>
      </c>
      <c r="D66" s="228">
        <f t="shared" si="10"/>
        <v>-115.7</v>
      </c>
      <c r="E66" s="178"/>
      <c r="F66" s="191">
        <f t="shared" si="11"/>
        <v>121.548</v>
      </c>
      <c r="G66" s="191">
        <f t="shared" si="11"/>
        <v>-35.832000000000001</v>
      </c>
      <c r="H66" s="228">
        <f t="shared" si="2"/>
        <v>-129.5</v>
      </c>
      <c r="I66" s="178"/>
      <c r="J66" s="191">
        <f t="shared" si="0"/>
        <v>-8365558.9571199995</v>
      </c>
      <c r="K66" s="191">
        <f t="shared" si="0"/>
        <v>1315805.4410000006</v>
      </c>
      <c r="L66" s="226">
        <f t="shared" si="3"/>
        <v>-115.7</v>
      </c>
      <c r="M66" s="67"/>
    </row>
    <row r="67" spans="1:15" ht="18.75" x14ac:dyDescent="0.3">
      <c r="A67" s="188" t="s">
        <v>140</v>
      </c>
      <c r="B67" s="97">
        <f t="shared" si="9"/>
        <v>412</v>
      </c>
      <c r="C67" s="191">
        <f t="shared" si="9"/>
        <v>-19</v>
      </c>
      <c r="D67" s="228">
        <f t="shared" si="10"/>
        <v>-104.6</v>
      </c>
      <c r="E67" s="178"/>
      <c r="F67" s="191">
        <f t="shared" si="11"/>
        <v>0</v>
      </c>
      <c r="G67" s="191">
        <f t="shared" si="11"/>
        <v>0</v>
      </c>
      <c r="H67" s="228"/>
      <c r="I67" s="178"/>
      <c r="J67" s="191">
        <f t="shared" si="0"/>
        <v>412</v>
      </c>
      <c r="K67" s="191">
        <f t="shared" si="0"/>
        <v>-19</v>
      </c>
      <c r="L67" s="226">
        <f t="shared" si="3"/>
        <v>-104.6</v>
      </c>
      <c r="M67" s="67"/>
    </row>
    <row r="68" spans="1:15" s="129" customFormat="1" ht="18.75" x14ac:dyDescent="0.3">
      <c r="A68" s="131" t="s">
        <v>154</v>
      </c>
      <c r="B68" s="103">
        <f>SUM(B63:B67)</f>
        <v>-7679551.6293899994</v>
      </c>
      <c r="C68" s="193">
        <f>SUM(C63:C67)</f>
        <v>1826135.4782900005</v>
      </c>
      <c r="D68" s="228">
        <f>IF(B68=0, "    ---- ", IF(ABS(ROUND(100/B68*C68-100,1))&lt;999,ROUND(100/B68*C68-100,1),IF(ROUND(100/B68*C68-100,1)&gt;999,999,-999)))</f>
        <v>-123.8</v>
      </c>
      <c r="E68" s="132"/>
      <c r="F68" s="193">
        <f>SUM(F63:F67)</f>
        <v>195070.71254000015</v>
      </c>
      <c r="G68" s="274">
        <f>SUM(G63:G67)</f>
        <v>121604.76287999941</v>
      </c>
      <c r="H68" s="228">
        <f t="shared" si="2"/>
        <v>-37.700000000000003</v>
      </c>
      <c r="I68" s="132"/>
      <c r="J68" s="193">
        <f t="shared" si="0"/>
        <v>-7484480.9168499997</v>
      </c>
      <c r="K68" s="191">
        <f t="shared" si="0"/>
        <v>1947740.2411699998</v>
      </c>
      <c r="L68" s="226">
        <f t="shared" si="3"/>
        <v>-126</v>
      </c>
      <c r="M68" s="68"/>
      <c r="N68" s="128"/>
      <c r="O68" s="128"/>
    </row>
    <row r="69" spans="1:15" ht="18.75" x14ac:dyDescent="0.3">
      <c r="A69" s="131"/>
      <c r="B69" s="103"/>
      <c r="C69" s="193"/>
      <c r="D69" s="228"/>
      <c r="E69" s="132"/>
      <c r="F69" s="193"/>
      <c r="G69" s="193"/>
      <c r="H69" s="228"/>
      <c r="I69" s="132"/>
      <c r="J69" s="193"/>
      <c r="K69" s="191"/>
      <c r="L69" s="226"/>
      <c r="M69" s="67"/>
    </row>
    <row r="70" spans="1:15" ht="22.5" x14ac:dyDescent="0.3">
      <c r="A70" s="131" t="s">
        <v>155</v>
      </c>
      <c r="B70" s="103"/>
      <c r="C70" s="193"/>
      <c r="D70" s="228"/>
      <c r="E70" s="132"/>
      <c r="F70" s="193"/>
      <c r="G70" s="193"/>
      <c r="H70" s="228"/>
      <c r="I70" s="132"/>
      <c r="J70" s="193"/>
      <c r="K70" s="191"/>
      <c r="L70" s="226"/>
      <c r="M70" s="67"/>
    </row>
    <row r="71" spans="1:15" s="129" customFormat="1" ht="18.75" x14ac:dyDescent="0.3">
      <c r="A71" s="131" t="s">
        <v>135</v>
      </c>
      <c r="B71" s="103">
        <f>B49-B60</f>
        <v>-75718.373999999982</v>
      </c>
      <c r="C71" s="193">
        <f>C49-C60</f>
        <v>-22002.937999999966</v>
      </c>
      <c r="D71" s="228">
        <f t="shared" si="10"/>
        <v>-70.900000000000006</v>
      </c>
      <c r="E71" s="132"/>
      <c r="F71" s="193">
        <f>F49-F60</f>
        <v>0</v>
      </c>
      <c r="G71" s="193">
        <f>G49-G60</f>
        <v>0</v>
      </c>
      <c r="H71" s="228"/>
      <c r="I71" s="132"/>
      <c r="J71" s="193">
        <f t="shared" si="0"/>
        <v>-75718.373999999982</v>
      </c>
      <c r="K71" s="191">
        <f t="shared" si="0"/>
        <v>-22002.937999999966</v>
      </c>
      <c r="L71" s="226">
        <f t="shared" si="3"/>
        <v>-70.900000000000006</v>
      </c>
      <c r="M71" s="68"/>
    </row>
    <row r="72" spans="1:15" s="129" customFormat="1" ht="18.75" x14ac:dyDescent="0.3">
      <c r="A72" s="190"/>
      <c r="B72" s="108"/>
      <c r="C72" s="194"/>
      <c r="D72" s="199"/>
      <c r="E72" s="132"/>
      <c r="F72" s="194"/>
      <c r="G72" s="194"/>
      <c r="H72" s="199"/>
      <c r="I72" s="132"/>
      <c r="J72" s="199"/>
      <c r="K72" s="199"/>
      <c r="L72" s="199"/>
      <c r="M72" s="68"/>
    </row>
    <row r="73" spans="1:15" ht="18.75" x14ac:dyDescent="0.3">
      <c r="A73" s="105" t="s">
        <v>156</v>
      </c>
      <c r="C73" s="133"/>
      <c r="D73" s="133"/>
      <c r="E73" s="133"/>
      <c r="F73" s="133"/>
      <c r="G73" s="105"/>
      <c r="H73" s="67"/>
      <c r="I73" s="105"/>
      <c r="J73" s="105"/>
      <c r="K73" s="105"/>
      <c r="L73" s="67"/>
      <c r="M73" s="67"/>
    </row>
    <row r="74" spans="1:15" ht="18.75" x14ac:dyDescent="0.3">
      <c r="A74" s="105" t="s">
        <v>157</v>
      </c>
      <c r="C74" s="133"/>
      <c r="D74" s="133"/>
      <c r="E74" s="133"/>
      <c r="F74" s="133"/>
      <c r="G74" s="67"/>
      <c r="H74" s="67"/>
      <c r="I74" s="67"/>
      <c r="J74" s="67"/>
      <c r="K74" s="67"/>
      <c r="L74" s="67"/>
      <c r="M74" s="67"/>
    </row>
    <row r="75" spans="1:15" ht="18.75" x14ac:dyDescent="0.3">
      <c r="A75" s="105" t="s">
        <v>126</v>
      </c>
      <c r="B75" s="67"/>
      <c r="C75" s="67"/>
      <c r="D75" s="67"/>
      <c r="E75" s="67"/>
      <c r="F75" s="67"/>
      <c r="G75" s="67"/>
      <c r="H75" s="67"/>
      <c r="I75" s="67"/>
      <c r="J75" s="67"/>
      <c r="K75" s="67"/>
      <c r="L75" s="67"/>
      <c r="M75" s="67"/>
    </row>
    <row r="76" spans="1:15" ht="18.75" x14ac:dyDescent="0.3">
      <c r="A76" s="67"/>
      <c r="C76" s="67"/>
      <c r="D76" s="67"/>
      <c r="E76" s="67"/>
      <c r="F76" s="67"/>
      <c r="G76" s="67"/>
      <c r="H76" s="67"/>
      <c r="I76" s="67"/>
      <c r="J76" s="67"/>
      <c r="K76" s="67"/>
      <c r="L76" s="67"/>
      <c r="M76" s="67"/>
    </row>
    <row r="77" spans="1:15" ht="18.75" x14ac:dyDescent="0.3">
      <c r="A77" s="67"/>
      <c r="B77" s="67"/>
      <c r="C77" s="67"/>
      <c r="D77" s="67"/>
      <c r="E77" s="67"/>
      <c r="F77" s="67"/>
      <c r="G77" s="67"/>
      <c r="H77" s="67"/>
      <c r="I77" s="67"/>
      <c r="J77" s="67"/>
      <c r="K77" s="67"/>
      <c r="L77" s="67"/>
      <c r="M77" s="67"/>
    </row>
    <row r="78" spans="1:15" ht="18.75" x14ac:dyDescent="0.3">
      <c r="A78" s="67"/>
      <c r="B78" s="67"/>
      <c r="C78" s="67"/>
      <c r="D78" s="67"/>
      <c r="E78" s="67"/>
      <c r="F78" s="67"/>
      <c r="G78" s="67"/>
      <c r="H78" s="67"/>
      <c r="I78" s="67"/>
      <c r="J78" s="67"/>
      <c r="K78" s="67"/>
      <c r="L78" s="67"/>
      <c r="M78" s="67"/>
    </row>
    <row r="79" spans="1:15" ht="18.75" x14ac:dyDescent="0.3">
      <c r="A79" s="67"/>
      <c r="B79" s="67"/>
      <c r="C79" s="67"/>
      <c r="D79" s="67"/>
      <c r="E79" s="67"/>
      <c r="F79" s="67"/>
      <c r="G79" s="67"/>
      <c r="H79" s="67"/>
      <c r="I79" s="67"/>
      <c r="J79" s="67"/>
      <c r="K79" s="67"/>
      <c r="L79" s="67"/>
      <c r="M79" s="67"/>
    </row>
    <row r="80" spans="1:15" ht="18.75" x14ac:dyDescent="0.3">
      <c r="A80" s="67"/>
      <c r="B80" s="67"/>
      <c r="C80" s="67"/>
      <c r="D80" s="67"/>
      <c r="E80" s="67"/>
      <c r="F80" s="67"/>
      <c r="G80" s="67"/>
      <c r="H80" s="67"/>
      <c r="I80" s="67"/>
      <c r="J80" s="67"/>
      <c r="K80" s="67"/>
      <c r="L80" s="67"/>
      <c r="M80" s="67"/>
    </row>
    <row r="81" spans="1:13" ht="18.75" x14ac:dyDescent="0.3">
      <c r="A81" s="67"/>
      <c r="B81" s="67"/>
      <c r="C81" s="67"/>
      <c r="D81" s="67"/>
      <c r="E81" s="67"/>
      <c r="F81" s="67"/>
      <c r="G81" s="67"/>
      <c r="H81" s="67"/>
      <c r="I81" s="67"/>
      <c r="J81" s="67"/>
      <c r="K81" s="67"/>
      <c r="L81" s="67"/>
      <c r="M81" s="67"/>
    </row>
    <row r="82" spans="1:13" ht="18.75" x14ac:dyDescent="0.3">
      <c r="A82" s="67"/>
      <c r="B82" s="67"/>
      <c r="C82" s="67"/>
      <c r="D82" s="67"/>
      <c r="E82" s="67"/>
      <c r="F82" s="67"/>
      <c r="G82" s="67"/>
      <c r="H82" s="67"/>
      <c r="I82" s="67"/>
      <c r="J82" s="67"/>
      <c r="K82" s="67"/>
      <c r="L82" s="67"/>
      <c r="M82" s="67"/>
    </row>
    <row r="83" spans="1:13" ht="18.75" x14ac:dyDescent="0.3">
      <c r="A83" s="67"/>
      <c r="B83" s="67"/>
      <c r="C83" s="67"/>
      <c r="D83" s="67"/>
      <c r="E83" s="67"/>
      <c r="F83" s="67"/>
      <c r="G83" s="67"/>
      <c r="H83" s="67"/>
      <c r="I83" s="67"/>
      <c r="J83" s="67"/>
      <c r="K83" s="67"/>
      <c r="L83" s="67"/>
      <c r="M83" s="67"/>
    </row>
    <row r="84" spans="1:13" ht="18.75" x14ac:dyDescent="0.3">
      <c r="A84" s="67"/>
      <c r="B84" s="67"/>
      <c r="C84" s="67"/>
      <c r="D84" s="67"/>
      <c r="E84" s="67"/>
      <c r="F84" s="67"/>
      <c r="G84" s="67"/>
      <c r="H84" s="67"/>
      <c r="I84" s="67"/>
      <c r="J84" s="67"/>
      <c r="K84" s="67"/>
      <c r="L84" s="67"/>
      <c r="M84" s="67"/>
    </row>
    <row r="85" spans="1:13" ht="18.75" x14ac:dyDescent="0.3">
      <c r="A85" s="67"/>
      <c r="B85" s="67"/>
      <c r="C85" s="67"/>
      <c r="D85" s="67"/>
      <c r="E85" s="67"/>
      <c r="F85" s="67"/>
      <c r="G85" s="67"/>
      <c r="H85" s="67"/>
      <c r="I85" s="67"/>
      <c r="J85" s="67"/>
      <c r="K85" s="67"/>
      <c r="L85" s="67"/>
      <c r="M85" s="67"/>
    </row>
    <row r="86" spans="1:13" ht="18.75" x14ac:dyDescent="0.3">
      <c r="A86" s="67"/>
      <c r="B86" s="67"/>
      <c r="C86" s="67"/>
      <c r="D86" s="67"/>
      <c r="E86" s="67"/>
      <c r="F86" s="67"/>
      <c r="G86" s="67"/>
      <c r="H86" s="67"/>
      <c r="I86" s="67"/>
      <c r="J86" s="67"/>
      <c r="K86" s="67"/>
      <c r="L86" s="67"/>
      <c r="M86" s="67"/>
    </row>
    <row r="87" spans="1:13" ht="18.75" x14ac:dyDescent="0.3">
      <c r="A87" s="67"/>
      <c r="B87" s="67"/>
      <c r="C87" s="67"/>
      <c r="D87" s="67"/>
      <c r="E87" s="67"/>
      <c r="F87" s="67"/>
      <c r="G87" s="67"/>
      <c r="H87" s="67"/>
      <c r="I87" s="67"/>
      <c r="J87" s="67"/>
      <c r="K87" s="67"/>
      <c r="L87" s="67"/>
      <c r="M87" s="67"/>
    </row>
    <row r="88" spans="1:13" ht="18.75" x14ac:dyDescent="0.3">
      <c r="A88" s="67"/>
      <c r="B88" s="67"/>
      <c r="C88" s="67"/>
      <c r="D88" s="67"/>
      <c r="E88" s="67"/>
      <c r="F88" s="67"/>
      <c r="G88" s="67"/>
      <c r="H88" s="67"/>
      <c r="I88" s="67"/>
      <c r="J88" s="67"/>
      <c r="K88" s="67"/>
      <c r="L88" s="67"/>
      <c r="M88" s="67"/>
    </row>
    <row r="89" spans="1:13" ht="18.75" x14ac:dyDescent="0.3">
      <c r="A89" s="67"/>
      <c r="B89" s="67"/>
      <c r="C89" s="67"/>
      <c r="D89" s="67"/>
      <c r="E89" s="67"/>
      <c r="F89" s="67"/>
      <c r="G89" s="67"/>
      <c r="H89" s="67"/>
      <c r="I89" s="67"/>
      <c r="J89" s="67"/>
      <c r="K89" s="67"/>
      <c r="L89" s="67"/>
      <c r="M89" s="67"/>
    </row>
    <row r="90" spans="1:13" ht="18.75" x14ac:dyDescent="0.3">
      <c r="A90" s="67"/>
      <c r="B90" s="67"/>
      <c r="C90" s="67"/>
      <c r="D90" s="67"/>
      <c r="E90" s="67"/>
      <c r="F90" s="67"/>
      <c r="G90" s="67"/>
      <c r="H90" s="67"/>
      <c r="I90" s="67"/>
      <c r="J90" s="67"/>
      <c r="K90" s="67"/>
      <c r="L90" s="67"/>
      <c r="M90" s="67"/>
    </row>
    <row r="91" spans="1:13" ht="18.75" x14ac:dyDescent="0.3">
      <c r="A91" s="67"/>
      <c r="B91" s="67"/>
      <c r="C91" s="67"/>
      <c r="D91" s="67"/>
      <c r="E91" s="67"/>
      <c r="F91" s="67"/>
      <c r="G91" s="67"/>
      <c r="H91" s="67"/>
      <c r="I91" s="67"/>
      <c r="J91" s="67"/>
      <c r="K91" s="67"/>
      <c r="L91" s="67"/>
      <c r="M91" s="67"/>
    </row>
    <row r="92" spans="1:13" ht="18.75" x14ac:dyDescent="0.3">
      <c r="A92" s="67"/>
      <c r="B92" s="67"/>
      <c r="C92" s="67"/>
      <c r="D92" s="67"/>
      <c r="E92" s="67"/>
      <c r="F92" s="67"/>
      <c r="G92" s="67"/>
      <c r="H92" s="67"/>
      <c r="I92" s="67"/>
      <c r="J92" s="67"/>
      <c r="K92" s="67"/>
      <c r="L92" s="67"/>
      <c r="M92" s="67"/>
    </row>
    <row r="93" spans="1:13" ht="18.75" x14ac:dyDescent="0.3">
      <c r="A93" s="67"/>
      <c r="B93" s="67"/>
      <c r="C93" s="67"/>
      <c r="D93" s="67"/>
      <c r="E93" s="67"/>
      <c r="F93" s="67"/>
      <c r="G93" s="67"/>
      <c r="H93" s="67"/>
      <c r="I93" s="67"/>
      <c r="J93" s="67"/>
      <c r="K93" s="67"/>
      <c r="L93" s="67"/>
      <c r="M93" s="67"/>
    </row>
    <row r="94" spans="1:13" ht="18.75" x14ac:dyDescent="0.3">
      <c r="A94" s="67"/>
      <c r="B94" s="67"/>
      <c r="C94" s="67"/>
      <c r="D94" s="67"/>
      <c r="E94" s="67"/>
      <c r="F94" s="67"/>
      <c r="G94" s="67"/>
      <c r="H94" s="67"/>
      <c r="I94" s="67"/>
      <c r="J94" s="67"/>
      <c r="K94" s="67"/>
      <c r="L94" s="67"/>
      <c r="M94" s="67"/>
    </row>
    <row r="95" spans="1:13" ht="18.75" x14ac:dyDescent="0.3">
      <c r="A95" s="67"/>
      <c r="B95" s="67"/>
      <c r="C95" s="67"/>
      <c r="D95" s="67"/>
      <c r="E95" s="67"/>
      <c r="F95" s="67"/>
      <c r="G95" s="67"/>
      <c r="H95" s="67"/>
      <c r="I95" s="67"/>
      <c r="J95" s="67"/>
      <c r="K95" s="67"/>
      <c r="L95" s="67"/>
      <c r="M95" s="67"/>
    </row>
    <row r="96" spans="1:13" ht="18.75" x14ac:dyDescent="0.3">
      <c r="A96" s="67"/>
      <c r="B96" s="67"/>
      <c r="C96" s="67"/>
      <c r="D96" s="67"/>
      <c r="E96" s="67"/>
      <c r="F96" s="67"/>
      <c r="G96" s="67"/>
      <c r="H96" s="67"/>
      <c r="I96" s="67"/>
      <c r="J96" s="67"/>
      <c r="K96" s="67"/>
      <c r="L96" s="67"/>
      <c r="M96" s="67"/>
    </row>
    <row r="97" spans="1:13" ht="18.75" x14ac:dyDescent="0.3">
      <c r="A97" s="67"/>
      <c r="B97" s="67"/>
      <c r="C97" s="67"/>
      <c r="D97" s="67"/>
      <c r="E97" s="67"/>
      <c r="F97" s="67"/>
      <c r="G97" s="67"/>
      <c r="H97" s="67"/>
      <c r="I97" s="67"/>
      <c r="J97" s="67"/>
      <c r="K97" s="67"/>
      <c r="L97" s="67"/>
      <c r="M97" s="67"/>
    </row>
    <row r="98" spans="1:13" ht="18.75" x14ac:dyDescent="0.3">
      <c r="A98" s="67"/>
      <c r="B98" s="67"/>
      <c r="C98" s="67"/>
      <c r="D98" s="67"/>
      <c r="E98" s="67"/>
      <c r="F98" s="67"/>
      <c r="G98" s="67"/>
      <c r="H98" s="67"/>
      <c r="I98" s="67"/>
      <c r="J98" s="67"/>
      <c r="K98" s="67"/>
      <c r="L98" s="67"/>
      <c r="M98" s="67"/>
    </row>
    <row r="99" spans="1:13" ht="18.75" x14ac:dyDescent="0.3">
      <c r="A99" s="67"/>
      <c r="B99" s="67"/>
      <c r="C99" s="67"/>
      <c r="D99" s="67"/>
      <c r="E99" s="67"/>
      <c r="F99" s="67"/>
      <c r="G99" s="67"/>
      <c r="H99" s="67"/>
      <c r="I99" s="67"/>
      <c r="J99" s="67"/>
      <c r="K99" s="67"/>
      <c r="L99" s="67"/>
      <c r="M99" s="67"/>
    </row>
    <row r="100" spans="1:13" ht="18.75" x14ac:dyDescent="0.3">
      <c r="A100" s="67"/>
      <c r="B100" s="67"/>
      <c r="C100" s="67"/>
      <c r="D100" s="67"/>
      <c r="E100" s="67"/>
      <c r="F100" s="67"/>
      <c r="G100" s="67"/>
      <c r="H100" s="67"/>
      <c r="I100" s="67"/>
      <c r="J100" s="67"/>
      <c r="K100" s="67"/>
      <c r="L100" s="67"/>
      <c r="M100" s="67"/>
    </row>
    <row r="101" spans="1:13" ht="18.75" x14ac:dyDescent="0.3">
      <c r="A101" s="67"/>
      <c r="B101" s="67"/>
      <c r="C101" s="67"/>
      <c r="D101" s="67"/>
      <c r="E101" s="67"/>
      <c r="F101" s="67"/>
      <c r="G101" s="67"/>
      <c r="H101" s="67"/>
      <c r="I101" s="67"/>
      <c r="J101" s="67"/>
      <c r="K101" s="67"/>
      <c r="L101" s="67"/>
      <c r="M101" s="67"/>
    </row>
    <row r="102" spans="1:13" ht="18.75" x14ac:dyDescent="0.3">
      <c r="A102" s="67"/>
      <c r="B102" s="67"/>
      <c r="C102" s="67"/>
      <c r="D102" s="67"/>
      <c r="E102" s="67"/>
      <c r="F102" s="67"/>
      <c r="G102" s="67"/>
      <c r="H102" s="67"/>
      <c r="I102" s="67"/>
      <c r="J102" s="67"/>
      <c r="K102" s="67"/>
      <c r="L102" s="67"/>
      <c r="M102" s="67"/>
    </row>
    <row r="103" spans="1:13" ht="18.75" x14ac:dyDescent="0.3">
      <c r="A103" s="67"/>
      <c r="B103" s="67"/>
      <c r="C103" s="67"/>
      <c r="D103" s="67"/>
      <c r="E103" s="67"/>
      <c r="F103" s="67"/>
      <c r="G103" s="67"/>
      <c r="H103" s="67"/>
      <c r="I103" s="67"/>
      <c r="J103" s="67"/>
      <c r="K103" s="67"/>
      <c r="L103" s="67"/>
      <c r="M103" s="67"/>
    </row>
    <row r="104" spans="1:13" ht="18.75" x14ac:dyDescent="0.3">
      <c r="A104" s="67"/>
      <c r="B104" s="67"/>
      <c r="C104" s="67"/>
      <c r="D104" s="67"/>
      <c r="E104" s="67"/>
      <c r="F104" s="67"/>
      <c r="G104" s="67"/>
      <c r="H104" s="67"/>
      <c r="I104" s="67"/>
      <c r="J104" s="67"/>
      <c r="K104" s="67"/>
      <c r="L104" s="67"/>
      <c r="M104" s="67"/>
    </row>
    <row r="105" spans="1:13" ht="18.75" x14ac:dyDescent="0.3">
      <c r="A105" s="67"/>
      <c r="B105" s="67"/>
      <c r="C105" s="67"/>
      <c r="D105" s="67"/>
      <c r="E105" s="67"/>
      <c r="F105" s="67"/>
      <c r="G105" s="67"/>
      <c r="H105" s="67"/>
      <c r="I105" s="67"/>
      <c r="J105" s="67"/>
      <c r="K105" s="67"/>
      <c r="L105" s="67"/>
      <c r="M105" s="67"/>
    </row>
    <row r="106" spans="1:13" ht="18.75" x14ac:dyDescent="0.3">
      <c r="A106" s="67"/>
      <c r="B106" s="67"/>
      <c r="C106" s="67"/>
      <c r="D106" s="67"/>
      <c r="E106" s="67"/>
      <c r="F106" s="67"/>
      <c r="G106" s="67"/>
      <c r="H106" s="67"/>
      <c r="I106" s="67"/>
      <c r="J106" s="67"/>
      <c r="K106" s="67"/>
      <c r="L106" s="67"/>
      <c r="M106" s="67"/>
    </row>
    <row r="107" spans="1:13" ht="18.75" x14ac:dyDescent="0.3">
      <c r="A107" s="67"/>
      <c r="B107" s="67"/>
      <c r="C107" s="67"/>
      <c r="D107" s="67"/>
      <c r="E107" s="67"/>
      <c r="F107" s="67"/>
      <c r="G107" s="67"/>
      <c r="H107" s="67"/>
      <c r="I107" s="67"/>
      <c r="J107" s="67"/>
      <c r="K107" s="67"/>
      <c r="L107" s="67"/>
      <c r="M107" s="67"/>
    </row>
    <row r="108" spans="1:13" ht="18.75" x14ac:dyDescent="0.3">
      <c r="A108" s="67"/>
      <c r="B108" s="67"/>
      <c r="C108" s="67"/>
      <c r="D108" s="67"/>
      <c r="E108" s="67"/>
      <c r="F108" s="67"/>
      <c r="G108" s="67"/>
      <c r="H108" s="67"/>
      <c r="I108" s="67"/>
      <c r="J108" s="67"/>
      <c r="K108" s="67"/>
      <c r="L108" s="67"/>
      <c r="M108" s="67"/>
    </row>
    <row r="109" spans="1:13" ht="18.75" x14ac:dyDescent="0.3">
      <c r="A109" s="67"/>
      <c r="B109" s="67"/>
      <c r="C109" s="67"/>
      <c r="D109" s="67"/>
      <c r="E109" s="67"/>
      <c r="F109" s="67"/>
      <c r="G109" s="67"/>
      <c r="H109" s="67"/>
      <c r="I109" s="67"/>
      <c r="J109" s="67"/>
      <c r="K109" s="67"/>
      <c r="L109" s="67"/>
      <c r="M109" s="67"/>
    </row>
    <row r="110" spans="1:13" ht="18.75" x14ac:dyDescent="0.3">
      <c r="A110" s="67"/>
      <c r="B110" s="67"/>
      <c r="C110" s="67"/>
      <c r="D110" s="67"/>
      <c r="E110" s="67"/>
      <c r="F110" s="67"/>
      <c r="G110" s="67"/>
      <c r="H110" s="67"/>
      <c r="I110" s="67"/>
      <c r="J110" s="67"/>
      <c r="K110" s="67"/>
      <c r="L110" s="67"/>
      <c r="M110" s="67"/>
    </row>
    <row r="111" spans="1:13" ht="18.75" x14ac:dyDescent="0.3">
      <c r="A111" s="67"/>
      <c r="B111" s="67"/>
      <c r="C111" s="67"/>
      <c r="D111" s="67"/>
      <c r="E111" s="67"/>
      <c r="F111" s="67"/>
      <c r="G111" s="67"/>
      <c r="H111" s="67"/>
      <c r="I111" s="67"/>
      <c r="J111" s="67"/>
      <c r="K111" s="67"/>
      <c r="L111" s="67"/>
      <c r="M111" s="67"/>
    </row>
    <row r="112" spans="1:13" ht="18.75" x14ac:dyDescent="0.3">
      <c r="A112" s="67"/>
      <c r="B112" s="67"/>
      <c r="C112" s="67"/>
      <c r="D112" s="67"/>
      <c r="E112" s="67"/>
      <c r="F112" s="67"/>
      <c r="G112" s="67"/>
      <c r="H112" s="67"/>
      <c r="I112" s="67"/>
      <c r="J112" s="67"/>
      <c r="K112" s="67"/>
      <c r="L112" s="67"/>
      <c r="M112" s="67"/>
    </row>
    <row r="113" spans="1:13" ht="18.75" x14ac:dyDescent="0.3">
      <c r="A113" s="67"/>
      <c r="B113" s="67"/>
      <c r="C113" s="67"/>
      <c r="D113" s="67"/>
      <c r="E113" s="67"/>
      <c r="F113" s="67"/>
      <c r="G113" s="67"/>
      <c r="H113" s="67"/>
      <c r="I113" s="67"/>
      <c r="J113" s="67"/>
      <c r="K113" s="67"/>
      <c r="L113" s="67"/>
      <c r="M113" s="67"/>
    </row>
    <row r="114" spans="1:13" ht="18.75" x14ac:dyDescent="0.3">
      <c r="A114" s="67"/>
      <c r="B114" s="67"/>
      <c r="C114" s="67"/>
      <c r="D114" s="67"/>
      <c r="E114" s="67"/>
      <c r="F114" s="67"/>
      <c r="G114" s="67"/>
      <c r="H114" s="67"/>
      <c r="I114" s="67"/>
      <c r="J114" s="67"/>
      <c r="K114" s="67"/>
      <c r="L114" s="67"/>
      <c r="M114" s="67"/>
    </row>
    <row r="115" spans="1:13" ht="18.75" x14ac:dyDescent="0.3">
      <c r="A115" s="67"/>
      <c r="B115" s="67"/>
      <c r="C115" s="67"/>
      <c r="D115" s="67"/>
      <c r="E115" s="67"/>
      <c r="F115" s="67"/>
      <c r="G115" s="67"/>
      <c r="H115" s="67"/>
      <c r="I115" s="67"/>
      <c r="J115" s="67"/>
      <c r="K115" s="67"/>
      <c r="L115" s="67"/>
      <c r="M115" s="67"/>
    </row>
    <row r="116" spans="1:13" ht="18.75" x14ac:dyDescent="0.3">
      <c r="A116" s="67"/>
      <c r="B116" s="67"/>
      <c r="C116" s="67"/>
      <c r="D116" s="67"/>
      <c r="E116" s="67"/>
      <c r="F116" s="67"/>
      <c r="G116" s="67"/>
      <c r="H116" s="67"/>
      <c r="I116" s="67"/>
      <c r="J116" s="67"/>
      <c r="K116" s="67"/>
      <c r="L116" s="67"/>
      <c r="M116" s="67"/>
    </row>
    <row r="117" spans="1:13" ht="18.75" x14ac:dyDescent="0.3">
      <c r="A117" s="67"/>
      <c r="B117" s="67"/>
      <c r="C117" s="67"/>
      <c r="D117" s="67"/>
      <c r="E117" s="67"/>
      <c r="F117" s="67"/>
      <c r="G117" s="67"/>
      <c r="H117" s="67"/>
      <c r="I117" s="67"/>
      <c r="J117" s="67"/>
      <c r="K117" s="67"/>
      <c r="L117" s="67"/>
      <c r="M117" s="67"/>
    </row>
    <row r="118" spans="1:13" ht="18.75" x14ac:dyDescent="0.3">
      <c r="A118" s="67"/>
      <c r="B118" s="67"/>
      <c r="C118" s="67"/>
      <c r="D118" s="67"/>
      <c r="E118" s="67"/>
      <c r="F118" s="67"/>
      <c r="G118" s="67"/>
      <c r="H118" s="67"/>
      <c r="I118" s="67"/>
      <c r="J118" s="67"/>
      <c r="K118" s="67"/>
      <c r="L118" s="67"/>
      <c r="M118" s="67"/>
    </row>
    <row r="119" spans="1:13" ht="18.75" x14ac:dyDescent="0.3">
      <c r="A119" s="67"/>
      <c r="B119" s="67"/>
      <c r="C119" s="67"/>
      <c r="D119" s="67"/>
      <c r="E119" s="67"/>
      <c r="F119" s="67"/>
      <c r="G119" s="67"/>
      <c r="H119" s="67"/>
      <c r="I119" s="67"/>
      <c r="J119" s="67"/>
      <c r="K119" s="67"/>
      <c r="L119" s="67"/>
      <c r="M119" s="67"/>
    </row>
    <row r="120" spans="1:13" ht="18.75" x14ac:dyDescent="0.3">
      <c r="A120" s="67"/>
      <c r="B120" s="67"/>
      <c r="C120" s="67"/>
      <c r="D120" s="67"/>
      <c r="E120" s="67"/>
      <c r="F120" s="67"/>
      <c r="G120" s="67"/>
      <c r="H120" s="67"/>
      <c r="I120" s="67"/>
      <c r="J120" s="67"/>
      <c r="K120" s="67"/>
      <c r="L120" s="67"/>
      <c r="M120" s="67"/>
    </row>
    <row r="121" spans="1:13" ht="18.75" x14ac:dyDescent="0.3">
      <c r="A121" s="67"/>
      <c r="B121" s="67"/>
      <c r="C121" s="67"/>
      <c r="D121" s="67"/>
      <c r="E121" s="67"/>
      <c r="F121" s="67"/>
      <c r="G121" s="67"/>
      <c r="H121" s="67"/>
      <c r="I121" s="67"/>
      <c r="J121" s="67"/>
      <c r="K121" s="67"/>
      <c r="L121" s="67"/>
      <c r="M121" s="67"/>
    </row>
    <row r="122" spans="1:13" ht="18.75" x14ac:dyDescent="0.3">
      <c r="A122" s="67"/>
      <c r="B122" s="67"/>
      <c r="C122" s="67"/>
      <c r="D122" s="67"/>
      <c r="E122" s="67"/>
      <c r="F122" s="67"/>
      <c r="G122" s="67"/>
      <c r="H122" s="67"/>
      <c r="I122" s="67"/>
      <c r="J122" s="67"/>
      <c r="K122" s="67"/>
      <c r="L122" s="67"/>
      <c r="M122" s="67"/>
    </row>
    <row r="123" spans="1:13" ht="18.75" x14ac:dyDescent="0.3">
      <c r="A123" s="67"/>
      <c r="B123" s="67"/>
      <c r="C123" s="67"/>
      <c r="D123" s="67"/>
      <c r="E123" s="67"/>
      <c r="F123" s="67"/>
      <c r="G123" s="67"/>
      <c r="H123" s="67"/>
      <c r="I123" s="67"/>
      <c r="J123" s="67"/>
      <c r="K123" s="67"/>
      <c r="L123" s="67"/>
      <c r="M123" s="67"/>
    </row>
    <row r="124" spans="1:13" ht="18.75" x14ac:dyDescent="0.3">
      <c r="A124" s="67"/>
      <c r="B124" s="67"/>
      <c r="C124" s="67"/>
      <c r="D124" s="67"/>
      <c r="E124" s="67"/>
      <c r="F124" s="67"/>
      <c r="G124" s="67"/>
      <c r="H124" s="67"/>
      <c r="I124" s="67"/>
      <c r="J124" s="67"/>
      <c r="K124" s="67"/>
      <c r="L124" s="67"/>
      <c r="M124" s="67"/>
    </row>
    <row r="125" spans="1:13" ht="18.75" x14ac:dyDescent="0.3">
      <c r="A125" s="67"/>
      <c r="B125" s="67"/>
      <c r="C125" s="67"/>
      <c r="D125" s="67"/>
      <c r="E125" s="67"/>
      <c r="F125" s="67"/>
      <c r="G125" s="67"/>
      <c r="H125" s="67"/>
      <c r="I125" s="67"/>
      <c r="J125" s="67"/>
      <c r="K125" s="67"/>
      <c r="L125" s="67"/>
      <c r="M125" s="67"/>
    </row>
    <row r="126" spans="1:13" ht="18.75" x14ac:dyDescent="0.3">
      <c r="A126" s="67"/>
      <c r="B126" s="67"/>
      <c r="C126" s="67"/>
      <c r="D126" s="67"/>
      <c r="E126" s="67"/>
      <c r="F126" s="67"/>
      <c r="G126" s="67"/>
      <c r="H126" s="67"/>
      <c r="I126" s="67"/>
      <c r="J126" s="67"/>
      <c r="K126" s="67"/>
      <c r="L126" s="67"/>
      <c r="M126" s="67"/>
    </row>
  </sheetData>
  <mergeCells count="3">
    <mergeCell ref="B5:D5"/>
    <mergeCell ref="F5:H5"/>
    <mergeCell ref="J5:L5"/>
  </mergeCells>
  <hyperlinks>
    <hyperlink ref="B1" location="Innhold!A1" display="Tilbake"/>
  </hyperlinks>
  <pageMargins left="0.7" right="0.7" top="0.78740157499999996" bottom="0.78740157499999996"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A1:J92"/>
  <sheetViews>
    <sheetView showGridLines="0" zoomScale="60" zoomScaleNormal="60" workbookViewId="0">
      <selection activeCell="A5" sqref="A5"/>
    </sheetView>
  </sheetViews>
  <sheetFormatPr baseColWidth="10" defaultColWidth="11.42578125" defaultRowHeight="18" x14ac:dyDescent="0.25"/>
  <cols>
    <col min="1" max="1" width="35.85546875" style="74" customWidth="1"/>
    <col min="2" max="2" width="18.140625" style="74" customWidth="1"/>
    <col min="3" max="3" width="17.85546875" style="74" customWidth="1"/>
    <col min="4" max="4" width="11.7109375" style="74" customWidth="1"/>
    <col min="5" max="5" width="4.7109375" style="74" customWidth="1"/>
    <col min="6" max="7" width="13" style="74" customWidth="1"/>
    <col min="8" max="8" width="11.7109375" style="74" customWidth="1"/>
    <col min="9" max="9" width="12.42578125" style="74" customWidth="1"/>
    <col min="10" max="10" width="11.42578125" style="74"/>
    <col min="11" max="12" width="17.140625" style="74" bestFit="1" customWidth="1"/>
    <col min="13" max="16384" width="11.42578125" style="74"/>
  </cols>
  <sheetData>
    <row r="1" spans="1:10" ht="18.75" customHeight="1" x14ac:dyDescent="0.3">
      <c r="A1" s="73" t="s">
        <v>94</v>
      </c>
      <c r="B1" s="66" t="s">
        <v>64</v>
      </c>
      <c r="C1" s="73"/>
      <c r="D1" s="73"/>
      <c r="E1" s="73"/>
      <c r="F1" s="67"/>
      <c r="G1" s="67"/>
      <c r="H1" s="67"/>
      <c r="I1" s="67"/>
      <c r="J1" s="67"/>
    </row>
    <row r="2" spans="1:10" ht="20.100000000000001" customHeight="1" x14ac:dyDescent="0.3">
      <c r="A2" s="73" t="s">
        <v>192</v>
      </c>
      <c r="B2" s="73"/>
      <c r="C2" s="73"/>
      <c r="D2" s="73"/>
      <c r="E2" s="73"/>
      <c r="F2" s="67"/>
      <c r="G2" s="67"/>
      <c r="H2" s="67"/>
      <c r="I2" s="67"/>
      <c r="J2" s="67"/>
    </row>
    <row r="3" spans="1:10" ht="20.100000000000001" customHeight="1" x14ac:dyDescent="0.3">
      <c r="A3" s="68"/>
      <c r="B3" s="68"/>
      <c r="C3" s="68"/>
      <c r="D3" s="68"/>
      <c r="E3" s="258"/>
      <c r="F3" s="67"/>
      <c r="G3" s="67"/>
      <c r="H3" s="67"/>
      <c r="I3" s="67"/>
      <c r="J3" s="67"/>
    </row>
    <row r="4" spans="1:10" ht="20.100000000000001" customHeight="1" x14ac:dyDescent="0.3">
      <c r="A4" s="259"/>
      <c r="B4" s="818" t="s">
        <v>193</v>
      </c>
      <c r="C4" s="818"/>
      <c r="D4" s="819"/>
      <c r="E4" s="82"/>
      <c r="F4" s="820" t="s">
        <v>193</v>
      </c>
      <c r="G4" s="818"/>
      <c r="H4" s="819"/>
      <c r="I4" s="67"/>
      <c r="J4" s="67"/>
    </row>
    <row r="5" spans="1:10" ht="18.75" customHeight="1" x14ac:dyDescent="0.3">
      <c r="A5" s="260" t="s">
        <v>403</v>
      </c>
      <c r="B5" s="821" t="s">
        <v>194</v>
      </c>
      <c r="C5" s="822"/>
      <c r="D5" s="823"/>
      <c r="E5" s="261"/>
      <c r="F5" s="824" t="s">
        <v>195</v>
      </c>
      <c r="G5" s="825"/>
      <c r="H5" s="826"/>
      <c r="I5" s="105"/>
      <c r="J5" s="67"/>
    </row>
    <row r="6" spans="1:10" ht="18.75" customHeight="1" x14ac:dyDescent="0.3">
      <c r="A6" s="115"/>
      <c r="B6" s="113"/>
      <c r="C6" s="187"/>
      <c r="D6" s="262" t="s">
        <v>100</v>
      </c>
      <c r="E6" s="262"/>
      <c r="F6" s="116"/>
      <c r="G6" s="117"/>
      <c r="H6" s="87" t="s">
        <v>100</v>
      </c>
      <c r="I6" s="93"/>
      <c r="J6" s="67"/>
    </row>
    <row r="7" spans="1:10" ht="18.75" customHeight="1" x14ac:dyDescent="0.3">
      <c r="A7" s="119"/>
      <c r="B7" s="90">
        <v>2015</v>
      </c>
      <c r="C7" s="90">
        <v>2016</v>
      </c>
      <c r="D7" s="263" t="s">
        <v>102</v>
      </c>
      <c r="E7" s="262"/>
      <c r="F7" s="90">
        <v>2015</v>
      </c>
      <c r="G7" s="120">
        <v>2016</v>
      </c>
      <c r="H7" s="264" t="s">
        <v>102</v>
      </c>
      <c r="I7" s="93"/>
      <c r="J7" s="67"/>
    </row>
    <row r="8" spans="1:10" ht="18.75" customHeight="1" x14ac:dyDescent="0.3">
      <c r="A8" s="94" t="s">
        <v>196</v>
      </c>
      <c r="B8" s="102">
        <f>SUM(B9:B14)</f>
        <v>118505.39201488002</v>
      </c>
      <c r="C8" s="102">
        <f>SUM(C9:C14)</f>
        <v>124623.38044916998</v>
      </c>
      <c r="D8" s="265">
        <f t="shared" ref="D8:D38" si="0">IF(B8=0, "    ---- ", IF(ABS(ROUND(100/B8*C8-100,1))&lt;999,ROUND(100/B8*C8-100,1),IF(ROUND(100/B8*C8-100,1)&gt;999,999,-999)))</f>
        <v>5.2</v>
      </c>
      <c r="E8" s="266"/>
      <c r="F8" s="265">
        <f>SUM(F9:F14)</f>
        <v>99.981802452526139</v>
      </c>
      <c r="G8" s="265">
        <f>SUM(G9:G14)</f>
        <v>99.976472232039825</v>
      </c>
      <c r="H8" s="266">
        <f t="shared" ref="H8:H38" si="1">IF(F8=0, "    ---- ", IF(ABS(ROUND(100/F8*G8-100,1))&lt;999,ROUND(100/F8*G8-100,1),IF(ROUND(100/F8*G8-100,1)&gt;999,999,-999)))</f>
        <v>0</v>
      </c>
      <c r="I8" s="97"/>
      <c r="J8" s="67"/>
    </row>
    <row r="9" spans="1:10" ht="18.75" customHeight="1" x14ac:dyDescent="0.3">
      <c r="A9" s="79" t="s">
        <v>197</v>
      </c>
      <c r="B9" s="99">
        <f>'Tabell 6'!AR21</f>
        <v>2086.5254445300002</v>
      </c>
      <c r="C9" s="99">
        <f>'Tabell 6'!AS21</f>
        <v>2730.8903749999995</v>
      </c>
      <c r="D9" s="267">
        <f t="shared" si="0"/>
        <v>30.9</v>
      </c>
      <c r="E9" s="267"/>
      <c r="F9" s="267">
        <f>'Tabell 6'!AR21/'Tabell 6'!AR29*100</f>
        <v>1.7603804456507204</v>
      </c>
      <c r="G9" s="267">
        <f>'Tabell 6'!AS21/'Tabell 6'!AS29*100</f>
        <v>2.190799068047192</v>
      </c>
      <c r="H9" s="268">
        <f t="shared" si="1"/>
        <v>24.5</v>
      </c>
      <c r="I9" s="97"/>
      <c r="J9" s="70"/>
    </row>
    <row r="10" spans="1:10" ht="18.75" customHeight="1" x14ac:dyDescent="0.3">
      <c r="A10" s="79" t="s">
        <v>198</v>
      </c>
      <c r="B10" s="98">
        <f>'Tabell 6'!AR18+'Tabell 6'!AR22</f>
        <v>65082.128260099998</v>
      </c>
      <c r="C10" s="98">
        <f>'Tabell 6'!AS18+'Tabell 6'!AS22</f>
        <v>70581.921967579983</v>
      </c>
      <c r="D10" s="267">
        <f t="shared" si="0"/>
        <v>8.5</v>
      </c>
      <c r="E10" s="267"/>
      <c r="F10" s="267">
        <f>('Tabell 6'!AR18+'Tabell 6'!AR22)/'Tabell 6'!AR29*100</f>
        <v>54.909134346175904</v>
      </c>
      <c r="G10" s="267">
        <f>('Tabell 6'!AS18+'Tabell 6'!AS22)/'Tabell 6'!AS29*100</f>
        <v>56.622854686195126</v>
      </c>
      <c r="H10" s="268">
        <f t="shared" si="1"/>
        <v>3.1</v>
      </c>
      <c r="I10" s="97"/>
      <c r="J10" s="67"/>
    </row>
    <row r="11" spans="1:10" ht="18.75" customHeight="1" x14ac:dyDescent="0.3">
      <c r="A11" s="79" t="s">
        <v>199</v>
      </c>
      <c r="B11" s="98">
        <f>'Tabell 6'!AR14</f>
        <v>893.46588574999998</v>
      </c>
      <c r="C11" s="98">
        <f>'Tabell 6'!AS14</f>
        <v>1004.31502075</v>
      </c>
      <c r="D11" s="267">
        <f t="shared" si="0"/>
        <v>12.4</v>
      </c>
      <c r="E11" s="267"/>
      <c r="F11" s="267">
        <f>'Tabell 6'!AR14/'Tabell 6'!AR29*100</f>
        <v>0.7538081446615621</v>
      </c>
      <c r="G11" s="267">
        <f>'Tabell 6'!AS14/'Tabell 6'!AS29*100</f>
        <v>0.80569049260532721</v>
      </c>
      <c r="H11" s="268">
        <f t="shared" si="1"/>
        <v>6.9</v>
      </c>
      <c r="I11" s="97"/>
      <c r="J11" s="67"/>
    </row>
    <row r="12" spans="1:10" ht="18.75" customHeight="1" x14ac:dyDescent="0.3">
      <c r="A12" s="101" t="s">
        <v>200</v>
      </c>
      <c r="B12" s="98">
        <f>'Tabell 6'!AR15</f>
        <v>23342.711000000003</v>
      </c>
      <c r="C12" s="98">
        <f>'Tabell 6'!AS15</f>
        <v>21195.611223119999</v>
      </c>
      <c r="D12" s="269">
        <f t="shared" si="0"/>
        <v>-9.1999999999999993</v>
      </c>
      <c r="E12" s="269"/>
      <c r="F12" s="267">
        <f>'Tabell 6'!AR15/'Tabell 6'!AR29*100</f>
        <v>19.694009531780313</v>
      </c>
      <c r="G12" s="267">
        <f>'Tabell 6'!AS15/'Tabell 6'!AS29*100</f>
        <v>17.003730995354182</v>
      </c>
      <c r="H12" s="268">
        <f t="shared" si="1"/>
        <v>-13.7</v>
      </c>
      <c r="I12" s="97"/>
      <c r="J12" s="67"/>
    </row>
    <row r="13" spans="1:10" ht="18.75" customHeight="1" x14ac:dyDescent="0.3">
      <c r="A13" s="79" t="s">
        <v>201</v>
      </c>
      <c r="B13" s="98">
        <f>'Tabell 6'!AR19+'Tabell 6'!AR23</f>
        <v>15194.134894540002</v>
      </c>
      <c r="C13" s="98">
        <f>'Tabell 6'!AS19+'Tabell 6'!AS23</f>
        <v>17971.893038329999</v>
      </c>
      <c r="D13" s="267">
        <f t="shared" si="0"/>
        <v>18.3</v>
      </c>
      <c r="E13" s="267"/>
      <c r="F13" s="267">
        <f>('Tabell 6'!AR19+'Tabell 6'!AR23)/'Tabell 6'!AR29*100</f>
        <v>12.819138164381446</v>
      </c>
      <c r="G13" s="267">
        <f>('Tabell 6'!AS19+'Tabell 6'!AS23)/'Tabell 6'!AS29*100</f>
        <v>14.417571236054172</v>
      </c>
      <c r="H13" s="268">
        <f t="shared" si="1"/>
        <v>12.5</v>
      </c>
      <c r="I13" s="97"/>
      <c r="J13" s="67"/>
    </row>
    <row r="14" spans="1:10" ht="18.75" customHeight="1" x14ac:dyDescent="0.3">
      <c r="A14" s="79" t="s">
        <v>202</v>
      </c>
      <c r="B14" s="171">
        <f>'Tabell 6'!AR17-'Tabell 6'!AR18+'Tabell 6'!AR24+'Tabell 6'!AR25+'Tabell 6'!AR26+'Tabell 6'!AR28</f>
        <v>11906.426529960001</v>
      </c>
      <c r="C14" s="171">
        <f>'Tabell 6'!AS17-'Tabell 6'!AS18+'Tabell 6'!AS24+'Tabell 6'!AS25+'Tabell 6'!AS26+'Tabell 6'!AS28</f>
        <v>11138.748824390001</v>
      </c>
      <c r="D14" s="267">
        <f t="shared" si="0"/>
        <v>-6.4</v>
      </c>
      <c r="E14" s="267"/>
      <c r="F14" s="267">
        <f>('Tabell 6'!AR17-'Tabell 6'!AR18+'Tabell 6'!AR24+'Tabell 6'!AR25+'Tabell 6'!AR26+'Tabell 6'!AR28)/'Tabell 6'!AR29*100</f>
        <v>10.045331819876202</v>
      </c>
      <c r="G14" s="267">
        <f>('Tabell 6'!AS17-'Tabell 6'!AS18+'Tabell 6'!AS24+'Tabell 6'!AS25+'Tabell 6'!AS26+'Tabell 6'!AS28)/'Tabell 6'!AS29*100</f>
        <v>8.9358257537838277</v>
      </c>
      <c r="H14" s="268">
        <f t="shared" si="1"/>
        <v>-11</v>
      </c>
      <c r="I14" s="97"/>
      <c r="J14" s="67"/>
    </row>
    <row r="15" spans="1:10" ht="18.75" customHeight="1" x14ac:dyDescent="0.3">
      <c r="A15" s="188"/>
      <c r="B15" s="96"/>
      <c r="C15" s="171"/>
      <c r="D15" s="268"/>
      <c r="E15" s="268"/>
      <c r="F15" s="268"/>
      <c r="G15" s="267"/>
      <c r="H15" s="268"/>
      <c r="I15" s="97"/>
      <c r="J15" s="67"/>
    </row>
    <row r="16" spans="1:10" s="129" customFormat="1" ht="18.75" customHeight="1" x14ac:dyDescent="0.3">
      <c r="A16" s="94" t="s">
        <v>203</v>
      </c>
      <c r="B16" s="102">
        <f>SUM(B17:B22)</f>
        <v>970723.45685534994</v>
      </c>
      <c r="C16" s="102">
        <f>SUM(C17:C22)</f>
        <v>1007549.5557076001</v>
      </c>
      <c r="D16" s="265">
        <f t="shared" si="0"/>
        <v>3.8</v>
      </c>
      <c r="E16" s="265"/>
      <c r="F16" s="265">
        <f>SUM(F17:F22)</f>
        <v>99.989201797969486</v>
      </c>
      <c r="G16" s="265">
        <f>SUM(G17:G22)</f>
        <v>99.990376684916555</v>
      </c>
      <c r="H16" s="266">
        <f t="shared" si="1"/>
        <v>0</v>
      </c>
      <c r="I16" s="103"/>
      <c r="J16" s="68"/>
    </row>
    <row r="17" spans="1:10" ht="18.75" customHeight="1" x14ac:dyDescent="0.3">
      <c r="A17" s="79" t="s">
        <v>197</v>
      </c>
      <c r="B17" s="96">
        <f>'Tabell 6'!AR40</f>
        <v>133804.55881515</v>
      </c>
      <c r="C17" s="96">
        <f>'Tabell 6'!AS40</f>
        <v>147608.99884590998</v>
      </c>
      <c r="D17" s="267">
        <f t="shared" si="0"/>
        <v>10.3</v>
      </c>
      <c r="E17" s="267"/>
      <c r="F17" s="267">
        <f>'Tabell 6'!AR40/('Tabell 6'!AR45+'Tabell 6'!AR46)*100</f>
        <v>13.782515440800717</v>
      </c>
      <c r="G17" s="267">
        <f>'Tabell 6'!AS40/('Tabell 6'!AS45+'Tabell 6'!AS46)*100</f>
        <v>14.648886809662082</v>
      </c>
      <c r="H17" s="268">
        <f t="shared" si="1"/>
        <v>6.3</v>
      </c>
      <c r="I17" s="97"/>
      <c r="J17" s="67"/>
    </row>
    <row r="18" spans="1:10" ht="18.75" customHeight="1" x14ac:dyDescent="0.3">
      <c r="A18" s="79" t="s">
        <v>198</v>
      </c>
      <c r="B18" s="96">
        <f>'Tabell 6'!AR37+'Tabell 6'!AR41</f>
        <v>393364.16100020002</v>
      </c>
      <c r="C18" s="96">
        <f>'Tabell 6'!AS37+'Tabell 6'!AS41</f>
        <v>383020.49441349</v>
      </c>
      <c r="D18" s="267">
        <f t="shared" si="0"/>
        <v>-2.6</v>
      </c>
      <c r="E18" s="267"/>
      <c r="F18" s="267">
        <f>('Tabell 6'!AR37+'Tabell 6'!AR41)/('Tabell 6'!AR45+'Tabell 6'!AR46)*100</f>
        <v>40.518407376034951</v>
      </c>
      <c r="G18" s="267">
        <f>('Tabell 6'!AS37+'Tabell 6'!AS41)/('Tabell 6'!AS45+'Tabell 6'!AS46)*100</f>
        <v>38.011394375089552</v>
      </c>
      <c r="H18" s="268">
        <f t="shared" si="1"/>
        <v>-6.2</v>
      </c>
      <c r="I18" s="97"/>
      <c r="J18" s="67"/>
    </row>
    <row r="19" spans="1:10" ht="18.75" customHeight="1" x14ac:dyDescent="0.3">
      <c r="A19" s="79" t="s">
        <v>199</v>
      </c>
      <c r="B19" s="96">
        <f>'Tabell 6'!AR33</f>
        <v>16.015999999999998</v>
      </c>
      <c r="C19" s="96">
        <f>'Tabell 6'!AS33</f>
        <v>46.481001970000001</v>
      </c>
      <c r="D19" s="267">
        <f t="shared" si="0"/>
        <v>190.2</v>
      </c>
      <c r="E19" s="267"/>
      <c r="F19" s="267">
        <f>'Tabell 6'!AR33/('Tabell 6'!AR45+'Tabell 6'!AR46)*100</f>
        <v>1.6497253102176882E-3</v>
      </c>
      <c r="G19" s="267">
        <f>'Tabell 6'!AS33/('Tabell 6'!AS45+'Tabell 6'!AS46)*100</f>
        <v>4.6128280930148504E-3</v>
      </c>
      <c r="H19" s="268">
        <f t="shared" si="1"/>
        <v>179.6</v>
      </c>
      <c r="I19" s="97"/>
      <c r="J19" s="67"/>
    </row>
    <row r="20" spans="1:10" ht="18.75" customHeight="1" x14ac:dyDescent="0.3">
      <c r="A20" s="101" t="s">
        <v>200</v>
      </c>
      <c r="B20" s="98">
        <f>'Tabell 6'!AR34</f>
        <v>120583.72730354</v>
      </c>
      <c r="C20" s="98">
        <f>'Tabell 6'!AS34</f>
        <v>118233.77653526999</v>
      </c>
      <c r="D20" s="269">
        <f t="shared" si="0"/>
        <v>-1.9</v>
      </c>
      <c r="E20" s="269"/>
      <c r="F20" s="267">
        <f>'Tabell 6'!AR34/('Tabell 6'!AR45+'Tabell 6'!AR46)*100</f>
        <v>12.420705977337517</v>
      </c>
      <c r="G20" s="267">
        <f>'Tabell 6'!AS34/('Tabell 6'!AS45+'Tabell 6'!AS46)*100</f>
        <v>11.733655963293199</v>
      </c>
      <c r="H20" s="268">
        <f t="shared" si="1"/>
        <v>-5.5</v>
      </c>
      <c r="I20" s="97"/>
      <c r="J20" s="67"/>
    </row>
    <row r="21" spans="1:10" ht="18.75" customHeight="1" x14ac:dyDescent="0.3">
      <c r="A21" s="79" t="s">
        <v>201</v>
      </c>
      <c r="B21" s="96">
        <f>'Tabell 6'!AR38+'Tabell 6'!AR42</f>
        <v>307692.57349220006</v>
      </c>
      <c r="C21" s="96">
        <f>'Tabell 6'!AS38+'Tabell 6'!AS42</f>
        <v>347330.56748504</v>
      </c>
      <c r="D21" s="267">
        <f t="shared" si="0"/>
        <v>12.9</v>
      </c>
      <c r="E21" s="267"/>
      <c r="F21" s="267">
        <f>('Tabell 6'!AR38+'Tabell 6'!AR42)/('Tabell 6'!AR45+'Tabell 6'!AR46)*100</f>
        <v>31.693820320685479</v>
      </c>
      <c r="G21" s="267">
        <f>('Tabell 6'!AS38+'Tabell 6'!AS42)/('Tabell 6'!AS45+'Tabell 6'!AS46)*100</f>
        <v>34.469484979946593</v>
      </c>
      <c r="H21" s="268">
        <f t="shared" si="1"/>
        <v>8.8000000000000007</v>
      </c>
      <c r="I21" s="97"/>
      <c r="J21" s="67"/>
    </row>
    <row r="22" spans="1:10" ht="18.75" customHeight="1" x14ac:dyDescent="0.3">
      <c r="A22" s="188" t="s">
        <v>202</v>
      </c>
      <c r="B22" s="96">
        <f>'Tabell 6'!AR36-'Tabell 6'!AR37+'Tabell 6'!AR43+'Tabell 6'!AR44+'Tabell 6'!AR46</f>
        <v>15262.420244260004</v>
      </c>
      <c r="C22" s="96">
        <f>'Tabell 6'!AS36-'Tabell 6'!AS37+'Tabell 6'!AS43+'Tabell 6'!AS44+'Tabell 6'!AS46</f>
        <v>11309.237425919995</v>
      </c>
      <c r="D22" s="267">
        <f t="shared" si="0"/>
        <v>-25.9</v>
      </c>
      <c r="E22" s="267"/>
      <c r="F22" s="268">
        <f>('Tabell 6'!AR36-'Tabell 6'!AR37+'Tabell 6'!AR43+'Tabell 6'!AR44+'Tabell 6'!AR46)/('Tabell 6'!AR45+'Tabell 6'!AR46)*100</f>
        <v>1.5721029578006096</v>
      </c>
      <c r="G22" s="268">
        <f>('Tabell 6'!AS36-'Tabell 6'!AS37+'Tabell 6'!AS43+'Tabell 6'!AS44+'Tabell 6'!AS46)/('Tabell 6'!AS45+'Tabell 6'!AS46)*100</f>
        <v>1.1223417288321142</v>
      </c>
      <c r="H22" s="268">
        <f t="shared" si="1"/>
        <v>-28.6</v>
      </c>
      <c r="I22" s="97"/>
      <c r="J22" s="67"/>
    </row>
    <row r="23" spans="1:10" ht="18.75" customHeight="1" x14ac:dyDescent="0.3">
      <c r="A23" s="79"/>
      <c r="B23" s="171"/>
      <c r="C23" s="171"/>
      <c r="D23" s="268"/>
      <c r="E23" s="267"/>
      <c r="F23" s="267"/>
      <c r="G23" s="268"/>
      <c r="H23" s="268"/>
      <c r="I23" s="178"/>
      <c r="J23" s="67"/>
    </row>
    <row r="24" spans="1:10" ht="18.75" customHeight="1" x14ac:dyDescent="0.3">
      <c r="A24" s="131" t="s">
        <v>204</v>
      </c>
      <c r="B24" s="102">
        <f>SUM(B25:B30)</f>
        <v>194039.47597461997</v>
      </c>
      <c r="C24" s="102">
        <f>SUM(C25:C30)</f>
        <v>231714.92369513999</v>
      </c>
      <c r="D24" s="265">
        <f t="shared" si="0"/>
        <v>19.399999999999999</v>
      </c>
      <c r="E24" s="265"/>
      <c r="F24" s="266">
        <f>SUM(F25:F30)</f>
        <v>99.999999999999986</v>
      </c>
      <c r="G24" s="266">
        <f>SUM(G25:G30)</f>
        <v>100</v>
      </c>
      <c r="H24" s="268">
        <f t="shared" si="1"/>
        <v>0</v>
      </c>
      <c r="I24" s="178"/>
      <c r="J24" s="67"/>
    </row>
    <row r="25" spans="1:10" ht="18.75" customHeight="1" x14ac:dyDescent="0.3">
      <c r="A25" s="188" t="s">
        <v>197</v>
      </c>
      <c r="B25" s="96">
        <f>'Tabell 6'!AR55</f>
        <v>130829.86220234999</v>
      </c>
      <c r="C25" s="96">
        <f>'Tabell 6'!AS55</f>
        <v>158147.50468894001</v>
      </c>
      <c r="D25" s="267">
        <f t="shared" si="0"/>
        <v>20.9</v>
      </c>
      <c r="E25" s="267"/>
      <c r="F25" s="267">
        <f>'Tabell 6'!AR55/('Tabell 6'!AR60+'Tabell 6'!AR61)*100</f>
        <v>67.424353495709454</v>
      </c>
      <c r="G25" s="267">
        <f>'Tabell 6'!AS55/('Tabell 6'!AS60+'Tabell 6'!AS61)*100</f>
        <v>68.25089302276001</v>
      </c>
      <c r="H25" s="268">
        <f t="shared" si="1"/>
        <v>1.2</v>
      </c>
      <c r="I25" s="178"/>
      <c r="J25" s="67"/>
    </row>
    <row r="26" spans="1:10" ht="18.75" customHeight="1" x14ac:dyDescent="0.3">
      <c r="A26" s="188" t="s">
        <v>198</v>
      </c>
      <c r="B26" s="96">
        <f>'Tabell 6'!AR52+'Tabell 6'!AR56</f>
        <v>57084.905012359995</v>
      </c>
      <c r="C26" s="96">
        <f>'Tabell 6'!AS52+'Tabell 6'!AS56</f>
        <v>66479.245096309998</v>
      </c>
      <c r="D26" s="267">
        <f t="shared" si="0"/>
        <v>16.5</v>
      </c>
      <c r="E26" s="267"/>
      <c r="F26" s="267">
        <f>('Tabell 6'!AR52+'Tabell 6'!AR56)/('Tabell 6'!AR60+'Tabell 6'!AR61)*100</f>
        <v>29.419222416281208</v>
      </c>
      <c r="G26" s="267">
        <f>('Tabell 6'!AS52+'Tabell 6'!AS56)/('Tabell 6'!AS60+'Tabell 6'!AS61)*100</f>
        <v>28.690100765272518</v>
      </c>
      <c r="H26" s="268">
        <f t="shared" si="1"/>
        <v>-2.5</v>
      </c>
      <c r="I26" s="178"/>
      <c r="J26" s="67"/>
    </row>
    <row r="27" spans="1:10" ht="18.75" customHeight="1" x14ac:dyDescent="0.3">
      <c r="A27" s="188" t="s">
        <v>199</v>
      </c>
      <c r="B27" s="96">
        <f>'Tabell 6'!AR48</f>
        <v>0</v>
      </c>
      <c r="C27" s="96">
        <f>'Tabell 6'!AS48</f>
        <v>0</v>
      </c>
      <c r="D27" s="267" t="str">
        <f t="shared" si="0"/>
        <v xml:space="preserve">    ---- </v>
      </c>
      <c r="E27" s="267"/>
      <c r="F27" s="267">
        <f>'Tabell 6'!AR48/('Tabell 6'!AR60+'Tabell 6'!AR61)*100</f>
        <v>0</v>
      </c>
      <c r="G27" s="267">
        <f>'Tabell 6'!AS48/('Tabell 6'!AS60+'Tabell 6'!AS61)*100</f>
        <v>0</v>
      </c>
      <c r="H27" s="268" t="str">
        <f t="shared" si="1"/>
        <v xml:space="preserve">    ---- </v>
      </c>
      <c r="I27" s="178"/>
      <c r="J27" s="67"/>
    </row>
    <row r="28" spans="1:10" ht="18.75" customHeight="1" x14ac:dyDescent="0.3">
      <c r="A28" s="101" t="s">
        <v>200</v>
      </c>
      <c r="B28" s="98">
        <f>'Tabell 6'!AR49</f>
        <v>2687.9180556900001</v>
      </c>
      <c r="C28" s="98">
        <f>'Tabell 6'!AS49</f>
        <v>3246.4402338800001</v>
      </c>
      <c r="D28" s="269">
        <f t="shared" si="0"/>
        <v>20.8</v>
      </c>
      <c r="E28" s="269"/>
      <c r="F28" s="269">
        <f>'Tabell 6'!AR49/('Tabell 6'!AR60+'Tabell 6'!AR61)*100</f>
        <v>1.3852428956474687</v>
      </c>
      <c r="G28" s="269">
        <f>'Tabell 6'!AS49/('Tabell 6'!AS60+'Tabell 6'!AS61)*100</f>
        <v>1.4010492643759271</v>
      </c>
      <c r="H28" s="268">
        <f t="shared" si="1"/>
        <v>1.1000000000000001</v>
      </c>
      <c r="I28" s="178"/>
      <c r="J28" s="67"/>
    </row>
    <row r="29" spans="1:10" ht="18.75" customHeight="1" x14ac:dyDescent="0.3">
      <c r="A29" s="188" t="s">
        <v>201</v>
      </c>
      <c r="B29" s="96">
        <f>'Tabell 6'!AR53+'Tabell 6'!AR57</f>
        <v>2141.8771319699999</v>
      </c>
      <c r="C29" s="96">
        <f>'Tabell 6'!AS53+'Tabell 6'!AS57</f>
        <v>2577.2237852900003</v>
      </c>
      <c r="D29" s="267">
        <f t="shared" si="0"/>
        <v>20.3</v>
      </c>
      <c r="E29" s="267"/>
      <c r="F29" s="267">
        <f>('Tabell 6'!AR53+'Tabell 6'!AR57)/('Tabell 6'!AR60+'Tabell 6'!AR61)*100</f>
        <v>1.1038357639401963</v>
      </c>
      <c r="G29" s="267">
        <f>('Tabell 6'!AS53+'Tabell 6'!AS57)/('Tabell 6'!AS60+'Tabell 6'!AS61)*100</f>
        <v>1.1122390151619115</v>
      </c>
      <c r="H29" s="268">
        <f t="shared" si="1"/>
        <v>0.8</v>
      </c>
      <c r="I29" s="178"/>
      <c r="J29" s="67"/>
    </row>
    <row r="30" spans="1:10" ht="18.75" customHeight="1" x14ac:dyDescent="0.3">
      <c r="A30" s="79" t="s">
        <v>202</v>
      </c>
      <c r="B30" s="96">
        <f>'Tabell 6'!AR51-'Tabell 6'!AR52+'Tabell 6'!AR58+'Tabell 6'!AR59+'Tabell 6'!AR61</f>
        <v>1294.91357225</v>
      </c>
      <c r="C30" s="96">
        <f>'Tabell 6'!AS51-'Tabell 6'!AS52+'Tabell 6'!AS58+'Tabell 6'!AS59+'Tabell 6'!AS61</f>
        <v>1264.5098907200002</v>
      </c>
      <c r="D30" s="268">
        <f t="shared" si="0"/>
        <v>-2.2999999999999998</v>
      </c>
      <c r="E30" s="268"/>
      <c r="F30" s="268">
        <f>('Tabell 6'!AR51-'Tabell 6'!AR52+'Tabell 6'!AR58+'Tabell 6'!AR59+'Tabell 6'!AR61)/('Tabell 6'!AR60+'Tabell 6'!AR61)*100</f>
        <v>0.66734542842167466</v>
      </c>
      <c r="G30" s="268">
        <f>('Tabell 6'!AS51-'Tabell 6'!AS52+'Tabell 6'!AS58+'Tabell 6'!AS59+'Tabell 6'!AS61)/('Tabell 6'!AS60+'Tabell 6'!AS61)*100</f>
        <v>0.54571793242962452</v>
      </c>
      <c r="H30" s="268">
        <f t="shared" si="1"/>
        <v>-18.2</v>
      </c>
      <c r="I30" s="178"/>
      <c r="J30" s="67"/>
    </row>
    <row r="31" spans="1:10" ht="18.75" customHeight="1" x14ac:dyDescent="0.3">
      <c r="A31" s="188"/>
      <c r="B31" s="171"/>
      <c r="C31" s="171"/>
      <c r="D31" s="267"/>
      <c r="E31" s="267"/>
      <c r="F31" s="267"/>
      <c r="G31" s="268"/>
      <c r="H31" s="268"/>
      <c r="I31" s="178"/>
      <c r="J31" s="67"/>
    </row>
    <row r="32" spans="1:10" ht="18.75" customHeight="1" x14ac:dyDescent="0.3">
      <c r="A32" s="131" t="s">
        <v>2</v>
      </c>
      <c r="B32" s="102">
        <f>SUM(B33:B38)</f>
        <v>1283268.32484485</v>
      </c>
      <c r="C32" s="102">
        <f>SUM(C33:C38)</f>
        <v>1363887.85985191</v>
      </c>
      <c r="D32" s="265">
        <f t="shared" si="0"/>
        <v>6.3</v>
      </c>
      <c r="E32" s="265"/>
      <c r="F32" s="265">
        <f>SUM(F33:F38)</f>
        <v>100.00000000000001</v>
      </c>
      <c r="G32" s="265">
        <f>SUM(G33:G38)</f>
        <v>100</v>
      </c>
      <c r="H32" s="266">
        <f t="shared" si="1"/>
        <v>0</v>
      </c>
      <c r="I32" s="178"/>
      <c r="J32" s="67"/>
    </row>
    <row r="33" spans="1:10" ht="18.75" customHeight="1" x14ac:dyDescent="0.3">
      <c r="A33" s="188" t="s">
        <v>197</v>
      </c>
      <c r="B33" s="96">
        <f t="shared" ref="B33:C38" si="2">B9+B17+B25</f>
        <v>266720.94646203</v>
      </c>
      <c r="C33" s="96">
        <f t="shared" si="2"/>
        <v>308487.39390984998</v>
      </c>
      <c r="D33" s="267">
        <f t="shared" si="0"/>
        <v>15.7</v>
      </c>
      <c r="E33" s="267"/>
      <c r="F33" s="267">
        <f>B33/B32*100</f>
        <v>20.784503232734057</v>
      </c>
      <c r="G33" s="267">
        <f>C33/C32*100</f>
        <v>22.61823739257752</v>
      </c>
      <c r="H33" s="268">
        <f t="shared" si="1"/>
        <v>8.8000000000000007</v>
      </c>
      <c r="I33" s="178"/>
      <c r="J33" s="67"/>
    </row>
    <row r="34" spans="1:10" ht="18.75" customHeight="1" x14ac:dyDescent="0.3">
      <c r="A34" s="188" t="s">
        <v>198</v>
      </c>
      <c r="B34" s="96">
        <f t="shared" si="2"/>
        <v>515531.19427266001</v>
      </c>
      <c r="C34" s="96">
        <f t="shared" si="2"/>
        <v>520081.66147737997</v>
      </c>
      <c r="D34" s="267">
        <f t="shared" si="0"/>
        <v>0.9</v>
      </c>
      <c r="E34" s="267"/>
      <c r="F34" s="267">
        <f>B34/B32*100</f>
        <v>40.173296908500319</v>
      </c>
      <c r="G34" s="267">
        <f>C34/C32*100</f>
        <v>38.132289082318692</v>
      </c>
      <c r="H34" s="268">
        <f t="shared" si="1"/>
        <v>-5.0999999999999996</v>
      </c>
      <c r="I34" s="178"/>
      <c r="J34" s="67"/>
    </row>
    <row r="35" spans="1:10" ht="18.75" customHeight="1" x14ac:dyDescent="0.3">
      <c r="A35" s="188" t="s">
        <v>199</v>
      </c>
      <c r="B35" s="96">
        <f t="shared" si="2"/>
        <v>909.48188574999995</v>
      </c>
      <c r="C35" s="96">
        <f t="shared" si="2"/>
        <v>1050.7960227200001</v>
      </c>
      <c r="D35" s="267">
        <f t="shared" si="0"/>
        <v>15.5</v>
      </c>
      <c r="E35" s="267"/>
      <c r="F35" s="267">
        <f>B35/B32*100</f>
        <v>7.0872308475311147E-2</v>
      </c>
      <c r="G35" s="267">
        <f>C35/C32*100</f>
        <v>7.7044165700990611E-2</v>
      </c>
      <c r="H35" s="268">
        <f t="shared" si="1"/>
        <v>8.6999999999999993</v>
      </c>
      <c r="I35" s="178"/>
      <c r="J35" s="67"/>
    </row>
    <row r="36" spans="1:10" ht="18.75" customHeight="1" x14ac:dyDescent="0.3">
      <c r="A36" s="101" t="s">
        <v>200</v>
      </c>
      <c r="B36" s="98">
        <f t="shared" si="2"/>
        <v>146614.35635923001</v>
      </c>
      <c r="C36" s="98">
        <f t="shared" si="2"/>
        <v>142675.82799227</v>
      </c>
      <c r="D36" s="269">
        <f t="shared" si="0"/>
        <v>-2.7</v>
      </c>
      <c r="E36" s="269"/>
      <c r="F36" s="267">
        <f>B36/B32*100</f>
        <v>11.425074048870956</v>
      </c>
      <c r="G36" s="267">
        <f>C36/C32*100</f>
        <v>10.460964731203168</v>
      </c>
      <c r="H36" s="268">
        <f t="shared" si="1"/>
        <v>-8.4</v>
      </c>
      <c r="I36" s="178"/>
      <c r="J36" s="67"/>
    </row>
    <row r="37" spans="1:10" ht="18.75" customHeight="1" x14ac:dyDescent="0.3">
      <c r="A37" s="188" t="s">
        <v>201</v>
      </c>
      <c r="B37" s="96">
        <f t="shared" si="2"/>
        <v>325028.58551871008</v>
      </c>
      <c r="C37" s="96">
        <f t="shared" si="2"/>
        <v>367879.68430866004</v>
      </c>
      <c r="D37" s="267">
        <f t="shared" si="0"/>
        <v>13.2</v>
      </c>
      <c r="E37" s="267"/>
      <c r="F37" s="267">
        <f>B37/B32*100</f>
        <v>25.32818579138597</v>
      </c>
      <c r="G37" s="267">
        <f>C37/C32*100</f>
        <v>26.972868894705478</v>
      </c>
      <c r="H37" s="268">
        <f t="shared" si="1"/>
        <v>6.5</v>
      </c>
      <c r="I37" s="178"/>
      <c r="J37" s="67"/>
    </row>
    <row r="38" spans="1:10" ht="18.75" customHeight="1" x14ac:dyDescent="0.3">
      <c r="A38" s="270" t="s">
        <v>202</v>
      </c>
      <c r="B38" s="271">
        <f t="shared" si="2"/>
        <v>28463.760346470004</v>
      </c>
      <c r="C38" s="271">
        <f t="shared" si="2"/>
        <v>23712.496141029995</v>
      </c>
      <c r="D38" s="272">
        <f t="shared" si="0"/>
        <v>-16.7</v>
      </c>
      <c r="E38" s="267"/>
      <c r="F38" s="272">
        <f>B38/B32*100</f>
        <v>2.2180677100333899</v>
      </c>
      <c r="G38" s="272">
        <f>C38/C32*100</f>
        <v>1.7385957334941513</v>
      </c>
      <c r="H38" s="273">
        <f t="shared" si="1"/>
        <v>-21.6</v>
      </c>
      <c r="I38" s="178"/>
      <c r="J38" s="67"/>
    </row>
    <row r="39" spans="1:10" ht="18.75" customHeight="1" x14ac:dyDescent="0.3">
      <c r="A39" s="105"/>
      <c r="B39" s="105"/>
      <c r="C39" s="105"/>
      <c r="D39" s="105"/>
      <c r="E39" s="105"/>
      <c r="F39" s="178"/>
      <c r="G39" s="178"/>
      <c r="H39" s="178"/>
      <c r="I39" s="178"/>
      <c r="J39" s="67"/>
    </row>
    <row r="40" spans="1:10" ht="18.75" customHeight="1" x14ac:dyDescent="0.3">
      <c r="A40" s="105" t="s">
        <v>205</v>
      </c>
      <c r="B40" s="105"/>
      <c r="C40" s="105"/>
      <c r="D40" s="105"/>
      <c r="E40" s="105"/>
      <c r="F40" s="178"/>
      <c r="G40" s="178"/>
      <c r="H40" s="178"/>
      <c r="I40" s="178"/>
      <c r="J40" s="67"/>
    </row>
    <row r="41" spans="1:10" ht="18.75" x14ac:dyDescent="0.3">
      <c r="A41" s="105" t="s">
        <v>126</v>
      </c>
      <c r="B41" s="105"/>
      <c r="C41" s="105"/>
      <c r="D41" s="105"/>
      <c r="E41" s="105"/>
      <c r="F41" s="67"/>
      <c r="G41" s="67"/>
      <c r="H41" s="67"/>
      <c r="I41" s="67"/>
      <c r="J41" s="67"/>
    </row>
    <row r="42" spans="1:10" ht="18.75" x14ac:dyDescent="0.3">
      <c r="A42" s="67"/>
      <c r="B42" s="67"/>
      <c r="C42" s="67"/>
      <c r="D42" s="67"/>
      <c r="E42" s="67"/>
      <c r="G42" s="67"/>
      <c r="H42" s="67"/>
      <c r="I42" s="67"/>
      <c r="J42" s="67"/>
    </row>
    <row r="43" spans="1:10" ht="18.75" x14ac:dyDescent="0.3">
      <c r="A43" s="67"/>
      <c r="B43" s="67"/>
      <c r="C43" s="67"/>
      <c r="D43" s="67"/>
      <c r="E43" s="67"/>
      <c r="F43" s="67"/>
      <c r="G43" s="67"/>
      <c r="H43" s="67"/>
      <c r="I43" s="67"/>
      <c r="J43" s="67"/>
    </row>
    <row r="44" spans="1:10" ht="18.75" x14ac:dyDescent="0.3">
      <c r="A44" s="67"/>
      <c r="B44" s="67"/>
      <c r="C44" s="67"/>
      <c r="D44" s="67"/>
      <c r="E44" s="67"/>
      <c r="F44" s="67"/>
      <c r="G44" s="67"/>
      <c r="H44" s="67"/>
      <c r="I44" s="67"/>
      <c r="J44" s="67"/>
    </row>
    <row r="45" spans="1:10" ht="18.75" x14ac:dyDescent="0.3">
      <c r="A45" s="67"/>
      <c r="B45" s="67"/>
      <c r="C45" s="67"/>
      <c r="D45" s="67"/>
      <c r="E45" s="67"/>
      <c r="F45" s="67"/>
      <c r="G45" s="67"/>
      <c r="H45" s="67"/>
      <c r="I45" s="67"/>
      <c r="J45" s="67"/>
    </row>
    <row r="46" spans="1:10" ht="18.75" x14ac:dyDescent="0.3">
      <c r="A46" s="67"/>
      <c r="B46" s="67"/>
      <c r="C46" s="67"/>
      <c r="D46" s="67"/>
      <c r="E46" s="67"/>
      <c r="F46" s="67"/>
      <c r="G46" s="67"/>
      <c r="H46" s="67"/>
      <c r="I46" s="67"/>
      <c r="J46" s="67"/>
    </row>
    <row r="47" spans="1:10" ht="18.75" x14ac:dyDescent="0.3">
      <c r="A47" s="67"/>
      <c r="B47" s="67"/>
      <c r="C47" s="67"/>
      <c r="D47" s="67"/>
      <c r="E47" s="67"/>
      <c r="F47" s="67"/>
      <c r="G47" s="67"/>
      <c r="H47" s="67"/>
      <c r="I47" s="67"/>
      <c r="J47" s="67"/>
    </row>
    <row r="48" spans="1:10" ht="18.75" x14ac:dyDescent="0.3">
      <c r="A48" s="67"/>
      <c r="B48" s="67"/>
      <c r="C48" s="67"/>
      <c r="D48" s="67"/>
      <c r="E48" s="67"/>
      <c r="F48" s="67"/>
      <c r="G48" s="67"/>
      <c r="H48" s="67"/>
      <c r="I48" s="67"/>
      <c r="J48" s="67"/>
    </row>
    <row r="49" spans="1:10" ht="18.75" x14ac:dyDescent="0.3">
      <c r="A49" s="67"/>
      <c r="B49" s="67"/>
      <c r="C49" s="67"/>
      <c r="D49" s="67"/>
      <c r="E49" s="67"/>
      <c r="F49" s="67"/>
      <c r="G49" s="67"/>
      <c r="H49" s="67"/>
      <c r="I49" s="67"/>
      <c r="J49" s="67"/>
    </row>
    <row r="50" spans="1:10" ht="18.75" x14ac:dyDescent="0.3">
      <c r="A50" s="67"/>
      <c r="B50" s="67"/>
      <c r="C50" s="67"/>
      <c r="D50" s="67"/>
      <c r="E50" s="67"/>
      <c r="F50" s="67"/>
      <c r="G50" s="67"/>
      <c r="H50" s="67"/>
      <c r="I50" s="67"/>
      <c r="J50" s="67"/>
    </row>
    <row r="51" spans="1:10" ht="18.75" x14ac:dyDescent="0.3">
      <c r="A51" s="67"/>
      <c r="B51" s="67"/>
      <c r="C51" s="67"/>
      <c r="D51" s="67"/>
      <c r="E51" s="67"/>
      <c r="F51" s="67"/>
      <c r="G51" s="67"/>
      <c r="H51" s="67"/>
      <c r="I51" s="67"/>
      <c r="J51" s="67"/>
    </row>
    <row r="52" spans="1:10" ht="18.75" x14ac:dyDescent="0.3">
      <c r="A52" s="67"/>
      <c r="B52" s="67"/>
      <c r="C52" s="67"/>
      <c r="D52" s="67"/>
      <c r="E52" s="67"/>
      <c r="F52" s="67"/>
      <c r="G52" s="67"/>
      <c r="H52" s="67"/>
      <c r="I52" s="67"/>
      <c r="J52" s="67"/>
    </row>
    <row r="53" spans="1:10" ht="18.75" x14ac:dyDescent="0.3">
      <c r="A53" s="67"/>
      <c r="B53" s="67"/>
      <c r="C53" s="67"/>
      <c r="D53" s="67"/>
      <c r="E53" s="67"/>
      <c r="F53" s="67"/>
      <c r="G53" s="67"/>
      <c r="H53" s="67"/>
      <c r="I53" s="67"/>
      <c r="J53" s="67"/>
    </row>
    <row r="54" spans="1:10" ht="18.75" x14ac:dyDescent="0.3">
      <c r="A54" s="67"/>
      <c r="B54" s="67"/>
      <c r="C54" s="67"/>
      <c r="D54" s="67"/>
      <c r="E54" s="67"/>
      <c r="F54" s="67"/>
      <c r="G54" s="67"/>
      <c r="H54" s="67"/>
      <c r="I54" s="67"/>
      <c r="J54" s="67"/>
    </row>
    <row r="55" spans="1:10" ht="18.75" x14ac:dyDescent="0.3">
      <c r="A55" s="67"/>
      <c r="B55" s="67"/>
      <c r="C55" s="67"/>
      <c r="D55" s="67"/>
      <c r="E55" s="67"/>
      <c r="F55" s="67"/>
      <c r="G55" s="67"/>
      <c r="H55" s="67"/>
      <c r="I55" s="67"/>
      <c r="J55" s="67"/>
    </row>
    <row r="56" spans="1:10" ht="18.75" x14ac:dyDescent="0.3">
      <c r="A56" s="67"/>
      <c r="B56" s="67"/>
      <c r="C56" s="67"/>
      <c r="D56" s="67"/>
      <c r="E56" s="67"/>
      <c r="F56" s="67"/>
      <c r="G56" s="67"/>
      <c r="H56" s="67"/>
      <c r="I56" s="67"/>
      <c r="J56" s="67"/>
    </row>
    <row r="57" spans="1:10" ht="18.75" x14ac:dyDescent="0.3">
      <c r="A57" s="67"/>
      <c r="B57" s="67"/>
      <c r="C57" s="67"/>
      <c r="D57" s="67"/>
      <c r="E57" s="67"/>
      <c r="F57" s="67"/>
      <c r="G57" s="67"/>
      <c r="H57" s="67"/>
      <c r="I57" s="67"/>
      <c r="J57" s="67"/>
    </row>
    <row r="58" spans="1:10" ht="18.75" x14ac:dyDescent="0.3">
      <c r="A58" s="67"/>
      <c r="B58" s="67"/>
      <c r="C58" s="67"/>
      <c r="D58" s="67"/>
      <c r="E58" s="67"/>
      <c r="F58" s="67"/>
      <c r="G58" s="67"/>
      <c r="H58" s="67"/>
      <c r="I58" s="67"/>
      <c r="J58" s="67"/>
    </row>
    <row r="59" spans="1:10" ht="18.75" x14ac:dyDescent="0.3">
      <c r="A59" s="67"/>
      <c r="B59" s="67"/>
      <c r="C59" s="67"/>
      <c r="D59" s="67"/>
      <c r="E59" s="67"/>
      <c r="F59" s="67"/>
      <c r="G59" s="67"/>
      <c r="H59" s="67"/>
      <c r="I59" s="67"/>
      <c r="J59" s="67"/>
    </row>
    <row r="60" spans="1:10" ht="18.75" x14ac:dyDescent="0.3">
      <c r="A60" s="67"/>
      <c r="B60" s="67"/>
      <c r="C60" s="67"/>
      <c r="D60" s="67"/>
      <c r="E60" s="67"/>
      <c r="F60" s="67"/>
      <c r="G60" s="67"/>
      <c r="H60" s="67"/>
      <c r="I60" s="67"/>
      <c r="J60" s="67"/>
    </row>
    <row r="61" spans="1:10" ht="18.75" x14ac:dyDescent="0.3">
      <c r="A61" s="67"/>
      <c r="B61" s="67"/>
      <c r="C61" s="67"/>
      <c r="D61" s="67"/>
      <c r="E61" s="67"/>
      <c r="F61" s="67"/>
      <c r="G61" s="67"/>
      <c r="H61" s="67"/>
      <c r="I61" s="67"/>
      <c r="J61" s="67"/>
    </row>
    <row r="62" spans="1:10" ht="18.75" x14ac:dyDescent="0.3">
      <c r="A62" s="67"/>
      <c r="B62" s="67"/>
      <c r="C62" s="67"/>
      <c r="D62" s="67"/>
      <c r="E62" s="67"/>
      <c r="F62" s="67"/>
      <c r="G62" s="67"/>
      <c r="H62" s="67"/>
      <c r="I62" s="67"/>
      <c r="J62" s="67"/>
    </row>
    <row r="63" spans="1:10" ht="18.75" x14ac:dyDescent="0.3">
      <c r="A63" s="67"/>
      <c r="B63" s="67"/>
      <c r="C63" s="67"/>
      <c r="D63" s="67"/>
      <c r="E63" s="67"/>
      <c r="F63" s="67"/>
      <c r="G63" s="67"/>
      <c r="H63" s="67"/>
      <c r="I63" s="67"/>
      <c r="J63" s="67"/>
    </row>
    <row r="64" spans="1:10" ht="18.75" x14ac:dyDescent="0.3">
      <c r="A64" s="67"/>
      <c r="B64" s="67"/>
      <c r="C64" s="67"/>
      <c r="D64" s="67"/>
      <c r="E64" s="67"/>
      <c r="F64" s="67"/>
      <c r="G64" s="67"/>
      <c r="H64" s="67"/>
      <c r="I64" s="67"/>
      <c r="J64" s="67"/>
    </row>
    <row r="65" spans="1:10" ht="18.75" x14ac:dyDescent="0.3">
      <c r="A65" s="67"/>
      <c r="B65" s="67"/>
      <c r="C65" s="67"/>
      <c r="D65" s="67"/>
      <c r="E65" s="67"/>
      <c r="F65" s="67"/>
      <c r="G65" s="67"/>
      <c r="H65" s="67"/>
      <c r="I65" s="67"/>
      <c r="J65" s="67"/>
    </row>
    <row r="66" spans="1:10" ht="18.75" x14ac:dyDescent="0.3">
      <c r="A66" s="67"/>
      <c r="B66" s="67"/>
      <c r="C66" s="67"/>
      <c r="D66" s="67"/>
      <c r="E66" s="67"/>
      <c r="F66" s="67"/>
      <c r="G66" s="67"/>
      <c r="H66" s="67"/>
      <c r="I66" s="67"/>
      <c r="J66" s="67"/>
    </row>
    <row r="67" spans="1:10" ht="18.75" x14ac:dyDescent="0.3">
      <c r="A67" s="67"/>
      <c r="B67" s="67"/>
      <c r="C67" s="67"/>
      <c r="D67" s="67"/>
      <c r="E67" s="67"/>
      <c r="F67" s="67"/>
      <c r="G67" s="67"/>
      <c r="H67" s="67"/>
      <c r="I67" s="67"/>
      <c r="J67" s="67"/>
    </row>
    <row r="68" spans="1:10" ht="18.75" x14ac:dyDescent="0.3">
      <c r="A68" s="67"/>
      <c r="B68" s="67"/>
      <c r="C68" s="67"/>
      <c r="D68" s="67"/>
      <c r="E68" s="67"/>
      <c r="F68" s="67"/>
      <c r="G68" s="67"/>
      <c r="H68" s="67"/>
      <c r="I68" s="67"/>
      <c r="J68" s="67"/>
    </row>
    <row r="69" spans="1:10" ht="18.75" x14ac:dyDescent="0.3">
      <c r="A69" s="67"/>
      <c r="B69" s="67"/>
      <c r="C69" s="67"/>
      <c r="D69" s="67"/>
      <c r="E69" s="67"/>
      <c r="F69" s="67"/>
      <c r="G69" s="67"/>
      <c r="H69" s="67"/>
      <c r="I69" s="67"/>
      <c r="J69" s="67"/>
    </row>
    <row r="70" spans="1:10" ht="18.75" x14ac:dyDescent="0.3">
      <c r="A70" s="67"/>
      <c r="B70" s="67"/>
      <c r="C70" s="67"/>
      <c r="D70" s="67"/>
      <c r="E70" s="67"/>
      <c r="F70" s="67"/>
      <c r="G70" s="67"/>
      <c r="H70" s="67"/>
      <c r="I70" s="67"/>
      <c r="J70" s="67"/>
    </row>
    <row r="71" spans="1:10" ht="18.75" x14ac:dyDescent="0.3">
      <c r="A71" s="67"/>
      <c r="B71" s="67"/>
      <c r="C71" s="67"/>
      <c r="D71" s="67"/>
      <c r="E71" s="67"/>
      <c r="F71" s="67"/>
      <c r="G71" s="67"/>
      <c r="H71" s="67"/>
      <c r="I71" s="67"/>
      <c r="J71" s="67"/>
    </row>
    <row r="72" spans="1:10" ht="18.75" x14ac:dyDescent="0.3">
      <c r="A72" s="67"/>
      <c r="B72" s="67"/>
      <c r="C72" s="67"/>
      <c r="D72" s="67"/>
      <c r="E72" s="67"/>
      <c r="F72" s="67"/>
      <c r="G72" s="67"/>
      <c r="H72" s="67"/>
      <c r="I72" s="67"/>
      <c r="J72" s="67"/>
    </row>
    <row r="73" spans="1:10" ht="18.75" x14ac:dyDescent="0.3">
      <c r="A73" s="67"/>
      <c r="B73" s="67"/>
      <c r="C73" s="67"/>
      <c r="D73" s="67"/>
      <c r="E73" s="67"/>
      <c r="F73" s="67"/>
      <c r="G73" s="67"/>
      <c r="H73" s="67"/>
      <c r="I73" s="67"/>
      <c r="J73" s="67"/>
    </row>
    <row r="74" spans="1:10" ht="18.75" x14ac:dyDescent="0.3">
      <c r="A74" s="67"/>
      <c r="B74" s="67"/>
      <c r="C74" s="67"/>
      <c r="D74" s="67"/>
      <c r="E74" s="67"/>
      <c r="F74" s="67"/>
      <c r="G74" s="67"/>
      <c r="H74" s="67"/>
      <c r="I74" s="67"/>
      <c r="J74" s="67"/>
    </row>
    <row r="75" spans="1:10" ht="18.75" x14ac:dyDescent="0.3">
      <c r="A75" s="67"/>
      <c r="B75" s="67"/>
      <c r="C75" s="67"/>
      <c r="D75" s="67"/>
      <c r="E75" s="67"/>
      <c r="F75" s="67"/>
      <c r="G75" s="67"/>
      <c r="H75" s="67"/>
      <c r="I75" s="67"/>
      <c r="J75" s="67"/>
    </row>
    <row r="76" spans="1:10" ht="18.75" x14ac:dyDescent="0.3">
      <c r="A76" s="67"/>
      <c r="B76" s="67"/>
      <c r="C76" s="67"/>
      <c r="D76" s="67"/>
      <c r="E76" s="67"/>
      <c r="F76" s="67"/>
      <c r="G76" s="67"/>
      <c r="H76" s="67"/>
      <c r="I76" s="67"/>
      <c r="J76" s="67"/>
    </row>
    <row r="77" spans="1:10" ht="18.75" x14ac:dyDescent="0.3">
      <c r="A77" s="67"/>
      <c r="B77" s="67"/>
      <c r="C77" s="67"/>
      <c r="D77" s="67"/>
      <c r="E77" s="67"/>
      <c r="F77" s="67"/>
      <c r="G77" s="67"/>
      <c r="H77" s="67"/>
      <c r="I77" s="67"/>
      <c r="J77" s="67"/>
    </row>
    <row r="78" spans="1:10" ht="18.75" x14ac:dyDescent="0.3">
      <c r="A78" s="67"/>
      <c r="B78" s="67"/>
      <c r="C78" s="67"/>
      <c r="D78" s="67"/>
      <c r="E78" s="67"/>
      <c r="F78" s="67"/>
      <c r="G78" s="67"/>
      <c r="H78" s="67"/>
      <c r="I78" s="67"/>
      <c r="J78" s="67"/>
    </row>
    <row r="79" spans="1:10" ht="18.75" x14ac:dyDescent="0.3">
      <c r="A79" s="67"/>
      <c r="B79" s="67"/>
      <c r="C79" s="67"/>
      <c r="D79" s="67"/>
      <c r="E79" s="67"/>
      <c r="F79" s="67"/>
      <c r="G79" s="67"/>
      <c r="H79" s="67"/>
      <c r="I79" s="67"/>
      <c r="J79" s="67"/>
    </row>
    <row r="80" spans="1:10" ht="18.75" x14ac:dyDescent="0.3">
      <c r="A80" s="67"/>
      <c r="B80" s="67"/>
      <c r="C80" s="67"/>
      <c r="D80" s="67"/>
      <c r="E80" s="67"/>
      <c r="F80" s="67"/>
      <c r="G80" s="67"/>
      <c r="H80" s="67"/>
      <c r="I80" s="67"/>
      <c r="J80" s="67"/>
    </row>
    <row r="81" spans="1:10" ht="18.75" x14ac:dyDescent="0.3">
      <c r="A81" s="67"/>
      <c r="B81" s="67"/>
      <c r="C81" s="67"/>
      <c r="D81" s="67"/>
      <c r="E81" s="67"/>
      <c r="F81" s="67"/>
      <c r="G81" s="67"/>
      <c r="H81" s="67"/>
      <c r="I81" s="67"/>
      <c r="J81" s="67"/>
    </row>
    <row r="82" spans="1:10" ht="18.75" x14ac:dyDescent="0.3">
      <c r="A82" s="67"/>
      <c r="B82" s="67"/>
      <c r="C82" s="67"/>
      <c r="D82" s="67"/>
      <c r="E82" s="67"/>
      <c r="F82" s="67"/>
      <c r="G82" s="67"/>
      <c r="H82" s="67"/>
      <c r="I82" s="67"/>
      <c r="J82" s="67"/>
    </row>
    <row r="83" spans="1:10" ht="18.75" x14ac:dyDescent="0.3">
      <c r="A83" s="67"/>
      <c r="B83" s="67"/>
      <c r="C83" s="67"/>
      <c r="D83" s="67"/>
      <c r="E83" s="67"/>
      <c r="F83" s="67"/>
      <c r="G83" s="67"/>
      <c r="H83" s="67"/>
      <c r="I83" s="67"/>
      <c r="J83" s="67"/>
    </row>
    <row r="84" spans="1:10" ht="18.75" x14ac:dyDescent="0.3">
      <c r="A84" s="67"/>
      <c r="B84" s="67"/>
      <c r="C84" s="67"/>
      <c r="D84" s="67"/>
      <c r="E84" s="67"/>
      <c r="F84" s="67"/>
      <c r="G84" s="67"/>
      <c r="H84" s="67"/>
      <c r="I84" s="67"/>
      <c r="J84" s="67"/>
    </row>
    <row r="85" spans="1:10" ht="18.75" x14ac:dyDescent="0.3">
      <c r="A85" s="67"/>
      <c r="B85" s="67"/>
      <c r="C85" s="67"/>
      <c r="D85" s="67"/>
      <c r="E85" s="67"/>
      <c r="F85" s="67"/>
      <c r="G85" s="67"/>
      <c r="H85" s="67"/>
      <c r="I85" s="67"/>
      <c r="J85" s="67"/>
    </row>
    <row r="86" spans="1:10" ht="18.75" x14ac:dyDescent="0.3">
      <c r="A86" s="67"/>
      <c r="B86" s="67"/>
      <c r="C86" s="67"/>
      <c r="D86" s="67"/>
      <c r="E86" s="67"/>
      <c r="F86" s="67"/>
      <c r="G86" s="67"/>
      <c r="H86" s="67"/>
      <c r="I86" s="67"/>
      <c r="J86" s="67"/>
    </row>
    <row r="87" spans="1:10" ht="18.75" x14ac:dyDescent="0.3">
      <c r="A87" s="67"/>
      <c r="B87" s="67"/>
      <c r="C87" s="67"/>
      <c r="D87" s="67"/>
      <c r="E87" s="67"/>
      <c r="F87" s="67"/>
      <c r="G87" s="67"/>
      <c r="H87" s="67"/>
      <c r="I87" s="67"/>
      <c r="J87" s="67"/>
    </row>
    <row r="88" spans="1:10" ht="18.75" x14ac:dyDescent="0.3">
      <c r="A88" s="67"/>
      <c r="B88" s="67"/>
      <c r="C88" s="67"/>
      <c r="D88" s="67"/>
      <c r="E88" s="67"/>
      <c r="F88" s="67"/>
      <c r="G88" s="67"/>
      <c r="H88" s="67"/>
      <c r="I88" s="67"/>
      <c r="J88" s="67"/>
    </row>
    <row r="89" spans="1:10" ht="18.75" x14ac:dyDescent="0.3">
      <c r="A89" s="67"/>
      <c r="B89" s="67"/>
      <c r="C89" s="67"/>
      <c r="D89" s="67"/>
      <c r="E89" s="67"/>
      <c r="F89" s="67"/>
      <c r="G89" s="67"/>
      <c r="H89" s="67"/>
      <c r="I89" s="67"/>
      <c r="J89" s="67"/>
    </row>
    <row r="90" spans="1:10" ht="18.75" x14ac:dyDescent="0.3">
      <c r="A90" s="67"/>
      <c r="B90" s="67"/>
      <c r="C90" s="67"/>
      <c r="D90" s="67"/>
      <c r="E90" s="67"/>
      <c r="F90" s="67"/>
      <c r="G90" s="67"/>
      <c r="H90" s="67"/>
      <c r="I90" s="67"/>
      <c r="J90" s="67"/>
    </row>
    <row r="91" spans="1:10" ht="18.75" x14ac:dyDescent="0.3">
      <c r="A91" s="67"/>
      <c r="B91" s="67"/>
      <c r="C91" s="67"/>
      <c r="D91" s="67"/>
      <c r="E91" s="67"/>
      <c r="F91" s="67"/>
      <c r="G91" s="67"/>
      <c r="H91" s="67"/>
      <c r="I91" s="67"/>
      <c r="J91" s="67"/>
    </row>
    <row r="92" spans="1:10" ht="18.75" x14ac:dyDescent="0.3">
      <c r="A92" s="67"/>
      <c r="B92" s="67"/>
      <c r="C92" s="67"/>
      <c r="D92" s="67"/>
      <c r="E92" s="67"/>
      <c r="F92" s="67"/>
      <c r="G92" s="67"/>
      <c r="H92" s="67"/>
      <c r="I92" s="67"/>
      <c r="J92" s="67"/>
    </row>
  </sheetData>
  <mergeCells count="4">
    <mergeCell ref="B4:D4"/>
    <mergeCell ref="F4:H4"/>
    <mergeCell ref="B5:D5"/>
    <mergeCell ref="F5:H5"/>
  </mergeCells>
  <hyperlinks>
    <hyperlink ref="B1" location="Innhold!A1" display="Tilbake"/>
  </hyperlinks>
  <pageMargins left="0.70866141732283472" right="0.70866141732283472" top="0.74803149606299213" bottom="0.74803149606299213"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K335"/>
  <sheetViews>
    <sheetView showGridLines="0" showZeros="0" zoomScale="90" zoomScaleNormal="90" zoomScaleSheetLayoutView="80" workbookViewId="0">
      <pane xSplit="1" ySplit="1" topLeftCell="B2" activePane="bottomRight" state="frozen"/>
      <selection activeCell="R181" sqref="R181"/>
      <selection pane="topRight" activeCell="R181" sqref="R181"/>
      <selection pane="bottomLeft" activeCell="R181" sqref="R181"/>
      <selection pane="bottomRight"/>
    </sheetView>
  </sheetViews>
  <sheetFormatPr baseColWidth="10" defaultColWidth="11.42578125" defaultRowHeight="12.75" x14ac:dyDescent="0.2"/>
  <cols>
    <col min="1" max="1" width="57.140625" style="1" customWidth="1"/>
    <col min="2" max="2" width="10.7109375" style="1" customWidth="1"/>
    <col min="3" max="3" width="10.85546875" style="1" customWidth="1"/>
    <col min="4" max="4" width="8.7109375" style="1" customWidth="1"/>
    <col min="5" max="5" width="10.7109375" style="1" customWidth="1"/>
    <col min="6" max="6" width="10.85546875" style="1" customWidth="1"/>
    <col min="7" max="7" width="8.7109375" style="1" customWidth="1"/>
    <col min="8" max="8" width="10.7109375" style="1" customWidth="1"/>
    <col min="9" max="9" width="10.85546875" style="1" customWidth="1"/>
    <col min="10" max="10" width="8.7109375" style="1" customWidth="1"/>
    <col min="11" max="16384" width="11.42578125" style="1"/>
  </cols>
  <sheetData>
    <row r="1" spans="1:10" ht="15.75" customHeight="1" x14ac:dyDescent="0.2">
      <c r="A1" s="353">
        <v>1</v>
      </c>
      <c r="B1" s="4"/>
      <c r="C1" s="4"/>
      <c r="D1" s="4"/>
      <c r="E1" s="4"/>
      <c r="F1" s="4"/>
      <c r="G1" s="4"/>
      <c r="H1" s="4"/>
      <c r="I1" s="4"/>
      <c r="J1" s="4"/>
    </row>
    <row r="2" spans="1:10" ht="15.75" customHeight="1" x14ac:dyDescent="0.25">
      <c r="A2" s="158" t="s">
        <v>36</v>
      </c>
      <c r="B2" s="827"/>
      <c r="C2" s="827"/>
      <c r="D2" s="827"/>
      <c r="E2" s="827"/>
      <c r="F2" s="827"/>
      <c r="G2" s="827"/>
      <c r="H2" s="827"/>
      <c r="I2" s="827"/>
      <c r="J2" s="827"/>
    </row>
    <row r="3" spans="1:10" ht="15.75" customHeight="1" x14ac:dyDescent="0.25">
      <c r="A3" s="156"/>
      <c r="B3" s="299"/>
      <c r="C3" s="299"/>
      <c r="D3" s="299"/>
      <c r="E3" s="299"/>
      <c r="F3" s="299"/>
      <c r="G3" s="299"/>
      <c r="H3" s="299"/>
      <c r="I3" s="299"/>
      <c r="J3" s="299"/>
    </row>
    <row r="4" spans="1:10" ht="15.75" customHeight="1" x14ac:dyDescent="0.2">
      <c r="A4" s="138"/>
      <c r="B4" s="828" t="s">
        <v>0</v>
      </c>
      <c r="C4" s="829"/>
      <c r="D4" s="829"/>
      <c r="E4" s="828" t="s">
        <v>1</v>
      </c>
      <c r="F4" s="829"/>
      <c r="G4" s="829"/>
      <c r="H4" s="828" t="s">
        <v>2</v>
      </c>
      <c r="I4" s="829"/>
      <c r="J4" s="830"/>
    </row>
    <row r="5" spans="1:10" ht="15.75" customHeight="1" x14ac:dyDescent="0.2">
      <c r="A5" s="151"/>
      <c r="B5" s="17" t="s">
        <v>400</v>
      </c>
      <c r="C5" s="17" t="s">
        <v>401</v>
      </c>
      <c r="D5" s="246" t="s">
        <v>3</v>
      </c>
      <c r="E5" s="17" t="s">
        <v>400</v>
      </c>
      <c r="F5" s="17" t="s">
        <v>401</v>
      </c>
      <c r="G5" s="246" t="s">
        <v>3</v>
      </c>
      <c r="H5" s="17" t="s">
        <v>400</v>
      </c>
      <c r="I5" s="17" t="s">
        <v>401</v>
      </c>
      <c r="J5" s="246" t="s">
        <v>3</v>
      </c>
    </row>
    <row r="6" spans="1:10" ht="15.75" customHeight="1" x14ac:dyDescent="0.2">
      <c r="A6" s="402"/>
      <c r="B6" s="13"/>
      <c r="C6" s="13"/>
      <c r="D6" s="15" t="s">
        <v>4</v>
      </c>
      <c r="E6" s="14"/>
      <c r="F6" s="14"/>
      <c r="G6" s="13" t="s">
        <v>4</v>
      </c>
      <c r="H6" s="14"/>
      <c r="I6" s="14"/>
      <c r="J6" s="13" t="s">
        <v>4</v>
      </c>
    </row>
    <row r="7" spans="1:10" ht="15.75" customHeight="1" x14ac:dyDescent="0.2">
      <c r="A7" s="12" t="s">
        <v>30</v>
      </c>
      <c r="B7" s="231">
        <v>7146682.767888139</v>
      </c>
      <c r="C7" s="231">
        <v>5016631.288206039</v>
      </c>
      <c r="D7" s="153">
        <f t="shared" ref="D7:D15" si="0">IF(B7=0, "    ---- ", IF(ABS(ROUND(100/B7*C7-100,1))&lt;999,ROUND(100/B7*C7-100,1),IF(ROUND(100/B7*C7-100,1)&gt;999,999,-999)))</f>
        <v>-29.8</v>
      </c>
      <c r="E7" s="231">
        <v>8165465.9014100004</v>
      </c>
      <c r="F7" s="231">
        <v>9096278.6254500002</v>
      </c>
      <c r="G7" s="153">
        <f t="shared" ref="G7:G15" si="1">IF(E7=0, "    ---- ", IF(ABS(ROUND(100/E7*F7-100,1))&lt;999,ROUND(100/E7*F7-100,1),IF(ROUND(100/E7*F7-100,1)&gt;999,999,-999)))</f>
        <v>11.4</v>
      </c>
      <c r="H7" s="278">
        <f t="shared" ref="H7:H15" si="2">B7+E7</f>
        <v>15312148.669298138</v>
      </c>
      <c r="I7" s="279">
        <f t="shared" ref="I7:I15" si="3">C7+F7</f>
        <v>14112909.913656039</v>
      </c>
      <c r="J7" s="164">
        <f t="shared" ref="J7:J15" si="4">IF(H7=0, "    ---- ", IF(ABS(ROUND(100/H7*I7-100,1))&lt;999,ROUND(100/H7*I7-100,1),IF(ROUND(100/H7*I7-100,1)&gt;999,999,-999)))</f>
        <v>-7.8</v>
      </c>
    </row>
    <row r="8" spans="1:10" ht="15.75" customHeight="1" x14ac:dyDescent="0.2">
      <c r="A8" s="18" t="s">
        <v>32</v>
      </c>
      <c r="B8" s="37">
        <f>'ACE European Group'!B8+'Danica Pensjonsforsikring'!B8+'DNB Livsforsikring'!B8+'Eika Forsikring AS'!B8+'Frende Livsforsikring'!B8+'Frende Skadeforsikring'!B8+'Gjensidige Forsikring'!B8+'Gjensidige Pensjon'!B8+'Handelsbanken Liv'!B8+'If Skadeforsikring NUF'!B8+KLP!B8+'KLP Bedriftspensjon AS'!B8+'KLP Skadeforsikring AS'!B8+'Landbruksforsikring AS'!B8+'NEMI Forsikring'!B8+'Nordea Liv '!B8+'Oslo Pensjonsforsikring'!B8+'SHB Liv'!B8+'Silver Pensjonsforsikring AS'!B8+'Sparebank 1'!B8+'Storebrand Livsforsikring'!B8+'Telenor Forsikring'!B8+'Tryg Forsikring'!B8</f>
        <v>2213097.1418311768</v>
      </c>
      <c r="C8" s="37">
        <f>'ACE European Group'!C8+'Danica Pensjonsforsikring'!C8+'DNB Livsforsikring'!C8+'Eika Forsikring AS'!C8+'Frende Livsforsikring'!C8+'Frende Skadeforsikring'!C8+'Gjensidige Forsikring'!C8+'Gjensidige Pensjon'!C8+'Handelsbanken Liv'!C8+'If Skadeforsikring NUF'!C8+KLP!C8+'KLP Bedriftspensjon AS'!C8+'KLP Skadeforsikring AS'!C8+'Landbruksforsikring AS'!C8+'NEMI Forsikring'!C8+'Nordea Liv '!C8+'Oslo Pensjonsforsikring'!C8+'SHB Liv'!C8+'Silver Pensjonsforsikring AS'!C8+'Sparebank 1'!C8+'Storebrand Livsforsikring'!C8+'Telenor Forsikring'!C8+'Tryg Forsikring'!C8</f>
        <v>2418574.3325688471</v>
      </c>
      <c r="D8" s="159">
        <f t="shared" si="0"/>
        <v>9.3000000000000007</v>
      </c>
      <c r="E8" s="183">
        <v>0</v>
      </c>
      <c r="F8" s="183">
        <v>0</v>
      </c>
      <c r="G8" s="170"/>
      <c r="H8" s="185">
        <f t="shared" si="2"/>
        <v>2213097.1418311768</v>
      </c>
      <c r="I8" s="186">
        <f t="shared" si="3"/>
        <v>2418574.3325688471</v>
      </c>
      <c r="J8" s="164">
        <f t="shared" si="4"/>
        <v>9.3000000000000007</v>
      </c>
    </row>
    <row r="9" spans="1:10" ht="15.75" customHeight="1" x14ac:dyDescent="0.2">
      <c r="A9" s="18" t="s">
        <v>31</v>
      </c>
      <c r="B9" s="37">
        <f>'ACE European Group'!B9+'Danica Pensjonsforsikring'!B9+'DNB Livsforsikring'!B9+'Eika Forsikring AS'!B9+'Frende Livsforsikring'!B9+'Frende Skadeforsikring'!B9+'Gjensidige Forsikring'!B9+'Gjensidige Pensjon'!B9+'Handelsbanken Liv'!B9+'If Skadeforsikring NUF'!B9+KLP!B9+'KLP Bedriftspensjon AS'!B9+'KLP Skadeforsikring AS'!B9+'Landbruksforsikring AS'!B9+'NEMI Forsikring'!B9+'Nordea Liv '!B9+'Oslo Pensjonsforsikring'!B9+'SHB Liv'!B9+'Silver Pensjonsforsikring AS'!B9+'Sparebank 1'!B9+'Storebrand Livsforsikring'!B9+'Telenor Forsikring'!B9+'Tryg Forsikring'!B9</f>
        <v>1083537.0386041091</v>
      </c>
      <c r="C9" s="37">
        <f>'ACE European Group'!C9+'Danica Pensjonsforsikring'!C9+'DNB Livsforsikring'!C9+'Eika Forsikring AS'!C9+'Frende Livsforsikring'!C9+'Frende Skadeforsikring'!C9+'Gjensidige Forsikring'!C9+'Gjensidige Pensjon'!C9+'Handelsbanken Liv'!C9+'If Skadeforsikring NUF'!C9+KLP!C9+'KLP Bedriftspensjon AS'!C9+'KLP Skadeforsikring AS'!C9+'Landbruksforsikring AS'!C9+'NEMI Forsikring'!C9+'Nordea Liv '!C9+'Oslo Pensjonsforsikring'!C9+'SHB Liv'!C9+'Silver Pensjonsforsikring AS'!C9+'Sparebank 1'!C9+'Storebrand Livsforsikring'!C9+'Telenor Forsikring'!C9+'Tryg Forsikring'!C9</f>
        <v>1146624.4503485509</v>
      </c>
      <c r="D9" s="170">
        <f t="shared" si="0"/>
        <v>5.8</v>
      </c>
      <c r="E9" s="183">
        <v>0</v>
      </c>
      <c r="F9" s="183">
        <v>0</v>
      </c>
      <c r="G9" s="170"/>
      <c r="H9" s="185">
        <f t="shared" si="2"/>
        <v>1083537.0386041091</v>
      </c>
      <c r="I9" s="186">
        <f t="shared" si="3"/>
        <v>1146624.4503485509</v>
      </c>
      <c r="J9" s="164">
        <f t="shared" si="4"/>
        <v>5.8</v>
      </c>
    </row>
    <row r="10" spans="1:10" ht="15.75" customHeight="1" x14ac:dyDescent="0.2">
      <c r="A10" s="11" t="s">
        <v>29</v>
      </c>
      <c r="B10" s="231">
        <v>2196627.0260000001</v>
      </c>
      <c r="C10" s="231">
        <v>355620.25677757949</v>
      </c>
      <c r="D10" s="170">
        <f t="shared" si="0"/>
        <v>-83.8</v>
      </c>
      <c r="E10" s="231">
        <v>6426985.3549999995</v>
      </c>
      <c r="F10" s="231">
        <v>7667112.6979999999</v>
      </c>
      <c r="G10" s="170">
        <f t="shared" si="1"/>
        <v>19.3</v>
      </c>
      <c r="H10" s="278">
        <f t="shared" si="2"/>
        <v>8623612.3809999991</v>
      </c>
      <c r="I10" s="279">
        <f t="shared" si="3"/>
        <v>8022732.9547775798</v>
      </c>
      <c r="J10" s="164">
        <f t="shared" si="4"/>
        <v>-7</v>
      </c>
    </row>
    <row r="11" spans="1:10" ht="15.75" customHeight="1" x14ac:dyDescent="0.2">
      <c r="A11" s="18" t="s">
        <v>32</v>
      </c>
      <c r="B11" s="37">
        <v>199062.93736469705</v>
      </c>
      <c r="C11" s="37">
        <v>190821.7638645799</v>
      </c>
      <c r="D11" s="170">
        <f t="shared" si="0"/>
        <v>-4.0999999999999996</v>
      </c>
      <c r="E11" s="183">
        <v>0</v>
      </c>
      <c r="F11" s="183">
        <v>0</v>
      </c>
      <c r="G11" s="170"/>
      <c r="H11" s="185">
        <f t="shared" si="2"/>
        <v>199062.93736469705</v>
      </c>
      <c r="I11" s="186">
        <f t="shared" si="3"/>
        <v>190821.7638645799</v>
      </c>
      <c r="J11" s="164">
        <f t="shared" si="4"/>
        <v>-4.0999999999999996</v>
      </c>
    </row>
    <row r="12" spans="1:10" ht="15.75" customHeight="1" x14ac:dyDescent="0.2">
      <c r="A12" s="18" t="s">
        <v>31</v>
      </c>
      <c r="B12" s="37">
        <v>61233.325217538579</v>
      </c>
      <c r="C12" s="37">
        <v>63336.492912999653</v>
      </c>
      <c r="D12" s="170">
        <f t="shared" si="0"/>
        <v>3.4</v>
      </c>
      <c r="E12" s="183">
        <v>0</v>
      </c>
      <c r="F12" s="183">
        <v>0</v>
      </c>
      <c r="G12" s="170"/>
      <c r="H12" s="185">
        <f t="shared" si="2"/>
        <v>61233.325217538579</v>
      </c>
      <c r="I12" s="186">
        <f t="shared" si="3"/>
        <v>63336.492912999653</v>
      </c>
      <c r="J12" s="164">
        <f t="shared" si="4"/>
        <v>3.4</v>
      </c>
    </row>
    <row r="13" spans="1:10" ht="15.75" customHeight="1" x14ac:dyDescent="0.2">
      <c r="A13" s="11" t="s">
        <v>28</v>
      </c>
      <c r="B13" s="231">
        <v>27174310.920384403</v>
      </c>
      <c r="C13" s="231">
        <v>25864014.21037323</v>
      </c>
      <c r="D13" s="170">
        <f t="shared" si="0"/>
        <v>-4.8</v>
      </c>
      <c r="E13" s="231">
        <v>25941443.302026097</v>
      </c>
      <c r="F13" s="231">
        <v>33118562.891345605</v>
      </c>
      <c r="G13" s="170">
        <f t="shared" si="1"/>
        <v>27.7</v>
      </c>
      <c r="H13" s="278">
        <f t="shared" si="2"/>
        <v>53115754.2224105</v>
      </c>
      <c r="I13" s="279">
        <f t="shared" si="3"/>
        <v>58982577.101718836</v>
      </c>
      <c r="J13" s="164">
        <f t="shared" si="4"/>
        <v>11</v>
      </c>
    </row>
    <row r="14" spans="1:10" s="36" customFormat="1" ht="15.75" customHeight="1" x14ac:dyDescent="0.2">
      <c r="A14" s="11" t="s">
        <v>27</v>
      </c>
      <c r="B14" s="231">
        <v>103371</v>
      </c>
      <c r="C14" s="231">
        <v>81436</v>
      </c>
      <c r="D14" s="164">
        <f t="shared" si="0"/>
        <v>-21.2</v>
      </c>
      <c r="E14" s="231">
        <v>360489.74154999998</v>
      </c>
      <c r="F14" s="231">
        <v>455222.07000999997</v>
      </c>
      <c r="G14" s="164">
        <f t="shared" si="1"/>
        <v>26.3</v>
      </c>
      <c r="H14" s="278">
        <f t="shared" si="2"/>
        <v>463860.74154999998</v>
      </c>
      <c r="I14" s="279">
        <f t="shared" si="3"/>
        <v>536658.07000999991</v>
      </c>
      <c r="J14" s="164">
        <f t="shared" si="4"/>
        <v>15.7</v>
      </c>
    </row>
    <row r="15" spans="1:10" s="36" customFormat="1" ht="15.75" customHeight="1" x14ac:dyDescent="0.2">
      <c r="A15" s="34" t="s">
        <v>26</v>
      </c>
      <c r="B15" s="277">
        <v>50954.542650000003</v>
      </c>
      <c r="C15" s="277">
        <v>41660.740440000001</v>
      </c>
      <c r="D15" s="163">
        <f t="shared" si="0"/>
        <v>-18.2</v>
      </c>
      <c r="E15" s="277">
        <v>128239.56138000001</v>
      </c>
      <c r="F15" s="277">
        <v>170904.02306000001</v>
      </c>
      <c r="G15" s="162">
        <f t="shared" si="1"/>
        <v>33.299999999999997</v>
      </c>
      <c r="H15" s="280">
        <f t="shared" si="2"/>
        <v>179194.10403000002</v>
      </c>
      <c r="I15" s="281">
        <f t="shared" si="3"/>
        <v>212564.7635</v>
      </c>
      <c r="J15" s="162">
        <f t="shared" si="4"/>
        <v>18.600000000000001</v>
      </c>
    </row>
    <row r="16" spans="1:10" s="36" customFormat="1" ht="15.75" customHeight="1" x14ac:dyDescent="0.2">
      <c r="A16" s="161"/>
      <c r="B16" s="29"/>
      <c r="C16" s="5"/>
      <c r="D16" s="26"/>
      <c r="E16" s="29"/>
      <c r="F16" s="5"/>
      <c r="G16" s="26"/>
      <c r="H16" s="41"/>
      <c r="I16" s="41"/>
      <c r="J16" s="26"/>
    </row>
    <row r="17" spans="1:11" ht="15.75" customHeight="1" x14ac:dyDescent="0.2">
      <c r="A17" s="146" t="s">
        <v>307</v>
      </c>
    </row>
    <row r="18" spans="1:11" ht="15.75" customHeight="1" x14ac:dyDescent="0.2">
      <c r="A18" s="143"/>
      <c r="E18" s="7"/>
      <c r="F18" s="7"/>
      <c r="G18" s="7"/>
      <c r="H18" s="7"/>
      <c r="I18" s="7"/>
      <c r="J18" s="7"/>
    </row>
    <row r="19" spans="1:11" s="3" customFormat="1" ht="15.75" customHeight="1" x14ac:dyDescent="0.25">
      <c r="A19" s="157"/>
      <c r="C19" s="24"/>
      <c r="D19" s="24"/>
      <c r="E19" s="24"/>
      <c r="F19" s="24"/>
      <c r="G19" s="24"/>
      <c r="H19" s="24"/>
      <c r="I19" s="24"/>
      <c r="J19" s="24"/>
    </row>
    <row r="20" spans="1:11" ht="15.75" customHeight="1" x14ac:dyDescent="0.25">
      <c r="A20" s="141" t="s">
        <v>304</v>
      </c>
      <c r="B20" s="22"/>
      <c r="C20" s="22"/>
      <c r="D20" s="23"/>
      <c r="E20" s="22"/>
      <c r="F20" s="22"/>
      <c r="G20" s="22"/>
      <c r="H20" s="22"/>
      <c r="I20" s="22"/>
      <c r="J20" s="22"/>
    </row>
    <row r="21" spans="1:11" ht="15.75" customHeight="1" x14ac:dyDescent="0.25">
      <c r="A21" s="143"/>
      <c r="B21" s="827"/>
      <c r="C21" s="827"/>
      <c r="D21" s="827"/>
      <c r="E21" s="827"/>
      <c r="F21" s="827"/>
      <c r="G21" s="827"/>
      <c r="H21" s="827"/>
      <c r="I21" s="827"/>
      <c r="J21" s="827"/>
    </row>
    <row r="22" spans="1:11" ht="15.75" customHeight="1" x14ac:dyDescent="0.2">
      <c r="A22" s="138"/>
      <c r="B22" s="828" t="s">
        <v>0</v>
      </c>
      <c r="C22" s="829"/>
      <c r="D22" s="829"/>
      <c r="E22" s="828" t="s">
        <v>1</v>
      </c>
      <c r="F22" s="829"/>
      <c r="G22" s="830"/>
      <c r="H22" s="829" t="s">
        <v>2</v>
      </c>
      <c r="I22" s="829"/>
      <c r="J22" s="830"/>
    </row>
    <row r="23" spans="1:11" ht="15.75" customHeight="1" x14ac:dyDescent="0.2">
      <c r="A23" s="134" t="s">
        <v>5</v>
      </c>
      <c r="B23" s="17" t="s">
        <v>400</v>
      </c>
      <c r="C23" s="17" t="s">
        <v>401</v>
      </c>
      <c r="D23" s="246" t="s">
        <v>3</v>
      </c>
      <c r="E23" s="17" t="s">
        <v>400</v>
      </c>
      <c r="F23" s="17" t="s">
        <v>401</v>
      </c>
      <c r="G23" s="246" t="s">
        <v>3</v>
      </c>
      <c r="H23" s="17" t="s">
        <v>400</v>
      </c>
      <c r="I23" s="17" t="s">
        <v>401</v>
      </c>
      <c r="J23" s="246" t="s">
        <v>3</v>
      </c>
    </row>
    <row r="24" spans="1:11" ht="15.75" customHeight="1" x14ac:dyDescent="0.2">
      <c r="A24" s="403"/>
      <c r="B24" s="13"/>
      <c r="C24" s="13"/>
      <c r="D24" s="15" t="s">
        <v>4</v>
      </c>
      <c r="E24" s="14"/>
      <c r="F24" s="14"/>
      <c r="G24" s="13" t="s">
        <v>4</v>
      </c>
      <c r="H24" s="14"/>
      <c r="I24" s="14"/>
      <c r="J24" s="13" t="s">
        <v>4</v>
      </c>
    </row>
    <row r="25" spans="1:11" ht="15.75" customHeight="1" x14ac:dyDescent="0.2">
      <c r="A25" s="12" t="s">
        <v>30</v>
      </c>
      <c r="B25" s="231">
        <v>1358692.7513703171</v>
      </c>
      <c r="C25" s="231">
        <v>1435432.9500913012</v>
      </c>
      <c r="D25" s="153">
        <f t="shared" ref="D25:D46" si="5">IF(B25=0, "    ---- ", IF(ABS(ROUND(100/B25*C25-100,1))&lt;999,ROUND(100/B25*C25-100,1),IF(ROUND(100/B25*C25-100,1)&gt;999,999,-999)))</f>
        <v>5.6</v>
      </c>
      <c r="E25" s="231">
        <v>434852.32044002996</v>
      </c>
      <c r="F25" s="310">
        <v>398608.38134000002</v>
      </c>
      <c r="G25" s="352">
        <f t="shared" ref="G25:G41" si="6">IF(E25=0, "    ---- ", IF(ABS(ROUND(100/E25*F25-100,1))&lt;999,ROUND(100/E25*F25-100,1),IF(ROUND(100/E25*F25-100,1)&gt;999,999,-999)))</f>
        <v>-8.3000000000000007</v>
      </c>
      <c r="H25" s="310">
        <f>SUM(B25,E25)</f>
        <v>1793545.071810347</v>
      </c>
      <c r="I25" s="231">
        <f t="shared" ref="I25:I46" si="7">SUM(C25,F25)</f>
        <v>1834041.3314313013</v>
      </c>
      <c r="J25" s="164">
        <f t="shared" ref="J25:J46" si="8">IF(H25=0, "    ---- ", IF(ABS(ROUND(100/H25*I25-100,1))&lt;999,ROUND(100/H25*I25-100,1),IF(ROUND(100/H25*I25-100,1)&gt;999,999,-999)))</f>
        <v>2.2999999999999998</v>
      </c>
    </row>
    <row r="26" spans="1:11" ht="15.75" customHeight="1" x14ac:dyDescent="0.2">
      <c r="A26" s="298" t="s">
        <v>318</v>
      </c>
      <c r="B26" s="37">
        <v>1216146.6128285897</v>
      </c>
      <c r="C26" s="37">
        <v>1299326.4961632495</v>
      </c>
      <c r="D26" s="159">
        <f t="shared" si="5"/>
        <v>6.8</v>
      </c>
      <c r="E26" s="37">
        <v>191193.39271000001</v>
      </c>
      <c r="F26" s="37">
        <v>158113.90322000001</v>
      </c>
      <c r="G26" s="159" t="str">
        <f>IF($A$1=4,IF(E26=0, "    ---- ", IF(ABS(ROUND(100/E26*F26-100,1))&lt;999,ROUND(100/E26*F26-100,1),IF(ROUND(100/E26*F26-100,1)&gt;999,999,-999))),"")</f>
        <v/>
      </c>
      <c r="H26" s="229">
        <f t="shared" ref="H26:H46" si="9">SUM(B26,E26)</f>
        <v>1407340.0055385898</v>
      </c>
      <c r="I26" s="37">
        <f t="shared" si="7"/>
        <v>1457440.3993832495</v>
      </c>
      <c r="J26" s="159"/>
    </row>
    <row r="27" spans="1:11" ht="15.75" customHeight="1" x14ac:dyDescent="0.2">
      <c r="A27" s="298" t="s">
        <v>319</v>
      </c>
      <c r="B27" s="37">
        <v>21777.388541726941</v>
      </c>
      <c r="C27" s="37">
        <v>19339.203928051309</v>
      </c>
      <c r="D27" s="159">
        <f t="shared" si="5"/>
        <v>-11.2</v>
      </c>
      <c r="E27" s="37">
        <v>8583.3254100299982</v>
      </c>
      <c r="F27" s="37">
        <v>6341.8019999999997</v>
      </c>
      <c r="G27" s="159" t="str">
        <f t="shared" ref="G27:G29" si="10">IF($A$1=4,IF(E27=0, "    ---- ", IF(ABS(ROUND(100/E27*F27-100,1))&lt;999,ROUND(100/E27*F27-100,1),IF(ROUND(100/E27*F27-100,1)&gt;999,999,-999))),"")</f>
        <v/>
      </c>
      <c r="H27" s="229">
        <f t="shared" si="9"/>
        <v>30360.713951756938</v>
      </c>
      <c r="I27" s="37">
        <f t="shared" si="7"/>
        <v>25681.005928051309</v>
      </c>
      <c r="J27" s="153"/>
    </row>
    <row r="28" spans="1:11" ht="15.75" customHeight="1" x14ac:dyDescent="0.2">
      <c r="A28" s="298" t="s">
        <v>320</v>
      </c>
      <c r="B28" s="37">
        <v>120768.75</v>
      </c>
      <c r="C28" s="37">
        <v>116767.25</v>
      </c>
      <c r="D28" s="159">
        <f t="shared" si="5"/>
        <v>-3.3</v>
      </c>
      <c r="E28" s="37">
        <v>235075.60232000001</v>
      </c>
      <c r="F28" s="37">
        <v>234152.67611999999</v>
      </c>
      <c r="G28" s="159" t="str">
        <f t="shared" si="10"/>
        <v/>
      </c>
      <c r="H28" s="229">
        <f t="shared" si="9"/>
        <v>355844.35232000001</v>
      </c>
      <c r="I28" s="37">
        <f t="shared" si="7"/>
        <v>350919.92611999996</v>
      </c>
      <c r="J28" s="170"/>
    </row>
    <row r="29" spans="1:11" ht="15.75" customHeight="1" x14ac:dyDescent="0.2">
      <c r="A29" s="298" t="s">
        <v>11</v>
      </c>
      <c r="B29" s="37">
        <v>44522.868949999996</v>
      </c>
      <c r="C29" s="37">
        <v>81.40485000000001</v>
      </c>
      <c r="D29" s="159">
        <f t="shared" si="5"/>
        <v>-99.8</v>
      </c>
      <c r="E29" s="37" t="s">
        <v>402</v>
      </c>
      <c r="F29" s="37" t="s">
        <v>402</v>
      </c>
      <c r="G29" s="159" t="str">
        <f t="shared" si="10"/>
        <v/>
      </c>
      <c r="H29" s="229">
        <f t="shared" si="9"/>
        <v>44522.868949999996</v>
      </c>
      <c r="I29" s="37">
        <f t="shared" si="7"/>
        <v>81.40485000000001</v>
      </c>
      <c r="J29" s="170"/>
    </row>
    <row r="30" spans="1:11" ht="15.75" customHeight="1" x14ac:dyDescent="0.2">
      <c r="A30" s="42" t="s">
        <v>308</v>
      </c>
      <c r="B30" s="37">
        <f>'ACE European Group'!B30+'Danica Pensjonsforsikring'!B30+'DNB Livsforsikring'!B30+'Eika Forsikring AS'!B30+'Frende Livsforsikring'!B30+'Frende Skadeforsikring'!B30+'Gjensidige Forsikring'!B30+'Gjensidige Pensjon'!B30+'Handelsbanken Liv'!B30+'If Skadeforsikring NUF'!B30+KLP!B30+'KLP Bedriftspensjon AS'!B30+'KLP Skadeforsikring AS'!B30+'Landbruksforsikring AS'!B30+'NEMI Forsikring'!B30+'Nordea Liv '!B30+'Oslo Pensjonsforsikring'!B30+'SHB Liv'!B30+'Silver Pensjonsforsikring AS'!B30+'Sparebank 1'!B30+'Storebrand Livsforsikring'!B30+'Telenor Forsikring'!B30+'Tryg Forsikring'!B30</f>
        <v>1366404.9531892301</v>
      </c>
      <c r="C30" s="37">
        <f>'ACE European Group'!C30+'Danica Pensjonsforsikring'!C30+'DNB Livsforsikring'!C30+'Eika Forsikring AS'!C30+'Frende Livsforsikring'!C30+'Frende Skadeforsikring'!C30+'Gjensidige Forsikring'!C30+'Gjensidige Pensjon'!C30+'Handelsbanken Liv'!C30+'If Skadeforsikring NUF'!C30+KLP!C30+'KLP Bedriftspensjon AS'!C30+'KLP Skadeforsikring AS'!C30+'Landbruksforsikring AS'!C30+'NEMI Forsikring'!C30+'Nordea Liv '!C30+'Oslo Pensjonsforsikring'!C30+'SHB Liv'!C30+'Silver Pensjonsforsikring AS'!C30+'Sparebank 1'!C30+'Storebrand Livsforsikring'!C30+'Telenor Forsikring'!C30+'Tryg Forsikring'!C30</f>
        <v>1494413.8567142789</v>
      </c>
      <c r="D30" s="159">
        <f t="shared" si="5"/>
        <v>9.4</v>
      </c>
      <c r="E30" s="183">
        <v>0</v>
      </c>
      <c r="F30" s="183">
        <v>0</v>
      </c>
      <c r="G30" s="159"/>
      <c r="H30" s="185">
        <f t="shared" ref="H30" si="11">B30+E30</f>
        <v>1366404.9531892301</v>
      </c>
      <c r="I30" s="186">
        <f t="shared" ref="I30" si="12">C30+F30</f>
        <v>1494413.8567142789</v>
      </c>
      <c r="J30" s="159">
        <f t="shared" si="8"/>
        <v>9.4</v>
      </c>
      <c r="K30" s="3"/>
    </row>
    <row r="31" spans="1:11" ht="15.75" customHeight="1" x14ac:dyDescent="0.2">
      <c r="A31" s="11" t="s">
        <v>29</v>
      </c>
      <c r="B31" s="231">
        <v>276467.076</v>
      </c>
      <c r="C31" s="231">
        <v>263422.04698166501</v>
      </c>
      <c r="D31" s="170">
        <f t="shared" si="5"/>
        <v>-4.7</v>
      </c>
      <c r="E31" s="310">
        <v>30017.079610000001</v>
      </c>
      <c r="F31" s="310">
        <v>12974.778829999999</v>
      </c>
      <c r="G31" s="159">
        <f t="shared" si="6"/>
        <v>-56.8</v>
      </c>
      <c r="H31" s="310">
        <f t="shared" si="9"/>
        <v>306484.15561000002</v>
      </c>
      <c r="I31" s="231">
        <f t="shared" si="7"/>
        <v>276396.82581166504</v>
      </c>
      <c r="J31" s="170">
        <f t="shared" si="8"/>
        <v>-9.8000000000000007</v>
      </c>
    </row>
    <row r="32" spans="1:11" ht="15.75" customHeight="1" x14ac:dyDescent="0.2">
      <c r="A32" s="298" t="s">
        <v>318</v>
      </c>
      <c r="B32" s="37">
        <v>276314.076</v>
      </c>
      <c r="C32" s="37">
        <v>263422.04698166507</v>
      </c>
      <c r="D32" s="170" t="str">
        <f>IF($A$1=4,IF(B32=0, "    ---- ", IF(ABS(ROUND(100/B32*C32-100,1))&lt;999,ROUND(100/B32*C32-100,1),IF(ROUND(100/B32*C32-100,1)&gt;999,999,-999))),"")</f>
        <v/>
      </c>
      <c r="E32" s="37">
        <v>3955.8760000000002</v>
      </c>
      <c r="F32" s="37">
        <v>765</v>
      </c>
      <c r="G32" s="159" t="str">
        <f t="shared" ref="G32:G34" si="13">IF($A$1=4,IF(E32=0, "    ---- ", IF(ABS(ROUND(100/E32*F32-100,1))&lt;999,ROUND(100/E32*F32-100,1),IF(ROUND(100/E32*F32-100,1)&gt;999,999,-999))),"")</f>
        <v/>
      </c>
      <c r="H32" s="229">
        <f t="shared" si="9"/>
        <v>280269.95199999999</v>
      </c>
      <c r="I32" s="37">
        <f t="shared" si="7"/>
        <v>264187.04698166507</v>
      </c>
      <c r="J32" s="164"/>
    </row>
    <row r="33" spans="1:10" ht="15.75" customHeight="1" x14ac:dyDescent="0.2">
      <c r="A33" s="298" t="s">
        <v>320</v>
      </c>
      <c r="B33" s="37">
        <v>153</v>
      </c>
      <c r="C33" s="37">
        <v>0</v>
      </c>
      <c r="D33" s="170" t="str">
        <f t="shared" ref="D33:D34" si="14">IF($A$1=4,IF(B33=0, "    ---- ", IF(ABS(ROUND(100/B33*C33-100,1))&lt;999,ROUND(100/B33*C33-100,1),IF(ROUND(100/B33*C33-100,1)&gt;999,999,-999))),"")</f>
        <v/>
      </c>
      <c r="E33" s="37">
        <v>26061.20361</v>
      </c>
      <c r="F33" s="37">
        <v>12209.778829999999</v>
      </c>
      <c r="G33" s="159" t="str">
        <f t="shared" si="13"/>
        <v/>
      </c>
      <c r="H33" s="229">
        <f t="shared" si="9"/>
        <v>26214.20361</v>
      </c>
      <c r="I33" s="37">
        <f t="shared" si="7"/>
        <v>12209.778829999999</v>
      </c>
      <c r="J33" s="164"/>
    </row>
    <row r="34" spans="1:10" s="21" customFormat="1" ht="15.75" customHeight="1" x14ac:dyDescent="0.2">
      <c r="A34" s="298" t="s">
        <v>16</v>
      </c>
      <c r="B34" s="37" t="s">
        <v>402</v>
      </c>
      <c r="C34" s="37" t="s">
        <v>402</v>
      </c>
      <c r="D34" s="170" t="str">
        <f t="shared" si="14"/>
        <v/>
      </c>
      <c r="E34" s="231" t="s">
        <v>402</v>
      </c>
      <c r="F34" s="37" t="s">
        <v>402</v>
      </c>
      <c r="G34" s="159" t="str">
        <f t="shared" si="13"/>
        <v/>
      </c>
      <c r="H34" s="229">
        <f t="shared" si="9"/>
        <v>0</v>
      </c>
      <c r="I34" s="37">
        <f t="shared" si="7"/>
        <v>0</v>
      </c>
      <c r="J34" s="164"/>
    </row>
    <row r="35" spans="1:10" ht="15.75" customHeight="1" x14ac:dyDescent="0.2">
      <c r="A35" s="42" t="s">
        <v>308</v>
      </c>
      <c r="B35" s="37">
        <v>195836.02600000001</v>
      </c>
      <c r="C35" s="37">
        <v>187575.06898166501</v>
      </c>
      <c r="D35" s="164">
        <f t="shared" si="5"/>
        <v>-4.2</v>
      </c>
      <c r="E35" s="230">
        <v>0</v>
      </c>
      <c r="F35" s="230">
        <v>0</v>
      </c>
      <c r="G35" s="159" t="str">
        <f>IF($A$1=4,IF(E35=0, "    ---- ", IF(ABS(ROUND(100/E35*F35-100,1))&lt;999,ROUND(100/E35*F35-100,1),IF(ROUND(100/E35*F35-100,1)&gt;999,999,-999))),"")</f>
        <v/>
      </c>
      <c r="H35" s="229">
        <f>SUM(B35,E35)</f>
        <v>195836.02600000001</v>
      </c>
      <c r="I35" s="37">
        <f t="shared" si="7"/>
        <v>187575.06898166501</v>
      </c>
      <c r="J35" s="164">
        <f t="shared" si="8"/>
        <v>-4.2</v>
      </c>
    </row>
    <row r="36" spans="1:10" s="3" customFormat="1" ht="15.75" customHeight="1" x14ac:dyDescent="0.2">
      <c r="A36" s="11" t="s">
        <v>28</v>
      </c>
      <c r="B36" s="231">
        <v>52193326.939549997</v>
      </c>
      <c r="C36" s="231">
        <v>50568923.362620004</v>
      </c>
      <c r="D36" s="159">
        <f t="shared" si="5"/>
        <v>-3.1</v>
      </c>
      <c r="E36" s="310">
        <v>19689939.683009997</v>
      </c>
      <c r="F36" s="310">
        <v>19113702.243369997</v>
      </c>
      <c r="G36" s="159">
        <f t="shared" si="6"/>
        <v>-2.9</v>
      </c>
      <c r="H36" s="310">
        <f t="shared" si="9"/>
        <v>71883266.622559994</v>
      </c>
      <c r="I36" s="231">
        <f t="shared" si="7"/>
        <v>69682625.605989993</v>
      </c>
      <c r="J36" s="159">
        <f t="shared" si="8"/>
        <v>-3.1</v>
      </c>
    </row>
    <row r="37" spans="1:10" s="3" customFormat="1" ht="15.75" customHeight="1" x14ac:dyDescent="0.2">
      <c r="A37" s="298" t="s">
        <v>318</v>
      </c>
      <c r="B37" s="37">
        <v>13451035.672175743</v>
      </c>
      <c r="C37" s="37">
        <v>12869206.365940358</v>
      </c>
      <c r="D37" s="170" t="str">
        <f t="shared" ref="D37:D39" si="15">IF($A$1=4,IF(B37=0, "    ---- ", IF(ABS(ROUND(100/B37*C37-100,1))&lt;999,ROUND(100/B37*C37-100,1),IF(ROUND(100/B37*C37-100,1)&gt;999,999,-999))),"")</f>
        <v/>
      </c>
      <c r="E37" s="37">
        <v>4445412.8636099994</v>
      </c>
      <c r="F37" s="37">
        <v>4290847.92423</v>
      </c>
      <c r="G37" s="159" t="str">
        <f t="shared" ref="G37:G39" si="16">IF($A$1=4,IF(E37=0, "    ---- ", IF(ABS(ROUND(100/E37*F37-100,1))&lt;999,ROUND(100/E37*F37-100,1),IF(ROUND(100/E37*F37-100,1)&gt;999,999,-999))),"")</f>
        <v/>
      </c>
      <c r="H37" s="229">
        <f t="shared" si="9"/>
        <v>17896448.535785742</v>
      </c>
      <c r="I37" s="37">
        <f t="shared" si="7"/>
        <v>17160054.290170357</v>
      </c>
      <c r="J37" s="159"/>
    </row>
    <row r="38" spans="1:10" s="3" customFormat="1" ht="15.75" customHeight="1" x14ac:dyDescent="0.2">
      <c r="A38" s="298" t="s">
        <v>319</v>
      </c>
      <c r="B38" s="37">
        <v>37352626.433374256</v>
      </c>
      <c r="C38" s="37">
        <v>36347982.169679642</v>
      </c>
      <c r="D38" s="170" t="str">
        <f t="shared" si="15"/>
        <v/>
      </c>
      <c r="E38" s="37">
        <v>12336921.189189998</v>
      </c>
      <c r="F38" s="37">
        <v>11387027.408609999</v>
      </c>
      <c r="G38" s="159" t="str">
        <f t="shared" si="16"/>
        <v/>
      </c>
      <c r="H38" s="229">
        <f t="shared" si="9"/>
        <v>49689547.622564256</v>
      </c>
      <c r="I38" s="37">
        <f t="shared" si="7"/>
        <v>47735009.578289643</v>
      </c>
      <c r="J38" s="159"/>
    </row>
    <row r="39" spans="1:10" ht="15.75" customHeight="1" x14ac:dyDescent="0.2">
      <c r="A39" s="298" t="s">
        <v>320</v>
      </c>
      <c r="B39" s="37">
        <v>1389664.834</v>
      </c>
      <c r="C39" s="37">
        <v>1351734.827</v>
      </c>
      <c r="D39" s="170" t="str">
        <f t="shared" si="15"/>
        <v/>
      </c>
      <c r="E39" s="37">
        <v>2907605.6302099996</v>
      </c>
      <c r="F39" s="37">
        <v>3435826.91053</v>
      </c>
      <c r="G39" s="159" t="str">
        <f t="shared" si="16"/>
        <v/>
      </c>
      <c r="H39" s="229">
        <f t="shared" si="9"/>
        <v>4297270.4642099999</v>
      </c>
      <c r="I39" s="37">
        <f t="shared" si="7"/>
        <v>4787561.7375300005</v>
      </c>
      <c r="J39" s="164"/>
    </row>
    <row r="40" spans="1:10" ht="15.75" customHeight="1" x14ac:dyDescent="0.2">
      <c r="A40" s="11" t="s">
        <v>27</v>
      </c>
      <c r="B40" s="231">
        <v>46135.155949999993</v>
      </c>
      <c r="C40" s="231">
        <v>44311.521549999998</v>
      </c>
      <c r="D40" s="159">
        <f t="shared" si="5"/>
        <v>-4</v>
      </c>
      <c r="E40" s="310">
        <v>137404.92702999999</v>
      </c>
      <c r="F40" s="310">
        <v>78697.841959999991</v>
      </c>
      <c r="G40" s="159">
        <f t="shared" si="6"/>
        <v>-42.7</v>
      </c>
      <c r="H40" s="310">
        <f t="shared" si="9"/>
        <v>183540.08297999998</v>
      </c>
      <c r="I40" s="231">
        <f t="shared" si="7"/>
        <v>123009.36351</v>
      </c>
      <c r="J40" s="159">
        <f t="shared" si="8"/>
        <v>-33</v>
      </c>
    </row>
    <row r="41" spans="1:10" ht="15.75" customHeight="1" x14ac:dyDescent="0.2">
      <c r="A41" s="11" t="s">
        <v>26</v>
      </c>
      <c r="B41" s="231">
        <v>-84988.044039999993</v>
      </c>
      <c r="C41" s="231">
        <v>-60317.801070000001</v>
      </c>
      <c r="D41" s="159">
        <f t="shared" si="5"/>
        <v>-29</v>
      </c>
      <c r="E41" s="310">
        <v>125286.07258000001</v>
      </c>
      <c r="F41" s="310">
        <v>104469.40084999999</v>
      </c>
      <c r="G41" s="159">
        <f t="shared" si="6"/>
        <v>-16.600000000000001</v>
      </c>
      <c r="H41" s="310">
        <f t="shared" si="9"/>
        <v>40298.028540000014</v>
      </c>
      <c r="I41" s="231">
        <f t="shared" si="7"/>
        <v>44151.59977999999</v>
      </c>
      <c r="J41" s="159">
        <f t="shared" si="8"/>
        <v>9.6</v>
      </c>
    </row>
    <row r="42" spans="1:10" ht="15.75" customHeight="1" x14ac:dyDescent="0.2">
      <c r="A42" s="10" t="s">
        <v>321</v>
      </c>
      <c r="B42" s="231">
        <v>20505.454000000002</v>
      </c>
      <c r="C42" s="231">
        <v>19300.98</v>
      </c>
      <c r="D42" s="170">
        <f t="shared" si="5"/>
        <v>-5.9</v>
      </c>
      <c r="E42" s="321">
        <v>0</v>
      </c>
      <c r="F42" s="321">
        <v>0</v>
      </c>
      <c r="G42" s="159" t="str">
        <f t="shared" ref="G42:G46" si="17">IF($A$1=4,IF(E42=0, "    ---- ", IF(ABS(ROUND(100/E42*F42-100,1))&lt;999,ROUND(100/E42*F42-100,1),IF(ROUND(100/E42*F42-100,1)&gt;999,999,-999))),"")</f>
        <v/>
      </c>
      <c r="H42" s="310">
        <f t="shared" si="9"/>
        <v>20505.454000000002</v>
      </c>
      <c r="I42" s="231">
        <f t="shared" si="7"/>
        <v>19300.98</v>
      </c>
      <c r="J42" s="170">
        <f t="shared" si="8"/>
        <v>-5.9</v>
      </c>
    </row>
    <row r="43" spans="1:10" ht="15.75" customHeight="1" x14ac:dyDescent="0.2">
      <c r="A43" s="10" t="s">
        <v>322</v>
      </c>
      <c r="B43" s="231">
        <v>0</v>
      </c>
      <c r="C43" s="231">
        <v>0</v>
      </c>
      <c r="D43" s="164"/>
      <c r="E43" s="321">
        <v>0</v>
      </c>
      <c r="F43" s="321">
        <v>0</v>
      </c>
      <c r="G43" s="159" t="str">
        <f t="shared" si="17"/>
        <v/>
      </c>
      <c r="H43" s="310">
        <f t="shared" si="9"/>
        <v>0</v>
      </c>
      <c r="I43" s="231">
        <f t="shared" si="7"/>
        <v>0</v>
      </c>
      <c r="J43" s="164"/>
    </row>
    <row r="44" spans="1:10" ht="15.75" customHeight="1" x14ac:dyDescent="0.2">
      <c r="A44" s="10" t="s">
        <v>323</v>
      </c>
      <c r="B44" s="231">
        <v>4193854.7349999999</v>
      </c>
      <c r="C44" s="231">
        <v>4072055.8659999999</v>
      </c>
      <c r="D44" s="164">
        <f t="shared" si="5"/>
        <v>-2.9</v>
      </c>
      <c r="E44" s="326">
        <v>0</v>
      </c>
      <c r="F44" s="326">
        <v>0</v>
      </c>
      <c r="G44" s="159" t="str">
        <f t="shared" si="17"/>
        <v/>
      </c>
      <c r="H44" s="310">
        <f t="shared" si="9"/>
        <v>4193854.7349999999</v>
      </c>
      <c r="I44" s="231">
        <f t="shared" si="7"/>
        <v>4072055.8659999999</v>
      </c>
      <c r="J44" s="164">
        <f t="shared" si="8"/>
        <v>-2.9</v>
      </c>
    </row>
    <row r="45" spans="1:10" ht="15.75" customHeight="1" x14ac:dyDescent="0.2">
      <c r="A45" s="10" t="s">
        <v>324</v>
      </c>
      <c r="B45" s="231">
        <v>412</v>
      </c>
      <c r="C45" s="231">
        <v>0</v>
      </c>
      <c r="D45" s="159">
        <f t="shared" si="5"/>
        <v>-100</v>
      </c>
      <c r="E45" s="321">
        <v>0</v>
      </c>
      <c r="F45" s="327">
        <v>0</v>
      </c>
      <c r="G45" s="159" t="str">
        <f t="shared" si="17"/>
        <v/>
      </c>
      <c r="H45" s="310">
        <f t="shared" si="9"/>
        <v>412</v>
      </c>
      <c r="I45" s="231">
        <f t="shared" si="7"/>
        <v>0</v>
      </c>
      <c r="J45" s="159">
        <f t="shared" si="8"/>
        <v>-100</v>
      </c>
    </row>
    <row r="46" spans="1:10" ht="15.75" customHeight="1" x14ac:dyDescent="0.2">
      <c r="A46" s="16" t="s">
        <v>325</v>
      </c>
      <c r="B46" s="277">
        <v>0</v>
      </c>
      <c r="C46" s="277">
        <v>19</v>
      </c>
      <c r="D46" s="160" t="str">
        <f t="shared" si="5"/>
        <v xml:space="preserve">    ---- </v>
      </c>
      <c r="E46" s="328">
        <v>0</v>
      </c>
      <c r="F46" s="328">
        <v>0</v>
      </c>
      <c r="G46" s="160" t="str">
        <f t="shared" si="17"/>
        <v/>
      </c>
      <c r="H46" s="316">
        <f t="shared" si="9"/>
        <v>0</v>
      </c>
      <c r="I46" s="277">
        <f t="shared" si="7"/>
        <v>19</v>
      </c>
      <c r="J46" s="160" t="str">
        <f t="shared" si="8"/>
        <v xml:space="preserve">    ---- </v>
      </c>
    </row>
    <row r="47" spans="1:10" ht="15.75" customHeight="1" x14ac:dyDescent="0.2">
      <c r="A47" s="40"/>
    </row>
    <row r="48" spans="1:10" ht="15.75" customHeight="1" x14ac:dyDescent="0.2">
      <c r="A48" s="148"/>
    </row>
    <row r="49" spans="1:10" ht="15.75" customHeight="1" x14ac:dyDescent="0.25">
      <c r="A49" s="141" t="s">
        <v>305</v>
      </c>
      <c r="B49" s="827"/>
      <c r="C49" s="827"/>
      <c r="D49" s="827"/>
      <c r="E49" s="831"/>
      <c r="F49" s="831"/>
      <c r="G49" s="831"/>
      <c r="H49" s="831"/>
      <c r="I49" s="831"/>
      <c r="J49" s="831"/>
    </row>
    <row r="50" spans="1:10" ht="15.75" customHeight="1" x14ac:dyDescent="0.25">
      <c r="A50" s="156"/>
      <c r="B50" s="299"/>
      <c r="C50" s="299"/>
      <c r="D50" s="299"/>
      <c r="E50" s="300"/>
      <c r="F50" s="300"/>
      <c r="G50" s="300"/>
      <c r="H50" s="300"/>
      <c r="I50" s="300"/>
      <c r="J50" s="300"/>
    </row>
    <row r="51" spans="1:10" s="3" customFormat="1" ht="15.75" customHeight="1" x14ac:dyDescent="0.25">
      <c r="A51" s="244"/>
      <c r="B51" s="329" t="s">
        <v>0</v>
      </c>
      <c r="C51" s="330"/>
      <c r="D51" s="253"/>
      <c r="E51" s="35"/>
      <c r="F51" s="35"/>
      <c r="G51" s="33"/>
      <c r="H51" s="35"/>
      <c r="I51" s="35"/>
      <c r="J51" s="33"/>
    </row>
    <row r="52" spans="1:10" s="3" customFormat="1" ht="15.75" customHeight="1" x14ac:dyDescent="0.2">
      <c r="A52" s="134"/>
      <c r="B52" s="248" t="s">
        <v>400</v>
      </c>
      <c r="C52" s="249" t="s">
        <v>401</v>
      </c>
      <c r="D52" s="247" t="s">
        <v>3</v>
      </c>
      <c r="E52" s="35"/>
      <c r="F52" s="35"/>
      <c r="G52" s="33"/>
      <c r="H52" s="35"/>
      <c r="I52" s="35"/>
      <c r="J52" s="33"/>
    </row>
    <row r="53" spans="1:10" s="3" customFormat="1" ht="15.75" customHeight="1" x14ac:dyDescent="0.2">
      <c r="A53" s="403"/>
      <c r="B53" s="39"/>
      <c r="C53" s="250"/>
      <c r="D53" s="15" t="s">
        <v>4</v>
      </c>
      <c r="E53" s="33"/>
      <c r="F53" s="33"/>
      <c r="G53" s="33"/>
      <c r="H53" s="33"/>
      <c r="I53" s="33"/>
      <c r="J53" s="33"/>
    </row>
    <row r="54" spans="1:10" s="3" customFormat="1" ht="15.75" customHeight="1" x14ac:dyDescent="0.2">
      <c r="A54" s="12" t="s">
        <v>30</v>
      </c>
      <c r="B54" s="310">
        <f>'ACE European Group'!B54+'Danica Pensjonsforsikring'!B54+'DNB Livsforsikring'!B54+'Eika Forsikring AS'!B54+'Frende Livsforsikring'!B54+'Frende Skadeforsikring'!B54+'Gjensidige Forsikring'!B54+'Gjensidige Pensjon'!B54+'Handelsbanken Liv'!B54+'If Skadeforsikring NUF'!B54+KLP!B54+'KLP Bedriftspensjon AS'!B54+'KLP Skadeforsikring AS'!B54+'Landbruksforsikring AS'!B54+'NEMI Forsikring'!B54+'Nordea Liv '!B54+'Oslo Pensjonsforsikring'!B54+'SHB Liv'!B54+'Silver Pensjonsforsikring AS'!B54+'Sparebank 1'!B54+'Storebrand Livsforsikring'!B54+'Telenor Forsikring'!B54+'Tryg Forsikring'!B54</f>
        <v>3913796.9463799996</v>
      </c>
      <c r="C54" s="310">
        <f>'ACE European Group'!C54+'Danica Pensjonsforsikring'!C54+'DNB Livsforsikring'!C54+'Eika Forsikring AS'!C54+'Frende Livsforsikring'!C54+'Frende Skadeforsikring'!C54+'Gjensidige Forsikring'!C54+'Gjensidige Pensjon'!C54+'Handelsbanken Liv'!C54+'If Skadeforsikring NUF'!C54+KLP!C54+'KLP Bedriftspensjon AS'!C54+'KLP Skadeforsikring AS'!C54+'Landbruksforsikring AS'!C54+'NEMI Forsikring'!C54+'Nordea Liv '!C54+'Oslo Pensjonsforsikring'!C54+'SHB Liv'!C54+'Silver Pensjonsforsikring AS'!C54+'Sparebank 1'!C54+'Storebrand Livsforsikring'!C54+'Telenor Forsikring'!C54+'Tryg Forsikring'!C54</f>
        <v>3733624.8820599997</v>
      </c>
      <c r="D54" s="164">
        <f t="shared" ref="D54:D71" si="18">IF(B54=0, "    ---- ", IF(ABS(ROUND(100/B54*C54-100,1))&lt;999,ROUND(100/B54*C54-100,1),IF(ROUND(100/B54*C54-100,1)&gt;999,999,-999)))</f>
        <v>-4.5999999999999996</v>
      </c>
      <c r="E54" s="29"/>
      <c r="F54" s="5"/>
      <c r="G54" s="26"/>
      <c r="H54" s="30"/>
      <c r="I54" s="30"/>
      <c r="J54" s="26"/>
    </row>
    <row r="55" spans="1:10" s="3" customFormat="1" ht="15.75" customHeight="1" x14ac:dyDescent="0.2">
      <c r="A55" s="31" t="s">
        <v>326</v>
      </c>
      <c r="B55" s="229">
        <f>'ACE European Group'!B55+'Danica Pensjonsforsikring'!B55+'DNB Livsforsikring'!B55+'Eika Forsikring AS'!B55+'Frende Livsforsikring'!B55+'Frende Skadeforsikring'!B55+'Gjensidige Forsikring'!B55+'Gjensidige Pensjon'!B55+'Handelsbanken Liv'!B55+'If Skadeforsikring NUF'!B55+KLP!B55+'KLP Bedriftspensjon AS'!B55+'KLP Skadeforsikring AS'!B55+'Landbruksforsikring AS'!B55+'NEMI Forsikring'!B55+'Nordea Liv '!B55+'Oslo Pensjonsforsikring'!B55+'SHB Liv'!B55+'Silver Pensjonsforsikring AS'!B55+'Sparebank 1'!B55+'Storebrand Livsforsikring'!B55+'Telenor Forsikring'!B55+'Tryg Forsikring'!B55</f>
        <v>2164291.9195499998</v>
      </c>
      <c r="C55" s="37">
        <v>2035598.40524</v>
      </c>
      <c r="D55" s="159">
        <f t="shared" si="18"/>
        <v>-5.9</v>
      </c>
      <c r="E55" s="29"/>
      <c r="F55" s="5"/>
      <c r="G55" s="28"/>
      <c r="H55" s="27"/>
      <c r="I55" s="27"/>
      <c r="J55" s="26"/>
    </row>
    <row r="56" spans="1:10" s="3" customFormat="1" ht="15.75" customHeight="1" x14ac:dyDescent="0.2">
      <c r="A56" s="31" t="s">
        <v>327</v>
      </c>
      <c r="B56" s="229">
        <f>'ACE European Group'!B56+'Danica Pensjonsforsikring'!B56+'DNB Livsforsikring'!B56+'Eika Forsikring AS'!B56+'Frende Livsforsikring'!B56+'Frende Skadeforsikring'!B56+'Gjensidige Forsikring'!B56+'Gjensidige Pensjon'!B56+'Handelsbanken Liv'!B56+'If Skadeforsikring NUF'!B56+KLP!B56+'KLP Bedriftspensjon AS'!B56+'KLP Skadeforsikring AS'!B56+'Landbruksforsikring AS'!B56+'NEMI Forsikring'!B56+'Nordea Liv '!B56+'Oslo Pensjonsforsikring'!B56+'SHB Liv'!B56+'Silver Pensjonsforsikring AS'!B56+'Sparebank 1'!B56+'Storebrand Livsforsikring'!B56+'Telenor Forsikring'!B56+'Tryg Forsikring'!B56</f>
        <v>1749505.0268299999</v>
      </c>
      <c r="C56" s="229">
        <f>'ACE European Group'!C56+'Danica Pensjonsforsikring'!C56+'DNB Livsforsikring'!C56+'Eika Forsikring AS'!C56+'Frende Livsforsikring'!C56+'Frende Skadeforsikring'!C56+'Gjensidige Forsikring'!C56+'Gjensidige Pensjon'!C56+'Handelsbanken Liv'!C56+'If Skadeforsikring NUF'!C56+KLP!C56+'KLP Bedriftspensjon AS'!C56+'KLP Skadeforsikring AS'!C56+'Landbruksforsikring AS'!C56+'NEMI Forsikring'!C56+'Nordea Liv '!C56+'Oslo Pensjonsforsikring'!C56+'SHB Liv'!C56+'Silver Pensjonsforsikring AS'!C56+'Sparebank 1'!C56+'Storebrand Livsforsikring'!C56+'Telenor Forsikring'!C56+'Tryg Forsikring'!C56</f>
        <v>1698026.47682</v>
      </c>
      <c r="D56" s="159">
        <f t="shared" si="18"/>
        <v>-2.9</v>
      </c>
      <c r="E56" s="29"/>
      <c r="F56" s="5"/>
      <c r="G56" s="28"/>
      <c r="H56" s="30"/>
      <c r="I56" s="30"/>
      <c r="J56" s="26"/>
    </row>
    <row r="57" spans="1:10" s="3" customFormat="1" ht="15.75" customHeight="1" x14ac:dyDescent="0.2">
      <c r="A57" s="298" t="s">
        <v>6</v>
      </c>
      <c r="B57" s="229">
        <f>'ACE European Group'!B57+'Danica Pensjonsforsikring'!B57+'DNB Livsforsikring'!B57+'Eika Forsikring AS'!B57+'Frende Livsforsikring'!B57+'Frende Skadeforsikring'!B57+'Gjensidige Forsikring'!B57+'Gjensidige Pensjon'!B57+'Handelsbanken Liv'!B57+'If Skadeforsikring NUF'!B57+KLP!B57+'KLP Bedriftspensjon AS'!B57+'KLP Skadeforsikring AS'!B57+'Landbruksforsikring AS'!B57+'NEMI Forsikring'!B57+'Nordea Liv '!B57+'Oslo Pensjonsforsikring'!B57+'SHB Liv'!B57+'Silver Pensjonsforsikring AS'!B57+'Sparebank 1'!B57+'Storebrand Livsforsikring'!B57+'Telenor Forsikring'!B57+'Tryg Forsikring'!B57</f>
        <v>4312.2054200000002</v>
      </c>
      <c r="C57" s="229">
        <f>'ACE European Group'!C57+'Danica Pensjonsforsikring'!C57+'DNB Livsforsikring'!C57+'Eika Forsikring AS'!C57+'Frende Livsforsikring'!C57+'Frende Skadeforsikring'!C57+'Gjensidige Forsikring'!C57+'Gjensidige Pensjon'!C57+'Handelsbanken Liv'!C57+'If Skadeforsikring NUF'!C57+KLP!C57+'KLP Bedriftspensjon AS'!C57+'KLP Skadeforsikring AS'!C57+'Landbruksforsikring AS'!C57+'NEMI Forsikring'!C57+'Nordea Liv '!C57+'Oslo Pensjonsforsikring'!C57+'SHB Liv'!C57+'Silver Pensjonsforsikring AS'!C57+'Sparebank 1'!C57+'Storebrand Livsforsikring'!C57+'Telenor Forsikring'!C57+'Tryg Forsikring'!C57</f>
        <v>3776.5945899999997</v>
      </c>
      <c r="D57" s="159">
        <f t="shared" si="18"/>
        <v>-12.4</v>
      </c>
      <c r="E57" s="29"/>
      <c r="F57" s="5"/>
      <c r="G57" s="28"/>
      <c r="H57" s="27"/>
      <c r="I57" s="27"/>
      <c r="J57" s="26"/>
    </row>
    <row r="58" spans="1:10" s="3" customFormat="1" ht="15.75" customHeight="1" x14ac:dyDescent="0.2">
      <c r="A58" s="298" t="s">
        <v>7</v>
      </c>
      <c r="B58" s="229">
        <f>'ACE European Group'!B58+'Danica Pensjonsforsikring'!B58+'DNB Livsforsikring'!B58+'Eika Forsikring AS'!B58+'Frende Livsforsikring'!B58+'Frende Skadeforsikring'!B58+'Gjensidige Forsikring'!B58+'Gjensidige Pensjon'!B58+'Handelsbanken Liv'!B58+'If Skadeforsikring NUF'!B58+KLP!B58+'KLP Bedriftspensjon AS'!B58+'KLP Skadeforsikring AS'!B58+'Landbruksforsikring AS'!B58+'NEMI Forsikring'!B58+'Nordea Liv '!B58+'Oslo Pensjonsforsikring'!B58+'SHB Liv'!B58+'Silver Pensjonsforsikring AS'!B58+'Sparebank 1'!B58+'Storebrand Livsforsikring'!B58+'Telenor Forsikring'!B58+'Tryg Forsikring'!B58</f>
        <v>1436395.2800599998</v>
      </c>
      <c r="C58" s="229">
        <f>'ACE European Group'!C58+'Danica Pensjonsforsikring'!C58+'DNB Livsforsikring'!C58+'Eika Forsikring AS'!C58+'Frende Livsforsikring'!C58+'Frende Skadeforsikring'!C58+'Gjensidige Forsikring'!C58+'Gjensidige Pensjon'!C58+'Handelsbanken Liv'!C58+'If Skadeforsikring NUF'!C58+KLP!C58+'KLP Bedriftspensjon AS'!C58+'KLP Skadeforsikring AS'!C58+'Landbruksforsikring AS'!C58+'NEMI Forsikring'!C58+'Nordea Liv '!C58+'Oslo Pensjonsforsikring'!C58+'SHB Liv'!C58+'Silver Pensjonsforsikring AS'!C58+'Sparebank 1'!C58+'Storebrand Livsforsikring'!C58+'Telenor Forsikring'!C58+'Tryg Forsikring'!C58</f>
        <v>1448234.8822300001</v>
      </c>
      <c r="D58" s="159">
        <f t="shared" si="18"/>
        <v>0.8</v>
      </c>
      <c r="E58" s="29"/>
      <c r="F58" s="5"/>
      <c r="G58" s="28"/>
      <c r="H58" s="27"/>
      <c r="I58" s="27"/>
      <c r="J58" s="26"/>
    </row>
    <row r="59" spans="1:10" s="3" customFormat="1" ht="15.75" customHeight="1" x14ac:dyDescent="0.2">
      <c r="A59" s="298" t="s">
        <v>8</v>
      </c>
      <c r="B59" s="229">
        <f>'ACE European Group'!B59+'Danica Pensjonsforsikring'!B59+'DNB Livsforsikring'!B59+'Eika Forsikring AS'!B59+'Frende Livsforsikring'!B59+'Frende Skadeforsikring'!B59+'Gjensidige Forsikring'!B59+'Gjensidige Pensjon'!B59+'Handelsbanken Liv'!B59+'If Skadeforsikring NUF'!B59+KLP!B59+'KLP Bedriftspensjon AS'!B59+'KLP Skadeforsikring AS'!B59+'Landbruksforsikring AS'!B59+'NEMI Forsikring'!B59+'Nordea Liv '!B59+'Oslo Pensjonsforsikring'!B59+'SHB Liv'!B59+'Silver Pensjonsforsikring AS'!B59+'Sparebank 1'!B59+'Storebrand Livsforsikring'!B59+'Telenor Forsikring'!B59+'Tryg Forsikring'!B59</f>
        <v>308797.54135000001</v>
      </c>
      <c r="C59" s="229">
        <f>'ACE European Group'!C59+'Danica Pensjonsforsikring'!C59+'DNB Livsforsikring'!C59+'Eika Forsikring AS'!C59+'Frende Livsforsikring'!C59+'Frende Skadeforsikring'!C59+'Gjensidige Forsikring'!C59+'Gjensidige Pensjon'!C59+'Handelsbanken Liv'!C59+'If Skadeforsikring NUF'!C59+KLP!C59+'KLP Bedriftspensjon AS'!C59+'KLP Skadeforsikring AS'!C59+'Landbruksforsikring AS'!C59+'NEMI Forsikring'!C59+'Nordea Liv '!C59+'Oslo Pensjonsforsikring'!C59+'SHB Liv'!C59+'Silver Pensjonsforsikring AS'!C59+'Sparebank 1'!C59+'Storebrand Livsforsikring'!C59+'Telenor Forsikring'!C59+'Tryg Forsikring'!C59</f>
        <v>246015</v>
      </c>
      <c r="D59" s="159">
        <f t="shared" si="18"/>
        <v>-20.3</v>
      </c>
      <c r="E59" s="29"/>
      <c r="F59" s="5"/>
      <c r="G59" s="28"/>
      <c r="H59" s="27"/>
      <c r="I59" s="27"/>
      <c r="J59" s="26"/>
    </row>
    <row r="60" spans="1:10" s="3" customFormat="1" ht="15.75" customHeight="1" x14ac:dyDescent="0.2">
      <c r="A60" s="11" t="s">
        <v>29</v>
      </c>
      <c r="B60" s="231">
        <v>73044.613660000003</v>
      </c>
      <c r="C60" s="231">
        <v>88324.402000000002</v>
      </c>
      <c r="D60" s="164">
        <f t="shared" si="18"/>
        <v>20.9</v>
      </c>
      <c r="E60" s="29"/>
      <c r="F60" s="5"/>
      <c r="G60" s="28"/>
      <c r="H60" s="27"/>
      <c r="I60" s="27"/>
      <c r="J60" s="26"/>
    </row>
    <row r="61" spans="1:10" s="3" customFormat="1" ht="15.75" customHeight="1" x14ac:dyDescent="0.2">
      <c r="A61" s="31" t="s">
        <v>326</v>
      </c>
      <c r="B61" s="37">
        <v>34392.395000000004</v>
      </c>
      <c r="C61" s="37">
        <v>38798.326999999997</v>
      </c>
      <c r="D61" s="159">
        <f t="shared" si="18"/>
        <v>12.8</v>
      </c>
      <c r="E61" s="29"/>
      <c r="F61" s="5"/>
      <c r="G61" s="28"/>
      <c r="H61" s="27"/>
      <c r="I61" s="27"/>
      <c r="J61" s="26"/>
    </row>
    <row r="62" spans="1:10" s="3" customFormat="1" ht="15.75" customHeight="1" x14ac:dyDescent="0.2">
      <c r="A62" s="31" t="s">
        <v>327</v>
      </c>
      <c r="B62" s="37">
        <v>38652.218660000006</v>
      </c>
      <c r="C62" s="37">
        <v>49526.074999999997</v>
      </c>
      <c r="D62" s="159">
        <f t="shared" si="18"/>
        <v>28.1</v>
      </c>
      <c r="E62" s="29"/>
      <c r="F62" s="5"/>
      <c r="G62" s="28"/>
      <c r="H62" s="27"/>
      <c r="I62" s="27"/>
      <c r="J62" s="26"/>
    </row>
    <row r="63" spans="1:10" s="3" customFormat="1" ht="15.75" customHeight="1" x14ac:dyDescent="0.2">
      <c r="A63" s="298" t="s">
        <v>6</v>
      </c>
      <c r="B63" s="229">
        <f>'ACE European Group'!B63+'Danica Pensjonsforsikring'!B63+'DNB Livsforsikring'!B63+'Eika Forsikring AS'!B63+'Frende Livsforsikring'!B63+'Frende Skadeforsikring'!B63+'Gjensidige Forsikring'!B63+'Gjensidige Pensjon'!B63+'Handelsbanken Liv'!B63+'If Skadeforsikring NUF'!B63+KLP!B63+'KLP Bedriftspensjon AS'!B63+'KLP Skadeforsikring AS'!B63+'Landbruksforsikring AS'!B63+'NEMI Forsikring'!B63+'Nordea Liv '!B63+'Oslo Pensjonsforsikring'!B63+'SHB Liv'!B63+'Silver Pensjonsforsikring AS'!B63+'Sparebank 1'!B63+'Storebrand Livsforsikring'!B63+'Telenor Forsikring'!B63+'Tryg Forsikring'!B63</f>
        <v>0</v>
      </c>
      <c r="C63" s="229">
        <f>'ACE European Group'!C63+'Danica Pensjonsforsikring'!C63+'DNB Livsforsikring'!C63+'Eika Forsikring AS'!C63+'Frende Livsforsikring'!C63+'Frende Skadeforsikring'!C63+'Gjensidige Forsikring'!C63+'Gjensidige Pensjon'!C63+'Handelsbanken Liv'!C63+'If Skadeforsikring NUF'!C63+KLP!C63+'KLP Bedriftspensjon AS'!C63+'KLP Skadeforsikring AS'!C63+'Landbruksforsikring AS'!C63+'NEMI Forsikring'!C63+'Nordea Liv '!C63+'Oslo Pensjonsforsikring'!C63+'SHB Liv'!C63+'Silver Pensjonsforsikring AS'!C63+'Sparebank 1'!C63+'Storebrand Livsforsikring'!C63+'Telenor Forsikring'!C63+'Tryg Forsikring'!C63</f>
        <v>0</v>
      </c>
      <c r="D63" s="159" t="str">
        <f t="shared" si="18"/>
        <v xml:space="preserve">    ---- </v>
      </c>
      <c r="E63" s="29"/>
      <c r="F63" s="5"/>
      <c r="G63" s="28"/>
      <c r="H63" s="27"/>
      <c r="I63" s="27"/>
      <c r="J63" s="26"/>
    </row>
    <row r="64" spans="1:10" s="3" customFormat="1" ht="15.75" customHeight="1" x14ac:dyDescent="0.2">
      <c r="A64" s="298" t="s">
        <v>7</v>
      </c>
      <c r="B64" s="229">
        <f>'ACE European Group'!B64+'Danica Pensjonsforsikring'!B64+'DNB Livsforsikring'!B64+'Eika Forsikring AS'!B64+'Frende Livsforsikring'!B64+'Frende Skadeforsikring'!B64+'Gjensidige Forsikring'!B64+'Gjensidige Pensjon'!B64+'Handelsbanken Liv'!B64+'If Skadeforsikring NUF'!B64+KLP!B64+'KLP Bedriftspensjon AS'!B64+'KLP Skadeforsikring AS'!B64+'Landbruksforsikring AS'!B64+'NEMI Forsikring'!B64+'Nordea Liv '!B64+'Oslo Pensjonsforsikring'!B64+'SHB Liv'!B64+'Silver Pensjonsforsikring AS'!B64+'Sparebank 1'!B64+'Storebrand Livsforsikring'!B64+'Telenor Forsikring'!B64+'Tryg Forsikring'!B64</f>
        <v>37446.979660000005</v>
      </c>
      <c r="C64" s="229">
        <f>'ACE European Group'!C64+'Danica Pensjonsforsikring'!C64+'DNB Livsforsikring'!C64+'Eika Forsikring AS'!C64+'Frende Livsforsikring'!C64+'Frende Skadeforsikring'!C64+'Gjensidige Forsikring'!C64+'Gjensidige Pensjon'!C64+'Handelsbanken Liv'!C64+'If Skadeforsikring NUF'!C64+KLP!C64+'KLP Bedriftspensjon AS'!C64+'KLP Skadeforsikring AS'!C64+'Landbruksforsikring AS'!C64+'NEMI Forsikring'!C64+'Nordea Liv '!C64+'Oslo Pensjonsforsikring'!C64+'SHB Liv'!C64+'Silver Pensjonsforsikring AS'!C64+'Sparebank 1'!C64+'Storebrand Livsforsikring'!C64+'Telenor Forsikring'!C64+'Tryg Forsikring'!C64</f>
        <v>47992.999000000003</v>
      </c>
      <c r="D64" s="159">
        <f t="shared" si="18"/>
        <v>28.2</v>
      </c>
      <c r="E64" s="29"/>
      <c r="F64" s="5"/>
      <c r="G64" s="28"/>
      <c r="H64" s="27"/>
      <c r="I64" s="27"/>
      <c r="J64" s="26"/>
    </row>
    <row r="65" spans="1:10" s="3" customFormat="1" ht="15.75" customHeight="1" x14ac:dyDescent="0.2">
      <c r="A65" s="298" t="s">
        <v>8</v>
      </c>
      <c r="B65" s="229">
        <f>'ACE European Group'!B65+'Danica Pensjonsforsikring'!B65+'DNB Livsforsikring'!B65+'Eika Forsikring AS'!B65+'Frende Livsforsikring'!B65+'Frende Skadeforsikring'!B65+'Gjensidige Forsikring'!B65+'Gjensidige Pensjon'!B65+'Handelsbanken Liv'!B65+'If Skadeforsikring NUF'!B65+KLP!B65+'KLP Bedriftspensjon AS'!B65+'KLP Skadeforsikring AS'!B65+'Landbruksforsikring AS'!B65+'NEMI Forsikring'!B65+'Nordea Liv '!B65+'Oslo Pensjonsforsikring'!B65+'SHB Liv'!B65+'Silver Pensjonsforsikring AS'!B65+'Sparebank 1'!B65+'Storebrand Livsforsikring'!B65+'Telenor Forsikring'!B65+'Tryg Forsikring'!B65</f>
        <v>1205.239</v>
      </c>
      <c r="C65" s="229">
        <f>'ACE European Group'!C65+'Danica Pensjonsforsikring'!C65+'DNB Livsforsikring'!C65+'Eika Forsikring AS'!C65+'Frende Livsforsikring'!C65+'Frende Skadeforsikring'!C65+'Gjensidige Forsikring'!C65+'Gjensidige Pensjon'!C65+'Handelsbanken Liv'!C65+'If Skadeforsikring NUF'!C65+KLP!C65+'KLP Bedriftspensjon AS'!C65+'KLP Skadeforsikring AS'!C65+'Landbruksforsikring AS'!C65+'NEMI Forsikring'!C65+'Nordea Liv '!C65+'Oslo Pensjonsforsikring'!C65+'SHB Liv'!C65+'Silver Pensjonsforsikring AS'!C65+'Sparebank 1'!C65+'Storebrand Livsforsikring'!C65+'Telenor Forsikring'!C65+'Tryg Forsikring'!C65</f>
        <v>1533.076</v>
      </c>
      <c r="D65" s="159">
        <f t="shared" si="18"/>
        <v>27.2</v>
      </c>
      <c r="E65" s="29"/>
      <c r="F65" s="5"/>
      <c r="G65" s="28"/>
      <c r="H65" s="27"/>
      <c r="I65" s="27"/>
      <c r="J65" s="26"/>
    </row>
    <row r="66" spans="1:10" s="3" customFormat="1" ht="15.75" customHeight="1" x14ac:dyDescent="0.2">
      <c r="A66" s="32" t="s">
        <v>328</v>
      </c>
      <c r="B66" s="231">
        <v>228655.17600000001</v>
      </c>
      <c r="C66" s="231">
        <v>168223.61300000001</v>
      </c>
      <c r="D66" s="164">
        <f t="shared" si="18"/>
        <v>-26.4</v>
      </c>
      <c r="E66" s="29"/>
      <c r="F66" s="5"/>
      <c r="G66" s="28"/>
      <c r="H66" s="27"/>
      <c r="I66" s="27"/>
      <c r="J66" s="26"/>
    </row>
    <row r="67" spans="1:10" s="3" customFormat="1" ht="15.75" customHeight="1" x14ac:dyDescent="0.2">
      <c r="A67" s="31" t="s">
        <v>326</v>
      </c>
      <c r="B67" s="37">
        <v>85845.438999999998</v>
      </c>
      <c r="C67" s="37">
        <v>138688.77499999999</v>
      </c>
      <c r="D67" s="159">
        <f t="shared" si="18"/>
        <v>61.6</v>
      </c>
      <c r="E67" s="29"/>
      <c r="F67" s="5"/>
      <c r="G67" s="28"/>
      <c r="H67" s="27"/>
      <c r="I67" s="27"/>
      <c r="J67" s="26"/>
    </row>
    <row r="68" spans="1:10" s="3" customFormat="1" ht="15.75" customHeight="1" x14ac:dyDescent="0.2">
      <c r="A68" s="31" t="s">
        <v>327</v>
      </c>
      <c r="B68" s="37">
        <v>142809.73699999999</v>
      </c>
      <c r="C68" s="37">
        <v>29534.838</v>
      </c>
      <c r="D68" s="159">
        <f t="shared" si="18"/>
        <v>-79.3</v>
      </c>
      <c r="E68" s="29"/>
      <c r="F68" s="5"/>
      <c r="G68" s="28"/>
      <c r="H68" s="27"/>
      <c r="I68" s="27"/>
      <c r="J68" s="26"/>
    </row>
    <row r="69" spans="1:10" s="3" customFormat="1" ht="15.75" customHeight="1" x14ac:dyDescent="0.2">
      <c r="A69" s="32" t="s">
        <v>329</v>
      </c>
      <c r="B69" s="231">
        <v>304373.55</v>
      </c>
      <c r="C69" s="231">
        <v>190226.55099999998</v>
      </c>
      <c r="D69" s="164">
        <f t="shared" si="18"/>
        <v>-37.5</v>
      </c>
      <c r="E69" s="29"/>
      <c r="F69" s="5"/>
      <c r="G69" s="28"/>
      <c r="H69" s="27"/>
      <c r="I69" s="27"/>
      <c r="J69" s="26"/>
    </row>
    <row r="70" spans="1:10" s="3" customFormat="1" ht="15.75" customHeight="1" x14ac:dyDescent="0.2">
      <c r="A70" s="31" t="s">
        <v>326</v>
      </c>
      <c r="B70" s="37">
        <v>140205.068</v>
      </c>
      <c r="C70" s="37">
        <v>187247.39899999998</v>
      </c>
      <c r="D70" s="159">
        <f t="shared" si="18"/>
        <v>33.6</v>
      </c>
      <c r="E70" s="29"/>
      <c r="F70" s="5"/>
      <c r="G70" s="28"/>
      <c r="H70" s="27"/>
      <c r="I70" s="27"/>
      <c r="J70" s="26"/>
    </row>
    <row r="71" spans="1:10" s="3" customFormat="1" ht="15.75" customHeight="1" x14ac:dyDescent="0.2">
      <c r="A71" s="39" t="s">
        <v>327</v>
      </c>
      <c r="B71" s="38">
        <v>164168.48199999999</v>
      </c>
      <c r="C71" s="38">
        <v>2979.152</v>
      </c>
      <c r="D71" s="160">
        <f t="shared" si="18"/>
        <v>-98.2</v>
      </c>
      <c r="E71" s="29"/>
      <c r="F71" s="5"/>
      <c r="G71" s="28"/>
      <c r="H71" s="27"/>
      <c r="I71" s="27"/>
      <c r="J71" s="26"/>
    </row>
    <row r="72" spans="1:10" s="3" customFormat="1" ht="15.75" customHeight="1" x14ac:dyDescent="0.25">
      <c r="A72" s="157"/>
      <c r="B72" s="24"/>
      <c r="C72" s="24"/>
      <c r="D72" s="24"/>
      <c r="E72" s="25"/>
      <c r="F72" s="25"/>
      <c r="G72" s="25"/>
      <c r="H72" s="25"/>
      <c r="I72" s="25"/>
      <c r="J72" s="25"/>
    </row>
    <row r="73" spans="1:10" ht="15.75" customHeight="1" x14ac:dyDescent="0.2">
      <c r="A73" s="148"/>
    </row>
    <row r="74" spans="1:10" ht="15.75" customHeight="1" x14ac:dyDescent="0.25">
      <c r="A74" s="141" t="s">
        <v>306</v>
      </c>
      <c r="C74" s="20"/>
      <c r="D74" s="19"/>
      <c r="E74" s="20"/>
      <c r="F74" s="20"/>
      <c r="G74" s="19"/>
      <c r="H74" s="20"/>
      <c r="I74" s="20"/>
      <c r="J74" s="19"/>
    </row>
    <row r="75" spans="1:10" ht="20.100000000000001" customHeight="1" x14ac:dyDescent="0.25">
      <c r="A75" s="143"/>
      <c r="B75" s="827"/>
      <c r="C75" s="827"/>
      <c r="D75" s="827"/>
      <c r="E75" s="827"/>
      <c r="F75" s="827"/>
      <c r="G75" s="827"/>
      <c r="H75" s="827"/>
      <c r="I75" s="827"/>
      <c r="J75" s="827"/>
    </row>
    <row r="76" spans="1:10" ht="15.75" customHeight="1" x14ac:dyDescent="0.2">
      <c r="A76" s="138"/>
      <c r="B76" s="828" t="s">
        <v>0</v>
      </c>
      <c r="C76" s="829"/>
      <c r="D76" s="829"/>
      <c r="E76" s="828" t="s">
        <v>1</v>
      </c>
      <c r="F76" s="829"/>
      <c r="G76" s="830"/>
      <c r="H76" s="829" t="s">
        <v>2</v>
      </c>
      <c r="I76" s="829"/>
      <c r="J76" s="830"/>
    </row>
    <row r="77" spans="1:10" ht="15.75" customHeight="1" x14ac:dyDescent="0.2">
      <c r="A77" s="134"/>
      <c r="B77" s="17" t="s">
        <v>400</v>
      </c>
      <c r="C77" s="17" t="s">
        <v>401</v>
      </c>
      <c r="D77" s="246" t="s">
        <v>3</v>
      </c>
      <c r="E77" s="17" t="s">
        <v>400</v>
      </c>
      <c r="F77" s="17" t="s">
        <v>401</v>
      </c>
      <c r="G77" s="246" t="s">
        <v>3</v>
      </c>
      <c r="H77" s="17" t="s">
        <v>400</v>
      </c>
      <c r="I77" s="17" t="s">
        <v>401</v>
      </c>
      <c r="J77" s="246" t="s">
        <v>3</v>
      </c>
    </row>
    <row r="78" spans="1:10" ht="15.75" customHeight="1" x14ac:dyDescent="0.2">
      <c r="A78" s="403"/>
      <c r="B78" s="13"/>
      <c r="C78" s="13"/>
      <c r="D78" s="15" t="s">
        <v>4</v>
      </c>
      <c r="E78" s="14"/>
      <c r="F78" s="14"/>
      <c r="G78" s="13" t="s">
        <v>4</v>
      </c>
      <c r="H78" s="14"/>
      <c r="I78" s="14"/>
      <c r="J78" s="13" t="s">
        <v>4</v>
      </c>
    </row>
    <row r="79" spans="1:10" ht="15.75" customHeight="1" x14ac:dyDescent="0.2">
      <c r="A79" s="12" t="s">
        <v>30</v>
      </c>
      <c r="B79" s="310">
        <f>'ACE European Group'!B79+'Danica Pensjonsforsikring'!B79+'DNB Livsforsikring'!B79+'Eika Forsikring AS'!B79+'Frende Livsforsikring'!B79+'Frende Skadeforsikring'!B79+'Gjensidige Forsikring'!B79+'Gjensidige Pensjon'!B79+'Handelsbanken Liv'!B79+'If Skadeforsikring NUF'!B79+KLP!B79+'KLP Bedriftspensjon AS'!B79+'KLP Skadeforsikring AS'!B79+'Landbruksforsikring AS'!B79+'NEMI Forsikring'!B79+'Nordea Liv '!B79+'Oslo Pensjonsforsikring'!B79+'SHB Liv'!B79+'Silver Pensjonsforsikring AS'!B79+'Sparebank 1'!B79+'Storebrand Livsforsikring'!B79+'Telenor Forsikring'!B79+'Tryg Forsikring'!B79</f>
        <v>15381767.02366</v>
      </c>
      <c r="C79" s="310">
        <f>'ACE European Group'!C79+'Danica Pensjonsforsikring'!C79+'DNB Livsforsikring'!C79+'Eika Forsikring AS'!C79+'Frende Livsforsikring'!C79+'Frende Skadeforsikring'!C79+'Gjensidige Forsikring'!C79+'Gjensidige Pensjon'!C79+'Handelsbanken Liv'!C79+'If Skadeforsikring NUF'!C79+KLP!C79+'KLP Bedriftspensjon AS'!C79+'KLP Skadeforsikring AS'!C79+'Landbruksforsikring AS'!C79+'NEMI Forsikring'!C79+'Nordea Liv '!C79+'Oslo Pensjonsforsikring'!C79+'SHB Liv'!C79+'Silver Pensjonsforsikring AS'!C79+'Sparebank 1'!C79+'Storebrand Livsforsikring'!C79+'Telenor Forsikring'!C79+'Tryg Forsikring'!C79</f>
        <v>11673802.52513</v>
      </c>
      <c r="D79" s="164">
        <f t="shared" ref="D79:D142" si="19">IF(B79=0, "    ---- ", IF(ABS(ROUND(100/B79*C79-100,1))&lt;999,ROUND(100/B79*C79-100,1),IF(ROUND(100/B79*C79-100,1)&gt;999,999,-999)))</f>
        <v>-24.1</v>
      </c>
      <c r="E79" s="310">
        <f>'ACE European Group'!F79+'Danica Pensjonsforsikring'!F79+'DNB Livsforsikring'!F79+'Eika Forsikring AS'!F79+'Frende Livsforsikring'!F79+'Frende Skadeforsikring'!F79+'Gjensidige Forsikring'!F79+'Gjensidige Pensjon'!F79+'Handelsbanken Liv'!F79+'If Skadeforsikring NUF'!F79+KLP!F79+'KLP Bedriftspensjon AS'!F79+'KLP Skadeforsikring AS'!F79+'Landbruksforsikring AS'!F79+'NEMI Forsikring'!F79+'Nordea Liv '!F79+'Oslo Pensjonsforsikring'!F79+'SHB Liv'!F79+'Silver Pensjonsforsikring AS'!F79+'Sparebank 1'!F79+'Storebrand Livsforsikring'!F79+'Telenor Forsikring'!F79+'Tryg Forsikring'!F79</f>
        <v>20142322.974300005</v>
      </c>
      <c r="F79" s="310">
        <f>'ACE European Group'!G79+'Danica Pensjonsforsikring'!G79+'DNB Livsforsikring'!G79+'Eika Forsikring AS'!G79+'Frende Livsforsikring'!G79+'Frende Skadeforsikring'!G79+'Gjensidige Forsikring'!G79+'Gjensidige Pensjon'!G79+'Handelsbanken Liv'!G79+'If Skadeforsikring NUF'!G79+KLP!G79+'KLP Bedriftspensjon AS'!G79+'KLP Skadeforsikring AS'!G79+'Landbruksforsikring AS'!G79+'NEMI Forsikring'!G79+'Nordea Liv '!G79+'Oslo Pensjonsforsikring'!G79+'SHB Liv'!G79+'Silver Pensjonsforsikring AS'!G79+'Sparebank 1'!G79+'Storebrand Livsforsikring'!G79+'Telenor Forsikring'!G79+'Tryg Forsikring'!G79</f>
        <v>23105454.084230002</v>
      </c>
      <c r="G79" s="164">
        <f t="shared" ref="G79:G142" si="20">IF(E79=0, "    ---- ", IF(ABS(ROUND(100/E79*F79-100,1))&lt;999,ROUND(100/E79*F79-100,1),IF(ROUND(100/E79*F79-100,1)&gt;999,999,-999)))</f>
        <v>14.7</v>
      </c>
      <c r="H79" s="331">
        <f t="shared" ref="H79:H110" si="21">SUM(B79,E79)</f>
        <v>35524089.997960001</v>
      </c>
      <c r="I79" s="331">
        <f>SUM(C79,F79)</f>
        <v>34779256.609360002</v>
      </c>
      <c r="J79" s="164">
        <f t="shared" ref="J79:J142" si="22">IF(H79=0, "    ---- ", IF(ABS(ROUND(100/H79*I79-100,1))&lt;999,ROUND(100/H79*I79-100,1),IF(ROUND(100/H79*I79-100,1)&gt;999,999,-999)))</f>
        <v>-2.1</v>
      </c>
    </row>
    <row r="80" spans="1:10" ht="15.75" customHeight="1" x14ac:dyDescent="0.2">
      <c r="A80" s="18" t="s">
        <v>9</v>
      </c>
      <c r="B80" s="229">
        <f>'ACE European Group'!B80+'Danica Pensjonsforsikring'!B80+'DNB Livsforsikring'!B80+'Eika Forsikring AS'!B80+'Frende Livsforsikring'!B80+'Frende Skadeforsikring'!B80+'Gjensidige Forsikring'!B80+'Gjensidige Pensjon'!B80+'Handelsbanken Liv'!B80+'If Skadeforsikring NUF'!B80+KLP!B80+'KLP Bedriftspensjon AS'!B80+'KLP Skadeforsikring AS'!B80+'Landbruksforsikring AS'!B80+'NEMI Forsikring'!B80+'Nordea Liv '!B80+'Oslo Pensjonsforsikring'!B80+'SHB Liv'!B80+'Silver Pensjonsforsikring AS'!B80+'Sparebank 1'!B80+'Storebrand Livsforsikring'!B80+'Telenor Forsikring'!B80+'Tryg Forsikring'!B80</f>
        <v>15161257.6316</v>
      </c>
      <c r="C80" s="229">
        <f>'ACE European Group'!C80+'Danica Pensjonsforsikring'!C80+'DNB Livsforsikring'!C80+'Eika Forsikring AS'!C80+'Frende Livsforsikring'!C80+'Frende Skadeforsikring'!C80+'Gjensidige Forsikring'!C80+'Gjensidige Pensjon'!C80+'Handelsbanken Liv'!C80+'If Skadeforsikring NUF'!C80+KLP!C80+'KLP Bedriftspensjon AS'!C80+'KLP Skadeforsikring AS'!C80+'Landbruksforsikring AS'!C80+'NEMI Forsikring'!C80+'Nordea Liv '!C80+'Oslo Pensjonsforsikring'!C80+'SHB Liv'!C80+'Silver Pensjonsforsikring AS'!C80+'Sparebank 1'!C80+'Storebrand Livsforsikring'!C80+'Telenor Forsikring'!C80+'Tryg Forsikring'!C80</f>
        <v>11421372.57319</v>
      </c>
      <c r="D80" s="804">
        <f t="shared" si="19"/>
        <v>-24.7</v>
      </c>
      <c r="E80" s="37">
        <v>0</v>
      </c>
      <c r="F80" s="37">
        <v>0</v>
      </c>
      <c r="G80" s="159"/>
      <c r="H80" s="233">
        <f t="shared" si="21"/>
        <v>15161257.6316</v>
      </c>
      <c r="I80" s="233">
        <f t="shared" ref="I80:I110" si="23">SUM(C80,F80)</f>
        <v>11421372.57319</v>
      </c>
      <c r="J80" s="159">
        <f t="shared" si="22"/>
        <v>-24.7</v>
      </c>
    </row>
    <row r="81" spans="1:10" ht="15.75" customHeight="1" x14ac:dyDescent="0.2">
      <c r="A81" s="18" t="s">
        <v>10</v>
      </c>
      <c r="B81" s="229">
        <f>'ACE European Group'!B81+'Danica Pensjonsforsikring'!B81+'DNB Livsforsikring'!B81+'Eika Forsikring AS'!B81+'Frende Livsforsikring'!B81+'Frende Skadeforsikring'!B81+'Gjensidige Forsikring'!B81+'Gjensidige Pensjon'!B81+'Handelsbanken Liv'!B81+'If Skadeforsikring NUF'!B81+KLP!B81+'KLP Bedriftspensjon AS'!B81+'KLP Skadeforsikring AS'!B81+'Landbruksforsikring AS'!B81+'NEMI Forsikring'!B81+'Nordea Liv '!B81+'Oslo Pensjonsforsikring'!B81+'SHB Liv'!B81+'Silver Pensjonsforsikring AS'!B81+'Sparebank 1'!B81+'Storebrand Livsforsikring'!B81+'Telenor Forsikring'!B81+'Tryg Forsikring'!B81</f>
        <v>171709.57206000001</v>
      </c>
      <c r="C81" s="229">
        <f>'ACE European Group'!C81+'Danica Pensjonsforsikring'!C81+'DNB Livsforsikring'!C81+'Eika Forsikring AS'!C81+'Frende Livsforsikring'!C81+'Frende Skadeforsikring'!C81+'Gjensidige Forsikring'!C81+'Gjensidige Pensjon'!C81+'Handelsbanken Liv'!C81+'If Skadeforsikring NUF'!C81+KLP!C81+'KLP Bedriftspensjon AS'!C81+'KLP Skadeforsikring AS'!C81+'Landbruksforsikring AS'!C81+'NEMI Forsikring'!C81+'Nordea Liv '!C81+'Oslo Pensjonsforsikring'!C81+'SHB Liv'!C81+'Silver Pensjonsforsikring AS'!C81+'Sparebank 1'!C81+'Storebrand Livsforsikring'!C81+'Telenor Forsikring'!C81+'Tryg Forsikring'!C81</f>
        <v>172194.47798</v>
      </c>
      <c r="D81" s="804">
        <f t="shared" si="19"/>
        <v>0.3</v>
      </c>
      <c r="E81" s="229">
        <f>'ACE European Group'!F81+'Danica Pensjonsforsikring'!F81+'DNB Livsforsikring'!F81+'Eika Forsikring AS'!F81+'Frende Livsforsikring'!F81+'Frende Skadeforsikring'!F81+'Gjensidige Forsikring'!F81+'Gjensidige Pensjon'!F81+'Handelsbanken Liv'!F81+'If Skadeforsikring NUF'!F81+KLP!F81+'KLP Bedriftspensjon AS'!F81+'KLP Skadeforsikring AS'!F81+'Landbruksforsikring AS'!F81+'NEMI Forsikring'!F81+'Nordea Liv '!F81+'Oslo Pensjonsforsikring'!F81+'SHB Liv'!F81+'Silver Pensjonsforsikring AS'!F81+'Sparebank 1'!F81+'Storebrand Livsforsikring'!F81+'Telenor Forsikring'!F81+'Tryg Forsikring'!F81</f>
        <v>20142322.974300005</v>
      </c>
      <c r="F81" s="229">
        <f>'ACE European Group'!G81+'Danica Pensjonsforsikring'!G81+'DNB Livsforsikring'!G81+'Eika Forsikring AS'!G81+'Frende Livsforsikring'!G81+'Frende Skadeforsikring'!G81+'Gjensidige Forsikring'!G81+'Gjensidige Pensjon'!G81+'Handelsbanken Liv'!G81+'If Skadeforsikring NUF'!G81+KLP!G81+'KLP Bedriftspensjon AS'!G81+'KLP Skadeforsikring AS'!G81+'Landbruksforsikring AS'!G81+'NEMI Forsikring'!G81+'Nordea Liv '!G81+'Oslo Pensjonsforsikring'!G81+'SHB Liv'!G81+'Silver Pensjonsforsikring AS'!G81+'Sparebank 1'!G81+'Storebrand Livsforsikring'!G81+'Telenor Forsikring'!G81+'Tryg Forsikring'!G81</f>
        <v>22896836.631450001</v>
      </c>
      <c r="G81" s="159">
        <f t="shared" si="20"/>
        <v>13.7</v>
      </c>
      <c r="H81" s="233">
        <f t="shared" si="21"/>
        <v>20314032.546360005</v>
      </c>
      <c r="I81" s="233">
        <f t="shared" si="23"/>
        <v>23069031.10943</v>
      </c>
      <c r="J81" s="159">
        <f t="shared" si="22"/>
        <v>13.6</v>
      </c>
    </row>
    <row r="82" spans="1:10" ht="15.75" customHeight="1" x14ac:dyDescent="0.2">
      <c r="A82" s="298" t="s">
        <v>330</v>
      </c>
      <c r="B82" s="37" t="s">
        <v>402</v>
      </c>
      <c r="C82" s="37" t="s">
        <v>402</v>
      </c>
      <c r="D82" s="170" t="str">
        <f>IF($A$1=4,IF(B82=0, "    ---- ", IF(ABS(ROUND(100/B82*C82-100,1))&lt;999,ROUND(100/B82*C82-100,1),IF(ROUND(100/B82*C82-100,1)&gt;999,999,-999))),"")</f>
        <v/>
      </c>
      <c r="E82" s="37" t="s">
        <v>402</v>
      </c>
      <c r="F82" s="37" t="s">
        <v>402</v>
      </c>
      <c r="G82" s="159" t="str">
        <f t="shared" ref="G82:G87" si="24">IF($A$1=4,IF(E82=0, "    ---- ", IF(ABS(ROUND(100/E82*F82-100,1))&lt;999,ROUND(100/E82*F82-100,1),IF(ROUND(100/E82*F82-100,1)&gt;999,999,-999))),"")</f>
        <v/>
      </c>
      <c r="H82" s="233">
        <f t="shared" si="21"/>
        <v>0</v>
      </c>
      <c r="I82" s="233">
        <f t="shared" si="23"/>
        <v>0</v>
      </c>
      <c r="J82" s="159"/>
    </row>
    <row r="83" spans="1:10" ht="15.75" customHeight="1" x14ac:dyDescent="0.2">
      <c r="A83" s="298" t="s">
        <v>12</v>
      </c>
      <c r="B83" s="230">
        <v>0</v>
      </c>
      <c r="C83" s="230">
        <v>0</v>
      </c>
      <c r="D83" s="170" t="str">
        <f t="shared" ref="D83:D84" si="25">IF($A$1=4,IF(B83=0, "    ---- ", IF(ABS(ROUND(100/B83*C83-100,1))&lt;999,ROUND(100/B83*C83-100,1),IF(ROUND(100/B83*C83-100,1)&gt;999,999,-999))),"")</f>
        <v/>
      </c>
      <c r="E83" s="37" t="s">
        <v>402</v>
      </c>
      <c r="F83" s="37" t="s">
        <v>402</v>
      </c>
      <c r="G83" s="159" t="str">
        <f t="shared" si="24"/>
        <v/>
      </c>
      <c r="H83" s="233">
        <f t="shared" si="21"/>
        <v>0</v>
      </c>
      <c r="I83" s="233">
        <f t="shared" si="23"/>
        <v>0</v>
      </c>
      <c r="J83" s="159"/>
    </row>
    <row r="84" spans="1:10" ht="15.75" customHeight="1" x14ac:dyDescent="0.2">
      <c r="A84" s="298" t="s">
        <v>13</v>
      </c>
      <c r="B84" s="230">
        <v>0</v>
      </c>
      <c r="C84" s="230">
        <v>0</v>
      </c>
      <c r="D84" s="170" t="str">
        <f t="shared" si="25"/>
        <v/>
      </c>
      <c r="E84" s="37" t="s">
        <v>402</v>
      </c>
      <c r="F84" s="37" t="s">
        <v>402</v>
      </c>
      <c r="G84" s="159" t="str">
        <f t="shared" si="24"/>
        <v/>
      </c>
      <c r="H84" s="233">
        <f t="shared" si="21"/>
        <v>0</v>
      </c>
      <c r="I84" s="233">
        <f t="shared" si="23"/>
        <v>0</v>
      </c>
      <c r="J84" s="159"/>
    </row>
    <row r="85" spans="1:10" ht="15.75" customHeight="1" x14ac:dyDescent="0.2">
      <c r="A85" s="298" t="s">
        <v>331</v>
      </c>
      <c r="B85" s="37" t="s">
        <v>402</v>
      </c>
      <c r="C85" s="37" t="s">
        <v>402</v>
      </c>
      <c r="D85" s="170" t="str">
        <f>IF($A$1=4,IF(B85=0, "    ---- ", IF(ABS(ROUND(100/B85*C85-100,1))&lt;999,ROUND(100/B85*C85-100,1),IF(ROUND(100/B85*C85-100,1)&gt;999,999,-999))),"")</f>
        <v/>
      </c>
      <c r="E85" s="37" t="s">
        <v>402</v>
      </c>
      <c r="F85" s="37" t="s">
        <v>402</v>
      </c>
      <c r="G85" s="159" t="str">
        <f t="shared" si="24"/>
        <v/>
      </c>
      <c r="H85" s="233">
        <f t="shared" si="21"/>
        <v>0</v>
      </c>
      <c r="I85" s="233">
        <f t="shared" si="23"/>
        <v>0</v>
      </c>
      <c r="J85" s="164"/>
    </row>
    <row r="86" spans="1:10" ht="15.75" customHeight="1" x14ac:dyDescent="0.2">
      <c r="A86" s="298" t="s">
        <v>12</v>
      </c>
      <c r="B86" s="230">
        <v>0</v>
      </c>
      <c r="C86" s="230">
        <v>0</v>
      </c>
      <c r="D86" s="170" t="str">
        <f t="shared" ref="D86:D87" si="26">IF($A$1=4,IF(B86=0, "    ---- ", IF(ABS(ROUND(100/B86*C86-100,1))&lt;999,ROUND(100/B86*C86-100,1),IF(ROUND(100/B86*C86-100,1)&gt;999,999,-999))),"")</f>
        <v/>
      </c>
      <c r="E86" s="37" t="s">
        <v>402</v>
      </c>
      <c r="F86" s="37" t="s">
        <v>402</v>
      </c>
      <c r="G86" s="159" t="str">
        <f t="shared" si="24"/>
        <v/>
      </c>
      <c r="H86" s="233">
        <f t="shared" si="21"/>
        <v>0</v>
      </c>
      <c r="I86" s="233">
        <f t="shared" si="23"/>
        <v>0</v>
      </c>
      <c r="J86" s="159"/>
    </row>
    <row r="87" spans="1:10" s="3" customFormat="1" ht="15.75" customHeight="1" x14ac:dyDescent="0.2">
      <c r="A87" s="298" t="s">
        <v>13</v>
      </c>
      <c r="B87" s="230">
        <v>0</v>
      </c>
      <c r="C87" s="230">
        <v>0</v>
      </c>
      <c r="D87" s="170" t="str">
        <f t="shared" si="26"/>
        <v/>
      </c>
      <c r="E87" s="37" t="s">
        <v>402</v>
      </c>
      <c r="F87" s="37" t="s">
        <v>402</v>
      </c>
      <c r="G87" s="159" t="str">
        <f t="shared" si="24"/>
        <v/>
      </c>
      <c r="H87" s="233">
        <f t="shared" si="21"/>
        <v>0</v>
      </c>
      <c r="I87" s="233">
        <f t="shared" si="23"/>
        <v>0</v>
      </c>
      <c r="J87" s="159"/>
    </row>
    <row r="88" spans="1:10" s="3" customFormat="1" ht="15.75" customHeight="1" x14ac:dyDescent="0.2">
      <c r="A88" s="18" t="s">
        <v>33</v>
      </c>
      <c r="B88" s="229">
        <f>'ACE European Group'!B88+'Danica Pensjonsforsikring'!B88+'DNB Livsforsikring'!B88+'Eika Forsikring AS'!B88+'Frende Livsforsikring'!B88+'Frende Skadeforsikring'!B88+'Gjensidige Forsikring'!B88+'Gjensidige Pensjon'!B88+'Handelsbanken Liv'!B88+'If Skadeforsikring NUF'!B88+KLP!B88+'KLP Bedriftspensjon AS'!B88+'KLP Skadeforsikring AS'!B88+'Landbruksforsikring AS'!B88+'NEMI Forsikring'!B88+'Nordea Liv '!B88+'Oslo Pensjonsforsikring'!B88+'SHB Liv'!B88+'Silver Pensjonsforsikring AS'!B88+'Sparebank 1'!B88+'Storebrand Livsforsikring'!B88+'Telenor Forsikring'!B88+'Tryg Forsikring'!B88</f>
        <v>48799.82</v>
      </c>
      <c r="C88" s="229">
        <f>'ACE European Group'!C88+'Danica Pensjonsforsikring'!C88+'DNB Livsforsikring'!C88+'Eika Forsikring AS'!C88+'Frende Livsforsikring'!C88+'Frende Skadeforsikring'!C88+'Gjensidige Forsikring'!C88+'Gjensidige Pensjon'!C88+'Handelsbanken Liv'!C88+'If Skadeforsikring NUF'!C88+KLP!C88+'KLP Bedriftspensjon AS'!C88+'KLP Skadeforsikring AS'!C88+'Landbruksforsikring AS'!C88+'NEMI Forsikring'!C88+'Nordea Liv '!C88+'Oslo Pensjonsforsikring'!C88+'SHB Liv'!C88+'Silver Pensjonsforsikring AS'!C88+'Sparebank 1'!C88+'Storebrand Livsforsikring'!C88+'Telenor Forsikring'!C88+'Tryg Forsikring'!C88</f>
        <v>80235.473960000003</v>
      </c>
      <c r="D88" s="159">
        <f t="shared" si="19"/>
        <v>64.400000000000006</v>
      </c>
      <c r="E88" s="229">
        <f>'ACE European Group'!F88+'Danica Pensjonsforsikring'!F88+'DNB Livsforsikring'!F88+'Eika Forsikring AS'!F88+'Frende Livsforsikring'!F88+'Frende Skadeforsikring'!F88+'Gjensidige Forsikring'!F88+'Gjensidige Pensjon'!F88+'Handelsbanken Liv'!F88+'If Skadeforsikring NUF'!F88+KLP!F88+'KLP Bedriftspensjon AS'!F88+'KLP Skadeforsikring AS'!F88+'Landbruksforsikring AS'!F88+'NEMI Forsikring'!F88+'Nordea Liv '!F88+'Oslo Pensjonsforsikring'!F88+'SHB Liv'!F88+'Silver Pensjonsforsikring AS'!F88+'Sparebank 1'!F88+'Storebrand Livsforsikring'!F88+'Telenor Forsikring'!F88+'Tryg Forsikring'!F88</f>
        <v>0</v>
      </c>
      <c r="F88" s="229">
        <f>'ACE European Group'!G88+'Danica Pensjonsforsikring'!G88+'DNB Livsforsikring'!G88+'Eika Forsikring AS'!G88+'Frende Livsforsikring'!G88+'Frende Skadeforsikring'!G88+'Gjensidige Forsikring'!G88+'Gjensidige Pensjon'!G88+'Handelsbanken Liv'!G88+'If Skadeforsikring NUF'!G88+KLP!G88+'KLP Bedriftspensjon AS'!G88+'KLP Skadeforsikring AS'!G88+'Landbruksforsikring AS'!G88+'NEMI Forsikring'!G88+'Nordea Liv '!G88+'Oslo Pensjonsforsikring'!G88+'SHB Liv'!G88+'Silver Pensjonsforsikring AS'!G88+'Sparebank 1'!G88+'Storebrand Livsforsikring'!G88+'Telenor Forsikring'!G88+'Tryg Forsikring'!G88</f>
        <v>208617.45277999999</v>
      </c>
      <c r="G88" s="159"/>
      <c r="H88" s="233">
        <f t="shared" si="21"/>
        <v>48799.82</v>
      </c>
      <c r="I88" s="233">
        <f t="shared" si="23"/>
        <v>288852.92674000002</v>
      </c>
      <c r="J88" s="159">
        <f t="shared" si="22"/>
        <v>491.9</v>
      </c>
    </row>
    <row r="89" spans="1:10" ht="15.75" customHeight="1" x14ac:dyDescent="0.2">
      <c r="A89" s="18" t="s">
        <v>332</v>
      </c>
      <c r="B89" s="229">
        <f>'ACE European Group'!B89+'Danica Pensjonsforsikring'!B89+'DNB Livsforsikring'!B89+'Eika Forsikring AS'!B89+'Frende Livsforsikring'!B89+'Frende Skadeforsikring'!B89+'Gjensidige Forsikring'!B89+'Gjensidige Pensjon'!B89+'Handelsbanken Liv'!B89+'If Skadeforsikring NUF'!B89+KLP!B89+'KLP Bedriftspensjon AS'!B89+'KLP Skadeforsikring AS'!B89+'Landbruksforsikring AS'!B89+'NEMI Forsikring'!B89+'Nordea Liv '!B89+'Oslo Pensjonsforsikring'!B89+'SHB Liv'!B89+'Silver Pensjonsforsikring AS'!B89+'Sparebank 1'!B89+'Storebrand Livsforsikring'!B89+'Telenor Forsikring'!B89+'Tryg Forsikring'!B89</f>
        <v>14983291.206659999</v>
      </c>
      <c r="C89" s="229">
        <f>'ACE European Group'!C89+'Danica Pensjonsforsikring'!C89+'DNB Livsforsikring'!C89+'Eika Forsikring AS'!C89+'Frende Livsforsikring'!C89+'Frende Skadeforsikring'!C89+'Gjensidige Forsikring'!C89+'Gjensidige Pensjon'!C89+'Handelsbanken Liv'!C89+'If Skadeforsikring NUF'!C89+KLP!C89+'KLP Bedriftspensjon AS'!C89+'KLP Skadeforsikring AS'!C89+'Landbruksforsikring AS'!C89+'NEMI Forsikring'!C89+'Nordea Liv '!C89+'Oslo Pensjonsforsikring'!C89+'SHB Liv'!C89+'Silver Pensjonsforsikring AS'!C89+'Sparebank 1'!C89+'Storebrand Livsforsikring'!C89+'Telenor Forsikring'!C89+'Tryg Forsikring'!C89</f>
        <v>11259747.041170001</v>
      </c>
      <c r="D89" s="159">
        <f t="shared" si="19"/>
        <v>-24.9</v>
      </c>
      <c r="E89" s="229">
        <f>'ACE European Group'!F89+'Danica Pensjonsforsikring'!F89+'DNB Livsforsikring'!F89+'Eika Forsikring AS'!F89+'Frende Livsforsikring'!F89+'Frende Skadeforsikring'!F89+'Gjensidige Forsikring'!F89+'Gjensidige Pensjon'!F89+'Handelsbanken Liv'!F89+'If Skadeforsikring NUF'!F89+KLP!F89+'KLP Bedriftspensjon AS'!F89+'KLP Skadeforsikring AS'!F89+'Landbruksforsikring AS'!F89+'NEMI Forsikring'!F89+'Nordea Liv '!F89+'Oslo Pensjonsforsikring'!F89+'SHB Liv'!F89+'Silver Pensjonsforsikring AS'!F89+'Sparebank 1'!F89+'Storebrand Livsforsikring'!F89+'Telenor Forsikring'!F89+'Tryg Forsikring'!F89</f>
        <v>20127080.986640006</v>
      </c>
      <c r="F89" s="229">
        <f>'ACE European Group'!G89+'Danica Pensjonsforsikring'!G89+'DNB Livsforsikring'!G89+'Eika Forsikring AS'!G89+'Frende Livsforsikring'!G89+'Frende Skadeforsikring'!G89+'Gjensidige Forsikring'!G89+'Gjensidige Pensjon'!G89+'Handelsbanken Liv'!G89+'If Skadeforsikring NUF'!G89+KLP!G89+'KLP Bedriftspensjon AS'!G89+'KLP Skadeforsikring AS'!G89+'Landbruksforsikring AS'!G89+'NEMI Forsikring'!G89+'Nordea Liv '!G89+'Oslo Pensjonsforsikring'!G89+'SHB Liv'!G89+'Silver Pensjonsforsikring AS'!G89+'Sparebank 1'!G89+'Storebrand Livsforsikring'!G89+'Telenor Forsikring'!G89+'Tryg Forsikring'!G89</f>
        <v>22883454.179400001</v>
      </c>
      <c r="G89" s="159">
        <f t="shared" si="20"/>
        <v>13.7</v>
      </c>
      <c r="H89" s="233">
        <f t="shared" si="21"/>
        <v>35110372.193300009</v>
      </c>
      <c r="I89" s="233">
        <f t="shared" si="23"/>
        <v>34143201.220569998</v>
      </c>
      <c r="J89" s="159">
        <f t="shared" si="22"/>
        <v>-2.8</v>
      </c>
    </row>
    <row r="90" spans="1:10" ht="15.75" customHeight="1" x14ac:dyDescent="0.2">
      <c r="A90" s="18" t="s">
        <v>9</v>
      </c>
      <c r="B90" s="229">
        <f>'ACE European Group'!B90+'Danica Pensjonsforsikring'!B90+'DNB Livsforsikring'!B90+'Eika Forsikring AS'!B90+'Frende Livsforsikring'!B90+'Frende Skadeforsikring'!B90+'Gjensidige Forsikring'!B90+'Gjensidige Pensjon'!B90+'Handelsbanken Liv'!B90+'If Skadeforsikring NUF'!B90+KLP!B90+'KLP Bedriftspensjon AS'!B90+'KLP Skadeforsikring AS'!B90+'Landbruksforsikring AS'!B90+'NEMI Forsikring'!B90+'Nordea Liv '!B90+'Oslo Pensjonsforsikring'!B90+'SHB Liv'!B90+'Silver Pensjonsforsikring AS'!B90+'Sparebank 1'!B90+'Storebrand Livsforsikring'!B90+'Telenor Forsikring'!B90+'Tryg Forsikring'!B90</f>
        <v>14815709.634599999</v>
      </c>
      <c r="C90" s="229">
        <f>'ACE European Group'!C90+'Danica Pensjonsforsikring'!C90+'DNB Livsforsikring'!C90+'Eika Forsikring AS'!C90+'Frende Livsforsikring'!C90+'Frende Skadeforsikring'!C90+'Gjensidige Forsikring'!C90+'Gjensidige Pensjon'!C90+'Handelsbanken Liv'!C90+'If Skadeforsikring NUF'!C90+KLP!C90+'KLP Bedriftspensjon AS'!C90+'KLP Skadeforsikring AS'!C90+'Landbruksforsikring AS'!C90+'NEMI Forsikring'!C90+'Nordea Liv '!C90+'Oslo Pensjonsforsikring'!C90+'SHB Liv'!C90+'Silver Pensjonsforsikring AS'!C90+'Sparebank 1'!C90+'Storebrand Livsforsikring'!C90+'Telenor Forsikring'!C90+'Tryg Forsikring'!C90</f>
        <v>11091041.445190001</v>
      </c>
      <c r="D90" s="159">
        <f t="shared" si="19"/>
        <v>-25.1</v>
      </c>
      <c r="E90" s="37">
        <v>0</v>
      </c>
      <c r="F90" s="37">
        <v>1</v>
      </c>
      <c r="G90" s="159"/>
      <c r="H90" s="233">
        <f t="shared" si="21"/>
        <v>14815709.634599999</v>
      </c>
      <c r="I90" s="233">
        <f t="shared" si="23"/>
        <v>11091042.445190001</v>
      </c>
      <c r="J90" s="159">
        <f t="shared" si="22"/>
        <v>-25.1</v>
      </c>
    </row>
    <row r="91" spans="1:10" ht="15.75" customHeight="1" x14ac:dyDescent="0.2">
      <c r="A91" s="18" t="s">
        <v>10</v>
      </c>
      <c r="B91" s="229">
        <f>'ACE European Group'!B91+'Danica Pensjonsforsikring'!B91+'DNB Livsforsikring'!B91+'Eika Forsikring AS'!B91+'Frende Livsforsikring'!B91+'Frende Skadeforsikring'!B91+'Gjensidige Forsikring'!B91+'Gjensidige Pensjon'!B91+'Handelsbanken Liv'!B91+'If Skadeforsikring NUF'!B91+KLP!B91+'KLP Bedriftspensjon AS'!B91+'KLP Skadeforsikring AS'!B91+'Landbruksforsikring AS'!B91+'NEMI Forsikring'!B91+'Nordea Liv '!B91+'Oslo Pensjonsforsikring'!B91+'SHB Liv'!B91+'Silver Pensjonsforsikring AS'!B91+'Sparebank 1'!B91+'Storebrand Livsforsikring'!B91+'Telenor Forsikring'!B91+'Tryg Forsikring'!B91</f>
        <v>167581.57206000001</v>
      </c>
      <c r="C91" s="229">
        <f>'ACE European Group'!C91+'Danica Pensjonsforsikring'!C91+'DNB Livsforsikring'!C91+'Eika Forsikring AS'!C91+'Frende Livsforsikring'!C91+'Frende Skadeforsikring'!C91+'Gjensidige Forsikring'!C91+'Gjensidige Pensjon'!C91+'Handelsbanken Liv'!C91+'If Skadeforsikring NUF'!C91+KLP!C91+'KLP Bedriftspensjon AS'!C91+'KLP Skadeforsikring AS'!C91+'Landbruksforsikring AS'!C91+'NEMI Forsikring'!C91+'Nordea Liv '!C91+'Oslo Pensjonsforsikring'!C91+'SHB Liv'!C91+'Silver Pensjonsforsikring AS'!C91+'Sparebank 1'!C91+'Storebrand Livsforsikring'!C91+'Telenor Forsikring'!C91+'Tryg Forsikring'!C91</f>
        <v>168705.59598000001</v>
      </c>
      <c r="D91" s="159">
        <f t="shared" si="19"/>
        <v>0.7</v>
      </c>
      <c r="E91" s="229">
        <f>'ACE European Group'!F91+'Danica Pensjonsforsikring'!F91+'DNB Livsforsikring'!F91+'Eika Forsikring AS'!F91+'Frende Livsforsikring'!F91+'Frende Skadeforsikring'!F91+'Gjensidige Forsikring'!F91+'Gjensidige Pensjon'!F91+'Handelsbanken Liv'!F91+'If Skadeforsikring NUF'!F91+KLP!F91+'KLP Bedriftspensjon AS'!F91+'KLP Skadeforsikring AS'!F91+'Landbruksforsikring AS'!F91+'NEMI Forsikring'!F91+'Nordea Liv '!F91+'Oslo Pensjonsforsikring'!F91+'SHB Liv'!F91+'Silver Pensjonsforsikring AS'!F91+'Sparebank 1'!F91+'Storebrand Livsforsikring'!F91+'Telenor Forsikring'!F91+'Tryg Forsikring'!F91</f>
        <v>20127080.986640006</v>
      </c>
      <c r="F91" s="229">
        <f>'ACE European Group'!G91+'Danica Pensjonsforsikring'!G91+'DNB Livsforsikring'!G91+'Eika Forsikring AS'!G91+'Frende Livsforsikring'!G91+'Frende Skadeforsikring'!G91+'Gjensidige Forsikring'!G91+'Gjensidige Pensjon'!G91+'Handelsbanken Liv'!G91+'If Skadeforsikring NUF'!G91+KLP!G91+'KLP Bedriftspensjon AS'!G91+'KLP Skadeforsikring AS'!G91+'Landbruksforsikring AS'!G91+'NEMI Forsikring'!G91+'Nordea Liv '!G91+'Oslo Pensjonsforsikring'!G91+'SHB Liv'!G91+'Silver Pensjonsforsikring AS'!G91+'Sparebank 1'!G91+'Storebrand Livsforsikring'!G91+'Telenor Forsikring'!G91+'Tryg Forsikring'!G91</f>
        <v>22883454.179400001</v>
      </c>
      <c r="G91" s="159">
        <f t="shared" si="20"/>
        <v>13.7</v>
      </c>
      <c r="H91" s="233">
        <f t="shared" si="21"/>
        <v>20294662.558700006</v>
      </c>
      <c r="I91" s="233">
        <f t="shared" si="23"/>
        <v>23052159.77538</v>
      </c>
      <c r="J91" s="159">
        <f t="shared" si="22"/>
        <v>13.6</v>
      </c>
    </row>
    <row r="92" spans="1:10" ht="15.75" customHeight="1" x14ac:dyDescent="0.2">
      <c r="A92" s="298" t="s">
        <v>330</v>
      </c>
      <c r="B92" s="37" t="s">
        <v>402</v>
      </c>
      <c r="C92" s="37" t="s">
        <v>402</v>
      </c>
      <c r="D92" s="170" t="str">
        <f>IF($A$1=4,IF(B92=0, "    ---- ", IF(ABS(ROUND(100/B92*C92-100,1))&lt;999,ROUND(100/B92*C92-100,1),IF(ROUND(100/B92*C92-100,1)&gt;999,999,-999))),"")</f>
        <v/>
      </c>
      <c r="E92" s="37" t="s">
        <v>402</v>
      </c>
      <c r="F92" s="37" t="s">
        <v>402</v>
      </c>
      <c r="G92" s="159" t="str">
        <f t="shared" ref="G92:G97" si="27">IF($A$1=4,IF(E92=0, "    ---- ", IF(ABS(ROUND(100/E92*F92-100,1))&lt;999,ROUND(100/E92*F92-100,1),IF(ROUND(100/E92*F92-100,1)&gt;999,999,-999))),"")</f>
        <v/>
      </c>
      <c r="H92" s="233">
        <f t="shared" si="21"/>
        <v>0</v>
      </c>
      <c r="I92" s="233">
        <f t="shared" si="23"/>
        <v>0</v>
      </c>
      <c r="J92" s="159"/>
    </row>
    <row r="93" spans="1:10" ht="15.75" customHeight="1" x14ac:dyDescent="0.2">
      <c r="A93" s="298" t="s">
        <v>12</v>
      </c>
      <c r="B93" s="230">
        <v>0</v>
      </c>
      <c r="C93" s="230">
        <v>0</v>
      </c>
      <c r="D93" s="170" t="str">
        <f t="shared" ref="D93:D97" si="28">IF($A$1=4,IF(B93=0, "    ---- ", IF(ABS(ROUND(100/B93*C93-100,1))&lt;999,ROUND(100/B93*C93-100,1),IF(ROUND(100/B93*C93-100,1)&gt;999,999,-999))),"")</f>
        <v/>
      </c>
      <c r="E93" s="37" t="s">
        <v>402</v>
      </c>
      <c r="F93" s="37" t="s">
        <v>402</v>
      </c>
      <c r="G93" s="159" t="str">
        <f t="shared" si="27"/>
        <v/>
      </c>
      <c r="H93" s="233">
        <f t="shared" si="21"/>
        <v>0</v>
      </c>
      <c r="I93" s="233">
        <f t="shared" si="23"/>
        <v>0</v>
      </c>
      <c r="J93" s="159"/>
    </row>
    <row r="94" spans="1:10" ht="15.75" customHeight="1" x14ac:dyDescent="0.2">
      <c r="A94" s="298" t="s">
        <v>13</v>
      </c>
      <c r="B94" s="230">
        <v>0</v>
      </c>
      <c r="C94" s="230">
        <v>0</v>
      </c>
      <c r="D94" s="170" t="str">
        <f t="shared" si="28"/>
        <v/>
      </c>
      <c r="E94" s="37" t="s">
        <v>402</v>
      </c>
      <c r="F94" s="37" t="s">
        <v>402</v>
      </c>
      <c r="G94" s="159" t="str">
        <f t="shared" si="27"/>
        <v/>
      </c>
      <c r="H94" s="233">
        <f t="shared" si="21"/>
        <v>0</v>
      </c>
      <c r="I94" s="233">
        <f t="shared" si="23"/>
        <v>0</v>
      </c>
      <c r="J94" s="159"/>
    </row>
    <row r="95" spans="1:10" ht="15.75" customHeight="1" x14ac:dyDescent="0.2">
      <c r="A95" s="298" t="s">
        <v>331</v>
      </c>
      <c r="B95" s="37" t="s">
        <v>402</v>
      </c>
      <c r="C95" s="37" t="s">
        <v>402</v>
      </c>
      <c r="D95" s="170" t="str">
        <f t="shared" si="28"/>
        <v/>
      </c>
      <c r="E95" s="37" t="s">
        <v>402</v>
      </c>
      <c r="F95" s="37" t="s">
        <v>402</v>
      </c>
      <c r="G95" s="159" t="str">
        <f t="shared" si="27"/>
        <v/>
      </c>
      <c r="H95" s="233">
        <f t="shared" si="21"/>
        <v>0</v>
      </c>
      <c r="I95" s="233">
        <f t="shared" si="23"/>
        <v>0</v>
      </c>
      <c r="J95" s="164"/>
    </row>
    <row r="96" spans="1:10" ht="15.75" customHeight="1" x14ac:dyDescent="0.2">
      <c r="A96" s="298" t="s">
        <v>12</v>
      </c>
      <c r="B96" s="230">
        <v>0</v>
      </c>
      <c r="C96" s="230">
        <v>0</v>
      </c>
      <c r="D96" s="170" t="str">
        <f t="shared" si="28"/>
        <v/>
      </c>
      <c r="E96" s="37" t="s">
        <v>402</v>
      </c>
      <c r="F96" s="37" t="s">
        <v>402</v>
      </c>
      <c r="G96" s="159" t="str">
        <f t="shared" si="27"/>
        <v/>
      </c>
      <c r="H96" s="233">
        <f t="shared" si="21"/>
        <v>0</v>
      </c>
      <c r="I96" s="233">
        <f t="shared" si="23"/>
        <v>0</v>
      </c>
      <c r="J96" s="159"/>
    </row>
    <row r="97" spans="1:10" ht="15.75" customHeight="1" x14ac:dyDescent="0.2">
      <c r="A97" s="298" t="s">
        <v>13</v>
      </c>
      <c r="B97" s="230">
        <v>0</v>
      </c>
      <c r="C97" s="230">
        <v>0</v>
      </c>
      <c r="D97" s="170" t="str">
        <f t="shared" si="28"/>
        <v/>
      </c>
      <c r="E97" s="37" t="s">
        <v>402</v>
      </c>
      <c r="F97" s="37" t="s">
        <v>402</v>
      </c>
      <c r="G97" s="159" t="str">
        <f t="shared" si="27"/>
        <v/>
      </c>
      <c r="H97" s="233">
        <f t="shared" si="21"/>
        <v>0</v>
      </c>
      <c r="I97" s="233">
        <f t="shared" si="23"/>
        <v>0</v>
      </c>
      <c r="J97" s="159"/>
    </row>
    <row r="98" spans="1:10" ht="15.75" customHeight="1" x14ac:dyDescent="0.2">
      <c r="A98" s="18" t="s">
        <v>342</v>
      </c>
      <c r="B98" s="229">
        <f>'ACE European Group'!B98+'Danica Pensjonsforsikring'!B98+'DNB Livsforsikring'!B98+'Eika Forsikring AS'!B98+'Frende Livsforsikring'!B98+'Frende Skadeforsikring'!B98+'Gjensidige Forsikring'!B98+'Gjensidige Pensjon'!B98+'Handelsbanken Liv'!B98+'If Skadeforsikring NUF'!B98+KLP!B98+'KLP Bedriftspensjon AS'!B98+'KLP Skadeforsikring AS'!B98+'Landbruksforsikring AS'!B98+'NEMI Forsikring'!B98+'Nordea Liv '!B98+'Oslo Pensjonsforsikring'!B98+'SHB Liv'!B98+'Silver Pensjonsforsikring AS'!B98+'Sparebank 1'!B98+'Storebrand Livsforsikring'!B98+'Telenor Forsikring'!B98+'Tryg Forsikring'!B98</f>
        <v>349675.99700000003</v>
      </c>
      <c r="C98" s="229">
        <f>'ACE European Group'!C98+'Danica Pensjonsforsikring'!C98+'DNB Livsforsikring'!C98+'Eika Forsikring AS'!C98+'Frende Livsforsikring'!C98+'Frende Skadeforsikring'!C98+'Gjensidige Forsikring'!C98+'Gjensidige Pensjon'!C98+'Handelsbanken Liv'!C98+'If Skadeforsikring NUF'!C98+KLP!C98+'KLP Bedriftspensjon AS'!C98+'KLP Skadeforsikring AS'!C98+'Landbruksforsikring AS'!C98+'NEMI Forsikring'!C98+'Nordea Liv '!C98+'Oslo Pensjonsforsikring'!C98+'SHB Liv'!C98+'Silver Pensjonsforsikring AS'!C98+'Sparebank 1'!C98+'Storebrand Livsforsikring'!C98+'Telenor Forsikring'!C98+'Tryg Forsikring'!C98</f>
        <v>333820.01</v>
      </c>
      <c r="D98" s="159">
        <f t="shared" si="19"/>
        <v>-4.5</v>
      </c>
      <c r="E98" s="229">
        <f>'ACE European Group'!F98+'Danica Pensjonsforsikring'!F98+'DNB Livsforsikring'!F98+'Eika Forsikring AS'!F98+'Frende Livsforsikring'!F98+'Frende Skadeforsikring'!F98+'Gjensidige Forsikring'!F98+'Gjensidige Pensjon'!F98+'Handelsbanken Liv'!F98+'If Skadeforsikring NUF'!F98+KLP!F98+'KLP Bedriftspensjon AS'!F98+'KLP Skadeforsikring AS'!F98+'Landbruksforsikring AS'!F98+'NEMI Forsikring'!F98+'Nordea Liv '!F98+'Oslo Pensjonsforsikring'!F98+'SHB Liv'!F98+'Silver Pensjonsforsikring AS'!F98+'Sparebank 1'!F98+'Storebrand Livsforsikring'!F98+'Telenor Forsikring'!F98+'Tryg Forsikring'!F98</f>
        <v>15241.987659999999</v>
      </c>
      <c r="F98" s="229">
        <f>'ACE European Group'!G98+'Danica Pensjonsforsikring'!G98+'DNB Livsforsikring'!G98+'Eika Forsikring AS'!G98+'Frende Livsforsikring'!G98+'Frende Skadeforsikring'!G98+'Gjensidige Forsikring'!G98+'Gjensidige Pensjon'!G98+'Handelsbanken Liv'!G98+'If Skadeforsikring NUF'!G98+KLP!G98+'KLP Bedriftspensjon AS'!G98+'KLP Skadeforsikring AS'!G98+'Landbruksforsikring AS'!G98+'NEMI Forsikring'!G98+'Nordea Liv '!G98+'Oslo Pensjonsforsikring'!G98+'SHB Liv'!G98+'Silver Pensjonsforsikring AS'!G98+'Sparebank 1'!G98+'Storebrand Livsforsikring'!G98+'Telenor Forsikring'!G98+'Tryg Forsikring'!G98</f>
        <v>13382.45205</v>
      </c>
      <c r="G98" s="159">
        <f t="shared" si="20"/>
        <v>-12.2</v>
      </c>
      <c r="H98" s="233">
        <f t="shared" si="21"/>
        <v>364917.98466000002</v>
      </c>
      <c r="I98" s="233">
        <f t="shared" si="23"/>
        <v>347202.46205000003</v>
      </c>
      <c r="J98" s="159">
        <f t="shared" si="22"/>
        <v>-4.9000000000000004</v>
      </c>
    </row>
    <row r="99" spans="1:10" ht="15.75" customHeight="1" x14ac:dyDescent="0.2">
      <c r="A99" s="11" t="s">
        <v>29</v>
      </c>
      <c r="B99" s="310">
        <f>'ACE European Group'!B99+'Danica Pensjonsforsikring'!B99+'DNB Livsforsikring'!B99+'Eika Forsikring AS'!B99+'Frende Livsforsikring'!B99+'Frende Skadeforsikring'!B99+'Gjensidige Forsikring'!B99+'Gjensidige Pensjon'!B99+'Handelsbanken Liv'!B99+'If Skadeforsikring NUF'!B99+KLP!B99+'KLP Bedriftspensjon AS'!B99+'KLP Skadeforsikring AS'!B99+'Landbruksforsikring AS'!B99+'NEMI Forsikring'!B99+'Nordea Liv '!B99+'Oslo Pensjonsforsikring'!B99+'SHB Liv'!B99+'Silver Pensjonsforsikring AS'!B99+'Sparebank 1'!B99+'Storebrand Livsforsikring'!B99+'Telenor Forsikring'!B99+'Tryg Forsikring'!B99</f>
        <v>178693.58100000001</v>
      </c>
      <c r="C99" s="310">
        <f>'ACE European Group'!C99+'Danica Pensjonsforsikring'!C99+'DNB Livsforsikring'!C99+'Eika Forsikring AS'!C99+'Frende Livsforsikring'!C99+'Frende Skadeforsikring'!C99+'Gjensidige Forsikring'!C99+'Gjensidige Pensjon'!C99+'Handelsbanken Liv'!C99+'If Skadeforsikring NUF'!C99+KLP!C99+'KLP Bedriftspensjon AS'!C99+'KLP Skadeforsikring AS'!C99+'Landbruksforsikring AS'!C99+'NEMI Forsikring'!C99+'Nordea Liv '!C99+'Oslo Pensjonsforsikring'!C99+'SHB Liv'!C99+'Silver Pensjonsforsikring AS'!C99+'Sparebank 1'!C99+'Storebrand Livsforsikring'!C99+'Telenor Forsikring'!C99+'Tryg Forsikring'!C99</f>
        <v>322850.54800000001</v>
      </c>
      <c r="D99" s="159">
        <f t="shared" si="19"/>
        <v>80.7</v>
      </c>
      <c r="E99" s="310">
        <f>'ACE European Group'!F99+'Danica Pensjonsforsikring'!F99+'DNB Livsforsikring'!F99+'Eika Forsikring AS'!F99+'Frende Livsforsikring'!F99+'Frende Skadeforsikring'!F99+'Gjensidige Forsikring'!F99+'Gjensidige Pensjon'!F99+'Handelsbanken Liv'!F99+'If Skadeforsikring NUF'!F99+KLP!F99+'KLP Bedriftspensjon AS'!F99+'KLP Skadeforsikring AS'!F99+'Landbruksforsikring AS'!F99+'NEMI Forsikring'!F99+'Nordea Liv '!F99+'Oslo Pensjonsforsikring'!F99+'SHB Liv'!F99+'Silver Pensjonsforsikring AS'!F99+'Sparebank 1'!F99+'Storebrand Livsforsikring'!F99+'Telenor Forsikring'!F99+'Tryg Forsikring'!F99</f>
        <v>1787162.041</v>
      </c>
      <c r="F99" s="310">
        <f>'ACE European Group'!G99+'Danica Pensjonsforsikring'!G99+'DNB Livsforsikring'!G99+'Eika Forsikring AS'!G99+'Frende Livsforsikring'!G99+'Frende Skadeforsikring'!G99+'Gjensidige Forsikring'!G99+'Gjensidige Pensjon'!G99+'Handelsbanken Liv'!G99+'If Skadeforsikring NUF'!G99+KLP!G99+'KLP Bedriftspensjon AS'!G99+'KLP Skadeforsikring AS'!G99+'Landbruksforsikring AS'!G99+'NEMI Forsikring'!G99+'Nordea Liv '!G99+'Oslo Pensjonsforsikring'!G99+'SHB Liv'!G99+'Silver Pensjonsforsikring AS'!G99+'Sparebank 1'!G99+'Storebrand Livsforsikring'!G99+'Telenor Forsikring'!G99+'Tryg Forsikring'!G99</f>
        <v>1220197.952</v>
      </c>
      <c r="G99" s="159">
        <f t="shared" si="20"/>
        <v>-31.7</v>
      </c>
      <c r="H99" s="331">
        <f t="shared" si="21"/>
        <v>1965855.622</v>
      </c>
      <c r="I99" s="331">
        <f t="shared" si="23"/>
        <v>1543048.5</v>
      </c>
      <c r="J99" s="159">
        <f t="shared" si="22"/>
        <v>-21.5</v>
      </c>
    </row>
    <row r="100" spans="1:10" ht="15.75" customHeight="1" x14ac:dyDescent="0.2">
      <c r="A100" s="18" t="s">
        <v>9</v>
      </c>
      <c r="B100" s="229">
        <v>123668.897</v>
      </c>
      <c r="C100" s="229">
        <v>258274.89600000001</v>
      </c>
      <c r="D100" s="159">
        <f t="shared" si="19"/>
        <v>108.8</v>
      </c>
      <c r="E100" s="37">
        <v>0</v>
      </c>
      <c r="F100" s="37">
        <v>0</v>
      </c>
      <c r="G100" s="159"/>
      <c r="H100" s="233">
        <f t="shared" si="21"/>
        <v>123668.897</v>
      </c>
      <c r="I100" s="233">
        <f t="shared" si="23"/>
        <v>258274.89600000001</v>
      </c>
      <c r="J100" s="159">
        <f t="shared" si="22"/>
        <v>108.8</v>
      </c>
    </row>
    <row r="101" spans="1:10" ht="15.75" customHeight="1" x14ac:dyDescent="0.2">
      <c r="A101" s="18" t="s">
        <v>10</v>
      </c>
      <c r="B101" s="229">
        <v>6224.8639999999996</v>
      </c>
      <c r="C101" s="229">
        <v>6947</v>
      </c>
      <c r="D101" s="159">
        <f t="shared" si="19"/>
        <v>11.6</v>
      </c>
      <c r="E101" s="37">
        <v>1787162.041</v>
      </c>
      <c r="F101" s="37">
        <v>1004025.7359999999</v>
      </c>
      <c r="G101" s="159">
        <f t="shared" si="20"/>
        <v>-43.8</v>
      </c>
      <c r="H101" s="233">
        <f t="shared" si="21"/>
        <v>1793386.905</v>
      </c>
      <c r="I101" s="233">
        <f t="shared" si="23"/>
        <v>1010972.7359999999</v>
      </c>
      <c r="J101" s="159">
        <f t="shared" si="22"/>
        <v>-43.6</v>
      </c>
    </row>
    <row r="102" spans="1:10" ht="15.75" customHeight="1" x14ac:dyDescent="0.2">
      <c r="A102" s="298" t="s">
        <v>330</v>
      </c>
      <c r="B102" s="37" t="s">
        <v>402</v>
      </c>
      <c r="C102" s="37" t="s">
        <v>402</v>
      </c>
      <c r="D102" s="170" t="str">
        <f t="shared" ref="D102:D107" si="29">IF($A$1=4,IF(B102=0, "    ---- ", IF(ABS(ROUND(100/B102*C102-100,1))&lt;999,ROUND(100/B102*C102-100,1),IF(ROUND(100/B102*C102-100,1)&gt;999,999,-999))),"")</f>
        <v/>
      </c>
      <c r="E102" s="37" t="s">
        <v>402</v>
      </c>
      <c r="F102" s="37" t="s">
        <v>402</v>
      </c>
      <c r="G102" s="159" t="str">
        <f t="shared" ref="G102:G107" si="30">IF($A$1=4,IF(E102=0, "    ---- ", IF(ABS(ROUND(100/E102*F102-100,1))&lt;999,ROUND(100/E102*F102-100,1),IF(ROUND(100/E102*F102-100,1)&gt;999,999,-999))),"")</f>
        <v/>
      </c>
      <c r="H102" s="233">
        <f t="shared" si="21"/>
        <v>0</v>
      </c>
      <c r="I102" s="233">
        <f t="shared" si="23"/>
        <v>0</v>
      </c>
      <c r="J102" s="159"/>
    </row>
    <row r="103" spans="1:10" ht="15.75" customHeight="1" x14ac:dyDescent="0.2">
      <c r="A103" s="298" t="s">
        <v>12</v>
      </c>
      <c r="B103" s="230">
        <v>0</v>
      </c>
      <c r="C103" s="230">
        <v>0</v>
      </c>
      <c r="D103" s="170" t="str">
        <f t="shared" si="29"/>
        <v/>
      </c>
      <c r="E103" s="37" t="s">
        <v>402</v>
      </c>
      <c r="F103" s="37" t="s">
        <v>402</v>
      </c>
      <c r="G103" s="159" t="str">
        <f t="shared" si="30"/>
        <v/>
      </c>
      <c r="H103" s="233">
        <f t="shared" si="21"/>
        <v>0</v>
      </c>
      <c r="I103" s="233">
        <f t="shared" si="23"/>
        <v>0</v>
      </c>
      <c r="J103" s="159"/>
    </row>
    <row r="104" spans="1:10" ht="15.75" customHeight="1" x14ac:dyDescent="0.2">
      <c r="A104" s="298" t="s">
        <v>13</v>
      </c>
      <c r="B104" s="230">
        <v>0</v>
      </c>
      <c r="C104" s="230">
        <v>0</v>
      </c>
      <c r="D104" s="170" t="str">
        <f t="shared" si="29"/>
        <v/>
      </c>
      <c r="E104" s="37" t="s">
        <v>402</v>
      </c>
      <c r="F104" s="37" t="s">
        <v>402</v>
      </c>
      <c r="G104" s="159" t="str">
        <f t="shared" si="30"/>
        <v/>
      </c>
      <c r="H104" s="233">
        <f t="shared" si="21"/>
        <v>0</v>
      </c>
      <c r="I104" s="233">
        <f t="shared" si="23"/>
        <v>0</v>
      </c>
      <c r="J104" s="159"/>
    </row>
    <row r="105" spans="1:10" ht="15.75" customHeight="1" x14ac:dyDescent="0.2">
      <c r="A105" s="298" t="s">
        <v>331</v>
      </c>
      <c r="B105" s="37" t="s">
        <v>402</v>
      </c>
      <c r="C105" s="37" t="s">
        <v>402</v>
      </c>
      <c r="D105" s="170" t="str">
        <f t="shared" si="29"/>
        <v/>
      </c>
      <c r="E105" s="37" t="s">
        <v>402</v>
      </c>
      <c r="F105" s="37" t="s">
        <v>402</v>
      </c>
      <c r="G105" s="159" t="str">
        <f t="shared" si="30"/>
        <v/>
      </c>
      <c r="H105" s="233">
        <f t="shared" si="21"/>
        <v>0</v>
      </c>
      <c r="I105" s="233">
        <f t="shared" si="23"/>
        <v>0</v>
      </c>
      <c r="J105" s="159"/>
    </row>
    <row r="106" spans="1:10" ht="15.75" customHeight="1" x14ac:dyDescent="0.2">
      <c r="A106" s="298" t="s">
        <v>12</v>
      </c>
      <c r="B106" s="230">
        <v>0</v>
      </c>
      <c r="C106" s="230">
        <v>0</v>
      </c>
      <c r="D106" s="170" t="str">
        <f t="shared" si="29"/>
        <v/>
      </c>
      <c r="E106" s="37" t="s">
        <v>402</v>
      </c>
      <c r="F106" s="37" t="s">
        <v>402</v>
      </c>
      <c r="G106" s="159" t="str">
        <f t="shared" si="30"/>
        <v/>
      </c>
      <c r="H106" s="233">
        <f t="shared" si="21"/>
        <v>0</v>
      </c>
      <c r="I106" s="233">
        <f t="shared" si="23"/>
        <v>0</v>
      </c>
      <c r="J106" s="159"/>
    </row>
    <row r="107" spans="1:10" ht="15.75" customHeight="1" x14ac:dyDescent="0.2">
      <c r="A107" s="298" t="s">
        <v>13</v>
      </c>
      <c r="B107" s="230">
        <v>0</v>
      </c>
      <c r="C107" s="230">
        <v>0</v>
      </c>
      <c r="D107" s="170" t="str">
        <f t="shared" si="29"/>
        <v/>
      </c>
      <c r="E107" s="37" t="s">
        <v>402</v>
      </c>
      <c r="F107" s="37" t="s">
        <v>402</v>
      </c>
      <c r="G107" s="159" t="str">
        <f t="shared" si="30"/>
        <v/>
      </c>
      <c r="H107" s="233">
        <f t="shared" si="21"/>
        <v>0</v>
      </c>
      <c r="I107" s="233">
        <f t="shared" si="23"/>
        <v>0</v>
      </c>
      <c r="J107" s="159"/>
    </row>
    <row r="108" spans="1:10" ht="15.75" customHeight="1" x14ac:dyDescent="0.2">
      <c r="A108" s="18" t="s">
        <v>33</v>
      </c>
      <c r="B108" s="229">
        <v>48799.82</v>
      </c>
      <c r="C108" s="229">
        <v>57628.652000000002</v>
      </c>
      <c r="D108" s="159">
        <f t="shared" si="19"/>
        <v>18.100000000000001</v>
      </c>
      <c r="E108" s="37">
        <v>0</v>
      </c>
      <c r="F108" s="37">
        <v>216172.21600000001</v>
      </c>
      <c r="G108" s="159" t="str">
        <f t="shared" si="20"/>
        <v xml:space="preserve">    ---- </v>
      </c>
      <c r="H108" s="233">
        <f t="shared" si="21"/>
        <v>48799.82</v>
      </c>
      <c r="I108" s="233">
        <f t="shared" si="23"/>
        <v>273800.86800000002</v>
      </c>
      <c r="J108" s="159">
        <f t="shared" si="22"/>
        <v>461.1</v>
      </c>
    </row>
    <row r="109" spans="1:10" ht="15.75" customHeight="1" x14ac:dyDescent="0.2">
      <c r="A109" s="18" t="s">
        <v>332</v>
      </c>
      <c r="B109" s="229">
        <v>124113.27100000001</v>
      </c>
      <c r="C109" s="229">
        <v>249071.1121150254</v>
      </c>
      <c r="D109" s="159">
        <f t="shared" si="19"/>
        <v>100.7</v>
      </c>
      <c r="E109" s="37">
        <v>1787162.041</v>
      </c>
      <c r="F109" s="37">
        <v>1004025.7359999999</v>
      </c>
      <c r="G109" s="159">
        <f t="shared" si="20"/>
        <v>-43.8</v>
      </c>
      <c r="H109" s="233">
        <f t="shared" si="21"/>
        <v>1911275.3119999999</v>
      </c>
      <c r="I109" s="233">
        <f t="shared" si="23"/>
        <v>1253096.8481150253</v>
      </c>
      <c r="J109" s="159">
        <f t="shared" si="22"/>
        <v>-34.4</v>
      </c>
    </row>
    <row r="110" spans="1:10" ht="15.75" customHeight="1" x14ac:dyDescent="0.2">
      <c r="A110" s="18" t="s">
        <v>9</v>
      </c>
      <c r="B110" s="229">
        <v>117888.40700000001</v>
      </c>
      <c r="C110" s="229">
        <v>242124.1121150254</v>
      </c>
      <c r="D110" s="159">
        <f t="shared" si="19"/>
        <v>105.4</v>
      </c>
      <c r="E110" s="37">
        <v>0</v>
      </c>
      <c r="F110" s="37">
        <v>0</v>
      </c>
      <c r="G110" s="159"/>
      <c r="H110" s="233">
        <f t="shared" si="21"/>
        <v>117888.40700000001</v>
      </c>
      <c r="I110" s="233">
        <f t="shared" si="23"/>
        <v>242124.1121150254</v>
      </c>
      <c r="J110" s="159">
        <f t="shared" si="22"/>
        <v>105.4</v>
      </c>
    </row>
    <row r="111" spans="1:10" ht="15.75" customHeight="1" x14ac:dyDescent="0.2">
      <c r="A111" s="18" t="s">
        <v>10</v>
      </c>
      <c r="B111" s="229">
        <v>6224.8639999999996</v>
      </c>
      <c r="C111" s="229">
        <v>6947</v>
      </c>
      <c r="D111" s="159">
        <f t="shared" si="19"/>
        <v>11.6</v>
      </c>
      <c r="E111" s="37">
        <v>1787162.041</v>
      </c>
      <c r="F111" s="37">
        <v>1004025.7359999999</v>
      </c>
      <c r="G111" s="159">
        <f t="shared" si="20"/>
        <v>-43.8</v>
      </c>
      <c r="H111" s="233">
        <f t="shared" ref="H111:H142" si="31">SUM(B111,E111)</f>
        <v>1793386.905</v>
      </c>
      <c r="I111" s="233">
        <f t="shared" ref="I111:I142" si="32">SUM(C111,F111)</f>
        <v>1010972.7359999999</v>
      </c>
      <c r="J111" s="159">
        <f t="shared" si="22"/>
        <v>-43.6</v>
      </c>
    </row>
    <row r="112" spans="1:10" ht="15.75" customHeight="1" x14ac:dyDescent="0.2">
      <c r="A112" s="298" t="s">
        <v>330</v>
      </c>
      <c r="B112" s="37" t="s">
        <v>402</v>
      </c>
      <c r="C112" s="37" t="s">
        <v>402</v>
      </c>
      <c r="D112" s="170" t="str">
        <f>IF($A$1=4,IF(B112=0, "    ---- ", IF(ABS(ROUND(100/B112*C112-100,1))&lt;999,ROUND(100/B112*C112-100,1),IF(ROUND(100/B112*C112-100,1)&gt;999,999,-999))),"")</f>
        <v/>
      </c>
      <c r="E112" s="37" t="s">
        <v>402</v>
      </c>
      <c r="F112" s="37" t="s">
        <v>402</v>
      </c>
      <c r="G112" s="159" t="str">
        <f t="shared" ref="G112:G117" si="33">IF($A$1=4,IF(E112=0, "    ---- ", IF(ABS(ROUND(100/E112*F112-100,1))&lt;999,ROUND(100/E112*F112-100,1),IF(ROUND(100/E112*F112-100,1)&gt;999,999,-999))),"")</f>
        <v/>
      </c>
      <c r="H112" s="233">
        <f t="shared" si="31"/>
        <v>0</v>
      </c>
      <c r="I112" s="233">
        <f t="shared" si="32"/>
        <v>0</v>
      </c>
      <c r="J112" s="159"/>
    </row>
    <row r="113" spans="1:10" ht="15.75" customHeight="1" x14ac:dyDescent="0.2">
      <c r="A113" s="298" t="s">
        <v>12</v>
      </c>
      <c r="B113" s="230">
        <v>0</v>
      </c>
      <c r="C113" s="230">
        <v>0</v>
      </c>
      <c r="D113" s="170" t="str">
        <f t="shared" ref="D113:D117" si="34">IF($A$1=4,IF(B113=0, "    ---- ", IF(ABS(ROUND(100/B113*C113-100,1))&lt;999,ROUND(100/B113*C113-100,1),IF(ROUND(100/B113*C113-100,1)&gt;999,999,-999))),"")</f>
        <v/>
      </c>
      <c r="E113" s="37" t="s">
        <v>402</v>
      </c>
      <c r="F113" s="37" t="s">
        <v>402</v>
      </c>
      <c r="G113" s="159" t="str">
        <f t="shared" si="33"/>
        <v/>
      </c>
      <c r="H113" s="233">
        <f t="shared" si="31"/>
        <v>0</v>
      </c>
      <c r="I113" s="233">
        <f t="shared" si="32"/>
        <v>0</v>
      </c>
      <c r="J113" s="159"/>
    </row>
    <row r="114" spans="1:10" ht="15.75" customHeight="1" x14ac:dyDescent="0.2">
      <c r="A114" s="298" t="s">
        <v>13</v>
      </c>
      <c r="B114" s="230">
        <v>0</v>
      </c>
      <c r="C114" s="230">
        <v>0</v>
      </c>
      <c r="D114" s="170" t="str">
        <f t="shared" si="34"/>
        <v/>
      </c>
      <c r="E114" s="37" t="s">
        <v>402</v>
      </c>
      <c r="F114" s="37" t="s">
        <v>402</v>
      </c>
      <c r="G114" s="159" t="str">
        <f t="shared" si="33"/>
        <v/>
      </c>
      <c r="H114" s="233">
        <f t="shared" si="31"/>
        <v>0</v>
      </c>
      <c r="I114" s="233">
        <f t="shared" si="32"/>
        <v>0</v>
      </c>
      <c r="J114" s="159"/>
    </row>
    <row r="115" spans="1:10" ht="15.75" customHeight="1" x14ac:dyDescent="0.2">
      <c r="A115" s="298" t="s">
        <v>331</v>
      </c>
      <c r="B115" s="37" t="s">
        <v>402</v>
      </c>
      <c r="C115" s="37" t="s">
        <v>402</v>
      </c>
      <c r="D115" s="170" t="str">
        <f t="shared" si="34"/>
        <v/>
      </c>
      <c r="E115" s="37" t="s">
        <v>402</v>
      </c>
      <c r="F115" s="37" t="s">
        <v>402</v>
      </c>
      <c r="G115" s="159" t="str">
        <f t="shared" si="33"/>
        <v/>
      </c>
      <c r="H115" s="233">
        <f t="shared" si="31"/>
        <v>0</v>
      </c>
      <c r="I115" s="233">
        <f t="shared" si="32"/>
        <v>0</v>
      </c>
      <c r="J115" s="159"/>
    </row>
    <row r="116" spans="1:10" ht="15.75" customHeight="1" x14ac:dyDescent="0.2">
      <c r="A116" s="298" t="s">
        <v>12</v>
      </c>
      <c r="B116" s="230">
        <v>0</v>
      </c>
      <c r="C116" s="230">
        <v>0</v>
      </c>
      <c r="D116" s="170" t="str">
        <f t="shared" si="34"/>
        <v/>
      </c>
      <c r="E116" s="37" t="s">
        <v>402</v>
      </c>
      <c r="F116" s="37" t="s">
        <v>402</v>
      </c>
      <c r="G116" s="159" t="str">
        <f t="shared" si="33"/>
        <v/>
      </c>
      <c r="H116" s="233">
        <f t="shared" si="31"/>
        <v>0</v>
      </c>
      <c r="I116" s="233">
        <f t="shared" si="32"/>
        <v>0</v>
      </c>
      <c r="J116" s="159"/>
    </row>
    <row r="117" spans="1:10" ht="15.75" customHeight="1" x14ac:dyDescent="0.2">
      <c r="A117" s="298" t="s">
        <v>13</v>
      </c>
      <c r="B117" s="232">
        <v>0</v>
      </c>
      <c r="C117" s="232">
        <v>0</v>
      </c>
      <c r="D117" s="170" t="str">
        <f t="shared" si="34"/>
        <v/>
      </c>
      <c r="E117" s="37" t="s">
        <v>402</v>
      </c>
      <c r="F117" s="37" t="s">
        <v>402</v>
      </c>
      <c r="G117" s="159" t="str">
        <f t="shared" si="33"/>
        <v/>
      </c>
      <c r="H117" s="233">
        <f t="shared" si="31"/>
        <v>0</v>
      </c>
      <c r="I117" s="233">
        <f t="shared" si="32"/>
        <v>0</v>
      </c>
      <c r="J117" s="164"/>
    </row>
    <row r="118" spans="1:10" ht="15.75" customHeight="1" x14ac:dyDescent="0.2">
      <c r="A118" s="18" t="s">
        <v>342</v>
      </c>
      <c r="B118" s="229">
        <v>5780.5609999999997</v>
      </c>
      <c r="C118" s="229">
        <v>16150.783884974602</v>
      </c>
      <c r="D118" s="159">
        <f t="shared" si="19"/>
        <v>179.4</v>
      </c>
      <c r="E118" s="37">
        <v>0</v>
      </c>
      <c r="F118" s="37">
        <v>0</v>
      </c>
      <c r="G118" s="159"/>
      <c r="H118" s="233">
        <f t="shared" si="31"/>
        <v>5780.5609999999997</v>
      </c>
      <c r="I118" s="233">
        <f t="shared" si="32"/>
        <v>16150.783884974602</v>
      </c>
      <c r="J118" s="159">
        <f t="shared" si="22"/>
        <v>179.4</v>
      </c>
    </row>
    <row r="119" spans="1:10" ht="15.75" customHeight="1" x14ac:dyDescent="0.2">
      <c r="A119" s="11" t="s">
        <v>28</v>
      </c>
      <c r="B119" s="310">
        <v>368658443.86848575</v>
      </c>
      <c r="C119" s="310">
        <v>372982202.13527203</v>
      </c>
      <c r="D119" s="159">
        <f t="shared" si="19"/>
        <v>1.2</v>
      </c>
      <c r="E119" s="231">
        <v>145985806.21176547</v>
      </c>
      <c r="F119" s="231">
        <v>177731566.44936433</v>
      </c>
      <c r="G119" s="159">
        <f t="shared" si="20"/>
        <v>21.7</v>
      </c>
      <c r="H119" s="331">
        <f t="shared" si="31"/>
        <v>514644250.08025122</v>
      </c>
      <c r="I119" s="331">
        <f t="shared" si="32"/>
        <v>550713768.58463633</v>
      </c>
      <c r="J119" s="159">
        <f t="shared" si="22"/>
        <v>7</v>
      </c>
    </row>
    <row r="120" spans="1:10" ht="15.75" customHeight="1" x14ac:dyDescent="0.2">
      <c r="A120" s="18" t="s">
        <v>9</v>
      </c>
      <c r="B120" s="229">
        <v>367063982.94532579</v>
      </c>
      <c r="C120" s="229">
        <v>370609518.45220196</v>
      </c>
      <c r="D120" s="159">
        <f t="shared" si="19"/>
        <v>1</v>
      </c>
      <c r="E120" s="37">
        <v>0</v>
      </c>
      <c r="F120" s="37">
        <v>0</v>
      </c>
      <c r="G120" s="159"/>
      <c r="H120" s="233">
        <f t="shared" si="31"/>
        <v>367063982.94532579</v>
      </c>
      <c r="I120" s="233">
        <f t="shared" si="32"/>
        <v>370609518.45220196</v>
      </c>
      <c r="J120" s="159">
        <f t="shared" si="22"/>
        <v>1</v>
      </c>
    </row>
    <row r="121" spans="1:10" ht="15.75" customHeight="1" x14ac:dyDescent="0.2">
      <c r="A121" s="18" t="s">
        <v>10</v>
      </c>
      <c r="B121" s="229">
        <v>1544510.38616</v>
      </c>
      <c r="C121" s="229">
        <v>2273169.6015999997</v>
      </c>
      <c r="D121" s="159">
        <f t="shared" si="19"/>
        <v>47.2</v>
      </c>
      <c r="E121" s="37">
        <v>145985806.21176547</v>
      </c>
      <c r="F121" s="37">
        <v>177516436.03479433</v>
      </c>
      <c r="G121" s="159">
        <f t="shared" si="20"/>
        <v>21.6</v>
      </c>
      <c r="H121" s="233">
        <f t="shared" si="31"/>
        <v>147530316.59792545</v>
      </c>
      <c r="I121" s="233">
        <f t="shared" si="32"/>
        <v>179789605.63639432</v>
      </c>
      <c r="J121" s="159">
        <f t="shared" si="22"/>
        <v>21.9</v>
      </c>
    </row>
    <row r="122" spans="1:10" ht="15.75" customHeight="1" x14ac:dyDescent="0.2">
      <c r="A122" s="298" t="s">
        <v>330</v>
      </c>
      <c r="B122" s="37" t="s">
        <v>402</v>
      </c>
      <c r="C122" s="37" t="s">
        <v>402</v>
      </c>
      <c r="D122" s="170" t="str">
        <f t="shared" ref="D122:D127" si="35">IF($A$1=4,IF(B122=0, "    ---- ", IF(ABS(ROUND(100/B122*C122-100,1))&lt;999,ROUND(100/B122*C122-100,1),IF(ROUND(100/B122*C122-100,1)&gt;999,999,-999))),"")</f>
        <v/>
      </c>
      <c r="E122" s="37" t="s">
        <v>402</v>
      </c>
      <c r="F122" s="37" t="s">
        <v>402</v>
      </c>
      <c r="G122" s="159" t="str">
        <f t="shared" ref="G122:G127" si="36">IF($A$1=4,IF(E122=0, "    ---- ", IF(ABS(ROUND(100/E122*F122-100,1))&lt;999,ROUND(100/E122*F122-100,1),IF(ROUND(100/E122*F122-100,1)&gt;999,999,-999))),"")</f>
        <v/>
      </c>
      <c r="H122" s="233">
        <f t="shared" si="31"/>
        <v>0</v>
      </c>
      <c r="I122" s="233">
        <f t="shared" si="32"/>
        <v>0</v>
      </c>
      <c r="J122" s="159"/>
    </row>
    <row r="123" spans="1:10" ht="15.75" customHeight="1" x14ac:dyDescent="0.2">
      <c r="A123" s="298" t="s">
        <v>12</v>
      </c>
      <c r="B123" s="230">
        <v>0</v>
      </c>
      <c r="C123" s="230">
        <v>0</v>
      </c>
      <c r="D123" s="170" t="str">
        <f t="shared" si="35"/>
        <v/>
      </c>
      <c r="E123" s="37" t="s">
        <v>402</v>
      </c>
      <c r="F123" s="37" t="s">
        <v>402</v>
      </c>
      <c r="G123" s="159" t="str">
        <f t="shared" si="36"/>
        <v/>
      </c>
      <c r="H123" s="233">
        <f t="shared" si="31"/>
        <v>0</v>
      </c>
      <c r="I123" s="233">
        <f t="shared" si="32"/>
        <v>0</v>
      </c>
      <c r="J123" s="159"/>
    </row>
    <row r="124" spans="1:10" ht="15.75" customHeight="1" x14ac:dyDescent="0.2">
      <c r="A124" s="298" t="s">
        <v>13</v>
      </c>
      <c r="B124" s="230">
        <v>0</v>
      </c>
      <c r="C124" s="230">
        <v>0</v>
      </c>
      <c r="D124" s="170" t="str">
        <f t="shared" si="35"/>
        <v/>
      </c>
      <c r="E124" s="37" t="s">
        <v>402</v>
      </c>
      <c r="F124" s="37" t="s">
        <v>402</v>
      </c>
      <c r="G124" s="159" t="str">
        <f t="shared" si="36"/>
        <v/>
      </c>
      <c r="H124" s="233">
        <f t="shared" si="31"/>
        <v>0</v>
      </c>
      <c r="I124" s="233">
        <f t="shared" si="32"/>
        <v>0</v>
      </c>
      <c r="J124" s="159"/>
    </row>
    <row r="125" spans="1:10" ht="15.75" customHeight="1" x14ac:dyDescent="0.2">
      <c r="A125" s="298" t="s">
        <v>331</v>
      </c>
      <c r="B125" s="37" t="s">
        <v>402</v>
      </c>
      <c r="C125" s="37" t="s">
        <v>402</v>
      </c>
      <c r="D125" s="170" t="str">
        <f t="shared" si="35"/>
        <v/>
      </c>
      <c r="E125" s="37" t="s">
        <v>402</v>
      </c>
      <c r="F125" s="37" t="s">
        <v>402</v>
      </c>
      <c r="G125" s="159" t="str">
        <f t="shared" si="36"/>
        <v/>
      </c>
      <c r="H125" s="233">
        <f t="shared" si="31"/>
        <v>0</v>
      </c>
      <c r="I125" s="233">
        <f t="shared" si="32"/>
        <v>0</v>
      </c>
      <c r="J125" s="159"/>
    </row>
    <row r="126" spans="1:10" ht="15.75" customHeight="1" x14ac:dyDescent="0.2">
      <c r="A126" s="298" t="s">
        <v>12</v>
      </c>
      <c r="B126" s="230">
        <v>0</v>
      </c>
      <c r="C126" s="230">
        <v>0</v>
      </c>
      <c r="D126" s="170" t="str">
        <f t="shared" si="35"/>
        <v/>
      </c>
      <c r="E126" s="37" t="s">
        <v>402</v>
      </c>
      <c r="F126" s="37" t="s">
        <v>402</v>
      </c>
      <c r="G126" s="159" t="str">
        <f t="shared" si="36"/>
        <v/>
      </c>
      <c r="H126" s="233">
        <f t="shared" si="31"/>
        <v>0</v>
      </c>
      <c r="I126" s="233">
        <f t="shared" si="32"/>
        <v>0</v>
      </c>
      <c r="J126" s="159"/>
    </row>
    <row r="127" spans="1:10" ht="15.75" customHeight="1" x14ac:dyDescent="0.2">
      <c r="A127" s="298" t="s">
        <v>13</v>
      </c>
      <c r="B127" s="230">
        <v>0</v>
      </c>
      <c r="C127" s="230">
        <v>0</v>
      </c>
      <c r="D127" s="170" t="str">
        <f t="shared" si="35"/>
        <v/>
      </c>
      <c r="E127" s="37" t="s">
        <v>402</v>
      </c>
      <c r="F127" s="37" t="s">
        <v>402</v>
      </c>
      <c r="G127" s="159" t="str">
        <f t="shared" si="36"/>
        <v/>
      </c>
      <c r="H127" s="233">
        <f t="shared" si="31"/>
        <v>0</v>
      </c>
      <c r="I127" s="233">
        <f t="shared" si="32"/>
        <v>0</v>
      </c>
      <c r="J127" s="159"/>
    </row>
    <row r="128" spans="1:10" ht="15.75" customHeight="1" x14ac:dyDescent="0.2">
      <c r="A128" s="18" t="s">
        <v>34</v>
      </c>
      <c r="B128" s="229">
        <v>49950.536999999997</v>
      </c>
      <c r="C128" s="229">
        <v>99514.081470000005</v>
      </c>
      <c r="D128" s="159">
        <f t="shared" si="19"/>
        <v>99.2</v>
      </c>
      <c r="E128" s="37">
        <v>0</v>
      </c>
      <c r="F128" s="37">
        <v>215130.41457000002</v>
      </c>
      <c r="G128" s="159" t="str">
        <f t="shared" si="20"/>
        <v xml:space="preserve">    ---- </v>
      </c>
      <c r="H128" s="233">
        <f t="shared" si="31"/>
        <v>49950.536999999997</v>
      </c>
      <c r="I128" s="233">
        <f t="shared" si="32"/>
        <v>314644.49604</v>
      </c>
      <c r="J128" s="159">
        <f t="shared" si="22"/>
        <v>529.9</v>
      </c>
    </row>
    <row r="129" spans="1:10" ht="15.75" customHeight="1" x14ac:dyDescent="0.2">
      <c r="A129" s="18" t="s">
        <v>332</v>
      </c>
      <c r="B129" s="229">
        <v>363966181.63188577</v>
      </c>
      <c r="C129" s="229">
        <v>368048616.75780201</v>
      </c>
      <c r="D129" s="159">
        <f t="shared" si="19"/>
        <v>1.1000000000000001</v>
      </c>
      <c r="E129" s="37">
        <v>145481181.49898547</v>
      </c>
      <c r="F129" s="37">
        <v>177131195.10062432</v>
      </c>
      <c r="G129" s="159">
        <f t="shared" si="20"/>
        <v>21.8</v>
      </c>
      <c r="H129" s="233">
        <f t="shared" si="31"/>
        <v>509447363.13087124</v>
      </c>
      <c r="I129" s="233">
        <f t="shared" si="32"/>
        <v>545179811.85842633</v>
      </c>
      <c r="J129" s="159">
        <f t="shared" si="22"/>
        <v>7</v>
      </c>
    </row>
    <row r="130" spans="1:10" ht="15.75" customHeight="1" x14ac:dyDescent="0.2">
      <c r="A130" s="18" t="s">
        <v>9</v>
      </c>
      <c r="B130" s="229">
        <v>362421671.24572581</v>
      </c>
      <c r="C130" s="229">
        <v>365775447.31820202</v>
      </c>
      <c r="D130" s="159">
        <f t="shared" si="19"/>
        <v>0.9</v>
      </c>
      <c r="E130" s="37">
        <v>0</v>
      </c>
      <c r="F130" s="37">
        <v>0</v>
      </c>
      <c r="G130" s="159"/>
      <c r="H130" s="233">
        <f t="shared" si="31"/>
        <v>362421671.24572581</v>
      </c>
      <c r="I130" s="233">
        <f t="shared" si="32"/>
        <v>365775447.31820202</v>
      </c>
      <c r="J130" s="159">
        <f t="shared" si="22"/>
        <v>0.9</v>
      </c>
    </row>
    <row r="131" spans="1:10" ht="15.75" customHeight="1" x14ac:dyDescent="0.2">
      <c r="A131" s="18" t="s">
        <v>10</v>
      </c>
      <c r="B131" s="229">
        <v>1544510.38616</v>
      </c>
      <c r="C131" s="229">
        <v>2273169.4395999997</v>
      </c>
      <c r="D131" s="159">
        <f t="shared" si="19"/>
        <v>47.2</v>
      </c>
      <c r="E131" s="37">
        <v>145481181.49898547</v>
      </c>
      <c r="F131" s="37">
        <v>177131195.10062432</v>
      </c>
      <c r="G131" s="159">
        <f t="shared" si="20"/>
        <v>21.8</v>
      </c>
      <c r="H131" s="233">
        <f t="shared" si="31"/>
        <v>147025691.88514546</v>
      </c>
      <c r="I131" s="233">
        <f t="shared" si="32"/>
        <v>179404364.54022431</v>
      </c>
      <c r="J131" s="159">
        <f t="shared" si="22"/>
        <v>22</v>
      </c>
    </row>
    <row r="132" spans="1:10" ht="15.75" customHeight="1" x14ac:dyDescent="0.2">
      <c r="A132" s="298" t="s">
        <v>330</v>
      </c>
      <c r="B132" s="37" t="s">
        <v>402</v>
      </c>
      <c r="C132" s="37" t="s">
        <v>402</v>
      </c>
      <c r="D132" s="170" t="str">
        <f t="shared" ref="D132:D137" si="37">IF($A$1=4,IF(B132=0, "    ---- ", IF(ABS(ROUND(100/B132*C132-100,1))&lt;999,ROUND(100/B132*C132-100,1),IF(ROUND(100/B132*C132-100,1)&gt;999,999,-999))),"")</f>
        <v/>
      </c>
      <c r="E132" s="37" t="s">
        <v>402</v>
      </c>
      <c r="F132" s="37" t="s">
        <v>402</v>
      </c>
      <c r="G132" s="159" t="str">
        <f t="shared" ref="G132:G137" si="38">IF($A$1=4,IF(E132=0, "    ---- ", IF(ABS(ROUND(100/E132*F132-100,1))&lt;999,ROUND(100/E132*F132-100,1),IF(ROUND(100/E132*F132-100,1)&gt;999,999,-999))),"")</f>
        <v/>
      </c>
      <c r="H132" s="233">
        <f t="shared" si="31"/>
        <v>0</v>
      </c>
      <c r="I132" s="233">
        <f t="shared" si="32"/>
        <v>0</v>
      </c>
      <c r="J132" s="159"/>
    </row>
    <row r="133" spans="1:10" ht="15.75" customHeight="1" x14ac:dyDescent="0.2">
      <c r="A133" s="298" t="s">
        <v>12</v>
      </c>
      <c r="B133" s="230">
        <v>0</v>
      </c>
      <c r="C133" s="230">
        <v>0</v>
      </c>
      <c r="D133" s="170" t="str">
        <f t="shared" si="37"/>
        <v/>
      </c>
      <c r="E133" s="37" t="s">
        <v>402</v>
      </c>
      <c r="F133" s="37" t="s">
        <v>402</v>
      </c>
      <c r="G133" s="159" t="str">
        <f t="shared" si="38"/>
        <v/>
      </c>
      <c r="H133" s="233">
        <f t="shared" si="31"/>
        <v>0</v>
      </c>
      <c r="I133" s="233">
        <f t="shared" si="32"/>
        <v>0</v>
      </c>
      <c r="J133" s="159"/>
    </row>
    <row r="134" spans="1:10" ht="15.75" customHeight="1" x14ac:dyDescent="0.2">
      <c r="A134" s="298" t="s">
        <v>13</v>
      </c>
      <c r="B134" s="230">
        <v>0</v>
      </c>
      <c r="C134" s="230">
        <v>0</v>
      </c>
      <c r="D134" s="170" t="str">
        <f t="shared" si="37"/>
        <v/>
      </c>
      <c r="E134" s="37" t="s">
        <v>402</v>
      </c>
      <c r="F134" s="37" t="s">
        <v>402</v>
      </c>
      <c r="G134" s="159" t="str">
        <f t="shared" si="38"/>
        <v/>
      </c>
      <c r="H134" s="233">
        <f t="shared" si="31"/>
        <v>0</v>
      </c>
      <c r="I134" s="233">
        <f t="shared" si="32"/>
        <v>0</v>
      </c>
      <c r="J134" s="159"/>
    </row>
    <row r="135" spans="1:10" ht="15.75" customHeight="1" x14ac:dyDescent="0.2">
      <c r="A135" s="298" t="s">
        <v>331</v>
      </c>
      <c r="B135" s="37" t="s">
        <v>402</v>
      </c>
      <c r="C135" s="37" t="s">
        <v>402</v>
      </c>
      <c r="D135" s="170" t="str">
        <f t="shared" si="37"/>
        <v/>
      </c>
      <c r="E135" s="37" t="s">
        <v>402</v>
      </c>
      <c r="F135" s="37" t="s">
        <v>402</v>
      </c>
      <c r="G135" s="159" t="str">
        <f t="shared" si="38"/>
        <v/>
      </c>
      <c r="H135" s="233">
        <f t="shared" si="31"/>
        <v>0</v>
      </c>
      <c r="I135" s="233">
        <f t="shared" si="32"/>
        <v>0</v>
      </c>
      <c r="J135" s="159"/>
    </row>
    <row r="136" spans="1:10" ht="15.75" customHeight="1" x14ac:dyDescent="0.2">
      <c r="A136" s="298" t="s">
        <v>12</v>
      </c>
      <c r="B136" s="230">
        <v>0</v>
      </c>
      <c r="C136" s="230">
        <v>0</v>
      </c>
      <c r="D136" s="170" t="str">
        <f t="shared" si="37"/>
        <v/>
      </c>
      <c r="E136" s="37" t="s">
        <v>402</v>
      </c>
      <c r="F136" s="37" t="s">
        <v>402</v>
      </c>
      <c r="G136" s="159" t="str">
        <f t="shared" si="38"/>
        <v/>
      </c>
      <c r="H136" s="233">
        <f t="shared" si="31"/>
        <v>0</v>
      </c>
      <c r="I136" s="233">
        <f t="shared" si="32"/>
        <v>0</v>
      </c>
      <c r="J136" s="159"/>
    </row>
    <row r="137" spans="1:10" ht="15.75" customHeight="1" x14ac:dyDescent="0.2">
      <c r="A137" s="298" t="s">
        <v>13</v>
      </c>
      <c r="B137" s="230">
        <v>0</v>
      </c>
      <c r="C137" s="230">
        <v>0</v>
      </c>
      <c r="D137" s="170" t="str">
        <f t="shared" si="37"/>
        <v/>
      </c>
      <c r="E137" s="37" t="s">
        <v>402</v>
      </c>
      <c r="F137" s="37" t="s">
        <v>402</v>
      </c>
      <c r="G137" s="159" t="str">
        <f t="shared" si="38"/>
        <v/>
      </c>
      <c r="H137" s="233">
        <f t="shared" si="31"/>
        <v>0</v>
      </c>
      <c r="I137" s="233">
        <f t="shared" si="32"/>
        <v>0</v>
      </c>
      <c r="J137" s="159"/>
    </row>
    <row r="138" spans="1:10" ht="15.75" customHeight="1" x14ac:dyDescent="0.2">
      <c r="A138" s="18" t="s">
        <v>342</v>
      </c>
      <c r="B138" s="229">
        <v>4642311.6995999999</v>
      </c>
      <c r="C138" s="229">
        <v>4834071.1340000005</v>
      </c>
      <c r="D138" s="159">
        <f t="shared" si="19"/>
        <v>4.0999999999999996</v>
      </c>
      <c r="E138" s="37">
        <v>504624.71278000006</v>
      </c>
      <c r="F138" s="37">
        <v>385240.93417000002</v>
      </c>
      <c r="G138" s="159">
        <f t="shared" si="20"/>
        <v>-23.7</v>
      </c>
      <c r="H138" s="233">
        <f t="shared" si="31"/>
        <v>5146936.4123799996</v>
      </c>
      <c r="I138" s="233">
        <f t="shared" si="32"/>
        <v>5219312.0681700008</v>
      </c>
      <c r="J138" s="159">
        <f t="shared" si="22"/>
        <v>1.4</v>
      </c>
    </row>
    <row r="139" spans="1:10" ht="15.75" customHeight="1" x14ac:dyDescent="0.2">
      <c r="A139" s="18" t="s">
        <v>343</v>
      </c>
      <c r="B139" s="229">
        <v>233154124.46260971</v>
      </c>
      <c r="C139" s="229">
        <v>269456256.5503034</v>
      </c>
      <c r="D139" s="159">
        <f t="shared" si="19"/>
        <v>15.6</v>
      </c>
      <c r="E139" s="37">
        <v>4780311.7520000003</v>
      </c>
      <c r="F139" s="37">
        <v>5819697.2010000004</v>
      </c>
      <c r="G139" s="159">
        <f t="shared" si="20"/>
        <v>21.7</v>
      </c>
      <c r="H139" s="233">
        <f t="shared" si="31"/>
        <v>237934436.21460971</v>
      </c>
      <c r="I139" s="233">
        <f t="shared" si="32"/>
        <v>275275953.75130337</v>
      </c>
      <c r="J139" s="159">
        <f t="shared" si="22"/>
        <v>15.7</v>
      </c>
    </row>
    <row r="140" spans="1:10" ht="15.75" customHeight="1" x14ac:dyDescent="0.2">
      <c r="A140" s="18" t="s">
        <v>334</v>
      </c>
      <c r="B140" s="229">
        <v>685767.92999999993</v>
      </c>
      <c r="C140" s="229">
        <v>746742.42926</v>
      </c>
      <c r="D140" s="159">
        <f t="shared" si="19"/>
        <v>8.9</v>
      </c>
      <c r="E140" s="37">
        <v>44466893.523489997</v>
      </c>
      <c r="F140" s="37">
        <v>55781567.049887195</v>
      </c>
      <c r="G140" s="159">
        <f t="shared" si="20"/>
        <v>25.4</v>
      </c>
      <c r="H140" s="233">
        <f t="shared" si="31"/>
        <v>45152661.453489996</v>
      </c>
      <c r="I140" s="233">
        <f t="shared" si="32"/>
        <v>56528309.479147196</v>
      </c>
      <c r="J140" s="159">
        <f t="shared" si="22"/>
        <v>25.2</v>
      </c>
    </row>
    <row r="141" spans="1:10" ht="15.75" customHeight="1" x14ac:dyDescent="0.2">
      <c r="A141" s="18" t="s">
        <v>335</v>
      </c>
      <c r="B141" s="229">
        <v>561.75099999999998</v>
      </c>
      <c r="C141" s="229">
        <v>2077.2370000000001</v>
      </c>
      <c r="D141" s="159">
        <f t="shared" si="19"/>
        <v>269.8</v>
      </c>
      <c r="E141" s="37">
        <v>0</v>
      </c>
      <c r="F141" s="37">
        <v>0</v>
      </c>
      <c r="G141" s="159"/>
      <c r="H141" s="233">
        <f t="shared" si="31"/>
        <v>561.75099999999998</v>
      </c>
      <c r="I141" s="233">
        <f t="shared" si="32"/>
        <v>2077.2370000000001</v>
      </c>
      <c r="J141" s="159">
        <f t="shared" si="22"/>
        <v>269.8</v>
      </c>
    </row>
    <row r="142" spans="1:10" ht="15.75" customHeight="1" x14ac:dyDescent="0.2">
      <c r="A142" s="11" t="s">
        <v>27</v>
      </c>
      <c r="B142" s="310">
        <v>1194481.88344</v>
      </c>
      <c r="C142" s="310">
        <v>1238885.1512199999</v>
      </c>
      <c r="D142" s="159">
        <f t="shared" si="19"/>
        <v>3.7</v>
      </c>
      <c r="E142" s="231">
        <v>4323484.6934000002</v>
      </c>
      <c r="F142" s="231">
        <v>6066133.60054</v>
      </c>
      <c r="G142" s="159">
        <f t="shared" si="20"/>
        <v>40.299999999999997</v>
      </c>
      <c r="H142" s="331">
        <f t="shared" si="31"/>
        <v>5517966.5768400002</v>
      </c>
      <c r="I142" s="331">
        <f t="shared" si="32"/>
        <v>7305018.7517600004</v>
      </c>
      <c r="J142" s="159">
        <f t="shared" si="22"/>
        <v>32.4</v>
      </c>
    </row>
    <row r="143" spans="1:10" ht="15.75" customHeight="1" x14ac:dyDescent="0.2">
      <c r="A143" s="18" t="s">
        <v>9</v>
      </c>
      <c r="B143" s="229">
        <v>1185516.64451</v>
      </c>
      <c r="C143" s="229">
        <v>1234680.7219400001</v>
      </c>
      <c r="D143" s="159">
        <f t="shared" ref="D143:D157" si="39">IF(B143=0, "    ---- ", IF(ABS(ROUND(100/B143*C143-100,1))&lt;999,ROUND(100/B143*C143-100,1),IF(ROUND(100/B143*C143-100,1)&gt;999,999,-999)))</f>
        <v>4.0999999999999996</v>
      </c>
      <c r="E143" s="37">
        <v>0</v>
      </c>
      <c r="F143" s="37">
        <v>0</v>
      </c>
      <c r="G143" s="159"/>
      <c r="H143" s="233">
        <f t="shared" ref="H143:H157" si="40">SUM(B143,E143)</f>
        <v>1185516.64451</v>
      </c>
      <c r="I143" s="233">
        <f t="shared" ref="I143:I157" si="41">SUM(C143,F143)</f>
        <v>1234680.7219400001</v>
      </c>
      <c r="J143" s="159">
        <f t="shared" ref="J143:J157" si="42">IF(H143=0, "    ---- ", IF(ABS(ROUND(100/H143*I143-100,1))&lt;999,ROUND(100/H143*I143-100,1),IF(ROUND(100/H143*I143-100,1)&gt;999,999,-999)))</f>
        <v>4.0999999999999996</v>
      </c>
    </row>
    <row r="144" spans="1:10" ht="15.75" customHeight="1" x14ac:dyDescent="0.2">
      <c r="A144" s="18" t="s">
        <v>10</v>
      </c>
      <c r="B144" s="229">
        <v>8965.2389299999995</v>
      </c>
      <c r="C144" s="229">
        <v>4204.4292800000003</v>
      </c>
      <c r="D144" s="159">
        <f t="shared" si="39"/>
        <v>-53.1</v>
      </c>
      <c r="E144" s="37">
        <v>4323484.6934000002</v>
      </c>
      <c r="F144" s="37">
        <v>6066133.60054</v>
      </c>
      <c r="G144" s="164">
        <f t="shared" ref="G144:G156" si="43">IF(E144=0, "    ---- ", IF(ABS(ROUND(100/E144*F144-100,1))&lt;999,ROUND(100/E144*F144-100,1),IF(ROUND(100/E144*F144-100,1)&gt;999,999,-999)))</f>
        <v>40.299999999999997</v>
      </c>
      <c r="H144" s="233">
        <f t="shared" si="40"/>
        <v>4332449.9323300002</v>
      </c>
      <c r="I144" s="233">
        <f t="shared" si="41"/>
        <v>6070338.0298199998</v>
      </c>
      <c r="J144" s="164">
        <f t="shared" si="42"/>
        <v>40.1</v>
      </c>
    </row>
    <row r="145" spans="1:10" ht="15.75" customHeight="1" x14ac:dyDescent="0.2">
      <c r="A145" s="18" t="s">
        <v>34</v>
      </c>
      <c r="B145" s="229"/>
      <c r="C145" s="229"/>
      <c r="D145" s="159"/>
      <c r="E145" s="37"/>
      <c r="F145" s="37"/>
      <c r="G145" s="164"/>
      <c r="H145" s="233"/>
      <c r="I145" s="233"/>
      <c r="J145" s="164"/>
    </row>
    <row r="146" spans="1:10" ht="15.75" customHeight="1" x14ac:dyDescent="0.2">
      <c r="A146" s="298" t="s">
        <v>15</v>
      </c>
      <c r="B146" s="37">
        <f>SUM('ACE European Group'!B146+'Danica Pensjonsforsikring'!B146+'DNB Livsforsikring'!B146+'Eika Forsikring AS'!B146+'Frende Livsforsikring'!B146+'Frende Skadeforsikring'!B146+'Gjensidige Forsikring'!B146+'Gjensidige Pensjon'!B146+'Handelsbanken Liv'!B146+'If Skadeforsikring NUF'!B146+KLP!B146+'KLP Bedriftspensjon AS'!B146+'KLP Skadeforsikring AS'!B146+'Landbruksforsikring AS'!B146+'NEMI Forsikring'!B146+'Nordea Liv '!B146+'Oslo Pensjonsforsikring'!B146+'SHB Liv'!B146+'Silver Pensjonsforsikring AS'!B146+'Sparebank 1'!B146+'Storebrand Livsforsikring'!B146+'Telenor Forsikring'!B146+'Tryg Forsikring'!B146)</f>
        <v>1188.5519999999999</v>
      </c>
      <c r="C146" s="37">
        <f>SUM('ACE European Group'!C146+'Danica Pensjonsforsikring'!C146+'DNB Livsforsikring'!C146+'Eika Forsikring AS'!C146+'Frende Livsforsikring'!C146+'Frende Skadeforsikring'!C146+'Gjensidige Forsikring'!C146+'Gjensidige Pensjon'!C146+'Handelsbanken Liv'!C146+'If Skadeforsikring NUF'!C146+KLP!C146+'KLP Bedriftspensjon AS'!C146+'KLP Skadeforsikring AS'!C146+'Landbruksforsikring AS'!C146+'NEMI Forsikring'!C146+'Nordea Liv '!C146+'Oslo Pensjonsforsikring'!C146+'SHB Liv'!C146+'Silver Pensjonsforsikring AS'!C146+'Sparebank 1'!C146+'Storebrand Livsforsikring'!C146+'Telenor Forsikring'!C146+'Tryg Forsikring'!C146)</f>
        <v>1786.3810000000001</v>
      </c>
      <c r="D146" s="159">
        <f t="shared" si="39"/>
        <v>50.3</v>
      </c>
      <c r="E146" s="37">
        <f>SUM('ACE European Group'!F146+'Danica Pensjonsforsikring'!F146+'DNB Livsforsikring'!F146+'Eika Forsikring AS'!F146+'Frende Livsforsikring'!F146+'Frende Skadeforsikring'!F146+'Gjensidige Forsikring'!F146+'Gjensidige Pensjon'!F146+'Handelsbanken Liv'!F146+'If Skadeforsikring NUF'!F146+KLP!E146+'KLP Bedriftspensjon AS'!F146+'KLP Skadeforsikring AS'!F146+'Landbruksforsikring AS'!F146+'NEMI Forsikring'!F146+'Nordea Liv '!F146+'Oslo Pensjonsforsikring'!F146+'SHB Liv'!F146+'Silver Pensjonsforsikring AS'!F146+'Sparebank 1'!F146+'Storebrand Livsforsikring'!F146+'Telenor Forsikring'!F146+'Tryg Forsikring'!F146)</f>
        <v>149730</v>
      </c>
      <c r="F146" s="37">
        <f>SUM('ACE European Group'!G146+'Danica Pensjonsforsikring'!G146+'DNB Livsforsikring'!G146+'Eika Forsikring AS'!G146+'Frende Livsforsikring'!G146+'Frende Skadeforsikring'!G146+'Gjensidige Forsikring'!G146+'Gjensidige Pensjon'!G146+'Handelsbanken Liv'!G146+'If Skadeforsikring NUF'!G146+KLP!F146+'KLP Bedriftspensjon AS'!G146+'KLP Skadeforsikring AS'!G146+'Landbruksforsikring AS'!G146+'NEMI Forsikring'!G146+'Nordea Liv '!G146+'Oslo Pensjonsforsikring'!G146+'SHB Liv'!G146+'Silver Pensjonsforsikring AS'!G146+'Sparebank 1'!G146+'Storebrand Livsforsikring'!G146+'Telenor Forsikring'!G146+'Tryg Forsikring'!G146)</f>
        <v>179436</v>
      </c>
      <c r="G146" s="159">
        <f t="shared" si="43"/>
        <v>19.8</v>
      </c>
      <c r="H146" s="233">
        <f t="shared" ref="H146" si="44">SUM(B146,E146)</f>
        <v>150918.552</v>
      </c>
      <c r="I146" s="233">
        <f t="shared" ref="I146" si="45">SUM(C146,F146)</f>
        <v>181222.38099999999</v>
      </c>
      <c r="J146" s="159">
        <f t="shared" ref="J146" si="46">IF(H146=0, "    ---- ", IF(ABS(ROUND(100/H146*I146-100,1))&lt;999,ROUND(100/H146*I146-100,1),IF(ROUND(100/H146*I146-100,1)&gt;999,999,-999)))</f>
        <v>20.100000000000001</v>
      </c>
    </row>
    <row r="147" spans="1:10" ht="15.75" customHeight="1" x14ac:dyDescent="0.2">
      <c r="A147" s="18" t="s">
        <v>344</v>
      </c>
      <c r="B147" s="229">
        <v>499921.40650000004</v>
      </c>
      <c r="C147" s="229">
        <v>557576.28151</v>
      </c>
      <c r="D147" s="159">
        <f t="shared" si="39"/>
        <v>11.5</v>
      </c>
      <c r="E147" s="37">
        <v>76567.308000000005</v>
      </c>
      <c r="F147" s="37">
        <v>64717.866999999998</v>
      </c>
      <c r="G147" s="159">
        <f t="shared" si="43"/>
        <v>-15.5</v>
      </c>
      <c r="H147" s="233">
        <f t="shared" si="40"/>
        <v>576488.7145</v>
      </c>
      <c r="I147" s="233">
        <f t="shared" si="41"/>
        <v>622294.14850999997</v>
      </c>
      <c r="J147" s="159">
        <f t="shared" si="42"/>
        <v>7.9</v>
      </c>
    </row>
    <row r="148" spans="1:10" ht="15.75" customHeight="1" x14ac:dyDescent="0.2">
      <c r="A148" s="18" t="s">
        <v>336</v>
      </c>
      <c r="B148" s="229">
        <v>262</v>
      </c>
      <c r="C148" s="229">
        <v>13.897</v>
      </c>
      <c r="D148" s="159">
        <f t="shared" si="39"/>
        <v>-94.7</v>
      </c>
      <c r="E148" s="37">
        <v>678420.53100000008</v>
      </c>
      <c r="F148" s="37">
        <v>1126753.2276900001</v>
      </c>
      <c r="G148" s="159">
        <f t="shared" si="43"/>
        <v>66.099999999999994</v>
      </c>
      <c r="H148" s="233">
        <f t="shared" si="40"/>
        <v>678682.53100000008</v>
      </c>
      <c r="I148" s="233">
        <f t="shared" si="41"/>
        <v>1126767.1246900002</v>
      </c>
      <c r="J148" s="159">
        <f t="shared" si="42"/>
        <v>66</v>
      </c>
    </row>
    <row r="149" spans="1:10" ht="15.75" customHeight="1" x14ac:dyDescent="0.2">
      <c r="A149" s="18" t="s">
        <v>335</v>
      </c>
      <c r="B149" s="229"/>
      <c r="C149" s="229"/>
      <c r="D149" s="159"/>
      <c r="E149" s="37"/>
      <c r="F149" s="37"/>
      <c r="G149" s="159"/>
      <c r="H149" s="233"/>
      <c r="I149" s="233"/>
      <c r="J149" s="159"/>
    </row>
    <row r="150" spans="1:10" ht="15.75" customHeight="1" x14ac:dyDescent="0.2">
      <c r="A150" s="11" t="s">
        <v>26</v>
      </c>
      <c r="B150" s="331">
        <v>692304.66505000007</v>
      </c>
      <c r="C150" s="331">
        <v>872976.52811000007</v>
      </c>
      <c r="D150" s="159">
        <f t="shared" si="39"/>
        <v>26.1</v>
      </c>
      <c r="E150" s="231">
        <v>4372904.56348</v>
      </c>
      <c r="F150" s="231">
        <v>6203039.4937200006</v>
      </c>
      <c r="G150" s="164">
        <f t="shared" si="43"/>
        <v>41.9</v>
      </c>
      <c r="H150" s="331">
        <f t="shared" si="40"/>
        <v>5065209.22853</v>
      </c>
      <c r="I150" s="331">
        <f t="shared" si="41"/>
        <v>7076016.0218300009</v>
      </c>
      <c r="J150" s="164">
        <f t="shared" si="42"/>
        <v>39.700000000000003</v>
      </c>
    </row>
    <row r="151" spans="1:10" ht="15.75" customHeight="1" x14ac:dyDescent="0.2">
      <c r="A151" s="18" t="s">
        <v>9</v>
      </c>
      <c r="B151" s="233">
        <v>634277.21496000001</v>
      </c>
      <c r="C151" s="233">
        <v>826701.78600000008</v>
      </c>
      <c r="D151" s="159">
        <f t="shared" si="39"/>
        <v>30.3</v>
      </c>
      <c r="E151" s="37">
        <v>0</v>
      </c>
      <c r="F151" s="37">
        <v>0</v>
      </c>
      <c r="G151" s="159"/>
      <c r="H151" s="233">
        <f t="shared" si="40"/>
        <v>634277.21496000001</v>
      </c>
      <c r="I151" s="233">
        <f t="shared" si="41"/>
        <v>826701.78600000008</v>
      </c>
      <c r="J151" s="159">
        <f t="shared" si="42"/>
        <v>30.3</v>
      </c>
    </row>
    <row r="152" spans="1:10" ht="15.75" customHeight="1" x14ac:dyDescent="0.2">
      <c r="A152" s="18" t="s">
        <v>10</v>
      </c>
      <c r="B152" s="233">
        <v>58027.450089999998</v>
      </c>
      <c r="C152" s="233">
        <v>46274.742109999999</v>
      </c>
      <c r="D152" s="159">
        <f t="shared" si="39"/>
        <v>-20.3</v>
      </c>
      <c r="E152" s="37">
        <v>4372904.56348</v>
      </c>
      <c r="F152" s="37">
        <v>6203039.4937200006</v>
      </c>
      <c r="G152" s="159">
        <f t="shared" si="43"/>
        <v>41.9</v>
      </c>
      <c r="H152" s="233">
        <f t="shared" si="40"/>
        <v>4430932.0135700004</v>
      </c>
      <c r="I152" s="233">
        <f t="shared" si="41"/>
        <v>6249314.2358300006</v>
      </c>
      <c r="J152" s="159">
        <f t="shared" si="42"/>
        <v>41</v>
      </c>
    </row>
    <row r="153" spans="1:10" ht="15.75" customHeight="1" x14ac:dyDescent="0.2">
      <c r="A153" s="18" t="s">
        <v>34</v>
      </c>
      <c r="B153" s="233">
        <v>0</v>
      </c>
      <c r="C153" s="233">
        <v>0</v>
      </c>
      <c r="D153" s="159"/>
      <c r="E153" s="37"/>
      <c r="F153" s="37"/>
      <c r="G153" s="159"/>
      <c r="H153" s="233"/>
      <c r="I153" s="233"/>
      <c r="J153" s="159"/>
    </row>
    <row r="154" spans="1:10" ht="15.75" customHeight="1" x14ac:dyDescent="0.2">
      <c r="A154" s="298" t="s">
        <v>14</v>
      </c>
      <c r="B154" s="37">
        <f>SUM('ACE European Group'!B154+'Danica Pensjonsforsikring'!B154+'DNB Livsforsikring'!B154+'Eika Forsikring AS'!B154+'Frende Livsforsikring'!B154+'Frende Skadeforsikring'!B154+'Gjensidige Forsikring'!B154+'Gjensidige Pensjon'!B154+'Handelsbanken Liv'!B154+'If Skadeforsikring NUF'!B154+KLP!B154+'KLP Bedriftspensjon AS'!B154+'KLP Skadeforsikring AS'!B154+'Landbruksforsikring AS'!B154+'NEMI Forsikring'!B154+'Nordea Liv '!B154+'Oslo Pensjonsforsikring'!B154+'SHB Liv'!B154+'Silver Pensjonsforsikring AS'!B154+'Sparebank 1'!B154+'Storebrand Livsforsikring'!B154+'Telenor Forsikring'!B154+'Tryg Forsikring'!B154)</f>
        <v>0</v>
      </c>
      <c r="C154" s="37">
        <f>SUM('ACE European Group'!C154+'Danica Pensjonsforsikring'!C154+'DNB Livsforsikring'!C154+'Eika Forsikring AS'!C154+'Frende Livsforsikring'!C154+'Frende Skadeforsikring'!C154+'Gjensidige Forsikring'!C154+'Gjensidige Pensjon'!C154+'Handelsbanken Liv'!C154+'If Skadeforsikring NUF'!C154+KLP!C154+'KLP Bedriftspensjon AS'!C154+'KLP Skadeforsikring AS'!C154+'Landbruksforsikring AS'!C154+'NEMI Forsikring'!C154+'Nordea Liv '!C154+'Oslo Pensjonsforsikring'!C154+'SHB Liv'!C154+'Silver Pensjonsforsikring AS'!C154+'Sparebank 1'!C154+'Storebrand Livsforsikring'!C154+'Telenor Forsikring'!C154+'Tryg Forsikring'!C154)</f>
        <v>0</v>
      </c>
      <c r="D154" s="170"/>
      <c r="E154" s="37">
        <f>SUM('ACE European Group'!E154+'Danica Pensjonsforsikring'!E154+'DNB Livsforsikring'!E154+'Eika Forsikring AS'!E154+'Frende Livsforsikring'!E154+'Frende Skadeforsikring'!E154+'Gjensidige Forsikring'!E154+'Gjensidige Pensjon'!E154+'Handelsbanken Liv'!E154+'If Skadeforsikring NUF'!E154+KLP!E154+'KLP Bedriftspensjon AS'!E154+'KLP Skadeforsikring AS'!E154+'Landbruksforsikring AS'!E154+'NEMI Forsikring'!E154+'Nordea Liv '!E154+'Oslo Pensjonsforsikring'!E154+'SHB Liv'!E154+'Silver Pensjonsforsikring AS'!E154+'Sparebank 1'!E154+'Storebrand Livsforsikring'!E154+'Telenor Forsikring'!E154+'Tryg Forsikring'!E154)</f>
        <v>0</v>
      </c>
      <c r="F154" s="37">
        <f>SUM('ACE European Group'!F154+'Danica Pensjonsforsikring'!F154+'DNB Livsforsikring'!F154+'Eika Forsikring AS'!F154+'Frende Livsforsikring'!F154+'Frende Skadeforsikring'!F154+'Gjensidige Forsikring'!F154+'Gjensidige Pensjon'!F154+'Handelsbanken Liv'!F154+'If Skadeforsikring NUF'!F154+KLP!F154+'KLP Bedriftspensjon AS'!F154+'KLP Skadeforsikring AS'!F154+'Landbruksforsikring AS'!F154+'NEMI Forsikring'!F154+'Nordea Liv '!F154+'Oslo Pensjonsforsikring'!F154+'SHB Liv'!F154+'Silver Pensjonsforsikring AS'!F154+'Sparebank 1'!F154+'Storebrand Livsforsikring'!F154+'Telenor Forsikring'!F154+'Tryg Forsikring'!F154)</f>
        <v>0</v>
      </c>
      <c r="G154" s="159"/>
      <c r="H154" s="233"/>
      <c r="I154" s="233"/>
      <c r="J154" s="159"/>
    </row>
    <row r="155" spans="1:10" ht="15.75" customHeight="1" x14ac:dyDescent="0.2">
      <c r="A155" s="18" t="s">
        <v>333</v>
      </c>
      <c r="B155" s="233">
        <v>101069.09872000001</v>
      </c>
      <c r="C155" s="233">
        <v>74562.690999999992</v>
      </c>
      <c r="D155" s="159">
        <f t="shared" si="39"/>
        <v>-26.2</v>
      </c>
      <c r="E155" s="37">
        <v>0</v>
      </c>
      <c r="F155" s="37">
        <v>35574.688000000002</v>
      </c>
      <c r="G155" s="159" t="str">
        <f t="shared" si="43"/>
        <v xml:space="preserve">    ---- </v>
      </c>
      <c r="H155" s="233">
        <f t="shared" si="40"/>
        <v>101069.09872000001</v>
      </c>
      <c r="I155" s="233">
        <f t="shared" si="41"/>
        <v>110137.37899999999</v>
      </c>
      <c r="J155" s="159">
        <f t="shared" si="42"/>
        <v>9</v>
      </c>
    </row>
    <row r="156" spans="1:10" ht="15.75" customHeight="1" x14ac:dyDescent="0.2">
      <c r="A156" s="18" t="s">
        <v>334</v>
      </c>
      <c r="B156" s="233">
        <v>5659.6750000000002</v>
      </c>
      <c r="C156" s="233">
        <v>3675.8640500000001</v>
      </c>
      <c r="D156" s="159">
        <f t="shared" si="39"/>
        <v>-35.1</v>
      </c>
      <c r="E156" s="37">
        <v>683790.03700000001</v>
      </c>
      <c r="F156" s="37">
        <v>906135.74958000006</v>
      </c>
      <c r="G156" s="159">
        <f t="shared" si="43"/>
        <v>32.5</v>
      </c>
      <c r="H156" s="233">
        <f t="shared" si="40"/>
        <v>689449.71200000006</v>
      </c>
      <c r="I156" s="233">
        <f t="shared" si="41"/>
        <v>909811.61363000004</v>
      </c>
      <c r="J156" s="159">
        <f t="shared" si="42"/>
        <v>32</v>
      </c>
    </row>
    <row r="157" spans="1:10" ht="15.75" customHeight="1" x14ac:dyDescent="0.2">
      <c r="A157" s="9" t="s">
        <v>335</v>
      </c>
      <c r="B157" s="234">
        <v>38433.679239999998</v>
      </c>
      <c r="C157" s="235">
        <v>0</v>
      </c>
      <c r="D157" s="160">
        <f t="shared" si="39"/>
        <v>-100</v>
      </c>
      <c r="E157" s="38">
        <v>0</v>
      </c>
      <c r="F157" s="38">
        <v>0</v>
      </c>
      <c r="G157" s="160"/>
      <c r="H157" s="234">
        <f t="shared" si="40"/>
        <v>38433.679239999998</v>
      </c>
      <c r="I157" s="235">
        <f t="shared" si="41"/>
        <v>0</v>
      </c>
      <c r="J157" s="160">
        <f t="shared" si="42"/>
        <v>-100</v>
      </c>
    </row>
    <row r="158" spans="1:10" ht="15.75" customHeight="1" x14ac:dyDescent="0.2">
      <c r="A158" s="148"/>
    </row>
    <row r="159" spans="1:10" ht="15.75" customHeight="1" x14ac:dyDescent="0.2">
      <c r="A159" s="143"/>
    </row>
    <row r="160" spans="1:10" ht="15.75" customHeight="1" x14ac:dyDescent="0.25">
      <c r="A160" s="158" t="s">
        <v>35</v>
      </c>
    </row>
    <row r="161" spans="1:10" ht="15.75" customHeight="1" x14ac:dyDescent="0.25">
      <c r="A161" s="143"/>
      <c r="B161" s="827"/>
      <c r="C161" s="827"/>
      <c r="D161" s="827"/>
      <c r="E161" s="827"/>
      <c r="F161" s="827"/>
      <c r="G161" s="827"/>
      <c r="H161" s="827"/>
      <c r="I161" s="827"/>
      <c r="J161" s="827"/>
    </row>
    <row r="162" spans="1:10" s="3" customFormat="1" ht="20.100000000000001" customHeight="1" x14ac:dyDescent="0.2">
      <c r="A162" s="138"/>
      <c r="B162" s="828" t="s">
        <v>0</v>
      </c>
      <c r="C162" s="829"/>
      <c r="D162" s="830"/>
      <c r="E162" s="829" t="s">
        <v>1</v>
      </c>
      <c r="F162" s="829"/>
      <c r="G162" s="829"/>
      <c r="H162" s="828" t="s">
        <v>2</v>
      </c>
      <c r="I162" s="829"/>
      <c r="J162" s="830"/>
    </row>
    <row r="163" spans="1:10" s="3" customFormat="1" ht="15.75" customHeight="1" x14ac:dyDescent="0.2">
      <c r="A163" s="134"/>
      <c r="B163" s="17" t="s">
        <v>400</v>
      </c>
      <c r="C163" s="17" t="s">
        <v>401</v>
      </c>
      <c r="D163" s="246" t="s">
        <v>3</v>
      </c>
      <c r="E163" s="17" t="s">
        <v>400</v>
      </c>
      <c r="F163" s="17" t="s">
        <v>401</v>
      </c>
      <c r="G163" s="246" t="s">
        <v>3</v>
      </c>
      <c r="H163" s="17" t="s">
        <v>400</v>
      </c>
      <c r="I163" s="17" t="s">
        <v>401</v>
      </c>
      <c r="J163" s="246" t="s">
        <v>3</v>
      </c>
    </row>
    <row r="164" spans="1:10" s="3" customFormat="1" ht="15.75" customHeight="1" x14ac:dyDescent="0.2">
      <c r="A164" s="403"/>
      <c r="B164" s="13"/>
      <c r="C164" s="13"/>
      <c r="D164" s="15" t="s">
        <v>4</v>
      </c>
      <c r="E164" s="14"/>
      <c r="F164" s="14"/>
      <c r="G164" s="13" t="s">
        <v>4</v>
      </c>
      <c r="H164" s="14"/>
      <c r="I164" s="14"/>
      <c r="J164" s="13" t="s">
        <v>4</v>
      </c>
    </row>
    <row r="165" spans="1:10" s="3" customFormat="1" ht="15.75" customHeight="1" x14ac:dyDescent="0.2">
      <c r="A165" s="12" t="s">
        <v>337</v>
      </c>
      <c r="B165" s="231">
        <v>34112706.766619995</v>
      </c>
      <c r="C165" s="231">
        <v>37711667.575949997</v>
      </c>
      <c r="D165" s="153">
        <f t="shared" ref="D165:D169" si="47">IF(B165=0, "    ---- ", IF(ABS(ROUND(100/B165*C165-100,1))&lt;999,ROUND(100/B165*C165-100,1),IF(ROUND(100/B165*C165-100,1)&gt;999,999,-999)))</f>
        <v>10.6</v>
      </c>
      <c r="E165" s="231">
        <v>108686.046</v>
      </c>
      <c r="F165" s="231">
        <v>133629.31599999999</v>
      </c>
      <c r="G165" s="153">
        <f t="shared" ref="G165:G168" si="48">IF(E165=0, "    ---- ", IF(ABS(ROUND(100/E165*F165-100,1))&lt;999,ROUND(100/E165*F165-100,1),IF(ROUND(100/E165*F165-100,1)&gt;999,999,-999)))</f>
        <v>22.9</v>
      </c>
      <c r="H165" s="231">
        <f t="shared" ref="H165:I169" si="49">SUM(B165,E165)</f>
        <v>34221392.812619992</v>
      </c>
      <c r="I165" s="231">
        <f t="shared" si="49"/>
        <v>37845296.891949996</v>
      </c>
      <c r="J165" s="153">
        <f t="shared" ref="J165:J169" si="50">IF(H165=0, "    ---- ", IF(ABS(ROUND(100/H165*I165-100,1))&lt;999,ROUND(100/H165*I165-100,1),IF(ROUND(100/H165*I165-100,1)&gt;999,999,-999)))</f>
        <v>10.6</v>
      </c>
    </row>
    <row r="166" spans="1:10" s="3" customFormat="1" ht="15.75" customHeight="1" x14ac:dyDescent="0.2">
      <c r="A166" s="11" t="s">
        <v>338</v>
      </c>
      <c r="B166" s="231">
        <v>6277.7889999999998</v>
      </c>
      <c r="C166" s="231">
        <v>6182</v>
      </c>
      <c r="D166" s="153">
        <f t="shared" si="47"/>
        <v>-1.5</v>
      </c>
      <c r="E166" s="231">
        <v>0</v>
      </c>
      <c r="F166" s="231">
        <v>0</v>
      </c>
      <c r="G166" s="153"/>
      <c r="H166" s="231">
        <f t="shared" si="49"/>
        <v>6277.7889999999998</v>
      </c>
      <c r="I166" s="231">
        <f t="shared" si="49"/>
        <v>6182</v>
      </c>
      <c r="J166" s="153">
        <f t="shared" si="50"/>
        <v>-1.5</v>
      </c>
    </row>
    <row r="167" spans="1:10" s="3" customFormat="1" ht="15.75" customHeight="1" x14ac:dyDescent="0.2">
      <c r="A167" s="11" t="s">
        <v>339</v>
      </c>
      <c r="B167" s="231">
        <v>456211312.898</v>
      </c>
      <c r="C167" s="231">
        <v>489367156.48284</v>
      </c>
      <c r="D167" s="153">
        <f t="shared" si="47"/>
        <v>7.3</v>
      </c>
      <c r="E167" s="231">
        <v>2035724</v>
      </c>
      <c r="F167" s="231">
        <v>2181469.20615</v>
      </c>
      <c r="G167" s="153">
        <f t="shared" si="48"/>
        <v>7.2</v>
      </c>
      <c r="H167" s="231">
        <f t="shared" si="49"/>
        <v>458247036.898</v>
      </c>
      <c r="I167" s="231">
        <f t="shared" si="49"/>
        <v>491548625.68899</v>
      </c>
      <c r="J167" s="153">
        <f t="shared" si="50"/>
        <v>7.3</v>
      </c>
    </row>
    <row r="168" spans="1:10" s="3" customFormat="1" ht="15.75" customHeight="1" x14ac:dyDescent="0.2">
      <c r="A168" s="11" t="s">
        <v>340</v>
      </c>
      <c r="B168" s="231">
        <v>9266253.0258799996</v>
      </c>
      <c r="C168" s="231">
        <v>3252327.7580000004</v>
      </c>
      <c r="D168" s="153">
        <f t="shared" si="47"/>
        <v>-64.900000000000006</v>
      </c>
      <c r="E168" s="231">
        <v>121.548</v>
      </c>
      <c r="F168" s="231">
        <v>-35.832000000000001</v>
      </c>
      <c r="G168" s="153">
        <f t="shared" si="48"/>
        <v>-129.5</v>
      </c>
      <c r="H168" s="231">
        <f t="shared" si="49"/>
        <v>9266374.57388</v>
      </c>
      <c r="I168" s="231">
        <f t="shared" si="49"/>
        <v>3252291.9260000004</v>
      </c>
      <c r="J168" s="153">
        <f t="shared" si="50"/>
        <v>-64.900000000000006</v>
      </c>
    </row>
    <row r="169" spans="1:10" s="3" customFormat="1" ht="15.75" customHeight="1" x14ac:dyDescent="0.2">
      <c r="A169" s="34" t="s">
        <v>341</v>
      </c>
      <c r="B169" s="277">
        <v>17631933.530999999</v>
      </c>
      <c r="C169" s="277">
        <v>1936486.4849999999</v>
      </c>
      <c r="D169" s="163">
        <f t="shared" si="47"/>
        <v>-89</v>
      </c>
      <c r="E169" s="277">
        <v>0</v>
      </c>
      <c r="F169" s="277">
        <v>0</v>
      </c>
      <c r="G169" s="163"/>
      <c r="H169" s="277">
        <f t="shared" si="49"/>
        <v>17631933.530999999</v>
      </c>
      <c r="I169" s="277">
        <f t="shared" si="49"/>
        <v>1936486.4849999999</v>
      </c>
      <c r="J169" s="163">
        <f t="shared" si="50"/>
        <v>-89</v>
      </c>
    </row>
    <row r="170" spans="1:10" s="3" customFormat="1" ht="15.75" customHeight="1" x14ac:dyDescent="0.2">
      <c r="A170" s="8"/>
      <c r="E170" s="7"/>
      <c r="F170" s="7"/>
      <c r="G170" s="6"/>
      <c r="H170" s="7"/>
      <c r="I170" s="7"/>
      <c r="J170" s="6"/>
    </row>
    <row r="171" spans="1:10" ht="15.75" customHeight="1" x14ac:dyDescent="0.2"/>
    <row r="172" spans="1:10" ht="15.75" customHeight="1" x14ac:dyDescent="0.2"/>
    <row r="173" spans="1:10" ht="15.75" customHeight="1" x14ac:dyDescent="0.2"/>
    <row r="174" spans="1:10" ht="15.75" customHeight="1" x14ac:dyDescent="0.2"/>
    <row r="175" spans="1:10" ht="15.75" customHeight="1" x14ac:dyDescent="0.2"/>
    <row r="176" spans="1:10"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sheetData>
  <mergeCells count="27">
    <mergeCell ref="B162:D162"/>
    <mergeCell ref="E162:G162"/>
    <mergeCell ref="H162:J162"/>
    <mergeCell ref="B161:D161"/>
    <mergeCell ref="E161:G161"/>
    <mergeCell ref="H161:J161"/>
    <mergeCell ref="B76:D76"/>
    <mergeCell ref="E76:G76"/>
    <mergeCell ref="H76:J76"/>
    <mergeCell ref="B22:D22"/>
    <mergeCell ref="E22:G22"/>
    <mergeCell ref="H22:J22"/>
    <mergeCell ref="B75:D75"/>
    <mergeCell ref="E75:G75"/>
    <mergeCell ref="H75:J75"/>
    <mergeCell ref="B49:D49"/>
    <mergeCell ref="E49:G49"/>
    <mergeCell ref="H49:J49"/>
    <mergeCell ref="B21:D21"/>
    <mergeCell ref="E21:G21"/>
    <mergeCell ref="H21:J21"/>
    <mergeCell ref="B2:D2"/>
    <mergeCell ref="E2:G2"/>
    <mergeCell ref="H2:J2"/>
    <mergeCell ref="B4:D4"/>
    <mergeCell ref="E4:G4"/>
    <mergeCell ref="H4:J4"/>
  </mergeCells>
  <conditionalFormatting sqref="H132:I137">
    <cfRule type="expression" dxfId="2686" priority="54">
      <formula>kvartal&lt;4</formula>
    </cfRule>
  </conditionalFormatting>
  <conditionalFormatting sqref="B26:C29 E26:F29">
    <cfRule type="expression" dxfId="2685" priority="68">
      <formula>kvartal&lt;4</formula>
    </cfRule>
  </conditionalFormatting>
  <conditionalFormatting sqref="H26:I29">
    <cfRule type="expression" dxfId="2684" priority="67">
      <formula>kvartal&lt;4</formula>
    </cfRule>
  </conditionalFormatting>
  <conditionalFormatting sqref="H32:I34">
    <cfRule type="expression" dxfId="2683" priority="66">
      <formula>kvartal&lt;4</formula>
    </cfRule>
  </conditionalFormatting>
  <conditionalFormatting sqref="H37:I39">
    <cfRule type="expression" dxfId="2682" priority="65">
      <formula>kvartal&lt;4</formula>
    </cfRule>
  </conditionalFormatting>
  <conditionalFormatting sqref="H82:I87">
    <cfRule type="expression" dxfId="2681" priority="62">
      <formula>kvartal&lt;4</formula>
    </cfRule>
  </conditionalFormatting>
  <conditionalFormatting sqref="H92:I97">
    <cfRule type="expression" dxfId="2680" priority="59">
      <formula>kvartal&lt;4</formula>
    </cfRule>
  </conditionalFormatting>
  <conditionalFormatting sqref="H102:I107">
    <cfRule type="expression" dxfId="2679" priority="57">
      <formula>kvartal&lt;4</formula>
    </cfRule>
  </conditionalFormatting>
  <conditionalFormatting sqref="H112:I117">
    <cfRule type="expression" dxfId="2678" priority="56">
      <formula>kvartal&lt;4</formula>
    </cfRule>
  </conditionalFormatting>
  <conditionalFormatting sqref="H122:I127">
    <cfRule type="expression" dxfId="2677" priority="55">
      <formula>kvartal&lt;4</formula>
    </cfRule>
  </conditionalFormatting>
  <conditionalFormatting sqref="H154:I154">
    <cfRule type="expression" dxfId="2676" priority="52">
      <formula>kvartal&lt;4</formula>
    </cfRule>
  </conditionalFormatting>
  <conditionalFormatting sqref="A34">
    <cfRule type="expression" dxfId="2675" priority="37">
      <formula>kvartal &lt; 4</formula>
    </cfRule>
  </conditionalFormatting>
  <conditionalFormatting sqref="A26:A28">
    <cfRule type="expression" dxfId="2674" priority="51">
      <formula>kvartal &lt; 4</formula>
    </cfRule>
  </conditionalFormatting>
  <conditionalFormatting sqref="A32:A33">
    <cfRule type="expression" dxfId="2673" priority="50">
      <formula>kvartal &lt; 4</formula>
    </cfRule>
  </conditionalFormatting>
  <conditionalFormatting sqref="A37:A39">
    <cfRule type="expression" dxfId="2672" priority="49">
      <formula>kvartal &lt; 4</formula>
    </cfRule>
  </conditionalFormatting>
  <conditionalFormatting sqref="A57:A59">
    <cfRule type="expression" dxfId="2671" priority="48">
      <formula>kvartal &lt; 4</formula>
    </cfRule>
  </conditionalFormatting>
  <conditionalFormatting sqref="A63:A65">
    <cfRule type="expression" dxfId="2670" priority="47">
      <formula>kvartal &lt; 4</formula>
    </cfRule>
  </conditionalFormatting>
  <conditionalFormatting sqref="A82:A87">
    <cfRule type="expression" dxfId="2669" priority="46">
      <formula>kvartal &lt; 4</formula>
    </cfRule>
  </conditionalFormatting>
  <conditionalFormatting sqref="A92:A97">
    <cfRule type="expression" dxfId="2668" priority="45">
      <formula>kvartal &lt; 4</formula>
    </cfRule>
  </conditionalFormatting>
  <conditionalFormatting sqref="A102:A107">
    <cfRule type="expression" dxfId="2667" priority="44">
      <formula>kvartal &lt; 4</formula>
    </cfRule>
  </conditionalFormatting>
  <conditionalFormatting sqref="A112:A117">
    <cfRule type="expression" dxfId="2666" priority="43">
      <formula>kvartal &lt; 4</formula>
    </cfRule>
  </conditionalFormatting>
  <conditionalFormatting sqref="A122:A127">
    <cfRule type="expression" dxfId="2665" priority="42">
      <formula>kvartal &lt; 4</formula>
    </cfRule>
  </conditionalFormatting>
  <conditionalFormatting sqref="A132:A137">
    <cfRule type="expression" dxfId="2664" priority="41">
      <formula>kvartal &lt; 4</formula>
    </cfRule>
  </conditionalFormatting>
  <conditionalFormatting sqref="A146">
    <cfRule type="expression" dxfId="2663" priority="40">
      <formula>kvartal &lt; 4</formula>
    </cfRule>
  </conditionalFormatting>
  <conditionalFormatting sqref="A154">
    <cfRule type="expression" dxfId="2662" priority="39">
      <formula>kvartal &lt; 4</formula>
    </cfRule>
  </conditionalFormatting>
  <conditionalFormatting sqref="A29">
    <cfRule type="expression" dxfId="2661" priority="38">
      <formula>kvartal &lt; 4</formula>
    </cfRule>
  </conditionalFormatting>
  <conditionalFormatting sqref="E32:F34">
    <cfRule type="expression" dxfId="2660" priority="36">
      <formula>kvartal&lt;4</formula>
    </cfRule>
  </conditionalFormatting>
  <conditionalFormatting sqref="E37:F39">
    <cfRule type="expression" dxfId="2659" priority="35">
      <formula>kvartal&lt;4</formula>
    </cfRule>
  </conditionalFormatting>
  <conditionalFormatting sqref="B32:C34">
    <cfRule type="expression" dxfId="2658" priority="34">
      <formula>kvartal&lt;4</formula>
    </cfRule>
  </conditionalFormatting>
  <conditionalFormatting sqref="B37:C39">
    <cfRule type="expression" dxfId="2657" priority="33">
      <formula>kvartal&lt;4</formula>
    </cfRule>
  </conditionalFormatting>
  <conditionalFormatting sqref="B82:C82">
    <cfRule type="expression" dxfId="2656" priority="30">
      <formula>kvartal&lt;4</formula>
    </cfRule>
  </conditionalFormatting>
  <conditionalFormatting sqref="B85:C85">
    <cfRule type="expression" dxfId="2655" priority="29">
      <formula>kvartal&lt;4</formula>
    </cfRule>
  </conditionalFormatting>
  <conditionalFormatting sqref="B92:C92">
    <cfRule type="expression" dxfId="2654" priority="28">
      <formula>kvartal&lt;4</formula>
    </cfRule>
  </conditionalFormatting>
  <conditionalFormatting sqref="B95:C95">
    <cfRule type="expression" dxfId="2653" priority="27">
      <formula>kvartal&lt;4</formula>
    </cfRule>
  </conditionalFormatting>
  <conditionalFormatting sqref="B102:C102">
    <cfRule type="expression" dxfId="2652" priority="26">
      <formula>kvartal&lt;4</formula>
    </cfRule>
  </conditionalFormatting>
  <conditionalFormatting sqref="B105:C105">
    <cfRule type="expression" dxfId="2651" priority="25">
      <formula>kvartal&lt;4</formula>
    </cfRule>
  </conditionalFormatting>
  <conditionalFormatting sqref="B112:C112">
    <cfRule type="expression" dxfId="2650" priority="24">
      <formula>kvartal&lt;4</formula>
    </cfRule>
  </conditionalFormatting>
  <conditionalFormatting sqref="B115:C115">
    <cfRule type="expression" dxfId="2649" priority="23">
      <formula>kvartal&lt;4</formula>
    </cfRule>
  </conditionalFormatting>
  <conditionalFormatting sqref="B122:C122">
    <cfRule type="expression" dxfId="2648" priority="22">
      <formula>kvartal&lt;4</formula>
    </cfRule>
  </conditionalFormatting>
  <conditionalFormatting sqref="B125:C125">
    <cfRule type="expression" dxfId="2647" priority="21">
      <formula>kvartal&lt;4</formula>
    </cfRule>
  </conditionalFormatting>
  <conditionalFormatting sqref="B132:C132">
    <cfRule type="expression" dxfId="2646" priority="20">
      <formula>kvartal&lt;4</formula>
    </cfRule>
  </conditionalFormatting>
  <conditionalFormatting sqref="B135:C135">
    <cfRule type="expression" dxfId="2645" priority="19">
      <formula>kvartal&lt;4</formula>
    </cfRule>
  </conditionalFormatting>
  <conditionalFormatting sqref="E82:F87">
    <cfRule type="expression" dxfId="2644" priority="16">
      <formula>kvartal&lt;4</formula>
    </cfRule>
  </conditionalFormatting>
  <conditionalFormatting sqref="E92:F97">
    <cfRule type="expression" dxfId="2643" priority="15">
      <formula>kvartal&lt;4</formula>
    </cfRule>
  </conditionalFormatting>
  <conditionalFormatting sqref="E102:F107">
    <cfRule type="expression" dxfId="2642" priority="14">
      <formula>kvartal&lt;4</formula>
    </cfRule>
  </conditionalFormatting>
  <conditionalFormatting sqref="E112:F117">
    <cfRule type="expression" dxfId="2641" priority="13">
      <formula>kvartal&lt;4</formula>
    </cfRule>
  </conditionalFormatting>
  <conditionalFormatting sqref="E122:F127">
    <cfRule type="expression" dxfId="2640" priority="12">
      <formula>kvartal&lt;4</formula>
    </cfRule>
  </conditionalFormatting>
  <conditionalFormatting sqref="E132:F137">
    <cfRule type="expression" dxfId="2639" priority="11">
      <formula>kvartal&lt;4</formula>
    </cfRule>
  </conditionalFormatting>
  <conditionalFormatting sqref="B146:C146">
    <cfRule type="expression" dxfId="2638" priority="8">
      <formula>kvartal&lt;4</formula>
    </cfRule>
  </conditionalFormatting>
  <conditionalFormatting sqref="E146">
    <cfRule type="expression" dxfId="2637" priority="5">
      <formula>kvartal&lt;4</formula>
    </cfRule>
  </conditionalFormatting>
  <conditionalFormatting sqref="B154:C154">
    <cfRule type="expression" dxfId="2636" priority="3">
      <formula>kvartal&lt;4</formula>
    </cfRule>
  </conditionalFormatting>
  <conditionalFormatting sqref="E154:F154">
    <cfRule type="expression" dxfId="2635" priority="2">
      <formula>kvartal&lt;4</formula>
    </cfRule>
  </conditionalFormatting>
  <conditionalFormatting sqref="F146">
    <cfRule type="expression" dxfId="2634" priority="1">
      <formula>kvartal&lt;4</formula>
    </cfRule>
  </conditionalFormatting>
  <pageMargins left="0.23622047244094491" right="0.23622047244094491" top="0.62992125984251968" bottom="0.59055118110236227" header="0.51181102362204722" footer="0.51181102362204722"/>
  <pageSetup paperSize="9" scale="55" fitToHeight="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N176"/>
  <sheetViews>
    <sheetView showGridLines="0" zoomScale="90" zoomScaleNormal="90" workbookViewId="0">
      <pane xSplit="1" topLeftCell="B1" activePane="topRight" state="frozen"/>
      <selection activeCell="R181" sqref="R181"/>
      <selection pane="topRight" activeCell="A4" sqref="A4"/>
    </sheetView>
  </sheetViews>
  <sheetFormatPr baseColWidth="10" defaultColWidth="11.42578125" defaultRowHeight="12.75" x14ac:dyDescent="0.2"/>
  <cols>
    <col min="1" max="1" width="41.5703125" style="143" customWidth="1"/>
    <col min="2" max="2" width="10.85546875" style="143" customWidth="1"/>
    <col min="3" max="3" width="11" style="143" customWidth="1"/>
    <col min="4" max="5" width="8.7109375" style="143" customWidth="1"/>
    <col min="6" max="7" width="10.85546875" style="143" customWidth="1"/>
    <col min="8" max="9" width="8.7109375" style="143" customWidth="1"/>
    <col min="10" max="11" width="10.85546875" style="143" customWidth="1"/>
    <col min="12" max="13" width="8.7109375" style="143" customWidth="1"/>
    <col min="14" max="14" width="11.42578125" style="143"/>
    <col min="15" max="16384" width="11.42578125" style="1"/>
  </cols>
  <sheetData>
    <row r="1" spans="1:14" x14ac:dyDescent="0.2">
      <c r="A1" s="165" t="s">
        <v>159</v>
      </c>
      <c r="B1" s="401"/>
      <c r="C1" s="245" t="s">
        <v>103</v>
      </c>
      <c r="D1" s="20"/>
      <c r="E1" s="20"/>
      <c r="F1" s="20"/>
      <c r="G1" s="20"/>
      <c r="H1" s="20"/>
      <c r="I1" s="20"/>
      <c r="J1" s="20"/>
      <c r="K1" s="20"/>
      <c r="L1" s="20"/>
      <c r="M1" s="20"/>
    </row>
    <row r="2" spans="1:14" ht="15.75" x14ac:dyDescent="0.25">
      <c r="A2" s="158" t="s">
        <v>36</v>
      </c>
      <c r="B2" s="361"/>
      <c r="C2" s="361"/>
      <c r="D2" s="361"/>
      <c r="E2" s="361"/>
      <c r="F2" s="361"/>
      <c r="G2" s="361"/>
      <c r="H2" s="361"/>
      <c r="I2" s="361"/>
      <c r="J2" s="361"/>
      <c r="K2" s="361"/>
      <c r="L2" s="361"/>
      <c r="M2" s="361"/>
    </row>
    <row r="3" spans="1:14" ht="15.75" x14ac:dyDescent="0.25">
      <c r="A3" s="156"/>
      <c r="B3" s="361"/>
      <c r="C3" s="361"/>
      <c r="D3" s="361"/>
      <c r="E3" s="361"/>
      <c r="F3" s="361"/>
      <c r="G3" s="361"/>
      <c r="H3" s="361"/>
      <c r="I3" s="361"/>
      <c r="J3" s="361"/>
      <c r="K3" s="361"/>
      <c r="L3" s="361"/>
      <c r="M3" s="361"/>
    </row>
    <row r="4" spans="1:14" x14ac:dyDescent="0.2">
      <c r="A4" s="138"/>
      <c r="B4" s="808" t="s">
        <v>0</v>
      </c>
      <c r="C4" s="358"/>
      <c r="D4" s="358"/>
      <c r="E4" s="358"/>
      <c r="F4" s="808" t="s">
        <v>1</v>
      </c>
      <c r="G4" s="358"/>
      <c r="H4" s="358"/>
      <c r="I4" s="359"/>
      <c r="J4" s="357" t="s">
        <v>2</v>
      </c>
      <c r="K4" s="358"/>
      <c r="L4" s="358"/>
      <c r="M4" s="359"/>
    </row>
    <row r="5" spans="1:14" x14ac:dyDescent="0.2">
      <c r="A5" s="151"/>
      <c r="B5" s="145" t="s">
        <v>400</v>
      </c>
      <c r="C5" s="145" t="s">
        <v>401</v>
      </c>
      <c r="D5" s="242" t="s">
        <v>3</v>
      </c>
      <c r="E5" s="307" t="s">
        <v>37</v>
      </c>
      <c r="F5" s="145" t="s">
        <v>400</v>
      </c>
      <c r="G5" s="145" t="s">
        <v>401</v>
      </c>
      <c r="H5" s="242" t="s">
        <v>3</v>
      </c>
      <c r="I5" s="307" t="s">
        <v>37</v>
      </c>
      <c r="J5" s="145" t="s">
        <v>400</v>
      </c>
      <c r="K5" s="145" t="s">
        <v>401</v>
      </c>
      <c r="L5" s="242" t="s">
        <v>3</v>
      </c>
      <c r="M5" s="155" t="s">
        <v>37</v>
      </c>
    </row>
    <row r="6" spans="1:14" x14ac:dyDescent="0.2">
      <c r="A6" s="402"/>
      <c r="B6" s="149"/>
      <c r="C6" s="149"/>
      <c r="D6" s="243" t="s">
        <v>4</v>
      </c>
      <c r="E6" s="149" t="s">
        <v>38</v>
      </c>
      <c r="F6" s="154"/>
      <c r="G6" s="154"/>
      <c r="H6" s="242" t="s">
        <v>4</v>
      </c>
      <c r="I6" s="149" t="s">
        <v>38</v>
      </c>
      <c r="J6" s="154"/>
      <c r="K6" s="154"/>
      <c r="L6" s="242" t="s">
        <v>4</v>
      </c>
      <c r="M6" s="149" t="s">
        <v>38</v>
      </c>
    </row>
    <row r="7" spans="1:14" ht="15.75" x14ac:dyDescent="0.2">
      <c r="A7" s="12" t="s">
        <v>30</v>
      </c>
      <c r="B7" s="364"/>
      <c r="C7" s="365"/>
      <c r="D7" s="373"/>
      <c r="E7" s="374"/>
      <c r="F7" s="364"/>
      <c r="G7" s="365"/>
      <c r="H7" s="373"/>
      <c r="I7" s="374"/>
      <c r="J7" s="375"/>
      <c r="K7" s="370"/>
      <c r="L7" s="373"/>
      <c r="M7" s="374"/>
    </row>
    <row r="8" spans="1:14" ht="15.75" x14ac:dyDescent="0.2">
      <c r="A8" s="18" t="s">
        <v>32</v>
      </c>
      <c r="B8" s="367"/>
      <c r="C8" s="368"/>
      <c r="D8" s="376"/>
      <c r="E8" s="374"/>
      <c r="F8" s="377"/>
      <c r="G8" s="378"/>
      <c r="H8" s="376"/>
      <c r="I8" s="374"/>
      <c r="J8" s="379"/>
      <c r="K8" s="368"/>
      <c r="L8" s="376"/>
      <c r="M8" s="374"/>
    </row>
    <row r="9" spans="1:14" ht="15.75" x14ac:dyDescent="0.2">
      <c r="A9" s="18" t="s">
        <v>31</v>
      </c>
      <c r="B9" s="367"/>
      <c r="C9" s="368"/>
      <c r="D9" s="376"/>
      <c r="E9" s="374"/>
      <c r="F9" s="377"/>
      <c r="G9" s="378"/>
      <c r="H9" s="376"/>
      <c r="I9" s="374"/>
      <c r="J9" s="379"/>
      <c r="K9" s="368"/>
      <c r="L9" s="376"/>
      <c r="M9" s="374"/>
    </row>
    <row r="10" spans="1:14" ht="15.75" x14ac:dyDescent="0.2">
      <c r="A10" s="11" t="s">
        <v>29</v>
      </c>
      <c r="B10" s="369"/>
      <c r="C10" s="370"/>
      <c r="D10" s="376"/>
      <c r="E10" s="374"/>
      <c r="F10" s="369"/>
      <c r="G10" s="370"/>
      <c r="H10" s="376"/>
      <c r="I10" s="374"/>
      <c r="J10" s="375"/>
      <c r="K10" s="370"/>
      <c r="L10" s="376"/>
      <c r="M10" s="374"/>
    </row>
    <row r="11" spans="1:14" ht="15.75" x14ac:dyDescent="0.2">
      <c r="A11" s="18" t="s">
        <v>32</v>
      </c>
      <c r="B11" s="367"/>
      <c r="C11" s="368"/>
      <c r="D11" s="376"/>
      <c r="E11" s="374"/>
      <c r="F11" s="377"/>
      <c r="G11" s="378"/>
      <c r="H11" s="376"/>
      <c r="I11" s="374"/>
      <c r="J11" s="379"/>
      <c r="K11" s="368"/>
      <c r="L11" s="376"/>
      <c r="M11" s="374"/>
    </row>
    <row r="12" spans="1:14" ht="15.75" x14ac:dyDescent="0.2">
      <c r="A12" s="18" t="s">
        <v>31</v>
      </c>
      <c r="B12" s="367"/>
      <c r="C12" s="368"/>
      <c r="D12" s="376"/>
      <c r="E12" s="374"/>
      <c r="F12" s="377"/>
      <c r="G12" s="378"/>
      <c r="H12" s="376"/>
      <c r="I12" s="374"/>
      <c r="J12" s="379"/>
      <c r="K12" s="368"/>
      <c r="L12" s="376"/>
      <c r="M12" s="374"/>
    </row>
    <row r="13" spans="1:14" ht="15.75" x14ac:dyDescent="0.2">
      <c r="A13" s="11" t="s">
        <v>28</v>
      </c>
      <c r="B13" s="369"/>
      <c r="C13" s="370"/>
      <c r="D13" s="376"/>
      <c r="E13" s="374"/>
      <c r="F13" s="369"/>
      <c r="G13" s="370"/>
      <c r="H13" s="376"/>
      <c r="I13" s="374"/>
      <c r="J13" s="375"/>
      <c r="K13" s="370"/>
      <c r="L13" s="376"/>
      <c r="M13" s="374"/>
    </row>
    <row r="14" spans="1:14" s="36" customFormat="1" ht="15.75" x14ac:dyDescent="0.2">
      <c r="A14" s="11" t="s">
        <v>27</v>
      </c>
      <c r="B14" s="369"/>
      <c r="C14" s="370"/>
      <c r="D14" s="376"/>
      <c r="E14" s="374"/>
      <c r="F14" s="369"/>
      <c r="G14" s="370"/>
      <c r="H14" s="376"/>
      <c r="I14" s="374"/>
      <c r="J14" s="375"/>
      <c r="K14" s="370"/>
      <c r="L14" s="376"/>
      <c r="M14" s="374"/>
      <c r="N14" s="137"/>
    </row>
    <row r="15" spans="1:14" s="36" customFormat="1" ht="15.75" x14ac:dyDescent="0.2">
      <c r="A15" s="34" t="s">
        <v>26</v>
      </c>
      <c r="B15" s="371"/>
      <c r="C15" s="372"/>
      <c r="D15" s="380"/>
      <c r="E15" s="380"/>
      <c r="F15" s="371"/>
      <c r="G15" s="372"/>
      <c r="H15" s="380"/>
      <c r="I15" s="380"/>
      <c r="J15" s="381"/>
      <c r="K15" s="372"/>
      <c r="L15" s="380"/>
      <c r="M15" s="380"/>
      <c r="N15" s="137"/>
    </row>
    <row r="16" spans="1:14" s="36" customFormat="1" x14ac:dyDescent="0.2">
      <c r="A16" s="161"/>
      <c r="B16" s="139"/>
      <c r="C16" s="27"/>
      <c r="D16" s="152"/>
      <c r="E16" s="152"/>
      <c r="F16" s="139"/>
      <c r="G16" s="27"/>
      <c r="H16" s="152"/>
      <c r="I16" s="152"/>
      <c r="J16" s="41"/>
      <c r="K16" s="41"/>
      <c r="L16" s="152"/>
      <c r="M16" s="152"/>
      <c r="N16" s="137"/>
    </row>
    <row r="17" spans="1:14" x14ac:dyDescent="0.2">
      <c r="A17" s="146" t="s">
        <v>307</v>
      </c>
      <c r="B17" s="20"/>
    </row>
    <row r="18" spans="1:14" x14ac:dyDescent="0.2">
      <c r="F18" s="140"/>
      <c r="G18" s="140"/>
      <c r="H18" s="140"/>
      <c r="I18" s="140"/>
      <c r="J18" s="140"/>
      <c r="K18" s="140"/>
      <c r="L18" s="140"/>
      <c r="M18" s="140"/>
    </row>
    <row r="19" spans="1:14" s="3" customFormat="1" ht="15.75" x14ac:dyDescent="0.25">
      <c r="A19" s="157"/>
      <c r="B19" s="142"/>
      <c r="C19" s="147"/>
      <c r="D19" s="147"/>
      <c r="E19" s="147"/>
      <c r="F19" s="147"/>
      <c r="G19" s="147"/>
      <c r="H19" s="147"/>
      <c r="I19" s="147"/>
      <c r="J19" s="147"/>
      <c r="K19" s="147"/>
      <c r="L19" s="147"/>
      <c r="M19" s="147"/>
      <c r="N19" s="142"/>
    </row>
    <row r="20" spans="1:14" ht="15.75" x14ac:dyDescent="0.25">
      <c r="A20" s="141" t="s">
        <v>304</v>
      </c>
      <c r="B20" s="150"/>
      <c r="C20" s="150"/>
      <c r="D20" s="144"/>
      <c r="E20" s="144"/>
      <c r="F20" s="150"/>
      <c r="G20" s="150"/>
      <c r="H20" s="150"/>
      <c r="I20" s="150"/>
      <c r="J20" s="150"/>
      <c r="K20" s="150"/>
      <c r="L20" s="150"/>
      <c r="M20" s="150"/>
    </row>
    <row r="21" spans="1:14" ht="15.75" x14ac:dyDescent="0.25">
      <c r="B21" s="360"/>
      <c r="C21" s="360"/>
      <c r="D21" s="360"/>
      <c r="E21" s="361"/>
      <c r="F21" s="360"/>
      <c r="G21" s="360"/>
      <c r="H21" s="360"/>
      <c r="I21" s="361"/>
      <c r="J21" s="360"/>
      <c r="K21" s="360"/>
      <c r="L21" s="360"/>
      <c r="M21" s="361"/>
    </row>
    <row r="22" spans="1:14" x14ac:dyDescent="0.2">
      <c r="A22" s="138"/>
      <c r="B22" s="357" t="s">
        <v>0</v>
      </c>
      <c r="C22" s="358"/>
      <c r="D22" s="358"/>
      <c r="E22" s="358"/>
      <c r="F22" s="357" t="s">
        <v>1</v>
      </c>
      <c r="G22" s="358"/>
      <c r="H22" s="358"/>
      <c r="I22" s="359"/>
      <c r="J22" s="357" t="s">
        <v>2</v>
      </c>
      <c r="K22" s="358"/>
      <c r="L22" s="358"/>
      <c r="M22" s="359"/>
    </row>
    <row r="23" spans="1:14" x14ac:dyDescent="0.2">
      <c r="A23" s="134" t="s">
        <v>5</v>
      </c>
      <c r="B23" s="145" t="s">
        <v>400</v>
      </c>
      <c r="C23" s="145" t="s">
        <v>401</v>
      </c>
      <c r="D23" s="242" t="s">
        <v>3</v>
      </c>
      <c r="E23" s="307" t="s">
        <v>37</v>
      </c>
      <c r="F23" s="145" t="s">
        <v>400</v>
      </c>
      <c r="G23" s="145" t="s">
        <v>401</v>
      </c>
      <c r="H23" s="242" t="s">
        <v>3</v>
      </c>
      <c r="I23" s="307" t="s">
        <v>37</v>
      </c>
      <c r="J23" s="145" t="s">
        <v>400</v>
      </c>
      <c r="K23" s="145" t="s">
        <v>401</v>
      </c>
      <c r="L23" s="242" t="s">
        <v>3</v>
      </c>
      <c r="M23" s="155" t="s">
        <v>37</v>
      </c>
    </row>
    <row r="24" spans="1:14" x14ac:dyDescent="0.2">
      <c r="A24" s="403"/>
      <c r="B24" s="149"/>
      <c r="C24" s="149"/>
      <c r="D24" s="243" t="s">
        <v>4</v>
      </c>
      <c r="E24" s="149" t="s">
        <v>38</v>
      </c>
      <c r="F24" s="154"/>
      <c r="G24" s="154"/>
      <c r="H24" s="242" t="s">
        <v>4</v>
      </c>
      <c r="I24" s="149" t="s">
        <v>38</v>
      </c>
      <c r="J24" s="154"/>
      <c r="K24" s="154"/>
      <c r="L24" s="242" t="s">
        <v>4</v>
      </c>
      <c r="M24" s="149" t="s">
        <v>38</v>
      </c>
    </row>
    <row r="25" spans="1:14" ht="15.75" x14ac:dyDescent="0.2">
      <c r="A25" s="12" t="s">
        <v>30</v>
      </c>
      <c r="B25" s="364"/>
      <c r="C25" s="365"/>
      <c r="D25" s="373"/>
      <c r="E25" s="374"/>
      <c r="F25" s="382"/>
      <c r="G25" s="365"/>
      <c r="H25" s="373"/>
      <c r="I25" s="374"/>
      <c r="J25" s="364"/>
      <c r="K25" s="364"/>
      <c r="L25" s="373"/>
      <c r="M25" s="374"/>
    </row>
    <row r="26" spans="1:14" ht="15.75" x14ac:dyDescent="0.2">
      <c r="A26" s="298" t="s">
        <v>318</v>
      </c>
      <c r="B26" s="366"/>
      <c r="C26" s="366"/>
      <c r="D26" s="376"/>
      <c r="E26" s="392"/>
      <c r="F26" s="366"/>
      <c r="G26" s="366"/>
      <c r="H26" s="376"/>
      <c r="I26" s="374"/>
      <c r="J26" s="366"/>
      <c r="K26" s="366"/>
      <c r="L26" s="376"/>
      <c r="M26" s="374"/>
    </row>
    <row r="27" spans="1:14" ht="15.75" x14ac:dyDescent="0.2">
      <c r="A27" s="298" t="s">
        <v>319</v>
      </c>
      <c r="B27" s="366"/>
      <c r="C27" s="366"/>
      <c r="D27" s="376"/>
      <c r="E27" s="392"/>
      <c r="F27" s="366"/>
      <c r="G27" s="366"/>
      <c r="H27" s="376"/>
      <c r="I27" s="374"/>
      <c r="J27" s="366"/>
      <c r="K27" s="366"/>
      <c r="L27" s="376"/>
      <c r="M27" s="374"/>
    </row>
    <row r="28" spans="1:14" ht="15.75" x14ac:dyDescent="0.2">
      <c r="A28" s="298" t="s">
        <v>320</v>
      </c>
      <c r="B28" s="366"/>
      <c r="C28" s="366"/>
      <c r="D28" s="376"/>
      <c r="E28" s="392"/>
      <c r="F28" s="366"/>
      <c r="G28" s="366"/>
      <c r="H28" s="376"/>
      <c r="I28" s="374"/>
      <c r="J28" s="366"/>
      <c r="K28" s="366"/>
      <c r="L28" s="376"/>
      <c r="M28" s="374"/>
    </row>
    <row r="29" spans="1:14" x14ac:dyDescent="0.2">
      <c r="A29" s="298" t="s">
        <v>11</v>
      </c>
      <c r="B29" s="366"/>
      <c r="C29" s="366"/>
      <c r="D29" s="376"/>
      <c r="E29" s="392"/>
      <c r="F29" s="366"/>
      <c r="G29" s="366"/>
      <c r="H29" s="376"/>
      <c r="I29" s="374"/>
      <c r="J29" s="366"/>
      <c r="K29" s="366"/>
      <c r="L29" s="376"/>
      <c r="M29" s="374"/>
    </row>
    <row r="30" spans="1:14" ht="15.75" x14ac:dyDescent="0.2">
      <c r="A30" s="42" t="s">
        <v>308</v>
      </c>
      <c r="B30" s="367"/>
      <c r="C30" s="368"/>
      <c r="D30" s="376"/>
      <c r="E30" s="374"/>
      <c r="F30" s="379"/>
      <c r="G30" s="368"/>
      <c r="H30" s="376"/>
      <c r="I30" s="374"/>
      <c r="J30" s="367"/>
      <c r="K30" s="367"/>
      <c r="L30" s="376"/>
      <c r="M30" s="374"/>
    </row>
    <row r="31" spans="1:14" ht="15.75" x14ac:dyDescent="0.2">
      <c r="A31" s="11" t="s">
        <v>29</v>
      </c>
      <c r="B31" s="369"/>
      <c r="C31" s="369"/>
      <c r="D31" s="376"/>
      <c r="E31" s="374"/>
      <c r="F31" s="375"/>
      <c r="G31" s="375"/>
      <c r="H31" s="376"/>
      <c r="I31" s="374"/>
      <c r="J31" s="369"/>
      <c r="K31" s="369"/>
      <c r="L31" s="376"/>
      <c r="M31" s="374"/>
    </row>
    <row r="32" spans="1:14" ht="15.75" x14ac:dyDescent="0.2">
      <c r="A32" s="298" t="s">
        <v>318</v>
      </c>
      <c r="B32" s="366"/>
      <c r="C32" s="366"/>
      <c r="D32" s="376"/>
      <c r="E32" s="392"/>
      <c r="F32" s="366"/>
      <c r="G32" s="366"/>
      <c r="H32" s="376"/>
      <c r="I32" s="374"/>
      <c r="J32" s="366"/>
      <c r="K32" s="366"/>
      <c r="L32" s="376"/>
      <c r="M32" s="374"/>
    </row>
    <row r="33" spans="1:14" ht="15.75" x14ac:dyDescent="0.2">
      <c r="A33" s="298" t="s">
        <v>320</v>
      </c>
      <c r="B33" s="366"/>
      <c r="C33" s="366"/>
      <c r="D33" s="376"/>
      <c r="E33" s="392"/>
      <c r="F33" s="366"/>
      <c r="G33" s="366"/>
      <c r="H33" s="376"/>
      <c r="I33" s="374"/>
      <c r="J33" s="366"/>
      <c r="K33" s="366"/>
      <c r="L33" s="376"/>
      <c r="M33" s="374"/>
    </row>
    <row r="34" spans="1:14" s="21" customFormat="1" x14ac:dyDescent="0.2">
      <c r="A34" s="298" t="s">
        <v>16</v>
      </c>
      <c r="B34" s="366"/>
      <c r="C34" s="366"/>
      <c r="D34" s="376"/>
      <c r="E34" s="392"/>
      <c r="F34" s="366"/>
      <c r="G34" s="366"/>
      <c r="H34" s="376"/>
      <c r="I34" s="374"/>
      <c r="J34" s="366"/>
      <c r="K34" s="366"/>
      <c r="L34" s="376"/>
      <c r="M34" s="374"/>
      <c r="N34" s="166"/>
    </row>
    <row r="35" spans="1:14" ht="15.75" x14ac:dyDescent="0.2">
      <c r="A35" s="42" t="s">
        <v>308</v>
      </c>
      <c r="B35" s="367"/>
      <c r="C35" s="368"/>
      <c r="D35" s="376"/>
      <c r="E35" s="374"/>
      <c r="F35" s="379"/>
      <c r="G35" s="368"/>
      <c r="H35" s="376"/>
      <c r="I35" s="374"/>
      <c r="J35" s="367"/>
      <c r="K35" s="367"/>
      <c r="L35" s="376"/>
      <c r="M35" s="374"/>
    </row>
    <row r="36" spans="1:14" s="3" customFormat="1" ht="15.75" x14ac:dyDescent="0.2">
      <c r="A36" s="11" t="s">
        <v>28</v>
      </c>
      <c r="B36" s="369"/>
      <c r="C36" s="370"/>
      <c r="D36" s="376"/>
      <c r="E36" s="374"/>
      <c r="F36" s="375"/>
      <c r="G36" s="370"/>
      <c r="H36" s="376"/>
      <c r="I36" s="374"/>
      <c r="J36" s="369"/>
      <c r="K36" s="369"/>
      <c r="L36" s="376"/>
      <c r="M36" s="374"/>
      <c r="N36" s="142"/>
    </row>
    <row r="37" spans="1:14" s="3" customFormat="1" ht="15.75" x14ac:dyDescent="0.2">
      <c r="A37" s="298" t="s">
        <v>318</v>
      </c>
      <c r="B37" s="366"/>
      <c r="C37" s="366"/>
      <c r="D37" s="376"/>
      <c r="E37" s="392"/>
      <c r="F37" s="366"/>
      <c r="G37" s="366"/>
      <c r="H37" s="376"/>
      <c r="I37" s="374"/>
      <c r="J37" s="366"/>
      <c r="K37" s="366"/>
      <c r="L37" s="376"/>
      <c r="M37" s="374"/>
      <c r="N37" s="142"/>
    </row>
    <row r="38" spans="1:14" s="3" customFormat="1" ht="15.75" x14ac:dyDescent="0.2">
      <c r="A38" s="298" t="s">
        <v>319</v>
      </c>
      <c r="B38" s="366"/>
      <c r="C38" s="366"/>
      <c r="D38" s="376"/>
      <c r="E38" s="392"/>
      <c r="F38" s="366"/>
      <c r="G38" s="366"/>
      <c r="H38" s="376"/>
      <c r="I38" s="374"/>
      <c r="J38" s="366"/>
      <c r="K38" s="366"/>
      <c r="L38" s="376"/>
      <c r="M38" s="374"/>
      <c r="N38" s="142"/>
    </row>
    <row r="39" spans="1:14" ht="15.75" x14ac:dyDescent="0.2">
      <c r="A39" s="298" t="s">
        <v>320</v>
      </c>
      <c r="B39" s="366"/>
      <c r="C39" s="366"/>
      <c r="D39" s="376"/>
      <c r="E39" s="392"/>
      <c r="F39" s="366"/>
      <c r="G39" s="366"/>
      <c r="H39" s="376"/>
      <c r="I39" s="374"/>
      <c r="J39" s="366"/>
      <c r="K39" s="366"/>
      <c r="L39" s="376"/>
      <c r="M39" s="374"/>
    </row>
    <row r="40" spans="1:14" ht="15.75" x14ac:dyDescent="0.2">
      <c r="A40" s="11" t="s">
        <v>27</v>
      </c>
      <c r="B40" s="369"/>
      <c r="C40" s="370"/>
      <c r="D40" s="376"/>
      <c r="E40" s="374"/>
      <c r="F40" s="375"/>
      <c r="G40" s="370"/>
      <c r="H40" s="376"/>
      <c r="I40" s="374"/>
      <c r="J40" s="369"/>
      <c r="K40" s="369"/>
      <c r="L40" s="376"/>
      <c r="M40" s="374"/>
    </row>
    <row r="41" spans="1:14" ht="15.75" x14ac:dyDescent="0.2">
      <c r="A41" s="11" t="s">
        <v>26</v>
      </c>
      <c r="B41" s="369"/>
      <c r="C41" s="370"/>
      <c r="D41" s="376"/>
      <c r="E41" s="374"/>
      <c r="F41" s="375"/>
      <c r="G41" s="370"/>
      <c r="H41" s="376"/>
      <c r="I41" s="374"/>
      <c r="J41" s="369"/>
      <c r="K41" s="369"/>
      <c r="L41" s="376"/>
      <c r="M41" s="374"/>
    </row>
    <row r="42" spans="1:14" ht="15.75" x14ac:dyDescent="0.2">
      <c r="A42" s="10" t="s">
        <v>321</v>
      </c>
      <c r="B42" s="369"/>
      <c r="C42" s="370"/>
      <c r="D42" s="376"/>
      <c r="E42" s="374"/>
      <c r="F42" s="383"/>
      <c r="G42" s="384"/>
      <c r="H42" s="376"/>
      <c r="I42" s="374"/>
      <c r="J42" s="369"/>
      <c r="K42" s="369"/>
      <c r="L42" s="376"/>
      <c r="M42" s="374"/>
    </row>
    <row r="43" spans="1:14" ht="15.75" x14ac:dyDescent="0.2">
      <c r="A43" s="10" t="s">
        <v>322</v>
      </c>
      <c r="B43" s="369"/>
      <c r="C43" s="370"/>
      <c r="D43" s="376"/>
      <c r="E43" s="374"/>
      <c r="F43" s="383"/>
      <c r="G43" s="384"/>
      <c r="H43" s="376"/>
      <c r="I43" s="374"/>
      <c r="J43" s="369"/>
      <c r="K43" s="369"/>
      <c r="L43" s="376"/>
      <c r="M43" s="374"/>
    </row>
    <row r="44" spans="1:14" ht="15.75" x14ac:dyDescent="0.2">
      <c r="A44" s="10" t="s">
        <v>323</v>
      </c>
      <c r="B44" s="369"/>
      <c r="C44" s="370"/>
      <c r="D44" s="376"/>
      <c r="E44" s="374"/>
      <c r="F44" s="383"/>
      <c r="G44" s="385"/>
      <c r="H44" s="376"/>
      <c r="I44" s="374"/>
      <c r="J44" s="369"/>
      <c r="K44" s="369"/>
      <c r="L44" s="376"/>
      <c r="M44" s="374"/>
    </row>
    <row r="45" spans="1:14" ht="15.75" x14ac:dyDescent="0.2">
      <c r="A45" s="10" t="s">
        <v>324</v>
      </c>
      <c r="B45" s="369"/>
      <c r="C45" s="370"/>
      <c r="D45" s="376"/>
      <c r="E45" s="374"/>
      <c r="F45" s="383"/>
      <c r="G45" s="384"/>
      <c r="H45" s="376"/>
      <c r="I45" s="374"/>
      <c r="J45" s="369"/>
      <c r="K45" s="369"/>
      <c r="L45" s="376"/>
      <c r="M45" s="374"/>
    </row>
    <row r="46" spans="1:14" ht="15.75" x14ac:dyDescent="0.2">
      <c r="A46" s="16" t="s">
        <v>325</v>
      </c>
      <c r="B46" s="371"/>
      <c r="C46" s="372"/>
      <c r="D46" s="380"/>
      <c r="E46" s="391"/>
      <c r="F46" s="386"/>
      <c r="G46" s="387"/>
      <c r="H46" s="380"/>
      <c r="I46" s="374"/>
      <c r="J46" s="369"/>
      <c r="K46" s="369"/>
      <c r="L46" s="380"/>
      <c r="M46" s="380"/>
    </row>
    <row r="47" spans="1:14" ht="15.75" x14ac:dyDescent="0.25">
      <c r="A47" s="40"/>
      <c r="B47" s="254"/>
      <c r="C47" s="254"/>
      <c r="D47" s="363"/>
      <c r="E47" s="363"/>
      <c r="F47" s="363"/>
      <c r="G47" s="363"/>
      <c r="H47" s="363"/>
      <c r="I47" s="363"/>
      <c r="J47" s="363"/>
      <c r="K47" s="363"/>
      <c r="L47" s="363"/>
      <c r="M47" s="362"/>
    </row>
    <row r="48" spans="1:14" x14ac:dyDescent="0.2">
      <c r="A48" s="148"/>
    </row>
    <row r="49" spans="1:14" ht="15.75" x14ac:dyDescent="0.25">
      <c r="A49" s="141" t="s">
        <v>305</v>
      </c>
      <c r="B49" s="361"/>
      <c r="C49" s="361"/>
      <c r="D49" s="361"/>
      <c r="E49" s="361"/>
      <c r="F49" s="362"/>
      <c r="G49" s="362"/>
      <c r="H49" s="362"/>
      <c r="I49" s="362"/>
      <c r="J49" s="362"/>
      <c r="K49" s="362"/>
      <c r="L49" s="362"/>
      <c r="M49" s="362"/>
    </row>
    <row r="50" spans="1:14" ht="15.75" x14ac:dyDescent="0.25">
      <c r="A50" s="156"/>
      <c r="B50" s="360"/>
      <c r="C50" s="360"/>
      <c r="D50" s="360"/>
      <c r="E50" s="360"/>
      <c r="F50" s="362"/>
      <c r="G50" s="362"/>
      <c r="H50" s="362"/>
      <c r="I50" s="362"/>
      <c r="J50" s="362"/>
      <c r="K50" s="362"/>
      <c r="L50" s="362"/>
      <c r="M50" s="362"/>
    </row>
    <row r="51" spans="1:14" ht="15.75" x14ac:dyDescent="0.25">
      <c r="A51" s="244"/>
      <c r="B51" s="357" t="s">
        <v>0</v>
      </c>
      <c r="C51" s="358"/>
      <c r="D51" s="358"/>
      <c r="E51" s="240"/>
      <c r="F51" s="362"/>
      <c r="G51" s="362"/>
      <c r="H51" s="362"/>
      <c r="I51" s="362"/>
      <c r="J51" s="362"/>
      <c r="K51" s="362"/>
      <c r="L51" s="362"/>
      <c r="M51" s="362"/>
    </row>
    <row r="52" spans="1:14" s="3" customFormat="1" x14ac:dyDescent="0.2">
      <c r="A52" s="134"/>
      <c r="B52" s="167" t="s">
        <v>400</v>
      </c>
      <c r="C52" s="167" t="s">
        <v>401</v>
      </c>
      <c r="D52" s="155" t="s">
        <v>3</v>
      </c>
      <c r="E52" s="155" t="s">
        <v>37</v>
      </c>
      <c r="F52" s="169"/>
      <c r="G52" s="169"/>
      <c r="H52" s="168"/>
      <c r="I52" s="168"/>
      <c r="J52" s="169"/>
      <c r="K52" s="169"/>
      <c r="L52" s="168"/>
      <c r="M52" s="168"/>
      <c r="N52" s="142"/>
    </row>
    <row r="53" spans="1:14" s="3" customFormat="1" x14ac:dyDescent="0.2">
      <c r="A53" s="403"/>
      <c r="B53" s="241"/>
      <c r="C53" s="241"/>
      <c r="D53" s="242" t="s">
        <v>4</v>
      </c>
      <c r="E53" s="149" t="s">
        <v>38</v>
      </c>
      <c r="F53" s="168"/>
      <c r="G53" s="168"/>
      <c r="H53" s="168"/>
      <c r="I53" s="168"/>
      <c r="J53" s="168"/>
      <c r="K53" s="168"/>
      <c r="L53" s="168"/>
      <c r="M53" s="168"/>
      <c r="N53" s="142"/>
    </row>
    <row r="54" spans="1:14" s="3" customFormat="1" ht="15.75" x14ac:dyDescent="0.2">
      <c r="A54" s="12" t="s">
        <v>30</v>
      </c>
      <c r="B54" s="369">
        <v>107796.07081</v>
      </c>
      <c r="C54" s="370">
        <v>0</v>
      </c>
      <c r="D54" s="373">
        <f>IF(AND(_xlfn.NUMBERVALUE(B54)=0,_xlfn.NUMBERVALUE(C54)=0),,IF(B54=0, "    ---- ", IF(ABS(ROUND(100/B54*C54-100,1))&lt;999,IF(ROUND(100/B54*C54-100,1)=0,"    ---- ",ROUND(100/B54*C54-100,1)),IF(ROUND(100/B54*C54-100,1)&gt;999,999,-999))))</f>
        <v>-100</v>
      </c>
      <c r="E54" s="374">
        <f>IFERROR(100/'Skjema total MA'!C54*C54,0)</f>
        <v>0</v>
      </c>
      <c r="F54" s="139"/>
      <c r="G54" s="27"/>
      <c r="H54" s="152"/>
      <c r="I54" s="152"/>
      <c r="J54" s="30"/>
      <c r="K54" s="30"/>
      <c r="L54" s="152"/>
      <c r="M54" s="152"/>
      <c r="N54" s="142"/>
    </row>
    <row r="55" spans="1:14" s="3" customFormat="1" ht="15.75" x14ac:dyDescent="0.2">
      <c r="A55" s="31" t="s">
        <v>326</v>
      </c>
      <c r="B55" s="367">
        <v>0</v>
      </c>
      <c r="C55" s="368">
        <v>0</v>
      </c>
      <c r="D55" s="376">
        <f t="shared" ref="D55:D71" si="0">IF(AND(_xlfn.NUMBERVALUE(B55)=0,_xlfn.NUMBERVALUE(C55)=0),,IF(B55=0, "    ---- ", IF(ABS(ROUND(100/B55*C55-100,1))&lt;999,IF(ROUND(100/B55*C55-100,1)=0,"    ---- ",ROUND(100/B55*C55-100,1)),IF(ROUND(100/B55*C55-100,1)&gt;999,999,-999))))</f>
        <v>0</v>
      </c>
      <c r="E55" s="374">
        <f>IFERROR(100/'Skjema total MA'!C55*C55,0)</f>
        <v>0</v>
      </c>
      <c r="F55" s="139"/>
      <c r="G55" s="27"/>
      <c r="H55" s="139"/>
      <c r="I55" s="139"/>
      <c r="J55" s="27"/>
      <c r="K55" s="27"/>
      <c r="L55" s="152"/>
      <c r="M55" s="152"/>
      <c r="N55" s="142"/>
    </row>
    <row r="56" spans="1:14" s="3" customFormat="1" ht="15.75" x14ac:dyDescent="0.2">
      <c r="A56" s="31" t="s">
        <v>327</v>
      </c>
      <c r="B56" s="367">
        <v>107796.07081</v>
      </c>
      <c r="C56" s="368">
        <v>0</v>
      </c>
      <c r="D56" s="376">
        <f t="shared" si="0"/>
        <v>-100</v>
      </c>
      <c r="E56" s="374">
        <f>IFERROR(100/'Skjema total MA'!C56*C56,0)</f>
        <v>0</v>
      </c>
      <c r="F56" s="139"/>
      <c r="G56" s="27"/>
      <c r="H56" s="139"/>
      <c r="I56" s="139"/>
      <c r="J56" s="30"/>
      <c r="K56" s="30"/>
      <c r="L56" s="152"/>
      <c r="M56" s="152"/>
      <c r="N56" s="142"/>
    </row>
    <row r="57" spans="1:14" s="3" customFormat="1" x14ac:dyDescent="0.2">
      <c r="A57" s="298" t="s">
        <v>6</v>
      </c>
      <c r="B57" s="366">
        <v>0</v>
      </c>
      <c r="C57" s="388">
        <v>0</v>
      </c>
      <c r="D57" s="376">
        <f t="shared" si="0"/>
        <v>0</v>
      </c>
      <c r="E57" s="374">
        <f>IFERROR(100/'Skjema total MA'!C57*C57,0)</f>
        <v>0</v>
      </c>
      <c r="F57" s="139"/>
      <c r="G57" s="27"/>
      <c r="H57" s="139"/>
      <c r="I57" s="139"/>
      <c r="J57" s="27"/>
      <c r="K57" s="27"/>
      <c r="L57" s="152"/>
      <c r="M57" s="152"/>
      <c r="N57" s="142"/>
    </row>
    <row r="58" spans="1:14" s="3" customFormat="1" x14ac:dyDescent="0.2">
      <c r="A58" s="298" t="s">
        <v>7</v>
      </c>
      <c r="B58" s="366">
        <v>107796.07081</v>
      </c>
      <c r="C58" s="388">
        <v>0</v>
      </c>
      <c r="D58" s="376">
        <f t="shared" si="0"/>
        <v>-100</v>
      </c>
      <c r="E58" s="374">
        <f>IFERROR(100/'Skjema total MA'!C58*C58,0)</f>
        <v>0</v>
      </c>
      <c r="F58" s="139"/>
      <c r="G58" s="27"/>
      <c r="H58" s="139"/>
      <c r="I58" s="139"/>
      <c r="J58" s="27"/>
      <c r="K58" s="27"/>
      <c r="L58" s="152"/>
      <c r="M58" s="152"/>
      <c r="N58" s="142"/>
    </row>
    <row r="59" spans="1:14" s="3" customFormat="1" x14ac:dyDescent="0.2">
      <c r="A59" s="298" t="s">
        <v>8</v>
      </c>
      <c r="B59" s="366">
        <v>0</v>
      </c>
      <c r="C59" s="388">
        <v>0</v>
      </c>
      <c r="D59" s="376">
        <f t="shared" si="0"/>
        <v>0</v>
      </c>
      <c r="E59" s="374">
        <f>IFERROR(100/'Skjema total MA'!C59*C59,0)</f>
        <v>0</v>
      </c>
      <c r="F59" s="139"/>
      <c r="G59" s="27"/>
      <c r="H59" s="139"/>
      <c r="I59" s="139"/>
      <c r="J59" s="27"/>
      <c r="K59" s="27"/>
      <c r="L59" s="152"/>
      <c r="M59" s="152"/>
      <c r="N59" s="142"/>
    </row>
    <row r="60" spans="1:14" s="3" customFormat="1" ht="15.75" x14ac:dyDescent="0.2">
      <c r="A60" s="11" t="s">
        <v>29</v>
      </c>
      <c r="B60" s="369">
        <v>4749.2426599999999</v>
      </c>
      <c r="C60" s="370">
        <v>0</v>
      </c>
      <c r="D60" s="376">
        <f t="shared" si="0"/>
        <v>-100</v>
      </c>
      <c r="E60" s="374">
        <f>IFERROR(100/'Skjema total MA'!C60*C60,0)</f>
        <v>0</v>
      </c>
      <c r="F60" s="139"/>
      <c r="G60" s="27"/>
      <c r="H60" s="139"/>
      <c r="I60" s="139"/>
      <c r="J60" s="27"/>
      <c r="K60" s="27"/>
      <c r="L60" s="152"/>
      <c r="M60" s="152"/>
      <c r="N60" s="142"/>
    </row>
    <row r="61" spans="1:14" s="3" customFormat="1" ht="15.75" x14ac:dyDescent="0.2">
      <c r="A61" s="31" t="s">
        <v>326</v>
      </c>
      <c r="B61" s="367">
        <v>0</v>
      </c>
      <c r="C61" s="368">
        <v>0</v>
      </c>
      <c r="D61" s="376">
        <f t="shared" si="0"/>
        <v>0</v>
      </c>
      <c r="E61" s="374">
        <f>IFERROR(100/'Skjema total MA'!C61*C61,0)</f>
        <v>0</v>
      </c>
      <c r="F61" s="139"/>
      <c r="G61" s="27"/>
      <c r="H61" s="139"/>
      <c r="I61" s="139"/>
      <c r="J61" s="27"/>
      <c r="K61" s="27"/>
      <c r="L61" s="152"/>
      <c r="M61" s="152"/>
      <c r="N61" s="142"/>
    </row>
    <row r="62" spans="1:14" s="3" customFormat="1" ht="15.75" x14ac:dyDescent="0.2">
      <c r="A62" s="31" t="s">
        <v>327</v>
      </c>
      <c r="B62" s="367">
        <v>4749.2426599999999</v>
      </c>
      <c r="C62" s="368">
        <v>0</v>
      </c>
      <c r="D62" s="376">
        <f t="shared" si="0"/>
        <v>-100</v>
      </c>
      <c r="E62" s="374">
        <f>IFERROR(100/'Skjema total MA'!C62*C62,0)</f>
        <v>0</v>
      </c>
      <c r="F62" s="139"/>
      <c r="G62" s="27"/>
      <c r="H62" s="139"/>
      <c r="I62" s="139"/>
      <c r="J62" s="27"/>
      <c r="K62" s="27"/>
      <c r="L62" s="152"/>
      <c r="M62" s="152"/>
      <c r="N62" s="142"/>
    </row>
    <row r="63" spans="1:14" s="3" customFormat="1" x14ac:dyDescent="0.2">
      <c r="A63" s="298" t="s">
        <v>6</v>
      </c>
      <c r="B63" s="367">
        <v>0</v>
      </c>
      <c r="C63" s="368">
        <v>0</v>
      </c>
      <c r="D63" s="376">
        <f t="shared" si="0"/>
        <v>0</v>
      </c>
      <c r="E63" s="374">
        <f>IFERROR(100/'Skjema total MA'!C63*C63,0)</f>
        <v>0</v>
      </c>
      <c r="F63" s="139"/>
      <c r="G63" s="27"/>
      <c r="H63" s="139"/>
      <c r="I63" s="139"/>
      <c r="J63" s="27"/>
      <c r="K63" s="27"/>
      <c r="L63" s="152"/>
      <c r="M63" s="152"/>
      <c r="N63" s="142"/>
    </row>
    <row r="64" spans="1:14" s="3" customFormat="1" x14ac:dyDescent="0.2">
      <c r="A64" s="298" t="s">
        <v>7</v>
      </c>
      <c r="B64" s="367">
        <v>4749.2426599999999</v>
      </c>
      <c r="C64" s="368">
        <v>0</v>
      </c>
      <c r="D64" s="376">
        <f t="shared" si="0"/>
        <v>-100</v>
      </c>
      <c r="E64" s="374">
        <f>IFERROR(100/'Skjema total MA'!C64*C64,0)</f>
        <v>0</v>
      </c>
      <c r="F64" s="139"/>
      <c r="G64" s="27"/>
      <c r="H64" s="139"/>
      <c r="I64" s="139"/>
      <c r="J64" s="27"/>
      <c r="K64" s="27"/>
      <c r="L64" s="152"/>
      <c r="M64" s="152"/>
      <c r="N64" s="142"/>
    </row>
    <row r="65" spans="1:14" s="3" customFormat="1" x14ac:dyDescent="0.2">
      <c r="A65" s="298" t="s">
        <v>8</v>
      </c>
      <c r="B65" s="367">
        <v>0</v>
      </c>
      <c r="C65" s="368">
        <v>0</v>
      </c>
      <c r="D65" s="376">
        <f t="shared" si="0"/>
        <v>0</v>
      </c>
      <c r="E65" s="374">
        <f>IFERROR(100/'Skjema total MA'!C65*C65,0)</f>
        <v>0</v>
      </c>
      <c r="F65" s="139"/>
      <c r="G65" s="27"/>
      <c r="H65" s="139"/>
      <c r="I65" s="139"/>
      <c r="J65" s="27"/>
      <c r="K65" s="27"/>
      <c r="L65" s="152"/>
      <c r="M65" s="152"/>
      <c r="N65" s="142"/>
    </row>
    <row r="66" spans="1:14" s="3" customFormat="1" ht="15.75" x14ac:dyDescent="0.2">
      <c r="A66" s="32" t="s">
        <v>328</v>
      </c>
      <c r="B66" s="369">
        <v>0</v>
      </c>
      <c r="C66" s="370">
        <v>0</v>
      </c>
      <c r="D66" s="376">
        <f t="shared" si="0"/>
        <v>0</v>
      </c>
      <c r="E66" s="374">
        <f>IFERROR(100/'Skjema total MA'!C66*C66,0)</f>
        <v>0</v>
      </c>
      <c r="F66" s="139"/>
      <c r="G66" s="27"/>
      <c r="H66" s="139"/>
      <c r="I66" s="139"/>
      <c r="J66" s="27"/>
      <c r="K66" s="27"/>
      <c r="L66" s="152"/>
      <c r="M66" s="152"/>
      <c r="N66" s="142"/>
    </row>
    <row r="67" spans="1:14" s="3" customFormat="1" ht="15.75" x14ac:dyDescent="0.2">
      <c r="A67" s="31" t="s">
        <v>326</v>
      </c>
      <c r="B67" s="367">
        <v>0</v>
      </c>
      <c r="C67" s="368">
        <v>0</v>
      </c>
      <c r="D67" s="376">
        <f t="shared" si="0"/>
        <v>0</v>
      </c>
      <c r="E67" s="374">
        <f>IFERROR(100/'Skjema total MA'!C67*C67,0)</f>
        <v>0</v>
      </c>
      <c r="F67" s="139"/>
      <c r="G67" s="27"/>
      <c r="H67" s="139"/>
      <c r="I67" s="139"/>
      <c r="J67" s="27"/>
      <c r="K67" s="27"/>
      <c r="L67" s="152"/>
      <c r="M67" s="152"/>
      <c r="N67" s="142"/>
    </row>
    <row r="68" spans="1:14" s="3" customFormat="1" ht="15.75" x14ac:dyDescent="0.2">
      <c r="A68" s="31" t="s">
        <v>327</v>
      </c>
      <c r="B68" s="367">
        <v>0</v>
      </c>
      <c r="C68" s="368">
        <v>0</v>
      </c>
      <c r="D68" s="376">
        <f t="shared" si="0"/>
        <v>0</v>
      </c>
      <c r="E68" s="374">
        <f>IFERROR(100/'Skjema total MA'!C68*C68,0)</f>
        <v>0</v>
      </c>
      <c r="F68" s="139"/>
      <c r="G68" s="27"/>
      <c r="H68" s="139"/>
      <c r="I68" s="139"/>
      <c r="J68" s="27"/>
      <c r="K68" s="27"/>
      <c r="L68" s="152"/>
      <c r="M68" s="152"/>
      <c r="N68" s="142"/>
    </row>
    <row r="69" spans="1:14" s="3" customFormat="1" ht="15.75" x14ac:dyDescent="0.2">
      <c r="A69" s="32" t="s">
        <v>329</v>
      </c>
      <c r="B69" s="369">
        <v>0</v>
      </c>
      <c r="C69" s="370">
        <v>0</v>
      </c>
      <c r="D69" s="376">
        <f t="shared" si="0"/>
        <v>0</v>
      </c>
      <c r="E69" s="374">
        <f>IFERROR(100/'Skjema total MA'!C69*C69,0)</f>
        <v>0</v>
      </c>
      <c r="F69" s="139"/>
      <c r="G69" s="27"/>
      <c r="H69" s="139"/>
      <c r="I69" s="139"/>
      <c r="J69" s="27"/>
      <c r="K69" s="27"/>
      <c r="L69" s="152"/>
      <c r="M69" s="152"/>
      <c r="N69" s="142"/>
    </row>
    <row r="70" spans="1:14" s="3" customFormat="1" ht="15.75" x14ac:dyDescent="0.2">
      <c r="A70" s="31" t="s">
        <v>326</v>
      </c>
      <c r="B70" s="367">
        <v>0</v>
      </c>
      <c r="C70" s="368">
        <v>0</v>
      </c>
      <c r="D70" s="376">
        <f t="shared" si="0"/>
        <v>0</v>
      </c>
      <c r="E70" s="374">
        <f>IFERROR(100/'Skjema total MA'!C70*C70,0)</f>
        <v>0</v>
      </c>
      <c r="F70" s="139"/>
      <c r="G70" s="27"/>
      <c r="H70" s="139"/>
      <c r="I70" s="139"/>
      <c r="J70" s="27"/>
      <c r="K70" s="27"/>
      <c r="L70" s="152"/>
      <c r="M70" s="152"/>
      <c r="N70" s="142"/>
    </row>
    <row r="71" spans="1:14" s="3" customFormat="1" ht="15.75" x14ac:dyDescent="0.2">
      <c r="A71" s="39" t="s">
        <v>327</v>
      </c>
      <c r="B71" s="389">
        <v>0</v>
      </c>
      <c r="C71" s="390">
        <v>0</v>
      </c>
      <c r="D71" s="380">
        <f t="shared" si="0"/>
        <v>0</v>
      </c>
      <c r="E71" s="380">
        <f>IFERROR(100/'Skjema total MA'!C71*C71,0)</f>
        <v>0</v>
      </c>
      <c r="F71" s="139"/>
      <c r="G71" s="27"/>
      <c r="H71" s="139"/>
      <c r="I71" s="139"/>
      <c r="J71" s="27"/>
      <c r="K71" s="27"/>
      <c r="L71" s="152"/>
      <c r="M71" s="152"/>
      <c r="N71" s="142"/>
    </row>
    <row r="72" spans="1:14" s="3" customFormat="1" ht="15.75" x14ac:dyDescent="0.25">
      <c r="A72" s="157"/>
      <c r="B72" s="147"/>
      <c r="C72" s="147"/>
      <c r="D72" s="147"/>
      <c r="E72" s="147"/>
      <c r="F72" s="136"/>
      <c r="G72" s="136"/>
      <c r="H72" s="136"/>
      <c r="I72" s="136"/>
      <c r="J72" s="136"/>
      <c r="K72" s="136"/>
      <c r="L72" s="136"/>
      <c r="M72" s="136"/>
      <c r="N72" s="142"/>
    </row>
    <row r="73" spans="1:14" x14ac:dyDescent="0.2">
      <c r="A73" s="148"/>
    </row>
    <row r="74" spans="1:14" ht="15.75" x14ac:dyDescent="0.25">
      <c r="A74" s="141" t="s">
        <v>306</v>
      </c>
      <c r="C74" s="20"/>
      <c r="D74" s="20"/>
      <c r="E74" s="20"/>
      <c r="F74" s="20"/>
      <c r="G74" s="20"/>
      <c r="H74" s="20"/>
      <c r="I74" s="20"/>
      <c r="J74" s="20"/>
      <c r="K74" s="20"/>
      <c r="L74" s="20"/>
      <c r="M74" s="20"/>
    </row>
    <row r="75" spans="1:14" ht="15.75" x14ac:dyDescent="0.25">
      <c r="B75" s="360"/>
      <c r="C75" s="360"/>
      <c r="D75" s="360"/>
      <c r="E75" s="361"/>
      <c r="F75" s="360"/>
      <c r="G75" s="360"/>
      <c r="H75" s="360"/>
      <c r="I75" s="361"/>
      <c r="J75" s="360"/>
      <c r="K75" s="360"/>
      <c r="L75" s="360"/>
      <c r="M75" s="361"/>
    </row>
    <row r="76" spans="1:14" x14ac:dyDescent="0.2">
      <c r="A76" s="138"/>
      <c r="B76" s="357" t="s">
        <v>0</v>
      </c>
      <c r="C76" s="358"/>
      <c r="D76" s="359"/>
      <c r="E76" s="357"/>
      <c r="F76" s="358" t="s">
        <v>1</v>
      </c>
      <c r="G76" s="358"/>
      <c r="H76" s="358"/>
      <c r="I76" s="359"/>
      <c r="J76" s="357" t="s">
        <v>2</v>
      </c>
      <c r="K76" s="358"/>
      <c r="L76" s="358"/>
      <c r="M76" s="359"/>
    </row>
    <row r="77" spans="1:14" x14ac:dyDescent="0.2">
      <c r="A77" s="134"/>
      <c r="B77" s="145" t="s">
        <v>400</v>
      </c>
      <c r="C77" s="145" t="s">
        <v>401</v>
      </c>
      <c r="D77" s="242" t="s">
        <v>3</v>
      </c>
      <c r="E77" s="307" t="s">
        <v>37</v>
      </c>
      <c r="F77" s="145" t="s">
        <v>400</v>
      </c>
      <c r="G77" s="145" t="s">
        <v>401</v>
      </c>
      <c r="H77" s="242" t="s">
        <v>3</v>
      </c>
      <c r="I77" s="307" t="s">
        <v>37</v>
      </c>
      <c r="J77" s="145" t="s">
        <v>400</v>
      </c>
      <c r="K77" s="145" t="s">
        <v>401</v>
      </c>
      <c r="L77" s="242" t="s">
        <v>3</v>
      </c>
      <c r="M77" s="155" t="s">
        <v>37</v>
      </c>
    </row>
    <row r="78" spans="1:14" x14ac:dyDescent="0.2">
      <c r="A78" s="403"/>
      <c r="B78" s="149"/>
      <c r="C78" s="149"/>
      <c r="D78" s="243" t="s">
        <v>4</v>
      </c>
      <c r="E78" s="149" t="s">
        <v>38</v>
      </c>
      <c r="F78" s="154"/>
      <c r="G78" s="154"/>
      <c r="H78" s="242" t="s">
        <v>4</v>
      </c>
      <c r="I78" s="149" t="s">
        <v>38</v>
      </c>
      <c r="J78" s="154"/>
      <c r="K78" s="154"/>
      <c r="L78" s="242" t="s">
        <v>4</v>
      </c>
      <c r="M78" s="149" t="s">
        <v>38</v>
      </c>
    </row>
    <row r="79" spans="1:14" ht="15.75" x14ac:dyDescent="0.2">
      <c r="A79" s="12" t="s">
        <v>30</v>
      </c>
      <c r="B79" s="355"/>
      <c r="C79" s="355"/>
      <c r="D79" s="251"/>
      <c r="E79" s="251"/>
      <c r="F79" s="355"/>
      <c r="G79" s="355"/>
      <c r="H79" s="373"/>
      <c r="I79" s="374"/>
      <c r="J79" s="370"/>
      <c r="K79" s="364"/>
      <c r="L79" s="376"/>
      <c r="M79" s="374"/>
    </row>
    <row r="80" spans="1:14" x14ac:dyDescent="0.2">
      <c r="A80" s="18" t="s">
        <v>9</v>
      </c>
      <c r="B80" s="37"/>
      <c r="C80" s="139"/>
      <c r="D80" s="159"/>
      <c r="E80" s="159"/>
      <c r="F80" s="37"/>
      <c r="G80" s="139"/>
      <c r="H80" s="376"/>
      <c r="I80" s="374"/>
      <c r="J80" s="368"/>
      <c r="K80" s="367"/>
      <c r="L80" s="376"/>
      <c r="M80" s="374"/>
    </row>
    <row r="81" spans="1:14" x14ac:dyDescent="0.2">
      <c r="A81" s="18" t="s">
        <v>10</v>
      </c>
      <c r="B81" s="293"/>
      <c r="C81" s="294"/>
      <c r="D81" s="159"/>
      <c r="E81" s="159"/>
      <c r="F81" s="293"/>
      <c r="G81" s="294"/>
      <c r="H81" s="376"/>
      <c r="I81" s="374"/>
      <c r="J81" s="368"/>
      <c r="K81" s="367"/>
      <c r="L81" s="376"/>
      <c r="M81" s="374"/>
    </row>
    <row r="82" spans="1:14" ht="15.75" x14ac:dyDescent="0.2">
      <c r="A82" s="298" t="s">
        <v>330</v>
      </c>
      <c r="B82" s="286"/>
      <c r="C82" s="286"/>
      <c r="D82" s="159"/>
      <c r="E82" s="159"/>
      <c r="F82" s="805"/>
      <c r="G82" s="282"/>
      <c r="H82" s="376"/>
      <c r="I82" s="374"/>
      <c r="J82" s="366"/>
      <c r="K82" s="366"/>
      <c r="L82" s="376"/>
      <c r="M82" s="374"/>
    </row>
    <row r="83" spans="1:14" x14ac:dyDescent="0.2">
      <c r="A83" s="298" t="s">
        <v>12</v>
      </c>
      <c r="B83" s="295"/>
      <c r="C83" s="296"/>
      <c r="D83" s="159"/>
      <c r="E83" s="159"/>
      <c r="F83" s="806"/>
      <c r="G83" s="41"/>
      <c r="H83" s="376"/>
      <c r="I83" s="374"/>
      <c r="J83" s="366"/>
      <c r="K83" s="366"/>
      <c r="L83" s="376"/>
      <c r="M83" s="374"/>
    </row>
    <row r="84" spans="1:14" x14ac:dyDescent="0.2">
      <c r="A84" s="298" t="s">
        <v>13</v>
      </c>
      <c r="B84" s="230"/>
      <c r="C84" s="290"/>
      <c r="D84" s="159"/>
      <c r="E84" s="159"/>
      <c r="F84" s="229"/>
      <c r="G84" s="139"/>
      <c r="H84" s="376"/>
      <c r="I84" s="374"/>
      <c r="J84" s="366"/>
      <c r="K84" s="366"/>
      <c r="L84" s="376"/>
      <c r="M84" s="374"/>
    </row>
    <row r="85" spans="1:14" ht="15.75" x14ac:dyDescent="0.2">
      <c r="A85" s="298" t="s">
        <v>331</v>
      </c>
      <c r="B85" s="286"/>
      <c r="C85" s="286"/>
      <c r="D85" s="159"/>
      <c r="E85" s="159"/>
      <c r="F85" s="805"/>
      <c r="G85" s="282"/>
      <c r="H85" s="376"/>
      <c r="I85" s="374"/>
      <c r="J85" s="366"/>
      <c r="K85" s="366"/>
      <c r="L85" s="376"/>
      <c r="M85" s="374"/>
    </row>
    <row r="86" spans="1:14" x14ac:dyDescent="0.2">
      <c r="A86" s="298" t="s">
        <v>12</v>
      </c>
      <c r="B86" s="230"/>
      <c r="C86" s="290"/>
      <c r="D86" s="159"/>
      <c r="E86" s="159"/>
      <c r="F86" s="229"/>
      <c r="G86" s="139"/>
      <c r="H86" s="376"/>
      <c r="I86" s="374"/>
      <c r="J86" s="366"/>
      <c r="K86" s="366"/>
      <c r="L86" s="376"/>
      <c r="M86" s="374"/>
    </row>
    <row r="87" spans="1:14" s="3" customFormat="1" x14ac:dyDescent="0.2">
      <c r="A87" s="298" t="s">
        <v>13</v>
      </c>
      <c r="B87" s="230"/>
      <c r="C87" s="290"/>
      <c r="D87" s="159"/>
      <c r="E87" s="159"/>
      <c r="F87" s="229"/>
      <c r="G87" s="139"/>
      <c r="H87" s="376"/>
      <c r="I87" s="374"/>
      <c r="J87" s="366"/>
      <c r="K87" s="366"/>
      <c r="L87" s="376"/>
      <c r="M87" s="374"/>
      <c r="N87" s="142"/>
    </row>
    <row r="88" spans="1:14" s="3" customFormat="1" x14ac:dyDescent="0.2">
      <c r="A88" s="18" t="s">
        <v>33</v>
      </c>
      <c r="B88" s="229"/>
      <c r="C88" s="139"/>
      <c r="D88" s="159"/>
      <c r="E88" s="159"/>
      <c r="F88" s="229"/>
      <c r="G88" s="139"/>
      <c r="H88" s="376"/>
      <c r="I88" s="374"/>
      <c r="J88" s="368"/>
      <c r="K88" s="367"/>
      <c r="L88" s="376"/>
      <c r="M88" s="374"/>
      <c r="N88" s="142"/>
    </row>
    <row r="89" spans="1:14" ht="15.75" x14ac:dyDescent="0.2">
      <c r="A89" s="18" t="s">
        <v>332</v>
      </c>
      <c r="B89" s="229"/>
      <c r="C89" s="229"/>
      <c r="D89" s="159"/>
      <c r="E89" s="159"/>
      <c r="F89" s="229"/>
      <c r="G89" s="229"/>
      <c r="H89" s="376"/>
      <c r="I89" s="374"/>
      <c r="J89" s="368"/>
      <c r="K89" s="367"/>
      <c r="L89" s="376"/>
      <c r="M89" s="374"/>
    </row>
    <row r="90" spans="1:14" x14ac:dyDescent="0.2">
      <c r="A90" s="18" t="s">
        <v>9</v>
      </c>
      <c r="B90" s="229"/>
      <c r="C90" s="139"/>
      <c r="D90" s="159"/>
      <c r="E90" s="159"/>
      <c r="F90" s="229"/>
      <c r="G90" s="139"/>
      <c r="H90" s="376"/>
      <c r="I90" s="374"/>
      <c r="J90" s="368"/>
      <c r="K90" s="367"/>
      <c r="L90" s="376"/>
      <c r="M90" s="374"/>
    </row>
    <row r="91" spans="1:14" x14ac:dyDescent="0.2">
      <c r="A91" s="18" t="s">
        <v>10</v>
      </c>
      <c r="B91" s="293"/>
      <c r="C91" s="294"/>
      <c r="D91" s="159"/>
      <c r="E91" s="159"/>
      <c r="F91" s="293"/>
      <c r="G91" s="294"/>
      <c r="H91" s="376"/>
      <c r="I91" s="374"/>
      <c r="J91" s="368"/>
      <c r="K91" s="367"/>
      <c r="L91" s="376"/>
      <c r="M91" s="374"/>
    </row>
    <row r="92" spans="1:14" ht="15.75" x14ac:dyDescent="0.2">
      <c r="A92" s="298" t="s">
        <v>330</v>
      </c>
      <c r="B92" s="286"/>
      <c r="C92" s="286"/>
      <c r="D92" s="159"/>
      <c r="E92" s="159"/>
      <c r="F92" s="805"/>
      <c r="G92" s="282"/>
      <c r="H92" s="376"/>
      <c r="I92" s="374"/>
      <c r="J92" s="366"/>
      <c r="K92" s="366"/>
      <c r="L92" s="376"/>
      <c r="M92" s="374"/>
    </row>
    <row r="93" spans="1:14" x14ac:dyDescent="0.2">
      <c r="A93" s="298" t="s">
        <v>12</v>
      </c>
      <c r="B93" s="230"/>
      <c r="C93" s="290"/>
      <c r="D93" s="159"/>
      <c r="E93" s="159"/>
      <c r="F93" s="229"/>
      <c r="G93" s="139"/>
      <c r="H93" s="376"/>
      <c r="I93" s="374"/>
      <c r="J93" s="366"/>
      <c r="K93" s="366"/>
      <c r="L93" s="376"/>
      <c r="M93" s="374"/>
    </row>
    <row r="94" spans="1:14" x14ac:dyDescent="0.2">
      <c r="A94" s="298" t="s">
        <v>13</v>
      </c>
      <c r="B94" s="230"/>
      <c r="C94" s="290"/>
      <c r="D94" s="159"/>
      <c r="E94" s="159"/>
      <c r="F94" s="229"/>
      <c r="G94" s="139"/>
      <c r="H94" s="376"/>
      <c r="I94" s="374"/>
      <c r="J94" s="366"/>
      <c r="K94" s="366"/>
      <c r="L94" s="376"/>
      <c r="M94" s="374"/>
    </row>
    <row r="95" spans="1:14" ht="15.75" x14ac:dyDescent="0.2">
      <c r="A95" s="298" t="s">
        <v>331</v>
      </c>
      <c r="B95" s="286"/>
      <c r="C95" s="286"/>
      <c r="D95" s="159"/>
      <c r="E95" s="159"/>
      <c r="F95" s="805"/>
      <c r="G95" s="282"/>
      <c r="H95" s="376"/>
      <c r="I95" s="374"/>
      <c r="J95" s="366"/>
      <c r="K95" s="366"/>
      <c r="L95" s="376"/>
      <c r="M95" s="374"/>
    </row>
    <row r="96" spans="1:14" x14ac:dyDescent="0.2">
      <c r="A96" s="298" t="s">
        <v>12</v>
      </c>
      <c r="B96" s="230"/>
      <c r="C96" s="290"/>
      <c r="D96" s="159"/>
      <c r="E96" s="159"/>
      <c r="F96" s="229"/>
      <c r="G96" s="139"/>
      <c r="H96" s="376"/>
      <c r="I96" s="374"/>
      <c r="J96" s="366"/>
      <c r="K96" s="366"/>
      <c r="L96" s="376"/>
      <c r="M96" s="374"/>
    </row>
    <row r="97" spans="1:13" x14ac:dyDescent="0.2">
      <c r="A97" s="298" t="s">
        <v>13</v>
      </c>
      <c r="B97" s="230"/>
      <c r="C97" s="290"/>
      <c r="D97" s="159"/>
      <c r="E97" s="159"/>
      <c r="F97" s="229"/>
      <c r="G97" s="139"/>
      <c r="H97" s="376"/>
      <c r="I97" s="374"/>
      <c r="J97" s="366"/>
      <c r="K97" s="366"/>
      <c r="L97" s="376"/>
      <c r="M97" s="374"/>
    </row>
    <row r="98" spans="1:13" ht="15.75" x14ac:dyDescent="0.2">
      <c r="A98" s="18" t="s">
        <v>342</v>
      </c>
      <c r="B98" s="229"/>
      <c r="C98" s="139"/>
      <c r="D98" s="159"/>
      <c r="E98" s="159"/>
      <c r="F98" s="229"/>
      <c r="G98" s="139"/>
      <c r="H98" s="376"/>
      <c r="I98" s="374"/>
      <c r="J98" s="368"/>
      <c r="K98" s="367"/>
      <c r="L98" s="376"/>
      <c r="M98" s="374"/>
    </row>
    <row r="99" spans="1:13" ht="15.75" x14ac:dyDescent="0.2">
      <c r="A99" s="11" t="s">
        <v>29</v>
      </c>
      <c r="B99" s="310"/>
      <c r="C99" s="310"/>
      <c r="D99" s="159"/>
      <c r="E99" s="159"/>
      <c r="F99" s="310"/>
      <c r="G99" s="310"/>
      <c r="H99" s="376"/>
      <c r="I99" s="374"/>
      <c r="J99" s="370"/>
      <c r="K99" s="369"/>
      <c r="L99" s="376"/>
      <c r="M99" s="374"/>
    </row>
    <row r="100" spans="1:13" x14ac:dyDescent="0.2">
      <c r="A100" s="18" t="s">
        <v>9</v>
      </c>
      <c r="B100" s="229"/>
      <c r="C100" s="139"/>
      <c r="D100" s="159"/>
      <c r="E100" s="159"/>
      <c r="F100" s="229"/>
      <c r="G100" s="139"/>
      <c r="H100" s="376"/>
      <c r="I100" s="374"/>
      <c r="J100" s="368"/>
      <c r="K100" s="367"/>
      <c r="L100" s="376"/>
      <c r="M100" s="374"/>
    </row>
    <row r="101" spans="1:13" x14ac:dyDescent="0.2">
      <c r="A101" s="18" t="s">
        <v>10</v>
      </c>
      <c r="B101" s="229"/>
      <c r="C101" s="139"/>
      <c r="D101" s="159"/>
      <c r="E101" s="159"/>
      <c r="F101" s="229"/>
      <c r="G101" s="139"/>
      <c r="H101" s="376"/>
      <c r="I101" s="374"/>
      <c r="J101" s="368"/>
      <c r="K101" s="367"/>
      <c r="L101" s="376"/>
      <c r="M101" s="374"/>
    </row>
    <row r="102" spans="1:13" ht="15.75" x14ac:dyDescent="0.2">
      <c r="A102" s="298" t="s">
        <v>330</v>
      </c>
      <c r="B102" s="286"/>
      <c r="C102" s="286"/>
      <c r="D102" s="159"/>
      <c r="E102" s="159"/>
      <c r="F102" s="805"/>
      <c r="G102" s="282"/>
      <c r="H102" s="376"/>
      <c r="I102" s="374"/>
      <c r="J102" s="366"/>
      <c r="K102" s="366"/>
      <c r="L102" s="376"/>
      <c r="M102" s="374"/>
    </row>
    <row r="103" spans="1:13" x14ac:dyDescent="0.2">
      <c r="A103" s="298" t="s">
        <v>12</v>
      </c>
      <c r="B103" s="230"/>
      <c r="C103" s="290"/>
      <c r="D103" s="159"/>
      <c r="E103" s="159"/>
      <c r="F103" s="229"/>
      <c r="G103" s="139"/>
      <c r="H103" s="376"/>
      <c r="I103" s="374"/>
      <c r="J103" s="366"/>
      <c r="K103" s="366"/>
      <c r="L103" s="376"/>
      <c r="M103" s="374"/>
    </row>
    <row r="104" spans="1:13" x14ac:dyDescent="0.2">
      <c r="A104" s="298" t="s">
        <v>13</v>
      </c>
      <c r="B104" s="230"/>
      <c r="C104" s="290"/>
      <c r="D104" s="159"/>
      <c r="E104" s="159"/>
      <c r="F104" s="229"/>
      <c r="G104" s="139"/>
      <c r="H104" s="376"/>
      <c r="I104" s="374"/>
      <c r="J104" s="366"/>
      <c r="K104" s="366"/>
      <c r="L104" s="376"/>
      <c r="M104" s="374"/>
    </row>
    <row r="105" spans="1:13" ht="15.75" x14ac:dyDescent="0.2">
      <c r="A105" s="298" t="s">
        <v>331</v>
      </c>
      <c r="B105" s="286"/>
      <c r="C105" s="286"/>
      <c r="D105" s="159"/>
      <c r="E105" s="159"/>
      <c r="F105" s="805"/>
      <c r="G105" s="282"/>
      <c r="H105" s="376"/>
      <c r="I105" s="374"/>
      <c r="J105" s="366"/>
      <c r="K105" s="366"/>
      <c r="L105" s="376"/>
      <c r="M105" s="374"/>
    </row>
    <row r="106" spans="1:13" x14ac:dyDescent="0.2">
      <c r="A106" s="298" t="s">
        <v>12</v>
      </c>
      <c r="B106" s="230"/>
      <c r="C106" s="290"/>
      <c r="D106" s="159"/>
      <c r="E106" s="159"/>
      <c r="F106" s="229"/>
      <c r="G106" s="139"/>
      <c r="H106" s="376"/>
      <c r="I106" s="374"/>
      <c r="J106" s="366"/>
      <c r="K106" s="366"/>
      <c r="L106" s="376"/>
      <c r="M106" s="374"/>
    </row>
    <row r="107" spans="1:13" x14ac:dyDescent="0.2">
      <c r="A107" s="298" t="s">
        <v>13</v>
      </c>
      <c r="B107" s="230"/>
      <c r="C107" s="290"/>
      <c r="D107" s="159"/>
      <c r="E107" s="159"/>
      <c r="F107" s="229"/>
      <c r="G107" s="139"/>
      <c r="H107" s="376"/>
      <c r="I107" s="374"/>
      <c r="J107" s="366"/>
      <c r="K107" s="366"/>
      <c r="L107" s="376"/>
      <c r="M107" s="374"/>
    </row>
    <row r="108" spans="1:13" x14ac:dyDescent="0.2">
      <c r="A108" s="18" t="s">
        <v>33</v>
      </c>
      <c r="B108" s="229"/>
      <c r="C108" s="139"/>
      <c r="D108" s="159"/>
      <c r="E108" s="159"/>
      <c r="F108" s="229"/>
      <c r="G108" s="139"/>
      <c r="H108" s="376"/>
      <c r="I108" s="374"/>
      <c r="J108" s="368"/>
      <c r="K108" s="367"/>
      <c r="L108" s="376"/>
      <c r="M108" s="374"/>
    </row>
    <row r="109" spans="1:13" ht="15.75" x14ac:dyDescent="0.2">
      <c r="A109" s="18" t="s">
        <v>332</v>
      </c>
      <c r="B109" s="229"/>
      <c r="C109" s="139"/>
      <c r="D109" s="159"/>
      <c r="E109" s="159"/>
      <c r="F109" s="229"/>
      <c r="G109" s="139"/>
      <c r="H109" s="376"/>
      <c r="I109" s="374"/>
      <c r="J109" s="368"/>
      <c r="K109" s="367"/>
      <c r="L109" s="376"/>
      <c r="M109" s="374"/>
    </row>
    <row r="110" spans="1:13" x14ac:dyDescent="0.2">
      <c r="A110" s="18" t="s">
        <v>9</v>
      </c>
      <c r="B110" s="229"/>
      <c r="C110" s="139"/>
      <c r="D110" s="159"/>
      <c r="E110" s="159"/>
      <c r="F110" s="229"/>
      <c r="G110" s="139"/>
      <c r="H110" s="376"/>
      <c r="I110" s="374"/>
      <c r="J110" s="368"/>
      <c r="K110" s="367"/>
      <c r="L110" s="376"/>
      <c r="M110" s="374"/>
    </row>
    <row r="111" spans="1:13" x14ac:dyDescent="0.2">
      <c r="A111" s="18" t="s">
        <v>10</v>
      </c>
      <c r="B111" s="293"/>
      <c r="C111" s="294"/>
      <c r="D111" s="159"/>
      <c r="E111" s="159"/>
      <c r="F111" s="293"/>
      <c r="G111" s="294"/>
      <c r="H111" s="376"/>
      <c r="I111" s="374"/>
      <c r="J111" s="368"/>
      <c r="K111" s="367"/>
      <c r="L111" s="376"/>
      <c r="M111" s="374"/>
    </row>
    <row r="112" spans="1:13" ht="15.75" x14ac:dyDescent="0.2">
      <c r="A112" s="298" t="s">
        <v>330</v>
      </c>
      <c r="B112" s="286"/>
      <c r="C112" s="286"/>
      <c r="D112" s="159"/>
      <c r="E112" s="159"/>
      <c r="F112" s="805"/>
      <c r="G112" s="282"/>
      <c r="H112" s="376"/>
      <c r="I112" s="374"/>
      <c r="J112" s="366"/>
      <c r="K112" s="366"/>
      <c r="L112" s="376"/>
      <c r="M112" s="374"/>
    </row>
    <row r="113" spans="1:13" x14ac:dyDescent="0.2">
      <c r="A113" s="298" t="s">
        <v>12</v>
      </c>
      <c r="B113" s="230"/>
      <c r="C113" s="290"/>
      <c r="D113" s="159"/>
      <c r="E113" s="159"/>
      <c r="F113" s="229"/>
      <c r="G113" s="139"/>
      <c r="H113" s="376"/>
      <c r="I113" s="374"/>
      <c r="J113" s="366"/>
      <c r="K113" s="366"/>
      <c r="L113" s="376"/>
      <c r="M113" s="374"/>
    </row>
    <row r="114" spans="1:13" x14ac:dyDescent="0.2">
      <c r="A114" s="298" t="s">
        <v>13</v>
      </c>
      <c r="B114" s="230"/>
      <c r="C114" s="290"/>
      <c r="D114" s="159"/>
      <c r="E114" s="159"/>
      <c r="F114" s="229"/>
      <c r="G114" s="139"/>
      <c r="H114" s="376"/>
      <c r="I114" s="374"/>
      <c r="J114" s="366"/>
      <c r="K114" s="366"/>
      <c r="L114" s="376"/>
      <c r="M114" s="374"/>
    </row>
    <row r="115" spans="1:13" ht="15.75" x14ac:dyDescent="0.2">
      <c r="A115" s="298" t="s">
        <v>331</v>
      </c>
      <c r="B115" s="286"/>
      <c r="C115" s="286"/>
      <c r="D115" s="159"/>
      <c r="E115" s="159"/>
      <c r="F115" s="805"/>
      <c r="G115" s="282"/>
      <c r="H115" s="376"/>
      <c r="I115" s="374"/>
      <c r="J115" s="366"/>
      <c r="K115" s="366"/>
      <c r="L115" s="376"/>
      <c r="M115" s="374"/>
    </row>
    <row r="116" spans="1:13" x14ac:dyDescent="0.2">
      <c r="A116" s="298" t="s">
        <v>12</v>
      </c>
      <c r="B116" s="230"/>
      <c r="C116" s="290"/>
      <c r="D116" s="159"/>
      <c r="E116" s="159"/>
      <c r="F116" s="229"/>
      <c r="G116" s="139"/>
      <c r="H116" s="376"/>
      <c r="I116" s="374"/>
      <c r="J116" s="366"/>
      <c r="K116" s="366"/>
      <c r="L116" s="376"/>
      <c r="M116" s="374"/>
    </row>
    <row r="117" spans="1:13" x14ac:dyDescent="0.2">
      <c r="A117" s="298" t="s">
        <v>13</v>
      </c>
      <c r="B117" s="232"/>
      <c r="C117" s="297"/>
      <c r="D117" s="159"/>
      <c r="E117" s="159"/>
      <c r="F117" s="233"/>
      <c r="G117" s="807"/>
      <c r="H117" s="376"/>
      <c r="I117" s="374"/>
      <c r="J117" s="366"/>
      <c r="K117" s="366"/>
      <c r="L117" s="376"/>
      <c r="M117" s="374"/>
    </row>
    <row r="118" spans="1:13" ht="15.75" x14ac:dyDescent="0.2">
      <c r="A118" s="18" t="s">
        <v>342</v>
      </c>
      <c r="B118" s="229"/>
      <c r="C118" s="139"/>
      <c r="D118" s="159"/>
      <c r="E118" s="159"/>
      <c r="F118" s="229"/>
      <c r="G118" s="139"/>
      <c r="H118" s="376"/>
      <c r="I118" s="374"/>
      <c r="J118" s="368"/>
      <c r="K118" s="367"/>
      <c r="L118" s="376"/>
      <c r="M118" s="374"/>
    </row>
    <row r="119" spans="1:13" ht="15.75" x14ac:dyDescent="0.2">
      <c r="A119" s="11" t="s">
        <v>28</v>
      </c>
      <c r="B119" s="355"/>
      <c r="C119" s="355"/>
      <c r="D119" s="159"/>
      <c r="E119" s="159"/>
      <c r="F119" s="355"/>
      <c r="G119" s="355"/>
      <c r="H119" s="376"/>
      <c r="I119" s="374"/>
      <c r="J119" s="370"/>
      <c r="K119" s="369"/>
      <c r="L119" s="376"/>
      <c r="M119" s="374"/>
    </row>
    <row r="120" spans="1:13" x14ac:dyDescent="0.2">
      <c r="A120" s="18" t="s">
        <v>9</v>
      </c>
      <c r="B120" s="229"/>
      <c r="C120" s="139"/>
      <c r="D120" s="159"/>
      <c r="E120" s="159"/>
      <c r="F120" s="229"/>
      <c r="G120" s="139"/>
      <c r="H120" s="376"/>
      <c r="I120" s="374"/>
      <c r="J120" s="368"/>
      <c r="K120" s="367"/>
      <c r="L120" s="376"/>
      <c r="M120" s="374"/>
    </row>
    <row r="121" spans="1:13" x14ac:dyDescent="0.2">
      <c r="A121" s="18" t="s">
        <v>10</v>
      </c>
      <c r="B121" s="229"/>
      <c r="C121" s="139"/>
      <c r="D121" s="159"/>
      <c r="E121" s="159"/>
      <c r="F121" s="229"/>
      <c r="G121" s="139"/>
      <c r="H121" s="376"/>
      <c r="I121" s="374"/>
      <c r="J121" s="368"/>
      <c r="K121" s="367"/>
      <c r="L121" s="376"/>
      <c r="M121" s="374"/>
    </row>
    <row r="122" spans="1:13" ht="15.75" x14ac:dyDescent="0.2">
      <c r="A122" s="298" t="s">
        <v>330</v>
      </c>
      <c r="B122" s="286"/>
      <c r="C122" s="286"/>
      <c r="D122" s="159"/>
      <c r="E122" s="159"/>
      <c r="F122" s="805"/>
      <c r="G122" s="282"/>
      <c r="H122" s="376"/>
      <c r="I122" s="374"/>
      <c r="J122" s="366"/>
      <c r="K122" s="366"/>
      <c r="L122" s="376"/>
      <c r="M122" s="374"/>
    </row>
    <row r="123" spans="1:13" x14ac:dyDescent="0.2">
      <c r="A123" s="298" t="s">
        <v>12</v>
      </c>
      <c r="B123" s="230"/>
      <c r="C123" s="290"/>
      <c r="D123" s="159"/>
      <c r="E123" s="159"/>
      <c r="F123" s="229"/>
      <c r="G123" s="139"/>
      <c r="H123" s="376"/>
      <c r="I123" s="374"/>
      <c r="J123" s="366"/>
      <c r="K123" s="366"/>
      <c r="L123" s="376"/>
      <c r="M123" s="374"/>
    </row>
    <row r="124" spans="1:13" x14ac:dyDescent="0.2">
      <c r="A124" s="298" t="s">
        <v>13</v>
      </c>
      <c r="B124" s="230"/>
      <c r="C124" s="290"/>
      <c r="D124" s="159"/>
      <c r="E124" s="159"/>
      <c r="F124" s="229"/>
      <c r="G124" s="139"/>
      <c r="H124" s="376"/>
      <c r="I124" s="374"/>
      <c r="J124" s="366"/>
      <c r="K124" s="366"/>
      <c r="L124" s="376"/>
      <c r="M124" s="374"/>
    </row>
    <row r="125" spans="1:13" ht="15.75" x14ac:dyDescent="0.2">
      <c r="A125" s="298" t="s">
        <v>331</v>
      </c>
      <c r="B125" s="286"/>
      <c r="C125" s="286"/>
      <c r="D125" s="159"/>
      <c r="E125" s="159"/>
      <c r="F125" s="805"/>
      <c r="G125" s="282"/>
      <c r="H125" s="376"/>
      <c r="I125" s="374"/>
      <c r="J125" s="366"/>
      <c r="K125" s="366"/>
      <c r="L125" s="376"/>
      <c r="M125" s="374"/>
    </row>
    <row r="126" spans="1:13" x14ac:dyDescent="0.2">
      <c r="A126" s="298" t="s">
        <v>12</v>
      </c>
      <c r="B126" s="230"/>
      <c r="C126" s="290"/>
      <c r="D126" s="159"/>
      <c r="E126" s="159"/>
      <c r="F126" s="229"/>
      <c r="G126" s="139"/>
      <c r="H126" s="376"/>
      <c r="I126" s="374"/>
      <c r="J126" s="366"/>
      <c r="K126" s="366"/>
      <c r="L126" s="376"/>
      <c r="M126" s="374"/>
    </row>
    <row r="127" spans="1:13" x14ac:dyDescent="0.2">
      <c r="A127" s="298" t="s">
        <v>13</v>
      </c>
      <c r="B127" s="230"/>
      <c r="C127" s="290"/>
      <c r="D127" s="159"/>
      <c r="E127" s="159"/>
      <c r="F127" s="229"/>
      <c r="G127" s="139"/>
      <c r="H127" s="376"/>
      <c r="I127" s="374"/>
      <c r="J127" s="366"/>
      <c r="K127" s="366"/>
      <c r="L127" s="376"/>
      <c r="M127" s="374"/>
    </row>
    <row r="128" spans="1:13" x14ac:dyDescent="0.2">
      <c r="A128" s="18" t="s">
        <v>34</v>
      </c>
      <c r="B128" s="229"/>
      <c r="C128" s="139"/>
      <c r="D128" s="159"/>
      <c r="E128" s="159"/>
      <c r="F128" s="229"/>
      <c r="G128" s="139"/>
      <c r="H128" s="376"/>
      <c r="I128" s="374"/>
      <c r="J128" s="368"/>
      <c r="K128" s="367"/>
      <c r="L128" s="376"/>
      <c r="M128" s="374"/>
    </row>
    <row r="129" spans="1:13" ht="15.75" x14ac:dyDescent="0.2">
      <c r="A129" s="18" t="s">
        <v>332</v>
      </c>
      <c r="B129" s="229"/>
      <c r="C129" s="229"/>
      <c r="D129" s="159"/>
      <c r="E129" s="159"/>
      <c r="F129" s="229"/>
      <c r="G129" s="229"/>
      <c r="H129" s="376"/>
      <c r="I129" s="374"/>
      <c r="J129" s="368"/>
      <c r="K129" s="367"/>
      <c r="L129" s="376"/>
      <c r="M129" s="374"/>
    </row>
    <row r="130" spans="1:13" x14ac:dyDescent="0.2">
      <c r="A130" s="18" t="s">
        <v>9</v>
      </c>
      <c r="B130" s="293"/>
      <c r="C130" s="294"/>
      <c r="D130" s="159"/>
      <c r="E130" s="159"/>
      <c r="F130" s="293"/>
      <c r="G130" s="294"/>
      <c r="H130" s="376"/>
      <c r="I130" s="374"/>
      <c r="J130" s="368"/>
      <c r="K130" s="367"/>
      <c r="L130" s="376"/>
      <c r="M130" s="374"/>
    </row>
    <row r="131" spans="1:13" x14ac:dyDescent="0.2">
      <c r="A131" s="18" t="s">
        <v>10</v>
      </c>
      <c r="B131" s="293"/>
      <c r="C131" s="294"/>
      <c r="D131" s="159"/>
      <c r="E131" s="159"/>
      <c r="F131" s="293"/>
      <c r="G131" s="294"/>
      <c r="H131" s="376"/>
      <c r="I131" s="374"/>
      <c r="J131" s="368"/>
      <c r="K131" s="367"/>
      <c r="L131" s="376"/>
      <c r="M131" s="374"/>
    </row>
    <row r="132" spans="1:13" ht="15.75" x14ac:dyDescent="0.2">
      <c r="A132" s="298" t="s">
        <v>330</v>
      </c>
      <c r="B132" s="286"/>
      <c r="C132" s="286"/>
      <c r="D132" s="159"/>
      <c r="E132" s="159"/>
      <c r="F132" s="805"/>
      <c r="G132" s="282"/>
      <c r="H132" s="376"/>
      <c r="I132" s="374"/>
      <c r="J132" s="366"/>
      <c r="K132" s="366"/>
      <c r="L132" s="376"/>
      <c r="M132" s="374"/>
    </row>
    <row r="133" spans="1:13" x14ac:dyDescent="0.2">
      <c r="A133" s="298" t="s">
        <v>12</v>
      </c>
      <c r="B133" s="230"/>
      <c r="C133" s="290"/>
      <c r="D133" s="159"/>
      <c r="E133" s="159"/>
      <c r="F133" s="229"/>
      <c r="G133" s="139"/>
      <c r="H133" s="376"/>
      <c r="I133" s="374"/>
      <c r="J133" s="366"/>
      <c r="K133" s="366"/>
      <c r="L133" s="376"/>
      <c r="M133" s="374"/>
    </row>
    <row r="134" spans="1:13" x14ac:dyDescent="0.2">
      <c r="A134" s="298" t="s">
        <v>13</v>
      </c>
      <c r="B134" s="230"/>
      <c r="C134" s="290"/>
      <c r="D134" s="159"/>
      <c r="E134" s="159"/>
      <c r="F134" s="229"/>
      <c r="G134" s="139"/>
      <c r="H134" s="376"/>
      <c r="I134" s="374"/>
      <c r="J134" s="366"/>
      <c r="K134" s="366"/>
      <c r="L134" s="376"/>
      <c r="M134" s="374"/>
    </row>
    <row r="135" spans="1:13" ht="15.75" x14ac:dyDescent="0.2">
      <c r="A135" s="298" t="s">
        <v>331</v>
      </c>
      <c r="B135" s="286"/>
      <c r="C135" s="286"/>
      <c r="D135" s="159"/>
      <c r="E135" s="159"/>
      <c r="F135" s="805"/>
      <c r="G135" s="282"/>
      <c r="H135" s="376"/>
      <c r="I135" s="374"/>
      <c r="J135" s="366"/>
      <c r="K135" s="366"/>
      <c r="L135" s="376"/>
      <c r="M135" s="374"/>
    </row>
    <row r="136" spans="1:13" x14ac:dyDescent="0.2">
      <c r="A136" s="298" t="s">
        <v>12</v>
      </c>
      <c r="B136" s="230"/>
      <c r="C136" s="290"/>
      <c r="D136" s="159"/>
      <c r="E136" s="159"/>
      <c r="F136" s="229"/>
      <c r="G136" s="139"/>
      <c r="H136" s="376"/>
      <c r="I136" s="374"/>
      <c r="J136" s="366"/>
      <c r="K136" s="366"/>
      <c r="L136" s="376"/>
      <c r="M136" s="374"/>
    </row>
    <row r="137" spans="1:13" x14ac:dyDescent="0.2">
      <c r="A137" s="298" t="s">
        <v>13</v>
      </c>
      <c r="B137" s="230"/>
      <c r="C137" s="290"/>
      <c r="D137" s="159"/>
      <c r="E137" s="159"/>
      <c r="F137" s="229"/>
      <c r="G137" s="139"/>
      <c r="H137" s="376"/>
      <c r="I137" s="374"/>
      <c r="J137" s="366"/>
      <c r="K137" s="366"/>
      <c r="L137" s="376"/>
      <c r="M137" s="374"/>
    </row>
    <row r="138" spans="1:13" ht="15.75" x14ac:dyDescent="0.2">
      <c r="A138" s="18" t="s">
        <v>342</v>
      </c>
      <c r="B138" s="229"/>
      <c r="C138" s="139"/>
      <c r="D138" s="159"/>
      <c r="E138" s="159"/>
      <c r="F138" s="229"/>
      <c r="G138" s="139"/>
      <c r="H138" s="376"/>
      <c r="I138" s="374"/>
      <c r="J138" s="368"/>
      <c r="K138" s="367"/>
      <c r="L138" s="376"/>
      <c r="M138" s="374"/>
    </row>
    <row r="139" spans="1:13" ht="15.75" x14ac:dyDescent="0.2">
      <c r="A139" s="18" t="s">
        <v>343</v>
      </c>
      <c r="B139" s="229"/>
      <c r="C139" s="229"/>
      <c r="D139" s="159"/>
      <c r="E139" s="159"/>
      <c r="F139" s="229"/>
      <c r="G139" s="229"/>
      <c r="H139" s="376"/>
      <c r="I139" s="374"/>
      <c r="J139" s="368"/>
      <c r="K139" s="367"/>
      <c r="L139" s="376"/>
      <c r="M139" s="374"/>
    </row>
    <row r="140" spans="1:13" ht="15.75" x14ac:dyDescent="0.2">
      <c r="A140" s="18" t="s">
        <v>334</v>
      </c>
      <c r="B140" s="229"/>
      <c r="C140" s="229"/>
      <c r="D140" s="159"/>
      <c r="E140" s="159"/>
      <c r="F140" s="229"/>
      <c r="G140" s="229"/>
      <c r="H140" s="376"/>
      <c r="I140" s="374"/>
      <c r="J140" s="368"/>
      <c r="K140" s="367"/>
      <c r="L140" s="376"/>
      <c r="M140" s="374"/>
    </row>
    <row r="141" spans="1:13" ht="15.75" x14ac:dyDescent="0.2">
      <c r="A141" s="18" t="s">
        <v>335</v>
      </c>
      <c r="B141" s="229"/>
      <c r="C141" s="229"/>
      <c r="D141" s="159"/>
      <c r="E141" s="159"/>
      <c r="F141" s="229"/>
      <c r="G141" s="229"/>
      <c r="H141" s="376"/>
      <c r="I141" s="374"/>
      <c r="J141" s="368"/>
      <c r="K141" s="367"/>
      <c r="L141" s="376"/>
      <c r="M141" s="374"/>
    </row>
    <row r="142" spans="1:13" ht="15.75" x14ac:dyDescent="0.2">
      <c r="A142" s="11" t="s">
        <v>27</v>
      </c>
      <c r="B142" s="310"/>
      <c r="C142" s="152"/>
      <c r="D142" s="159"/>
      <c r="E142" s="159"/>
      <c r="F142" s="310"/>
      <c r="G142" s="152"/>
      <c r="H142" s="376"/>
      <c r="I142" s="374"/>
      <c r="J142" s="370"/>
      <c r="K142" s="369"/>
      <c r="L142" s="376"/>
      <c r="M142" s="374"/>
    </row>
    <row r="143" spans="1:13" x14ac:dyDescent="0.2">
      <c r="A143" s="18" t="s">
        <v>9</v>
      </c>
      <c r="B143" s="229"/>
      <c r="C143" s="139"/>
      <c r="D143" s="159"/>
      <c r="E143" s="159"/>
      <c r="F143" s="229"/>
      <c r="G143" s="139"/>
      <c r="H143" s="376"/>
      <c r="I143" s="374"/>
      <c r="J143" s="368"/>
      <c r="K143" s="367"/>
      <c r="L143" s="376"/>
      <c r="M143" s="374"/>
    </row>
    <row r="144" spans="1:13" x14ac:dyDescent="0.2">
      <c r="A144" s="18" t="s">
        <v>10</v>
      </c>
      <c r="B144" s="229"/>
      <c r="C144" s="139"/>
      <c r="D144" s="159"/>
      <c r="E144" s="159"/>
      <c r="F144" s="229"/>
      <c r="G144" s="139"/>
      <c r="H144" s="376"/>
      <c r="I144" s="374"/>
      <c r="J144" s="368"/>
      <c r="K144" s="367"/>
      <c r="L144" s="376"/>
      <c r="M144" s="374"/>
    </row>
    <row r="145" spans="1:14" x14ac:dyDescent="0.2">
      <c r="A145" s="18" t="s">
        <v>34</v>
      </c>
      <c r="B145" s="229"/>
      <c r="C145" s="139"/>
      <c r="D145" s="159"/>
      <c r="E145" s="159"/>
      <c r="F145" s="229"/>
      <c r="G145" s="139"/>
      <c r="H145" s="376"/>
      <c r="I145" s="374"/>
      <c r="J145" s="368"/>
      <c r="K145" s="367"/>
      <c r="L145" s="376"/>
      <c r="M145" s="374"/>
    </row>
    <row r="146" spans="1:14" x14ac:dyDescent="0.2">
      <c r="A146" s="298" t="s">
        <v>15</v>
      </c>
      <c r="B146" s="282"/>
      <c r="C146" s="282"/>
      <c r="D146" s="159"/>
      <c r="E146" s="159"/>
      <c r="F146" s="805"/>
      <c r="G146" s="282"/>
      <c r="H146" s="376"/>
      <c r="I146" s="374"/>
      <c r="J146" s="366"/>
      <c r="K146" s="366"/>
      <c r="L146" s="376"/>
      <c r="M146" s="374"/>
    </row>
    <row r="147" spans="1:14" ht="15.75" x14ac:dyDescent="0.2">
      <c r="A147" s="18" t="s">
        <v>344</v>
      </c>
      <c r="B147" s="229"/>
      <c r="C147" s="229"/>
      <c r="D147" s="159"/>
      <c r="E147" s="159"/>
      <c r="F147" s="229"/>
      <c r="G147" s="229"/>
      <c r="H147" s="376"/>
      <c r="I147" s="374"/>
      <c r="J147" s="368"/>
      <c r="K147" s="367"/>
      <c r="L147" s="376"/>
      <c r="M147" s="374"/>
    </row>
    <row r="148" spans="1:14" ht="15.75" x14ac:dyDescent="0.2">
      <c r="A148" s="18" t="s">
        <v>336</v>
      </c>
      <c r="B148" s="229"/>
      <c r="C148" s="229"/>
      <c r="D148" s="159"/>
      <c r="E148" s="159"/>
      <c r="F148" s="229"/>
      <c r="G148" s="229"/>
      <c r="H148" s="376"/>
      <c r="I148" s="374"/>
      <c r="J148" s="368"/>
      <c r="K148" s="367"/>
      <c r="L148" s="376"/>
      <c r="M148" s="374"/>
    </row>
    <row r="149" spans="1:14" ht="15.75" x14ac:dyDescent="0.2">
      <c r="A149" s="18" t="s">
        <v>335</v>
      </c>
      <c r="B149" s="229"/>
      <c r="C149" s="229"/>
      <c r="D149" s="159"/>
      <c r="E149" s="159"/>
      <c r="F149" s="229"/>
      <c r="G149" s="229"/>
      <c r="H149" s="376"/>
      <c r="I149" s="374"/>
      <c r="J149" s="368"/>
      <c r="K149" s="367"/>
      <c r="L149" s="376"/>
      <c r="M149" s="374"/>
    </row>
    <row r="150" spans="1:14" ht="15.75" x14ac:dyDescent="0.2">
      <c r="A150" s="11" t="s">
        <v>26</v>
      </c>
      <c r="B150" s="310"/>
      <c r="C150" s="152"/>
      <c r="D150" s="159"/>
      <c r="E150" s="159"/>
      <c r="F150" s="310"/>
      <c r="G150" s="152"/>
      <c r="H150" s="376"/>
      <c r="I150" s="374"/>
      <c r="J150" s="370"/>
      <c r="K150" s="369"/>
      <c r="L150" s="376"/>
      <c r="M150" s="374"/>
    </row>
    <row r="151" spans="1:14" x14ac:dyDescent="0.2">
      <c r="A151" s="18" t="s">
        <v>9</v>
      </c>
      <c r="B151" s="229"/>
      <c r="C151" s="139"/>
      <c r="D151" s="159"/>
      <c r="E151" s="159"/>
      <c r="F151" s="229"/>
      <c r="G151" s="139"/>
      <c r="H151" s="376"/>
      <c r="I151" s="374"/>
      <c r="J151" s="368"/>
      <c r="K151" s="367"/>
      <c r="L151" s="376"/>
      <c r="M151" s="374"/>
    </row>
    <row r="152" spans="1:14" x14ac:dyDescent="0.2">
      <c r="A152" s="18" t="s">
        <v>10</v>
      </c>
      <c r="B152" s="229"/>
      <c r="C152" s="139"/>
      <c r="D152" s="159"/>
      <c r="E152" s="159"/>
      <c r="F152" s="229"/>
      <c r="G152" s="139"/>
      <c r="H152" s="376"/>
      <c r="I152" s="374"/>
      <c r="J152" s="368"/>
      <c r="K152" s="367"/>
      <c r="L152" s="376"/>
      <c r="M152" s="374"/>
    </row>
    <row r="153" spans="1:14" x14ac:dyDescent="0.2">
      <c r="A153" s="18" t="s">
        <v>34</v>
      </c>
      <c r="B153" s="229"/>
      <c r="C153" s="139"/>
      <c r="D153" s="159"/>
      <c r="E153" s="159"/>
      <c r="F153" s="229"/>
      <c r="G153" s="139"/>
      <c r="H153" s="376"/>
      <c r="I153" s="374"/>
      <c r="J153" s="368"/>
      <c r="K153" s="367"/>
      <c r="L153" s="376"/>
      <c r="M153" s="374"/>
    </row>
    <row r="154" spans="1:14" x14ac:dyDescent="0.2">
      <c r="A154" s="298" t="s">
        <v>14</v>
      </c>
      <c r="B154" s="282"/>
      <c r="C154" s="282"/>
      <c r="D154" s="159"/>
      <c r="E154" s="159"/>
      <c r="F154" s="805"/>
      <c r="G154" s="282"/>
      <c r="H154" s="376"/>
      <c r="I154" s="374"/>
      <c r="J154" s="366"/>
      <c r="K154" s="366"/>
      <c r="L154" s="376"/>
      <c r="M154" s="374"/>
    </row>
    <row r="155" spans="1:14" ht="15.75" x14ac:dyDescent="0.2">
      <c r="A155" s="18" t="s">
        <v>333</v>
      </c>
      <c r="B155" s="229"/>
      <c r="C155" s="229"/>
      <c r="D155" s="159"/>
      <c r="E155" s="159"/>
      <c r="F155" s="229"/>
      <c r="G155" s="229"/>
      <c r="H155" s="376"/>
      <c r="I155" s="374"/>
      <c r="J155" s="368"/>
      <c r="K155" s="367"/>
      <c r="L155" s="376"/>
      <c r="M155" s="374"/>
    </row>
    <row r="156" spans="1:14" ht="15.75" x14ac:dyDescent="0.2">
      <c r="A156" s="18" t="s">
        <v>334</v>
      </c>
      <c r="B156" s="229"/>
      <c r="C156" s="229"/>
      <c r="D156" s="159"/>
      <c r="E156" s="159"/>
      <c r="F156" s="229"/>
      <c r="G156" s="229"/>
      <c r="H156" s="376"/>
      <c r="I156" s="374"/>
      <c r="J156" s="368"/>
      <c r="K156" s="367"/>
      <c r="L156" s="376"/>
      <c r="M156" s="374"/>
    </row>
    <row r="157" spans="1:14" ht="15.75" x14ac:dyDescent="0.2">
      <c r="A157" s="9" t="s">
        <v>335</v>
      </c>
      <c r="B157" s="38"/>
      <c r="C157" s="38"/>
      <c r="D157" s="160"/>
      <c r="E157" s="160"/>
      <c r="F157" s="400"/>
      <c r="G157" s="38"/>
      <c r="H157" s="380"/>
      <c r="I157" s="380"/>
      <c r="J157" s="390"/>
      <c r="K157" s="389"/>
      <c r="L157" s="380"/>
      <c r="M157" s="380"/>
    </row>
    <row r="158" spans="1:14" x14ac:dyDescent="0.2">
      <c r="A158" s="148"/>
      <c r="L158" s="20"/>
      <c r="M158" s="20"/>
      <c r="N158" s="20"/>
    </row>
    <row r="159" spans="1:14" x14ac:dyDescent="0.2">
      <c r="L159" s="20"/>
      <c r="M159" s="20"/>
      <c r="N159" s="20"/>
    </row>
    <row r="160" spans="1:14" ht="15.75" x14ac:dyDescent="0.25">
      <c r="A160" s="158" t="s">
        <v>35</v>
      </c>
    </row>
    <row r="161" spans="1:14" ht="15.75" x14ac:dyDescent="0.25">
      <c r="B161" s="360"/>
      <c r="C161" s="360"/>
      <c r="D161" s="360"/>
      <c r="E161" s="361"/>
      <c r="F161" s="360"/>
      <c r="G161" s="360"/>
      <c r="H161" s="360"/>
      <c r="I161" s="361"/>
      <c r="J161" s="360"/>
      <c r="K161" s="360"/>
      <c r="L161" s="360"/>
      <c r="M161" s="361"/>
    </row>
    <row r="162" spans="1:14" s="3" customFormat="1" x14ac:dyDescent="0.2">
      <c r="A162" s="138"/>
      <c r="B162" s="357" t="s">
        <v>0</v>
      </c>
      <c r="C162" s="358"/>
      <c r="D162" s="358"/>
      <c r="E162" s="358"/>
      <c r="F162" s="357" t="s">
        <v>1</v>
      </c>
      <c r="G162" s="358"/>
      <c r="H162" s="358"/>
      <c r="I162" s="359"/>
      <c r="J162" s="357" t="s">
        <v>2</v>
      </c>
      <c r="K162" s="358"/>
      <c r="L162" s="358"/>
      <c r="M162" s="359"/>
      <c r="N162" s="142"/>
    </row>
    <row r="163" spans="1:14" s="3" customFormat="1" x14ac:dyDescent="0.2">
      <c r="A163" s="134"/>
      <c r="B163" s="145" t="s">
        <v>400</v>
      </c>
      <c r="C163" s="145" t="s">
        <v>401</v>
      </c>
      <c r="D163" s="242" t="s">
        <v>3</v>
      </c>
      <c r="E163" s="307" t="s">
        <v>37</v>
      </c>
      <c r="F163" s="145" t="s">
        <v>400</v>
      </c>
      <c r="G163" s="145" t="s">
        <v>401</v>
      </c>
      <c r="H163" s="242" t="s">
        <v>3</v>
      </c>
      <c r="I163" s="307" t="s">
        <v>37</v>
      </c>
      <c r="J163" s="145" t="s">
        <v>400</v>
      </c>
      <c r="K163" s="145" t="s">
        <v>401</v>
      </c>
      <c r="L163" s="242" t="s">
        <v>3</v>
      </c>
      <c r="M163" s="155" t="s">
        <v>37</v>
      </c>
      <c r="N163" s="142"/>
    </row>
    <row r="164" spans="1:14" s="3" customFormat="1" x14ac:dyDescent="0.2">
      <c r="A164" s="403"/>
      <c r="B164" s="149"/>
      <c r="C164" s="149"/>
      <c r="D164" s="243" t="s">
        <v>4</v>
      </c>
      <c r="E164" s="149" t="s">
        <v>38</v>
      </c>
      <c r="F164" s="154"/>
      <c r="G164" s="154"/>
      <c r="H164" s="242" t="s">
        <v>4</v>
      </c>
      <c r="I164" s="149" t="s">
        <v>38</v>
      </c>
      <c r="J164" s="154"/>
      <c r="K164" s="154"/>
      <c r="L164" s="242" t="s">
        <v>4</v>
      </c>
      <c r="M164" s="149" t="s">
        <v>38</v>
      </c>
      <c r="N164" s="142"/>
    </row>
    <row r="165" spans="1:14" s="3" customFormat="1" ht="15.75" x14ac:dyDescent="0.2">
      <c r="A165" s="12" t="s">
        <v>337</v>
      </c>
      <c r="B165" s="369"/>
      <c r="C165" s="370"/>
      <c r="D165" s="373"/>
      <c r="E165" s="374"/>
      <c r="F165" s="364"/>
      <c r="G165" s="365"/>
      <c r="H165" s="393"/>
      <c r="I165" s="374"/>
      <c r="J165" s="382"/>
      <c r="K165" s="382"/>
      <c r="L165" s="373"/>
      <c r="M165" s="374"/>
      <c r="N165" s="142"/>
    </row>
    <row r="166" spans="1:14" s="3" customFormat="1" ht="15.75" x14ac:dyDescent="0.2">
      <c r="A166" s="11" t="s">
        <v>338</v>
      </c>
      <c r="B166" s="369"/>
      <c r="C166" s="370"/>
      <c r="D166" s="376"/>
      <c r="E166" s="374"/>
      <c r="F166" s="369"/>
      <c r="G166" s="370"/>
      <c r="H166" s="394"/>
      <c r="I166" s="374"/>
      <c r="J166" s="375"/>
      <c r="K166" s="375"/>
      <c r="L166" s="376"/>
      <c r="M166" s="374"/>
      <c r="N166" s="142"/>
    </row>
    <row r="167" spans="1:14" s="3" customFormat="1" ht="15.75" x14ac:dyDescent="0.2">
      <c r="A167" s="11" t="s">
        <v>339</v>
      </c>
      <c r="B167" s="369"/>
      <c r="C167" s="370"/>
      <c r="D167" s="376"/>
      <c r="E167" s="374"/>
      <c r="F167" s="369"/>
      <c r="G167" s="370"/>
      <c r="H167" s="394"/>
      <c r="I167" s="374"/>
      <c r="J167" s="375"/>
      <c r="K167" s="375"/>
      <c r="L167" s="376"/>
      <c r="M167" s="374"/>
      <c r="N167" s="142"/>
    </row>
    <row r="168" spans="1:14" s="3" customFormat="1" ht="15.75" x14ac:dyDescent="0.2">
      <c r="A168" s="11" t="s">
        <v>340</v>
      </c>
      <c r="B168" s="369"/>
      <c r="C168" s="370"/>
      <c r="D168" s="376"/>
      <c r="E168" s="374"/>
      <c r="F168" s="369"/>
      <c r="G168" s="370"/>
      <c r="H168" s="394"/>
      <c r="I168" s="374"/>
      <c r="J168" s="375"/>
      <c r="K168" s="375"/>
      <c r="L168" s="376"/>
      <c r="M168" s="374"/>
      <c r="N168" s="142"/>
    </row>
    <row r="169" spans="1:14" s="3" customFormat="1" ht="15.75" x14ac:dyDescent="0.2">
      <c r="A169" s="34" t="s">
        <v>341</v>
      </c>
      <c r="B169" s="371"/>
      <c r="C169" s="372"/>
      <c r="D169" s="380"/>
      <c r="E169" s="391"/>
      <c r="F169" s="371"/>
      <c r="G169" s="372"/>
      <c r="H169" s="395"/>
      <c r="I169" s="391"/>
      <c r="J169" s="381"/>
      <c r="K169" s="381"/>
      <c r="L169" s="380"/>
      <c r="M169" s="380"/>
      <c r="N169" s="142"/>
    </row>
    <row r="170" spans="1:14" s="3" customFormat="1" x14ac:dyDescent="0.2">
      <c r="A170" s="161"/>
      <c r="B170" s="27"/>
      <c r="C170" s="27"/>
      <c r="D170" s="152"/>
      <c r="E170" s="152"/>
      <c r="F170" s="27"/>
      <c r="G170" s="27"/>
      <c r="H170" s="152"/>
      <c r="I170" s="152"/>
      <c r="J170" s="27"/>
      <c r="K170" s="27"/>
      <c r="L170" s="152"/>
      <c r="M170" s="152"/>
      <c r="N170" s="142"/>
    </row>
    <row r="171" spans="1:14" x14ac:dyDescent="0.2">
      <c r="A171" s="161"/>
      <c r="B171" s="27"/>
      <c r="C171" s="27"/>
      <c r="D171" s="152"/>
      <c r="E171" s="152"/>
      <c r="F171" s="27"/>
      <c r="G171" s="27"/>
      <c r="H171" s="152"/>
      <c r="I171" s="152"/>
      <c r="J171" s="27"/>
      <c r="K171" s="27"/>
      <c r="L171" s="152"/>
      <c r="M171" s="152"/>
      <c r="N171" s="142"/>
    </row>
    <row r="172" spans="1:14" x14ac:dyDescent="0.2">
      <c r="A172" s="161"/>
      <c r="B172" s="27"/>
      <c r="C172" s="27"/>
      <c r="D172" s="152"/>
      <c r="E172" s="152"/>
      <c r="F172" s="27"/>
      <c r="G172" s="27"/>
      <c r="H172" s="152"/>
      <c r="I172" s="152"/>
      <c r="J172" s="27"/>
      <c r="K172" s="27"/>
      <c r="L172" s="152"/>
      <c r="M172" s="152"/>
      <c r="N172" s="142"/>
    </row>
    <row r="173" spans="1:14" x14ac:dyDescent="0.2">
      <c r="A173" s="140"/>
      <c r="B173" s="140"/>
      <c r="C173" s="140"/>
      <c r="D173" s="140"/>
      <c r="E173" s="140"/>
      <c r="F173" s="140"/>
      <c r="G173" s="140"/>
      <c r="H173" s="140"/>
      <c r="I173" s="140"/>
      <c r="J173" s="140"/>
      <c r="K173" s="140"/>
      <c r="L173" s="140"/>
      <c r="M173" s="140"/>
      <c r="N173" s="140"/>
    </row>
    <row r="174" spans="1:14" ht="15.75" x14ac:dyDescent="0.25">
      <c r="B174" s="136"/>
      <c r="C174" s="136"/>
      <c r="D174" s="136"/>
      <c r="E174" s="136"/>
      <c r="F174" s="136"/>
      <c r="G174" s="136"/>
      <c r="H174" s="136"/>
      <c r="I174" s="136"/>
      <c r="J174" s="136"/>
      <c r="K174" s="136"/>
      <c r="L174" s="136"/>
      <c r="M174" s="136"/>
      <c r="N174" s="136"/>
    </row>
    <row r="175" spans="1:14" ht="15.75" x14ac:dyDescent="0.25">
      <c r="B175" s="150"/>
      <c r="C175" s="150"/>
      <c r="D175" s="150"/>
      <c r="E175" s="150"/>
      <c r="F175" s="150"/>
      <c r="G175" s="150"/>
      <c r="H175" s="150"/>
      <c r="I175" s="150"/>
      <c r="J175" s="150"/>
      <c r="K175" s="150"/>
      <c r="L175" s="150"/>
      <c r="M175" s="150"/>
      <c r="N175" s="150"/>
    </row>
    <row r="176" spans="1:14" ht="15.75" x14ac:dyDescent="0.25">
      <c r="B176" s="150"/>
      <c r="C176" s="150"/>
      <c r="D176" s="150"/>
      <c r="E176" s="150"/>
      <c r="F176" s="150"/>
      <c r="G176" s="150"/>
      <c r="H176" s="150"/>
      <c r="I176" s="150"/>
      <c r="J176" s="150"/>
      <c r="K176" s="150"/>
      <c r="L176" s="150"/>
      <c r="M176" s="150"/>
      <c r="N176" s="150"/>
    </row>
  </sheetData>
  <conditionalFormatting sqref="B57:C59">
    <cfRule type="expression" dxfId="2633" priority="188">
      <formula>kvartal &lt; 4</formula>
    </cfRule>
  </conditionalFormatting>
  <conditionalFormatting sqref="B63:C65">
    <cfRule type="expression" dxfId="2632" priority="187">
      <formula>kvartal &lt; 4</formula>
    </cfRule>
  </conditionalFormatting>
  <conditionalFormatting sqref="B37">
    <cfRule type="expression" dxfId="2631" priority="186">
      <formula>kvartal &lt; 4</formula>
    </cfRule>
  </conditionalFormatting>
  <conditionalFormatting sqref="B38">
    <cfRule type="expression" dxfId="2630" priority="185">
      <formula>kvartal &lt; 4</formula>
    </cfRule>
  </conditionalFormatting>
  <conditionalFormatting sqref="B39">
    <cfRule type="expression" dxfId="2629" priority="184">
      <formula>kvartal &lt; 4</formula>
    </cfRule>
  </conditionalFormatting>
  <conditionalFormatting sqref="A34">
    <cfRule type="expression" dxfId="2628" priority="57">
      <formula>kvartal &lt; 4</formula>
    </cfRule>
  </conditionalFormatting>
  <conditionalFormatting sqref="C37">
    <cfRule type="expression" dxfId="2627" priority="183">
      <formula>kvartal &lt; 4</formula>
    </cfRule>
  </conditionalFormatting>
  <conditionalFormatting sqref="C38">
    <cfRule type="expression" dxfId="2626" priority="182">
      <formula>kvartal &lt; 4</formula>
    </cfRule>
  </conditionalFormatting>
  <conditionalFormatting sqref="C39">
    <cfRule type="expression" dxfId="2625" priority="181">
      <formula>kvartal &lt; 4</formula>
    </cfRule>
  </conditionalFormatting>
  <conditionalFormatting sqref="B26:C28">
    <cfRule type="expression" dxfId="2624" priority="180">
      <formula>kvartal &lt; 4</formula>
    </cfRule>
  </conditionalFormatting>
  <conditionalFormatting sqref="B32:C33">
    <cfRule type="expression" dxfId="2623" priority="179">
      <formula>kvartal &lt; 4</formula>
    </cfRule>
  </conditionalFormatting>
  <conditionalFormatting sqref="B34">
    <cfRule type="expression" dxfId="2622" priority="178">
      <formula>kvartal &lt; 4</formula>
    </cfRule>
  </conditionalFormatting>
  <conditionalFormatting sqref="C34">
    <cfRule type="expression" dxfId="2621" priority="177">
      <formula>kvartal &lt; 4</formula>
    </cfRule>
  </conditionalFormatting>
  <conditionalFormatting sqref="F26:G28">
    <cfRule type="expression" dxfId="2620" priority="176">
      <formula>kvartal &lt; 4</formula>
    </cfRule>
  </conditionalFormatting>
  <conditionalFormatting sqref="F32">
    <cfRule type="expression" dxfId="2619" priority="175">
      <formula>kvartal &lt; 4</formula>
    </cfRule>
  </conditionalFormatting>
  <conditionalFormatting sqref="G32">
    <cfRule type="expression" dxfId="2618" priority="174">
      <formula>kvartal &lt; 4</formula>
    </cfRule>
  </conditionalFormatting>
  <conditionalFormatting sqref="F33">
    <cfRule type="expression" dxfId="2617" priority="173">
      <formula>kvartal &lt; 4</formula>
    </cfRule>
  </conditionalFormatting>
  <conditionalFormatting sqref="G33">
    <cfRule type="expression" dxfId="2616" priority="172">
      <formula>kvartal &lt; 4</formula>
    </cfRule>
  </conditionalFormatting>
  <conditionalFormatting sqref="F34">
    <cfRule type="expression" dxfId="2615" priority="171">
      <formula>kvartal &lt; 4</formula>
    </cfRule>
  </conditionalFormatting>
  <conditionalFormatting sqref="G34">
    <cfRule type="expression" dxfId="2614" priority="170">
      <formula>kvartal &lt; 4</formula>
    </cfRule>
  </conditionalFormatting>
  <conditionalFormatting sqref="F37">
    <cfRule type="expression" dxfId="2613" priority="169">
      <formula>kvartal &lt; 4</formula>
    </cfRule>
  </conditionalFormatting>
  <conditionalFormatting sqref="F38">
    <cfRule type="expression" dxfId="2612" priority="168">
      <formula>kvartal &lt; 4</formula>
    </cfRule>
  </conditionalFormatting>
  <conditionalFormatting sqref="F39">
    <cfRule type="expression" dxfId="2611" priority="167">
      <formula>kvartal &lt; 4</formula>
    </cfRule>
  </conditionalFormatting>
  <conditionalFormatting sqref="G37">
    <cfRule type="expression" dxfId="2610" priority="166">
      <formula>kvartal &lt; 4</formula>
    </cfRule>
  </conditionalFormatting>
  <conditionalFormatting sqref="G38">
    <cfRule type="expression" dxfId="2609" priority="165">
      <formula>kvartal &lt; 4</formula>
    </cfRule>
  </conditionalFormatting>
  <conditionalFormatting sqref="G39">
    <cfRule type="expression" dxfId="2608" priority="164">
      <formula>kvartal &lt; 4</formula>
    </cfRule>
  </conditionalFormatting>
  <conditionalFormatting sqref="B29">
    <cfRule type="expression" dxfId="2607" priority="163">
      <formula>kvartal &lt; 4</formula>
    </cfRule>
  </conditionalFormatting>
  <conditionalFormatting sqref="C29">
    <cfRule type="expression" dxfId="2606" priority="162">
      <formula>kvartal &lt; 4</formula>
    </cfRule>
  </conditionalFormatting>
  <conditionalFormatting sqref="F29">
    <cfRule type="expression" dxfId="2605" priority="161">
      <formula>kvartal &lt; 4</formula>
    </cfRule>
  </conditionalFormatting>
  <conditionalFormatting sqref="G29">
    <cfRule type="expression" dxfId="2604" priority="160">
      <formula>kvartal &lt; 4</formula>
    </cfRule>
  </conditionalFormatting>
  <conditionalFormatting sqref="J26:K29">
    <cfRule type="expression" dxfId="2603" priority="159">
      <formula>kvartal &lt; 4</formula>
    </cfRule>
  </conditionalFormatting>
  <conditionalFormatting sqref="J32:K34">
    <cfRule type="expression" dxfId="2602" priority="158">
      <formula>kvartal &lt; 4</formula>
    </cfRule>
  </conditionalFormatting>
  <conditionalFormatting sqref="J37:K39">
    <cfRule type="expression" dxfId="2601" priority="157">
      <formula>kvartal &lt; 4</formula>
    </cfRule>
  </conditionalFormatting>
  <conditionalFormatting sqref="J82:K86">
    <cfRule type="expression" dxfId="2600" priority="95">
      <formula>kvartal &lt; 4</formula>
    </cfRule>
  </conditionalFormatting>
  <conditionalFormatting sqref="J87:K87">
    <cfRule type="expression" dxfId="2599" priority="94">
      <formula>kvartal &lt; 4</formula>
    </cfRule>
  </conditionalFormatting>
  <conditionalFormatting sqref="J92:K97">
    <cfRule type="expression" dxfId="2598" priority="93">
      <formula>kvartal &lt; 4</formula>
    </cfRule>
  </conditionalFormatting>
  <conditionalFormatting sqref="J102:K107">
    <cfRule type="expression" dxfId="2597" priority="92">
      <formula>kvartal &lt; 4</formula>
    </cfRule>
  </conditionalFormatting>
  <conditionalFormatting sqref="J112:K117">
    <cfRule type="expression" dxfId="2596" priority="91">
      <formula>kvartal &lt; 4</formula>
    </cfRule>
  </conditionalFormatting>
  <conditionalFormatting sqref="J122:K127">
    <cfRule type="expression" dxfId="2595" priority="90">
      <formula>kvartal &lt; 4</formula>
    </cfRule>
  </conditionalFormatting>
  <conditionalFormatting sqref="J132:K137">
    <cfRule type="expression" dxfId="2594" priority="89">
      <formula>kvartal &lt; 4</formula>
    </cfRule>
  </conditionalFormatting>
  <conditionalFormatting sqref="J146:K146">
    <cfRule type="expression" dxfId="2593" priority="88">
      <formula>kvartal &lt; 4</formula>
    </cfRule>
  </conditionalFormatting>
  <conditionalFormatting sqref="J154:K154">
    <cfRule type="expression" dxfId="2592" priority="87">
      <formula>kvartal &lt; 4</formula>
    </cfRule>
  </conditionalFormatting>
  <conditionalFormatting sqref="A26:A28">
    <cfRule type="expression" dxfId="2591" priority="71">
      <formula>kvartal &lt; 4</formula>
    </cfRule>
  </conditionalFormatting>
  <conditionalFormatting sqref="A32:A33">
    <cfRule type="expression" dxfId="2590" priority="70">
      <formula>kvartal &lt; 4</formula>
    </cfRule>
  </conditionalFormatting>
  <conditionalFormatting sqref="A37:A39">
    <cfRule type="expression" dxfId="2589" priority="69">
      <formula>kvartal &lt; 4</formula>
    </cfRule>
  </conditionalFormatting>
  <conditionalFormatting sqref="A57:A59">
    <cfRule type="expression" dxfId="2588" priority="68">
      <formula>kvartal &lt; 4</formula>
    </cfRule>
  </conditionalFormatting>
  <conditionalFormatting sqref="A63:A65">
    <cfRule type="expression" dxfId="2587" priority="67">
      <formula>kvartal &lt; 4</formula>
    </cfRule>
  </conditionalFormatting>
  <conditionalFormatting sqref="A82:A87">
    <cfRule type="expression" dxfId="2586" priority="66">
      <formula>kvartal &lt; 4</formula>
    </cfRule>
  </conditionalFormatting>
  <conditionalFormatting sqref="A92:A97">
    <cfRule type="expression" dxfId="2585" priority="65">
      <formula>kvartal &lt; 4</formula>
    </cfRule>
  </conditionalFormatting>
  <conditionalFormatting sqref="A102:A107">
    <cfRule type="expression" dxfId="2584" priority="64">
      <formula>kvartal &lt; 4</formula>
    </cfRule>
  </conditionalFormatting>
  <conditionalFormatting sqref="A112:A117">
    <cfRule type="expression" dxfId="2583" priority="63">
      <formula>kvartal &lt; 4</formula>
    </cfRule>
  </conditionalFormatting>
  <conditionalFormatting sqref="A122:A127">
    <cfRule type="expression" dxfId="2582" priority="62">
      <formula>kvartal &lt; 4</formula>
    </cfRule>
  </conditionalFormatting>
  <conditionalFormatting sqref="A132:A137">
    <cfRule type="expression" dxfId="2581" priority="61">
      <formula>kvartal &lt; 4</formula>
    </cfRule>
  </conditionalFormatting>
  <conditionalFormatting sqref="A146">
    <cfRule type="expression" dxfId="2580" priority="60">
      <formula>kvartal &lt; 4</formula>
    </cfRule>
  </conditionalFormatting>
  <conditionalFormatting sqref="A154">
    <cfRule type="expression" dxfId="2579" priority="59">
      <formula>kvartal &lt; 4</formula>
    </cfRule>
  </conditionalFormatting>
  <conditionalFormatting sqref="A29">
    <cfRule type="expression" dxfId="2578" priority="58">
      <formula>kvartal &lt; 4</formula>
    </cfRule>
  </conditionalFormatting>
  <conditionalFormatting sqref="B82">
    <cfRule type="expression" dxfId="2577" priority="56">
      <formula>kvartal &lt; 4</formula>
    </cfRule>
  </conditionalFormatting>
  <conditionalFormatting sqref="C82">
    <cfRule type="expression" dxfId="2576" priority="55">
      <formula>kvartal &lt; 4</formula>
    </cfRule>
  </conditionalFormatting>
  <conditionalFormatting sqref="B85">
    <cfRule type="expression" dxfId="2575" priority="54">
      <formula>kvartal &lt; 4</formula>
    </cfRule>
  </conditionalFormatting>
  <conditionalFormatting sqref="C85">
    <cfRule type="expression" dxfId="2574" priority="53">
      <formula>kvartal &lt; 4</formula>
    </cfRule>
  </conditionalFormatting>
  <conditionalFormatting sqref="B92">
    <cfRule type="expression" dxfId="2573" priority="52">
      <formula>kvartal &lt; 4</formula>
    </cfRule>
  </conditionalFormatting>
  <conditionalFormatting sqref="C92">
    <cfRule type="expression" dxfId="2572" priority="51">
      <formula>kvartal &lt; 4</formula>
    </cfRule>
  </conditionalFormatting>
  <conditionalFormatting sqref="B95">
    <cfRule type="expression" dxfId="2571" priority="50">
      <formula>kvartal &lt; 4</formula>
    </cfRule>
  </conditionalFormatting>
  <conditionalFormatting sqref="C95">
    <cfRule type="expression" dxfId="2570" priority="49">
      <formula>kvartal &lt; 4</formula>
    </cfRule>
  </conditionalFormatting>
  <conditionalFormatting sqref="B102">
    <cfRule type="expression" dxfId="2569" priority="48">
      <formula>kvartal &lt; 4</formula>
    </cfRule>
  </conditionalFormatting>
  <conditionalFormatting sqref="C102">
    <cfRule type="expression" dxfId="2568" priority="47">
      <formula>kvartal &lt; 4</formula>
    </cfRule>
  </conditionalFormatting>
  <conditionalFormatting sqref="B105">
    <cfRule type="expression" dxfId="2567" priority="46">
      <formula>kvartal &lt; 4</formula>
    </cfRule>
  </conditionalFormatting>
  <conditionalFormatting sqref="C105">
    <cfRule type="expression" dxfId="2566" priority="45">
      <formula>kvartal &lt; 4</formula>
    </cfRule>
  </conditionalFormatting>
  <conditionalFormatting sqref="B112">
    <cfRule type="expression" dxfId="2565" priority="44">
      <formula>kvartal &lt; 4</formula>
    </cfRule>
  </conditionalFormatting>
  <conditionalFormatting sqref="C112">
    <cfRule type="expression" dxfId="2564" priority="43">
      <formula>kvartal &lt; 4</formula>
    </cfRule>
  </conditionalFormatting>
  <conditionalFormatting sqref="B115">
    <cfRule type="expression" dxfId="2563" priority="42">
      <formula>kvartal &lt; 4</formula>
    </cfRule>
  </conditionalFormatting>
  <conditionalFormatting sqref="C115">
    <cfRule type="expression" dxfId="2562" priority="41">
      <formula>kvartal &lt; 4</formula>
    </cfRule>
  </conditionalFormatting>
  <conditionalFormatting sqref="B122">
    <cfRule type="expression" dxfId="2561" priority="40">
      <formula>kvartal &lt; 4</formula>
    </cfRule>
  </conditionalFormatting>
  <conditionalFormatting sqref="C122">
    <cfRule type="expression" dxfId="2560" priority="39">
      <formula>kvartal &lt; 4</formula>
    </cfRule>
  </conditionalFormatting>
  <conditionalFormatting sqref="B125">
    <cfRule type="expression" dxfId="2559" priority="38">
      <formula>kvartal &lt; 4</formula>
    </cfRule>
  </conditionalFormatting>
  <conditionalFormatting sqref="C125">
    <cfRule type="expression" dxfId="2558" priority="37">
      <formula>kvartal &lt; 4</formula>
    </cfRule>
  </conditionalFormatting>
  <conditionalFormatting sqref="B132">
    <cfRule type="expression" dxfId="2557" priority="36">
      <formula>kvartal &lt; 4</formula>
    </cfRule>
  </conditionalFormatting>
  <conditionalFormatting sqref="C132">
    <cfRule type="expression" dxfId="2556" priority="35">
      <formula>kvartal &lt; 4</formula>
    </cfRule>
  </conditionalFormatting>
  <conditionalFormatting sqref="B135">
    <cfRule type="expression" dxfId="2555" priority="34">
      <formula>kvartal &lt; 4</formula>
    </cfRule>
  </conditionalFormatting>
  <conditionalFormatting sqref="C135">
    <cfRule type="expression" dxfId="2554" priority="33">
      <formula>kvartal &lt; 4</formula>
    </cfRule>
  </conditionalFormatting>
  <conditionalFormatting sqref="B146">
    <cfRule type="expression" dxfId="2553" priority="32">
      <formula>kvartal &lt; 4</formula>
    </cfRule>
  </conditionalFormatting>
  <conditionalFormatting sqref="C146">
    <cfRule type="expression" dxfId="2552" priority="31">
      <formula>kvartal &lt; 4</formula>
    </cfRule>
  </conditionalFormatting>
  <conditionalFormatting sqref="B154">
    <cfRule type="expression" dxfId="2551" priority="30">
      <formula>kvartal &lt; 4</formula>
    </cfRule>
  </conditionalFormatting>
  <conditionalFormatting sqref="C154">
    <cfRule type="expression" dxfId="2550" priority="29">
      <formula>kvartal &lt; 4</formula>
    </cfRule>
  </conditionalFormatting>
  <conditionalFormatting sqref="F82">
    <cfRule type="expression" dxfId="2549" priority="28">
      <formula>kvartal &lt; 4</formula>
    </cfRule>
  </conditionalFormatting>
  <conditionalFormatting sqref="G82">
    <cfRule type="expression" dxfId="2548" priority="27">
      <formula>kvartal &lt; 4</formula>
    </cfRule>
  </conditionalFormatting>
  <conditionalFormatting sqref="F85">
    <cfRule type="expression" dxfId="2547" priority="26">
      <formula>kvartal &lt; 4</formula>
    </cfRule>
  </conditionalFormatting>
  <conditionalFormatting sqref="G85">
    <cfRule type="expression" dxfId="2546" priority="25">
      <formula>kvartal &lt; 4</formula>
    </cfRule>
  </conditionalFormatting>
  <conditionalFormatting sqref="F92">
    <cfRule type="expression" dxfId="2545" priority="24">
      <formula>kvartal &lt; 4</formula>
    </cfRule>
  </conditionalFormatting>
  <conditionalFormatting sqref="G92">
    <cfRule type="expression" dxfId="2544" priority="23">
      <formula>kvartal &lt; 4</formula>
    </cfRule>
  </conditionalFormatting>
  <conditionalFormatting sqref="F95">
    <cfRule type="expression" dxfId="2543" priority="22">
      <formula>kvartal &lt; 4</formula>
    </cfRule>
  </conditionalFormatting>
  <conditionalFormatting sqref="G95">
    <cfRule type="expression" dxfId="2542" priority="21">
      <formula>kvartal &lt; 4</formula>
    </cfRule>
  </conditionalFormatting>
  <conditionalFormatting sqref="F102">
    <cfRule type="expression" dxfId="2541" priority="20">
      <formula>kvartal &lt; 4</formula>
    </cfRule>
  </conditionalFormatting>
  <conditionalFormatting sqref="G102">
    <cfRule type="expression" dxfId="2540" priority="19">
      <formula>kvartal &lt; 4</formula>
    </cfRule>
  </conditionalFormatting>
  <conditionalFormatting sqref="F105">
    <cfRule type="expression" dxfId="2539" priority="18">
      <formula>kvartal &lt; 4</formula>
    </cfRule>
  </conditionalFormatting>
  <conditionalFormatting sqref="G105">
    <cfRule type="expression" dxfId="2538" priority="17">
      <formula>kvartal &lt; 4</formula>
    </cfRule>
  </conditionalFormatting>
  <conditionalFormatting sqref="F112">
    <cfRule type="expression" dxfId="2537" priority="16">
      <formula>kvartal &lt; 4</formula>
    </cfRule>
  </conditionalFormatting>
  <conditionalFormatting sqref="G112">
    <cfRule type="expression" dxfId="2536" priority="15">
      <formula>kvartal &lt; 4</formula>
    </cfRule>
  </conditionalFormatting>
  <conditionalFormatting sqref="F115">
    <cfRule type="expression" dxfId="2535" priority="14">
      <formula>kvartal &lt; 4</formula>
    </cfRule>
  </conditionalFormatting>
  <conditionalFormatting sqref="G115">
    <cfRule type="expression" dxfId="2534" priority="13">
      <formula>kvartal &lt; 4</formula>
    </cfRule>
  </conditionalFormatting>
  <conditionalFormatting sqref="F122">
    <cfRule type="expression" dxfId="2533" priority="12">
      <formula>kvartal &lt; 4</formula>
    </cfRule>
  </conditionalFormatting>
  <conditionalFormatting sqref="G122">
    <cfRule type="expression" dxfId="2532" priority="11">
      <formula>kvartal &lt; 4</formula>
    </cfRule>
  </conditionalFormatting>
  <conditionalFormatting sqref="F125">
    <cfRule type="expression" dxfId="2531" priority="10">
      <formula>kvartal &lt; 4</formula>
    </cfRule>
  </conditionalFormatting>
  <conditionalFormatting sqref="G125">
    <cfRule type="expression" dxfId="2530" priority="9">
      <formula>kvartal &lt; 4</formula>
    </cfRule>
  </conditionalFormatting>
  <conditionalFormatting sqref="F132">
    <cfRule type="expression" dxfId="2529" priority="8">
      <formula>kvartal &lt; 4</formula>
    </cfRule>
  </conditionalFormatting>
  <conditionalFormatting sqref="G132">
    <cfRule type="expression" dxfId="2528" priority="7">
      <formula>kvartal &lt; 4</formula>
    </cfRule>
  </conditionalFormatting>
  <conditionalFormatting sqref="F135">
    <cfRule type="expression" dxfId="2527" priority="6">
      <formula>kvartal &lt; 4</formula>
    </cfRule>
  </conditionalFormatting>
  <conditionalFormatting sqref="G135">
    <cfRule type="expression" dxfId="2526" priority="5">
      <formula>kvartal &lt; 4</formula>
    </cfRule>
  </conditionalFormatting>
  <conditionalFormatting sqref="F146">
    <cfRule type="expression" dxfId="2525" priority="4">
      <formula>kvartal &lt; 4</formula>
    </cfRule>
  </conditionalFormatting>
  <conditionalFormatting sqref="G146">
    <cfRule type="expression" dxfId="2524" priority="3">
      <formula>kvartal &lt; 4</formula>
    </cfRule>
  </conditionalFormatting>
  <conditionalFormatting sqref="F154">
    <cfRule type="expression" dxfId="2523" priority="2">
      <formula>kvartal &lt; 4</formula>
    </cfRule>
  </conditionalFormatting>
  <conditionalFormatting sqref="G154">
    <cfRule type="expression" dxfId="2522" priority="1">
      <formula>kvartal &lt; 4</formula>
    </cfRule>
  </conditionalFormatting>
  <pageMargins left="0.70866141732283472" right="0.70866141732283472" top="0.78740157480314965" bottom="0.78740157480314965" header="0.31496062992125984" footer="0.31496062992125984"/>
  <pageSetup paperSize="9" scale="55" orientation="portrait" r:id="rId1"/>
  <rowBreaks count="1" manualBreakCount="1">
    <brk id="72"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N176"/>
  <sheetViews>
    <sheetView showGridLines="0" topLeftCell="A16" zoomScale="90" zoomScaleNormal="90" workbookViewId="0">
      <selection activeCell="A4" sqref="A4"/>
    </sheetView>
  </sheetViews>
  <sheetFormatPr baseColWidth="10" defaultColWidth="11.42578125" defaultRowHeight="12.75" x14ac:dyDescent="0.2"/>
  <cols>
    <col min="1" max="1" width="41.5703125" style="143" customWidth="1"/>
    <col min="2" max="2" width="10.85546875" style="143" customWidth="1"/>
    <col min="3" max="3" width="11" style="143" customWidth="1"/>
    <col min="4" max="5" width="8.7109375" style="143" customWidth="1"/>
    <col min="6" max="7" width="10.85546875" style="143" customWidth="1"/>
    <col min="8" max="9" width="8.7109375" style="143" customWidth="1"/>
    <col min="10" max="11" width="10.85546875" style="143" customWidth="1"/>
    <col min="12" max="13" width="8.7109375" style="143" customWidth="1"/>
    <col min="14" max="14" width="11.42578125" style="143"/>
    <col min="15" max="16384" width="11.42578125" style="1"/>
  </cols>
  <sheetData>
    <row r="1" spans="1:14" x14ac:dyDescent="0.2">
      <c r="A1" s="165" t="s">
        <v>159</v>
      </c>
      <c r="B1" s="401"/>
      <c r="C1" s="245" t="s">
        <v>161</v>
      </c>
      <c r="D1" s="20"/>
      <c r="E1" s="20"/>
      <c r="F1" s="20"/>
      <c r="G1" s="20"/>
      <c r="H1" s="20"/>
      <c r="I1" s="20"/>
      <c r="J1" s="20"/>
      <c r="K1" s="20"/>
      <c r="L1" s="20"/>
      <c r="M1" s="20"/>
    </row>
    <row r="2" spans="1:14" ht="15.75" x14ac:dyDescent="0.25">
      <c r="A2" s="158" t="s">
        <v>36</v>
      </c>
      <c r="B2" s="361"/>
      <c r="C2" s="361"/>
      <c r="D2" s="361"/>
      <c r="E2" s="361"/>
      <c r="F2" s="361"/>
      <c r="G2" s="361"/>
      <c r="H2" s="361"/>
      <c r="I2" s="361"/>
      <c r="J2" s="361"/>
      <c r="K2" s="361"/>
      <c r="L2" s="361"/>
      <c r="M2" s="361"/>
    </row>
    <row r="3" spans="1:14" ht="15.75" x14ac:dyDescent="0.25">
      <c r="A3" s="156"/>
      <c r="B3" s="361"/>
      <c r="C3" s="361"/>
      <c r="D3" s="361"/>
      <c r="E3" s="361"/>
      <c r="F3" s="361"/>
      <c r="G3" s="361"/>
      <c r="H3" s="361"/>
      <c r="I3" s="361"/>
      <c r="J3" s="361"/>
      <c r="K3" s="361"/>
      <c r="L3" s="361"/>
      <c r="M3" s="361"/>
    </row>
    <row r="4" spans="1:14" x14ac:dyDescent="0.2">
      <c r="A4" s="138"/>
      <c r="B4" s="808" t="s">
        <v>0</v>
      </c>
      <c r="C4" s="358"/>
      <c r="D4" s="358"/>
      <c r="E4" s="358"/>
      <c r="F4" s="808" t="s">
        <v>1</v>
      </c>
      <c r="G4" s="358"/>
      <c r="H4" s="358"/>
      <c r="I4" s="359"/>
      <c r="J4" s="357" t="s">
        <v>2</v>
      </c>
      <c r="K4" s="358"/>
      <c r="L4" s="358"/>
      <c r="M4" s="359"/>
    </row>
    <row r="5" spans="1:14" x14ac:dyDescent="0.2">
      <c r="A5" s="151"/>
      <c r="B5" s="145" t="s">
        <v>400</v>
      </c>
      <c r="C5" s="145" t="s">
        <v>401</v>
      </c>
      <c r="D5" s="242" t="s">
        <v>3</v>
      </c>
      <c r="E5" s="307" t="s">
        <v>37</v>
      </c>
      <c r="F5" s="145" t="s">
        <v>400</v>
      </c>
      <c r="G5" s="145" t="s">
        <v>401</v>
      </c>
      <c r="H5" s="242" t="s">
        <v>3</v>
      </c>
      <c r="I5" s="307" t="s">
        <v>37</v>
      </c>
      <c r="J5" s="145" t="s">
        <v>400</v>
      </c>
      <c r="K5" s="145" t="s">
        <v>401</v>
      </c>
      <c r="L5" s="242" t="s">
        <v>3</v>
      </c>
      <c r="M5" s="155" t="s">
        <v>37</v>
      </c>
    </row>
    <row r="6" spans="1:14" x14ac:dyDescent="0.2">
      <c r="A6" s="402"/>
      <c r="B6" s="149"/>
      <c r="C6" s="149"/>
      <c r="D6" s="243" t="s">
        <v>4</v>
      </c>
      <c r="E6" s="149" t="s">
        <v>38</v>
      </c>
      <c r="F6" s="154"/>
      <c r="G6" s="154"/>
      <c r="H6" s="242" t="s">
        <v>4</v>
      </c>
      <c r="I6" s="149" t="s">
        <v>38</v>
      </c>
      <c r="J6" s="154"/>
      <c r="K6" s="154"/>
      <c r="L6" s="242" t="s">
        <v>4</v>
      </c>
      <c r="M6" s="149" t="s">
        <v>38</v>
      </c>
    </row>
    <row r="7" spans="1:14" ht="15.75" x14ac:dyDescent="0.2">
      <c r="A7" s="12" t="s">
        <v>30</v>
      </c>
      <c r="B7" s="308">
        <v>269209.62400000001</v>
      </c>
      <c r="C7" s="309">
        <v>278078.86</v>
      </c>
      <c r="D7" s="251">
        <f>IF(B7=0, "    ---- ", IF(ABS(ROUND(100/B7*C7-100,1))&lt;999,ROUND(100/B7*C7-100,1),IF(ROUND(100/B7*C7-100,1)&gt;999,999,-999)))</f>
        <v>3.3</v>
      </c>
      <c r="E7" s="170">
        <f>IFERROR(100/'Skjema total MA'!C7*C7,0)</f>
        <v>5.5431392905784334</v>
      </c>
      <c r="F7" s="308">
        <v>307136.72200000001</v>
      </c>
      <c r="G7" s="309">
        <v>473611.30499999999</v>
      </c>
      <c r="H7" s="251">
        <f>IF(F7=0, "    ---- ", IF(ABS(ROUND(100/F7*G7-100,1))&lt;999,ROUND(100/F7*G7-100,1),IF(ROUND(100/F7*G7-100,1)&gt;999,999,-999)))</f>
        <v>54.2</v>
      </c>
      <c r="I7" s="170">
        <f>IFERROR(100/'Skjema total MA'!F7*G7,0)</f>
        <v>5.2066490539868449</v>
      </c>
      <c r="J7" s="310">
        <f t="shared" ref="J7:K15" si="0">SUM(B7,F7)</f>
        <v>576346.34600000002</v>
      </c>
      <c r="K7" s="311">
        <f t="shared" si="0"/>
        <v>751690.16500000004</v>
      </c>
      <c r="L7" s="255">
        <f>IF(J7=0, "    ---- ", IF(ABS(ROUND(100/J7*K7-100,1))&lt;999,ROUND(100/J7*K7-100,1),IF(ROUND(100/J7*K7-100,1)&gt;999,999,-999)))</f>
        <v>30.4</v>
      </c>
      <c r="M7" s="170">
        <f>IFERROR(100/'Skjema total MA'!I7*K7,0)</f>
        <v>5.3262592165535185</v>
      </c>
    </row>
    <row r="8" spans="1:14" ht="15.75" x14ac:dyDescent="0.2">
      <c r="A8" s="18" t="s">
        <v>32</v>
      </c>
      <c r="B8" s="282">
        <v>99204.691000000006</v>
      </c>
      <c r="C8" s="283">
        <v>131805.09299999999</v>
      </c>
      <c r="D8" s="159">
        <f t="shared" ref="D8:D13" si="1">IF(B8=0, "    ---- ", IF(ABS(ROUND(100/B8*C8-100,1))&lt;999,ROUND(100/B8*C8-100,1),IF(ROUND(100/B8*C8-100,1)&gt;999,999,-999)))</f>
        <v>32.9</v>
      </c>
      <c r="E8" s="170">
        <f>IFERROR(100/'Skjema total MA'!C8*C8,0)</f>
        <v>5.449701968018716</v>
      </c>
      <c r="F8" s="286"/>
      <c r="G8" s="287"/>
      <c r="H8" s="159"/>
      <c r="I8" s="170">
        <f>IFERROR(100/'Skjema total MA'!F8*G8,0)</f>
        <v>0</v>
      </c>
      <c r="J8" s="229">
        <f t="shared" si="0"/>
        <v>99204.691000000006</v>
      </c>
      <c r="K8" s="288">
        <f t="shared" si="0"/>
        <v>131805.09299999999</v>
      </c>
      <c r="L8" s="256">
        <f t="shared" ref="L8:L9" si="2">IF(J8=0, "    ---- ", IF(ABS(ROUND(100/J8*K8-100,1))&lt;999,ROUND(100/J8*K8-100,1),IF(ROUND(100/J8*K8-100,1)&gt;999,999,-999)))</f>
        <v>32.9</v>
      </c>
      <c r="M8" s="170">
        <f>IFERROR(100/'Skjema total MA'!I8*K8,0)</f>
        <v>5.449701968018716</v>
      </c>
    </row>
    <row r="9" spans="1:14" ht="15.75" x14ac:dyDescent="0.2">
      <c r="A9" s="18" t="s">
        <v>31</v>
      </c>
      <c r="B9" s="282">
        <v>88650.562999999995</v>
      </c>
      <c r="C9" s="283">
        <v>83894.281000000003</v>
      </c>
      <c r="D9" s="159">
        <f t="shared" si="1"/>
        <v>-5.4</v>
      </c>
      <c r="E9" s="170">
        <f>IFERROR(100/'Skjema total MA'!C9*C9,0)</f>
        <v>7.316631088278104</v>
      </c>
      <c r="F9" s="286"/>
      <c r="G9" s="287"/>
      <c r="H9" s="159"/>
      <c r="I9" s="170">
        <f>IFERROR(100/'Skjema total MA'!F9*G9,0)</f>
        <v>0</v>
      </c>
      <c r="J9" s="229">
        <f t="shared" si="0"/>
        <v>88650.562999999995</v>
      </c>
      <c r="K9" s="288">
        <f t="shared" si="0"/>
        <v>83894.281000000003</v>
      </c>
      <c r="L9" s="256">
        <f t="shared" si="2"/>
        <v>-5.4</v>
      </c>
      <c r="M9" s="170">
        <f>IFERROR(100/'Skjema total MA'!I9*K9,0)</f>
        <v>7.316631088278104</v>
      </c>
    </row>
    <row r="10" spans="1:14" ht="15.75" x14ac:dyDescent="0.2">
      <c r="A10" s="11" t="s">
        <v>29</v>
      </c>
      <c r="B10" s="312">
        <v>20004.256000000001</v>
      </c>
      <c r="C10" s="313">
        <v>29814</v>
      </c>
      <c r="D10" s="159">
        <f t="shared" si="1"/>
        <v>49</v>
      </c>
      <c r="E10" s="170">
        <f>IFERROR(100/'Skjema total MA'!C10*C10,0)</f>
        <v>8.3836619067082516</v>
      </c>
      <c r="F10" s="312">
        <v>234928.22399999999</v>
      </c>
      <c r="G10" s="313">
        <v>422273</v>
      </c>
      <c r="H10" s="159">
        <f t="shared" ref="H10:H15" si="3">IF(F10=0, "    ---- ", IF(ABS(ROUND(100/F10*G10-100,1))&lt;999,ROUND(100/F10*G10-100,1),IF(ROUND(100/F10*G10-100,1)&gt;999,999,-999)))</f>
        <v>79.7</v>
      </c>
      <c r="I10" s="170">
        <f>IFERROR(100/'Skjema total MA'!F10*G10,0)</f>
        <v>5.5075882751815</v>
      </c>
      <c r="J10" s="310">
        <f t="shared" si="0"/>
        <v>254932.47999999998</v>
      </c>
      <c r="K10" s="311">
        <f t="shared" si="0"/>
        <v>452087</v>
      </c>
      <c r="L10" s="256">
        <f t="shared" ref="L10:L15" si="4">IF(J10=0, "    ---- ", IF(ABS(ROUND(100/J10*K10-100,1))&lt;999,ROUND(100/J10*K10-100,1),IF(ROUND(100/J10*K10-100,1)&gt;999,999,-999)))</f>
        <v>77.3</v>
      </c>
      <c r="M10" s="170">
        <f>IFERROR(100/'Skjema total MA'!I10*K10,0)</f>
        <v>5.6350747625318851</v>
      </c>
    </row>
    <row r="11" spans="1:14" ht="15.75" x14ac:dyDescent="0.2">
      <c r="A11" s="18" t="s">
        <v>32</v>
      </c>
      <c r="B11" s="282">
        <v>6368.9650000000001</v>
      </c>
      <c r="C11" s="283">
        <v>8376</v>
      </c>
      <c r="D11" s="159">
        <f t="shared" si="1"/>
        <v>31.5</v>
      </c>
      <c r="E11" s="170">
        <f>IFERROR(100/'Skjema total MA'!C11*C11,0)</f>
        <v>4.3894364198122489</v>
      </c>
      <c r="F11" s="286"/>
      <c r="G11" s="287"/>
      <c r="H11" s="159"/>
      <c r="I11" s="170">
        <f>IFERROR(100/'Skjema total MA'!F11*G11,0)</f>
        <v>0</v>
      </c>
      <c r="J11" s="229">
        <f t="shared" si="0"/>
        <v>6368.9650000000001</v>
      </c>
      <c r="K11" s="288">
        <f t="shared" si="0"/>
        <v>8376</v>
      </c>
      <c r="L11" s="256">
        <f t="shared" ref="L11:L12" si="5">IF(J11=0, "    ---- ", IF(ABS(ROUND(100/J11*K11-100,1))&lt;999,ROUND(100/J11*K11-100,1),IF(ROUND(100/J11*K11-100,1)&gt;999,999,-999)))</f>
        <v>31.5</v>
      </c>
      <c r="M11" s="170">
        <f>IFERROR(100/'Skjema total MA'!I11*K11,0)</f>
        <v>4.3894364198122489</v>
      </c>
    </row>
    <row r="12" spans="1:14" ht="15.75" x14ac:dyDescent="0.2">
      <c r="A12" s="18" t="s">
        <v>31</v>
      </c>
      <c r="B12" s="282">
        <v>10714.098</v>
      </c>
      <c r="C12" s="283">
        <v>14891</v>
      </c>
      <c r="D12" s="159">
        <f t="shared" si="1"/>
        <v>39</v>
      </c>
      <c r="E12" s="170">
        <f>IFERROR(100/'Skjema total MA'!C12*C12,0)</f>
        <v>23.510932347413981</v>
      </c>
      <c r="F12" s="286"/>
      <c r="G12" s="287"/>
      <c r="H12" s="159"/>
      <c r="I12" s="170">
        <f>IFERROR(100/'Skjema total MA'!F12*G12,0)</f>
        <v>0</v>
      </c>
      <c r="J12" s="229">
        <f t="shared" si="0"/>
        <v>10714.098</v>
      </c>
      <c r="K12" s="288">
        <f t="shared" si="0"/>
        <v>14891</v>
      </c>
      <c r="L12" s="256">
        <f t="shared" si="5"/>
        <v>39</v>
      </c>
      <c r="M12" s="170">
        <f>IFERROR(100/'Skjema total MA'!I12*K12,0)</f>
        <v>23.510932347413981</v>
      </c>
    </row>
    <row r="13" spans="1:14" ht="15.75" x14ac:dyDescent="0.2">
      <c r="A13" s="11" t="s">
        <v>28</v>
      </c>
      <c r="B13" s="312">
        <v>406711.85499999998</v>
      </c>
      <c r="C13" s="313">
        <v>407414.20899999997</v>
      </c>
      <c r="D13" s="159">
        <f t="shared" si="1"/>
        <v>0.2</v>
      </c>
      <c r="E13" s="170">
        <f>IFERROR(100/'Skjema total MA'!C13*C13,0)</f>
        <v>1.5752164597736695</v>
      </c>
      <c r="F13" s="312">
        <v>1492460.2250000001</v>
      </c>
      <c r="G13" s="313">
        <v>2021196.916</v>
      </c>
      <c r="H13" s="159">
        <f t="shared" si="3"/>
        <v>35.4</v>
      </c>
      <c r="I13" s="170">
        <f>IFERROR(100/'Skjema total MA'!F13*G13,0)</f>
        <v>6.1029125044799875</v>
      </c>
      <c r="J13" s="310">
        <f t="shared" si="0"/>
        <v>1899172.08</v>
      </c>
      <c r="K13" s="311">
        <f t="shared" si="0"/>
        <v>2428611.125</v>
      </c>
      <c r="L13" s="256">
        <f t="shared" si="4"/>
        <v>27.9</v>
      </c>
      <c r="M13" s="170">
        <f>IFERROR(100/'Skjema total MA'!I13*K13,0)</f>
        <v>4.1175059557192979</v>
      </c>
    </row>
    <row r="14" spans="1:14" s="36" customFormat="1" ht="15.75" x14ac:dyDescent="0.2">
      <c r="A14" s="11" t="s">
        <v>27</v>
      </c>
      <c r="B14" s="312"/>
      <c r="C14" s="313"/>
      <c r="D14" s="159"/>
      <c r="E14" s="170"/>
      <c r="F14" s="312">
        <v>39338.326000000001</v>
      </c>
      <c r="G14" s="313">
        <v>121025.86</v>
      </c>
      <c r="H14" s="159">
        <f t="shared" si="3"/>
        <v>207.7</v>
      </c>
      <c r="I14" s="170">
        <f>IFERROR(100/'Skjema total MA'!F14*G14,0)</f>
        <v>26.586114332580888</v>
      </c>
      <c r="J14" s="310">
        <f t="shared" si="0"/>
        <v>39338.326000000001</v>
      </c>
      <c r="K14" s="311">
        <f t="shared" si="0"/>
        <v>121025.86</v>
      </c>
      <c r="L14" s="256">
        <f t="shared" si="4"/>
        <v>207.7</v>
      </c>
      <c r="M14" s="170">
        <f>IFERROR(100/'Skjema total MA'!I14*K14,0)</f>
        <v>22.551763732490755</v>
      </c>
      <c r="N14" s="137"/>
    </row>
    <row r="15" spans="1:14" s="36" customFormat="1" ht="15.75" x14ac:dyDescent="0.2">
      <c r="A15" s="34" t="s">
        <v>26</v>
      </c>
      <c r="B15" s="314"/>
      <c r="C15" s="315"/>
      <c r="D15" s="160"/>
      <c r="E15" s="160"/>
      <c r="F15" s="314">
        <v>15613.584000000001</v>
      </c>
      <c r="G15" s="315">
        <v>29647.796999999999</v>
      </c>
      <c r="H15" s="160">
        <f t="shared" si="3"/>
        <v>89.9</v>
      </c>
      <c r="I15" s="160">
        <f>IFERROR(100/'Skjema total MA'!F15*G15,0)</f>
        <v>17.347629663224147</v>
      </c>
      <c r="J15" s="316">
        <f t="shared" si="0"/>
        <v>15613.584000000001</v>
      </c>
      <c r="K15" s="317">
        <f t="shared" si="0"/>
        <v>29647.796999999999</v>
      </c>
      <c r="L15" s="257">
        <f t="shared" si="4"/>
        <v>89.9</v>
      </c>
      <c r="M15" s="160">
        <f>IFERROR(100/'Skjema total MA'!I15*K15,0)</f>
        <v>13.947653652389098</v>
      </c>
      <c r="N15" s="137"/>
    </row>
    <row r="16" spans="1:14" s="36" customFormat="1" x14ac:dyDescent="0.2">
      <c r="A16" s="161"/>
      <c r="B16" s="139"/>
      <c r="C16" s="27"/>
      <c r="D16" s="152"/>
      <c r="E16" s="152"/>
      <c r="F16" s="139"/>
      <c r="G16" s="27"/>
      <c r="H16" s="152"/>
      <c r="I16" s="152"/>
      <c r="J16" s="41"/>
      <c r="K16" s="41"/>
      <c r="L16" s="152"/>
      <c r="M16" s="152"/>
      <c r="N16" s="137"/>
    </row>
    <row r="17" spans="1:14" x14ac:dyDescent="0.2">
      <c r="A17" s="146" t="s">
        <v>307</v>
      </c>
      <c r="B17" s="20"/>
    </row>
    <row r="18" spans="1:14" x14ac:dyDescent="0.2">
      <c r="F18" s="140"/>
      <c r="G18" s="140"/>
      <c r="H18" s="140"/>
      <c r="I18" s="140"/>
      <c r="J18" s="140"/>
      <c r="K18" s="140"/>
      <c r="L18" s="140"/>
      <c r="M18" s="140"/>
    </row>
    <row r="19" spans="1:14" s="3" customFormat="1" ht="15.75" x14ac:dyDescent="0.25">
      <c r="A19" s="157"/>
      <c r="B19" s="142"/>
      <c r="C19" s="147"/>
      <c r="D19" s="147"/>
      <c r="E19" s="147"/>
      <c r="F19" s="147"/>
      <c r="G19" s="147"/>
      <c r="H19" s="147"/>
      <c r="I19" s="147"/>
      <c r="J19" s="147"/>
      <c r="K19" s="147"/>
      <c r="L19" s="147"/>
      <c r="M19" s="147"/>
      <c r="N19" s="142"/>
    </row>
    <row r="20" spans="1:14" ht="15.75" x14ac:dyDescent="0.25">
      <c r="A20" s="141" t="s">
        <v>304</v>
      </c>
      <c r="B20" s="150"/>
      <c r="C20" s="150"/>
      <c r="D20" s="144"/>
      <c r="E20" s="144"/>
      <c r="F20" s="150"/>
      <c r="G20" s="150"/>
      <c r="H20" s="150"/>
      <c r="I20" s="150"/>
      <c r="J20" s="150"/>
      <c r="K20" s="150"/>
      <c r="L20" s="150"/>
      <c r="M20" s="150"/>
    </row>
    <row r="21" spans="1:14" ht="15.75" x14ac:dyDescent="0.25">
      <c r="B21" s="360"/>
      <c r="C21" s="360"/>
      <c r="D21" s="360"/>
      <c r="E21" s="361"/>
      <c r="F21" s="360"/>
      <c r="G21" s="360"/>
      <c r="H21" s="360"/>
      <c r="I21" s="361"/>
      <c r="J21" s="360"/>
      <c r="K21" s="360"/>
      <c r="L21" s="360"/>
      <c r="M21" s="361"/>
    </row>
    <row r="22" spans="1:14" x14ac:dyDescent="0.2">
      <c r="A22" s="138"/>
      <c r="B22" s="357" t="s">
        <v>0</v>
      </c>
      <c r="C22" s="358"/>
      <c r="D22" s="358"/>
      <c r="E22" s="358"/>
      <c r="F22" s="357" t="s">
        <v>1</v>
      </c>
      <c r="G22" s="358"/>
      <c r="H22" s="358"/>
      <c r="I22" s="359"/>
      <c r="J22" s="357" t="s">
        <v>2</v>
      </c>
      <c r="K22" s="358"/>
      <c r="L22" s="358"/>
      <c r="M22" s="359"/>
    </row>
    <row r="23" spans="1:14" x14ac:dyDescent="0.2">
      <c r="A23" s="134" t="s">
        <v>5</v>
      </c>
      <c r="B23" s="145" t="s">
        <v>400</v>
      </c>
      <c r="C23" s="145" t="s">
        <v>401</v>
      </c>
      <c r="D23" s="242" t="s">
        <v>3</v>
      </c>
      <c r="E23" s="307" t="s">
        <v>37</v>
      </c>
      <c r="F23" s="145" t="s">
        <v>400</v>
      </c>
      <c r="G23" s="145" t="s">
        <v>401</v>
      </c>
      <c r="H23" s="242" t="s">
        <v>3</v>
      </c>
      <c r="I23" s="307" t="s">
        <v>37</v>
      </c>
      <c r="J23" s="145" t="s">
        <v>400</v>
      </c>
      <c r="K23" s="145" t="s">
        <v>401</v>
      </c>
      <c r="L23" s="242" t="s">
        <v>3</v>
      </c>
      <c r="M23" s="155" t="s">
        <v>37</v>
      </c>
    </row>
    <row r="24" spans="1:14" x14ac:dyDescent="0.2">
      <c r="A24" s="403"/>
      <c r="B24" s="149"/>
      <c r="C24" s="149"/>
      <c r="D24" s="243" t="s">
        <v>4</v>
      </c>
      <c r="E24" s="149" t="s">
        <v>38</v>
      </c>
      <c r="F24" s="154"/>
      <c r="G24" s="154"/>
      <c r="H24" s="242" t="s">
        <v>4</v>
      </c>
      <c r="I24" s="149" t="s">
        <v>38</v>
      </c>
      <c r="J24" s="154"/>
      <c r="K24" s="154"/>
      <c r="L24" s="242" t="s">
        <v>4</v>
      </c>
      <c r="M24" s="149" t="s">
        <v>38</v>
      </c>
    </row>
    <row r="25" spans="1:14" ht="15.75" x14ac:dyDescent="0.2">
      <c r="A25" s="12" t="s">
        <v>30</v>
      </c>
      <c r="B25" s="318"/>
      <c r="C25" s="319"/>
      <c r="D25" s="251"/>
      <c r="E25" s="170"/>
      <c r="F25" s="320">
        <v>13045.558000000001</v>
      </c>
      <c r="G25" s="319">
        <v>9714.7560000000012</v>
      </c>
      <c r="H25" s="251">
        <f t="shared" ref="H25:H41" si="6">IF(F25=0, "    ---- ", IF(ABS(ROUND(100/F25*G25-100,1))&lt;999,ROUND(100/F25*G25-100,1),IF(ROUND(100/F25*G25-100,1)&gt;999,999,-999)))</f>
        <v>-25.5</v>
      </c>
      <c r="I25" s="170">
        <f>IFERROR(100/'Skjema total MA'!F25*G25,0)</f>
        <v>2.4371680212397817</v>
      </c>
      <c r="J25" s="318">
        <f t="shared" ref="J25:K41" si="7">SUM(B25,F25)</f>
        <v>13045.558000000001</v>
      </c>
      <c r="K25" s="318">
        <f t="shared" si="7"/>
        <v>9714.7560000000012</v>
      </c>
      <c r="L25" s="255">
        <f t="shared" ref="L25:L41" si="8">IF(J25=0, "    ---- ", IF(ABS(ROUND(100/J25*K25-100,1))&lt;999,ROUND(100/J25*K25-100,1),IF(ROUND(100/J25*K25-100,1)&gt;999,999,-999)))</f>
        <v>-25.5</v>
      </c>
      <c r="M25" s="159">
        <f>IFERROR(100/'Skjema total MA'!I25*K25,0)</f>
        <v>0.52969122524728074</v>
      </c>
    </row>
    <row r="26" spans="1:14" ht="15.75" x14ac:dyDescent="0.2">
      <c r="A26" s="298" t="s">
        <v>318</v>
      </c>
      <c r="B26" s="291"/>
      <c r="C26" s="291"/>
      <c r="D26" s="159"/>
      <c r="E26" s="237"/>
      <c r="F26" s="291">
        <v>10502.749</v>
      </c>
      <c r="G26" s="291">
        <v>7161.0590000000002</v>
      </c>
      <c r="H26" s="159">
        <f t="shared" si="6"/>
        <v>-31.8</v>
      </c>
      <c r="I26" s="237">
        <f>IFERROR(100/'Skjema total MA'!F26*G26,0)</f>
        <v>4.5290508008243204</v>
      </c>
      <c r="J26" s="37">
        <f t="shared" ref="J26" si="9">SUM(B26,F26)</f>
        <v>10502.749</v>
      </c>
      <c r="K26" s="37">
        <f t="shared" ref="K26" si="10">SUM(C26,G26)</f>
        <v>7161.0590000000002</v>
      </c>
      <c r="L26" s="159">
        <f t="shared" si="8"/>
        <v>-31.8</v>
      </c>
      <c r="M26" s="159">
        <f>IFERROR(100/'Skjema total MA'!I26*K26,0)</f>
        <v>0.4913448949974471</v>
      </c>
    </row>
    <row r="27" spans="1:14" ht="15.75" x14ac:dyDescent="0.2">
      <c r="A27" s="298" t="s">
        <v>319</v>
      </c>
      <c r="B27" s="291"/>
      <c r="C27" s="291"/>
      <c r="D27" s="159"/>
      <c r="E27" s="237"/>
      <c r="F27" s="291"/>
      <c r="G27" s="291"/>
      <c r="H27" s="159"/>
      <c r="I27" s="237"/>
      <c r="J27" s="291"/>
      <c r="K27" s="291"/>
      <c r="L27" s="159"/>
      <c r="M27" s="159"/>
    </row>
    <row r="28" spans="1:14" ht="15.75" x14ac:dyDescent="0.2">
      <c r="A28" s="298" t="s">
        <v>320</v>
      </c>
      <c r="B28" s="291"/>
      <c r="C28" s="291"/>
      <c r="D28" s="159"/>
      <c r="E28" s="237"/>
      <c r="F28" s="291">
        <v>2542.8090000000002</v>
      </c>
      <c r="G28" s="291">
        <v>2553.6970000000001</v>
      </c>
      <c r="H28" s="159">
        <f t="shared" si="6"/>
        <v>0.4</v>
      </c>
      <c r="I28" s="237">
        <f>IFERROR(100/'Skjema total MA'!F28*G28,0)</f>
        <v>1.0906119213821266</v>
      </c>
      <c r="J28" s="37">
        <f t="shared" ref="J28" si="11">SUM(B28,F28)</f>
        <v>2542.8090000000002</v>
      </c>
      <c r="K28" s="37">
        <f t="shared" ref="K28" si="12">SUM(C28,G28)</f>
        <v>2553.6970000000001</v>
      </c>
      <c r="L28" s="159">
        <f t="shared" ref="L28" si="13">IF(J28=0, "    ---- ", IF(ABS(ROUND(100/J28*K28-100,1))&lt;999,ROUND(100/J28*K28-100,1),IF(ROUND(100/J28*K28-100,1)&gt;999,999,-999)))</f>
        <v>0.4</v>
      </c>
      <c r="M28" s="159">
        <f>IFERROR(100/'Skjema total MA'!I28*K28,0)</f>
        <v>0.72771501699414531</v>
      </c>
    </row>
    <row r="29" spans="1:14" x14ac:dyDescent="0.2">
      <c r="A29" s="298" t="s">
        <v>11</v>
      </c>
      <c r="B29" s="291"/>
      <c r="C29" s="291"/>
      <c r="D29" s="159"/>
      <c r="E29" s="237"/>
      <c r="F29" s="291"/>
      <c r="G29" s="291"/>
      <c r="H29" s="159"/>
      <c r="I29" s="237"/>
      <c r="J29" s="291"/>
      <c r="K29" s="291"/>
      <c r="L29" s="159"/>
      <c r="M29" s="159"/>
    </row>
    <row r="30" spans="1:14" ht="15.75" x14ac:dyDescent="0.2">
      <c r="A30" s="42" t="s">
        <v>308</v>
      </c>
      <c r="B30" s="37"/>
      <c r="C30" s="288"/>
      <c r="D30" s="159"/>
      <c r="E30" s="170"/>
      <c r="F30" s="229"/>
      <c r="G30" s="288"/>
      <c r="H30" s="159"/>
      <c r="I30" s="170"/>
      <c r="J30" s="37"/>
      <c r="K30" s="37"/>
      <c r="L30" s="256"/>
      <c r="M30" s="159"/>
    </row>
    <row r="31" spans="1:14" ht="15.75" x14ac:dyDescent="0.2">
      <c r="A31" s="11" t="s">
        <v>29</v>
      </c>
      <c r="B31" s="231"/>
      <c r="C31" s="231"/>
      <c r="D31" s="159"/>
      <c r="E31" s="170"/>
      <c r="F31" s="310">
        <v>3655.2000000000003</v>
      </c>
      <c r="G31" s="310">
        <v>712</v>
      </c>
      <c r="H31" s="159">
        <f t="shared" si="6"/>
        <v>-80.5</v>
      </c>
      <c r="I31" s="170">
        <f>IFERROR(100/'Skjema total MA'!F31*G31,0)</f>
        <v>5.4875694555480914</v>
      </c>
      <c r="J31" s="231">
        <f t="shared" si="7"/>
        <v>3655.2000000000003</v>
      </c>
      <c r="K31" s="231">
        <f t="shared" si="7"/>
        <v>712</v>
      </c>
      <c r="L31" s="256">
        <f t="shared" si="8"/>
        <v>-80.5</v>
      </c>
      <c r="M31" s="159">
        <f>IFERROR(100/'Skjema total MA'!I31*K31,0)</f>
        <v>0.25760064281098222</v>
      </c>
    </row>
    <row r="32" spans="1:14" ht="15.75" x14ac:dyDescent="0.2">
      <c r="A32" s="298" t="s">
        <v>318</v>
      </c>
      <c r="B32" s="291"/>
      <c r="C32" s="291"/>
      <c r="D32" s="159"/>
      <c r="E32" s="237"/>
      <c r="F32" s="291">
        <v>3209.4</v>
      </c>
      <c r="G32" s="291">
        <v>376</v>
      </c>
      <c r="H32" s="159">
        <f t="shared" si="6"/>
        <v>-88.3</v>
      </c>
      <c r="I32" s="237">
        <f>IFERROR(100/'Skjema total MA'!F32*G32,0)</f>
        <v>49.150326797385624</v>
      </c>
      <c r="J32" s="37">
        <f t="shared" si="7"/>
        <v>3209.4</v>
      </c>
      <c r="K32" s="37">
        <f t="shared" si="7"/>
        <v>376</v>
      </c>
      <c r="L32" s="159">
        <f t="shared" si="8"/>
        <v>-88.3</v>
      </c>
      <c r="M32" s="159">
        <f>IFERROR(100/'Skjema total MA'!I32*K32,0)</f>
        <v>0.14232340468459639</v>
      </c>
    </row>
    <row r="33" spans="1:14" ht="15.75" x14ac:dyDescent="0.2">
      <c r="A33" s="298" t="s">
        <v>320</v>
      </c>
      <c r="B33" s="291"/>
      <c r="C33" s="291"/>
      <c r="D33" s="159"/>
      <c r="E33" s="237"/>
      <c r="F33" s="291">
        <v>445.8</v>
      </c>
      <c r="G33" s="291">
        <v>336</v>
      </c>
      <c r="H33" s="159">
        <f t="shared" si="6"/>
        <v>-24.6</v>
      </c>
      <c r="I33" s="237">
        <f>IFERROR(100/'Skjema total MA'!F33*G33,0)</f>
        <v>2.7518925991880563</v>
      </c>
      <c r="J33" s="37">
        <f t="shared" si="7"/>
        <v>445.8</v>
      </c>
      <c r="K33" s="37">
        <f t="shared" si="7"/>
        <v>336</v>
      </c>
      <c r="L33" s="159">
        <f t="shared" ref="L33" si="14">IF(J33=0, "    ---- ", IF(ABS(ROUND(100/J33*K33-100,1))&lt;999,ROUND(100/J33*K33-100,1),IF(ROUND(100/J33*K33-100,1)&gt;999,999,-999)))</f>
        <v>-24.6</v>
      </c>
      <c r="M33" s="159">
        <f>IFERROR(100/'Skjema total MA'!I33*K33,0)</f>
        <v>2.7518925991880563</v>
      </c>
    </row>
    <row r="34" spans="1:14" s="21" customFormat="1" x14ac:dyDescent="0.2">
      <c r="A34" s="298" t="s">
        <v>16</v>
      </c>
      <c r="B34" s="291"/>
      <c r="C34" s="291"/>
      <c r="D34" s="159"/>
      <c r="E34" s="237"/>
      <c r="F34" s="291"/>
      <c r="G34" s="291"/>
      <c r="H34" s="159"/>
      <c r="I34" s="237"/>
      <c r="J34" s="291"/>
      <c r="K34" s="291"/>
      <c r="L34" s="159"/>
      <c r="M34" s="159"/>
      <c r="N34" s="166"/>
    </row>
    <row r="35" spans="1:14" ht="15.75" x14ac:dyDescent="0.2">
      <c r="A35" s="42" t="s">
        <v>308</v>
      </c>
      <c r="B35" s="37"/>
      <c r="C35" s="288"/>
      <c r="D35" s="159"/>
      <c r="E35" s="170"/>
      <c r="F35" s="229"/>
      <c r="G35" s="288"/>
      <c r="H35" s="159"/>
      <c r="I35" s="170"/>
      <c r="J35" s="37"/>
      <c r="K35" s="37"/>
      <c r="L35" s="256"/>
      <c r="M35" s="159"/>
    </row>
    <row r="36" spans="1:14" s="3" customFormat="1" ht="15.75" x14ac:dyDescent="0.2">
      <c r="A36" s="11" t="s">
        <v>28</v>
      </c>
      <c r="B36" s="231"/>
      <c r="C36" s="311"/>
      <c r="D36" s="159"/>
      <c r="E36" s="170"/>
      <c r="F36" s="310">
        <v>2364502.656</v>
      </c>
      <c r="G36" s="311">
        <v>2244425.1320000002</v>
      </c>
      <c r="H36" s="159">
        <f t="shared" si="6"/>
        <v>-5.0999999999999996</v>
      </c>
      <c r="I36" s="170">
        <f>IFERROR(100/'Skjema total MA'!F36*G36,0)</f>
        <v>11.742492916454886</v>
      </c>
      <c r="J36" s="231">
        <f t="shared" si="7"/>
        <v>2364502.656</v>
      </c>
      <c r="K36" s="231">
        <f t="shared" si="7"/>
        <v>2244425.1320000002</v>
      </c>
      <c r="L36" s="256">
        <f t="shared" si="8"/>
        <v>-5.0999999999999996</v>
      </c>
      <c r="M36" s="159">
        <f>IFERROR(100/'Skjema total MA'!I36*K36,0)</f>
        <v>3.2209250332941917</v>
      </c>
      <c r="N36" s="142"/>
    </row>
    <row r="37" spans="1:14" s="3" customFormat="1" ht="15.75" x14ac:dyDescent="0.2">
      <c r="A37" s="298" t="s">
        <v>318</v>
      </c>
      <c r="B37" s="291"/>
      <c r="C37" s="291"/>
      <c r="D37" s="159"/>
      <c r="E37" s="237"/>
      <c r="F37" s="291">
        <v>772728.95200000005</v>
      </c>
      <c r="G37" s="291">
        <v>721512.19700000004</v>
      </c>
      <c r="H37" s="159">
        <f t="shared" si="6"/>
        <v>-6.6</v>
      </c>
      <c r="I37" s="237">
        <f>IFERROR(100/'Skjema total MA'!F37*G37,0)</f>
        <v>16.815142595142817</v>
      </c>
      <c r="J37" s="37">
        <f t="shared" si="7"/>
        <v>772728.95200000005</v>
      </c>
      <c r="K37" s="37">
        <f t="shared" si="7"/>
        <v>721512.19700000004</v>
      </c>
      <c r="L37" s="159">
        <f t="shared" si="8"/>
        <v>-6.6</v>
      </c>
      <c r="M37" s="159">
        <f>IFERROR(100/'Skjema total MA'!I37*K37,0)</f>
        <v>4.2046032302665708</v>
      </c>
      <c r="N37" s="142"/>
    </row>
    <row r="38" spans="1:14" s="3" customFormat="1" ht="15.75" x14ac:dyDescent="0.2">
      <c r="A38" s="298" t="s">
        <v>319</v>
      </c>
      <c r="B38" s="291"/>
      <c r="C38" s="291"/>
      <c r="D38" s="159"/>
      <c r="E38" s="237"/>
      <c r="F38" s="291">
        <v>1536872.6850000001</v>
      </c>
      <c r="G38" s="291">
        <v>1455570.0930000001</v>
      </c>
      <c r="H38" s="159">
        <f t="shared" si="6"/>
        <v>-5.3</v>
      </c>
      <c r="I38" s="237">
        <f>IFERROR(100/'Skjema total MA'!F38*G38,0)</f>
        <v>12.782704746099139</v>
      </c>
      <c r="J38" s="37">
        <f t="shared" si="7"/>
        <v>1536872.6850000001</v>
      </c>
      <c r="K38" s="37">
        <f t="shared" si="7"/>
        <v>1455570.0930000001</v>
      </c>
      <c r="L38" s="159">
        <f t="shared" ref="L38" si="15">IF(J38=0, "    ---- ", IF(ABS(ROUND(100/J38*K38-100,1))&lt;999,ROUND(100/J38*K38-100,1),IF(ROUND(100/J38*K38-100,1)&gt;999,999,-999)))</f>
        <v>-5.3</v>
      </c>
      <c r="M38" s="159">
        <f>IFERROR(100/'Skjema total MA'!I38*K38,0)</f>
        <v>3.0492716055974314</v>
      </c>
      <c r="N38" s="142"/>
    </row>
    <row r="39" spans="1:14" ht="15.75" x14ac:dyDescent="0.2">
      <c r="A39" s="298" t="s">
        <v>320</v>
      </c>
      <c r="B39" s="291"/>
      <c r="C39" s="291"/>
      <c r="D39" s="159"/>
      <c r="E39" s="237"/>
      <c r="F39" s="291">
        <v>54901.019</v>
      </c>
      <c r="G39" s="291">
        <v>67342.842000000004</v>
      </c>
      <c r="H39" s="159">
        <f t="shared" si="6"/>
        <v>22.7</v>
      </c>
      <c r="I39" s="237">
        <f>IFERROR(100/'Skjema total MA'!F39*G39,0)</f>
        <v>1.9600184687304842</v>
      </c>
      <c r="J39" s="37">
        <f t="shared" si="7"/>
        <v>54901.019</v>
      </c>
      <c r="K39" s="37">
        <f t="shared" si="7"/>
        <v>67342.842000000004</v>
      </c>
      <c r="L39" s="159">
        <f t="shared" ref="L39" si="16">IF(J39=0, "    ---- ", IF(ABS(ROUND(100/J39*K39-100,1))&lt;999,ROUND(100/J39*K39-100,1),IF(ROUND(100/J39*K39-100,1)&gt;999,999,-999)))</f>
        <v>22.7</v>
      </c>
      <c r="M39" s="159">
        <f>IFERROR(100/'Skjema total MA'!I39*K39,0)</f>
        <v>1.4066208582146353</v>
      </c>
    </row>
    <row r="40" spans="1:14" ht="15.75" x14ac:dyDescent="0.2">
      <c r="A40" s="11" t="s">
        <v>27</v>
      </c>
      <c r="B40" s="231"/>
      <c r="C40" s="311"/>
      <c r="D40" s="159"/>
      <c r="E40" s="170"/>
      <c r="F40" s="310">
        <v>48039.057999999997</v>
      </c>
      <c r="G40" s="311">
        <v>41263.218000000001</v>
      </c>
      <c r="H40" s="159">
        <f t="shared" si="6"/>
        <v>-14.1</v>
      </c>
      <c r="I40" s="170">
        <f>IFERROR(100/'Skjema total MA'!F40*G40,0)</f>
        <v>52.432464439079524</v>
      </c>
      <c r="J40" s="231">
        <f t="shared" si="7"/>
        <v>48039.057999999997</v>
      </c>
      <c r="K40" s="231">
        <f t="shared" si="7"/>
        <v>41263.218000000001</v>
      </c>
      <c r="L40" s="256">
        <f t="shared" si="8"/>
        <v>-14.1</v>
      </c>
      <c r="M40" s="159">
        <f>IFERROR(100/'Skjema total MA'!I40*K40,0)</f>
        <v>33.544778074268734</v>
      </c>
    </row>
    <row r="41" spans="1:14" ht="15.75" x14ac:dyDescent="0.2">
      <c r="A41" s="11" t="s">
        <v>26</v>
      </c>
      <c r="B41" s="231"/>
      <c r="C41" s="311"/>
      <c r="D41" s="159"/>
      <c r="E41" s="170"/>
      <c r="F41" s="310">
        <v>19656.312000000002</v>
      </c>
      <c r="G41" s="311">
        <v>12488.239</v>
      </c>
      <c r="H41" s="159">
        <f t="shared" si="6"/>
        <v>-36.5</v>
      </c>
      <c r="I41" s="170">
        <f>IFERROR(100/'Skjema total MA'!F41*G41,0)</f>
        <v>11.953968241792593</v>
      </c>
      <c r="J41" s="231">
        <f t="shared" si="7"/>
        <v>19656.312000000002</v>
      </c>
      <c r="K41" s="231">
        <f t="shared" si="7"/>
        <v>12488.239</v>
      </c>
      <c r="L41" s="256">
        <f t="shared" si="8"/>
        <v>-36.5</v>
      </c>
      <c r="M41" s="159">
        <f>IFERROR(100/'Skjema total MA'!I41*K41,0)</f>
        <v>28.284907143176689</v>
      </c>
    </row>
    <row r="42" spans="1:14" ht="15.75" x14ac:dyDescent="0.2">
      <c r="A42" s="10" t="s">
        <v>321</v>
      </c>
      <c r="B42" s="231"/>
      <c r="C42" s="311"/>
      <c r="D42" s="159"/>
      <c r="E42" s="170"/>
      <c r="F42" s="321"/>
      <c r="G42" s="322"/>
      <c r="H42" s="159"/>
      <c r="I42" s="237"/>
      <c r="J42" s="231"/>
      <c r="K42" s="231"/>
      <c r="L42" s="256"/>
      <c r="M42" s="159"/>
    </row>
    <row r="43" spans="1:14" ht="15.75" x14ac:dyDescent="0.2">
      <c r="A43" s="10" t="s">
        <v>322</v>
      </c>
      <c r="B43" s="231"/>
      <c r="C43" s="311"/>
      <c r="D43" s="159"/>
      <c r="E43" s="170"/>
      <c r="F43" s="321"/>
      <c r="G43" s="322"/>
      <c r="H43" s="159"/>
      <c r="I43" s="237"/>
      <c r="J43" s="231"/>
      <c r="K43" s="231"/>
      <c r="L43" s="256"/>
      <c r="M43" s="159"/>
    </row>
    <row r="44" spans="1:14" ht="15.75" x14ac:dyDescent="0.2">
      <c r="A44" s="10" t="s">
        <v>323</v>
      </c>
      <c r="B44" s="231"/>
      <c r="C44" s="311"/>
      <c r="D44" s="159"/>
      <c r="E44" s="170"/>
      <c r="F44" s="321"/>
      <c r="G44" s="323"/>
      <c r="H44" s="159"/>
      <c r="I44" s="237"/>
      <c r="J44" s="231"/>
      <c r="K44" s="231"/>
      <c r="L44" s="256"/>
      <c r="M44" s="159"/>
    </row>
    <row r="45" spans="1:14" ht="15.75" x14ac:dyDescent="0.2">
      <c r="A45" s="10" t="s">
        <v>324</v>
      </c>
      <c r="B45" s="231"/>
      <c r="C45" s="311"/>
      <c r="D45" s="159"/>
      <c r="E45" s="170"/>
      <c r="F45" s="321"/>
      <c r="G45" s="322"/>
      <c r="H45" s="159"/>
      <c r="I45" s="237"/>
      <c r="J45" s="231"/>
      <c r="K45" s="231"/>
      <c r="L45" s="256"/>
      <c r="M45" s="159"/>
    </row>
    <row r="46" spans="1:14" ht="15.75" x14ac:dyDescent="0.2">
      <c r="A46" s="16" t="s">
        <v>325</v>
      </c>
      <c r="B46" s="277"/>
      <c r="C46" s="317"/>
      <c r="D46" s="160"/>
      <c r="E46" s="201"/>
      <c r="F46" s="324"/>
      <c r="G46" s="325"/>
      <c r="H46" s="160"/>
      <c r="I46" s="160"/>
      <c r="J46" s="231"/>
      <c r="K46" s="231"/>
      <c r="L46" s="257"/>
      <c r="M46" s="160"/>
    </row>
    <row r="47" spans="1:14" ht="15.75" x14ac:dyDescent="0.25">
      <c r="A47" s="40"/>
      <c r="B47" s="254"/>
      <c r="C47" s="254"/>
      <c r="D47" s="363"/>
      <c r="E47" s="363"/>
      <c r="F47" s="363"/>
      <c r="G47" s="363"/>
      <c r="H47" s="363"/>
      <c r="I47" s="363"/>
      <c r="J47" s="363"/>
      <c r="K47" s="363"/>
      <c r="L47" s="363"/>
      <c r="M47" s="362"/>
    </row>
    <row r="48" spans="1:14" x14ac:dyDescent="0.2">
      <c r="A48" s="148"/>
    </row>
    <row r="49" spans="1:14" ht="15.75" x14ac:dyDescent="0.25">
      <c r="A49" s="141" t="s">
        <v>305</v>
      </c>
      <c r="B49" s="361"/>
      <c r="C49" s="361"/>
      <c r="D49" s="361"/>
      <c r="E49" s="361"/>
      <c r="F49" s="362"/>
      <c r="G49" s="362"/>
      <c r="H49" s="362"/>
      <c r="I49" s="362"/>
      <c r="J49" s="362"/>
      <c r="K49" s="362"/>
      <c r="L49" s="362"/>
      <c r="M49" s="362"/>
    </row>
    <row r="50" spans="1:14" ht="15.75" x14ac:dyDescent="0.25">
      <c r="A50" s="156"/>
      <c r="B50" s="360"/>
      <c r="C50" s="360"/>
      <c r="D50" s="360"/>
      <c r="E50" s="360"/>
      <c r="F50" s="362"/>
      <c r="G50" s="362"/>
      <c r="H50" s="362"/>
      <c r="I50" s="362"/>
      <c r="J50" s="362"/>
      <c r="K50" s="362"/>
      <c r="L50" s="362"/>
      <c r="M50" s="362"/>
    </row>
    <row r="51" spans="1:14" ht="15.75" x14ac:dyDescent="0.25">
      <c r="A51" s="244"/>
      <c r="B51" s="357" t="s">
        <v>0</v>
      </c>
      <c r="C51" s="358"/>
      <c r="D51" s="358"/>
      <c r="E51" s="240"/>
      <c r="F51" s="362"/>
      <c r="G51" s="362"/>
      <c r="H51" s="362"/>
      <c r="I51" s="362"/>
      <c r="J51" s="362"/>
      <c r="K51" s="362"/>
      <c r="L51" s="362"/>
      <c r="M51" s="362"/>
    </row>
    <row r="52" spans="1:14" s="3" customFormat="1" x14ac:dyDescent="0.2">
      <c r="A52" s="134"/>
      <c r="B52" s="167" t="s">
        <v>400</v>
      </c>
      <c r="C52" s="167" t="s">
        <v>401</v>
      </c>
      <c r="D52" s="155" t="s">
        <v>3</v>
      </c>
      <c r="E52" s="155" t="s">
        <v>37</v>
      </c>
      <c r="F52" s="169"/>
      <c r="G52" s="169"/>
      <c r="H52" s="168"/>
      <c r="I52" s="168"/>
      <c r="J52" s="169"/>
      <c r="K52" s="169"/>
      <c r="L52" s="168"/>
      <c r="M52" s="168"/>
      <c r="N52" s="142"/>
    </row>
    <row r="53" spans="1:14" s="3" customFormat="1" x14ac:dyDescent="0.2">
      <c r="A53" s="403"/>
      <c r="B53" s="241"/>
      <c r="C53" s="241"/>
      <c r="D53" s="242" t="s">
        <v>4</v>
      </c>
      <c r="E53" s="149" t="s">
        <v>38</v>
      </c>
      <c r="F53" s="168"/>
      <c r="G53" s="168"/>
      <c r="H53" s="168"/>
      <c r="I53" s="168"/>
      <c r="J53" s="168"/>
      <c r="K53" s="168"/>
      <c r="L53" s="168"/>
      <c r="M53" s="168"/>
      <c r="N53" s="142"/>
    </row>
    <row r="54" spans="1:14" s="3" customFormat="1" ht="15.75" x14ac:dyDescent="0.2">
      <c r="A54" s="12" t="s">
        <v>30</v>
      </c>
      <c r="B54" s="312">
        <v>9012.0190000000002</v>
      </c>
      <c r="C54" s="313">
        <v>8660.8960000000006</v>
      </c>
      <c r="D54" s="255">
        <f t="shared" ref="D54:D61" si="17">IF(B54=0, "    ---- ", IF(ABS(ROUND(100/B54*C54-100,1))&lt;999,ROUND(100/B54*C54-100,1),IF(ROUND(100/B54*C54-100,1)&gt;999,999,-999)))</f>
        <v>-3.9</v>
      </c>
      <c r="E54" s="170">
        <f>IFERROR(100/'Skjema total MA'!C54*C54,0)</f>
        <v>0.23197017037291159</v>
      </c>
      <c r="F54" s="139"/>
      <c r="G54" s="27"/>
      <c r="H54" s="152"/>
      <c r="I54" s="152"/>
      <c r="J54" s="30"/>
      <c r="K54" s="30"/>
      <c r="L54" s="152"/>
      <c r="M54" s="152"/>
      <c r="N54" s="142"/>
    </row>
    <row r="55" spans="1:14" s="3" customFormat="1" ht="15.75" x14ac:dyDescent="0.2">
      <c r="A55" s="31" t="s">
        <v>326</v>
      </c>
      <c r="B55" s="282">
        <v>9012.0190000000002</v>
      </c>
      <c r="C55" s="283">
        <v>8660.8960000000006</v>
      </c>
      <c r="D55" s="256">
        <f t="shared" si="17"/>
        <v>-3.9</v>
      </c>
      <c r="E55" s="170">
        <f>IFERROR(100/'Skjema total MA'!C55*C55,0)</f>
        <v>0.42547174225059725</v>
      </c>
      <c r="F55" s="139"/>
      <c r="G55" s="27"/>
      <c r="H55" s="139"/>
      <c r="I55" s="139"/>
      <c r="J55" s="27"/>
      <c r="K55" s="27"/>
      <c r="L55" s="152"/>
      <c r="M55" s="152"/>
      <c r="N55" s="142"/>
    </row>
    <row r="56" spans="1:14" s="3" customFormat="1" ht="15.75" x14ac:dyDescent="0.2">
      <c r="A56" s="31" t="s">
        <v>327</v>
      </c>
      <c r="B56" s="37"/>
      <c r="C56" s="288"/>
      <c r="D56" s="256"/>
      <c r="E56" s="170"/>
      <c r="F56" s="139"/>
      <c r="G56" s="27"/>
      <c r="H56" s="139"/>
      <c r="I56" s="139"/>
      <c r="J56" s="30"/>
      <c r="K56" s="30"/>
      <c r="L56" s="152"/>
      <c r="M56" s="152"/>
      <c r="N56" s="142"/>
    </row>
    <row r="57" spans="1:14" s="3" customFormat="1" x14ac:dyDescent="0.2">
      <c r="A57" s="298" t="s">
        <v>6</v>
      </c>
      <c r="B57" s="291"/>
      <c r="C57" s="292"/>
      <c r="D57" s="256"/>
      <c r="E57" s="159"/>
      <c r="F57" s="139"/>
      <c r="G57" s="27"/>
      <c r="H57" s="139"/>
      <c r="I57" s="139"/>
      <c r="J57" s="27"/>
      <c r="K57" s="27"/>
      <c r="L57" s="152"/>
      <c r="M57" s="152"/>
      <c r="N57" s="142"/>
    </row>
    <row r="58" spans="1:14" s="3" customFormat="1" x14ac:dyDescent="0.2">
      <c r="A58" s="298" t="s">
        <v>7</v>
      </c>
      <c r="B58" s="291"/>
      <c r="C58" s="292"/>
      <c r="D58" s="256"/>
      <c r="E58" s="159"/>
      <c r="F58" s="139"/>
      <c r="G58" s="27"/>
      <c r="H58" s="139"/>
      <c r="I58" s="139"/>
      <c r="J58" s="27"/>
      <c r="K58" s="27"/>
      <c r="L58" s="152"/>
      <c r="M58" s="152"/>
      <c r="N58" s="142"/>
    </row>
    <row r="59" spans="1:14" s="3" customFormat="1" x14ac:dyDescent="0.2">
      <c r="A59" s="298" t="s">
        <v>8</v>
      </c>
      <c r="B59" s="291"/>
      <c r="C59" s="292"/>
      <c r="D59" s="256"/>
      <c r="E59" s="159"/>
      <c r="F59" s="139"/>
      <c r="G59" s="27"/>
      <c r="H59" s="139"/>
      <c r="I59" s="139"/>
      <c r="J59" s="27"/>
      <c r="K59" s="27"/>
      <c r="L59" s="152"/>
      <c r="M59" s="152"/>
      <c r="N59" s="142"/>
    </row>
    <row r="60" spans="1:14" s="3" customFormat="1" ht="15.75" x14ac:dyDescent="0.2">
      <c r="A60" s="11" t="s">
        <v>29</v>
      </c>
      <c r="B60" s="312">
        <v>168.80099999999999</v>
      </c>
      <c r="C60" s="313">
        <v>107</v>
      </c>
      <c r="D60" s="256">
        <f t="shared" si="17"/>
        <v>-36.6</v>
      </c>
      <c r="E60" s="170">
        <f>IFERROR(100/'Skjema total MA'!C60*C60,0)</f>
        <v>0.12114432430575639</v>
      </c>
      <c r="F60" s="139"/>
      <c r="G60" s="27"/>
      <c r="H60" s="139"/>
      <c r="I60" s="139"/>
      <c r="J60" s="27"/>
      <c r="K60" s="27"/>
      <c r="L60" s="152"/>
      <c r="M60" s="152"/>
      <c r="N60" s="142"/>
    </row>
    <row r="61" spans="1:14" s="3" customFormat="1" ht="15.75" x14ac:dyDescent="0.2">
      <c r="A61" s="31" t="s">
        <v>326</v>
      </c>
      <c r="B61" s="282">
        <v>168.80099999999999</v>
      </c>
      <c r="C61" s="283">
        <v>107</v>
      </c>
      <c r="D61" s="256">
        <f t="shared" si="17"/>
        <v>-36.6</v>
      </c>
      <c r="E61" s="170">
        <f>IFERROR(100/'Skjema total MA'!C61*C61,0)</f>
        <v>0.2757850873312141</v>
      </c>
      <c r="F61" s="139"/>
      <c r="G61" s="27"/>
      <c r="H61" s="139"/>
      <c r="I61" s="139"/>
      <c r="J61" s="27"/>
      <c r="K61" s="27"/>
      <c r="L61" s="152"/>
      <c r="M61" s="152"/>
      <c r="N61" s="142"/>
    </row>
    <row r="62" spans="1:14" s="3" customFormat="1" ht="15.75" x14ac:dyDescent="0.2">
      <c r="A62" s="31" t="s">
        <v>327</v>
      </c>
      <c r="B62" s="37"/>
      <c r="C62" s="288"/>
      <c r="D62" s="256"/>
      <c r="E62" s="170"/>
      <c r="F62" s="139"/>
      <c r="G62" s="27"/>
      <c r="H62" s="139"/>
      <c r="I62" s="139"/>
      <c r="J62" s="27"/>
      <c r="K62" s="27"/>
      <c r="L62" s="152"/>
      <c r="M62" s="152"/>
      <c r="N62" s="142"/>
    </row>
    <row r="63" spans="1:14" s="3" customFormat="1" x14ac:dyDescent="0.2">
      <c r="A63" s="298" t="s">
        <v>6</v>
      </c>
      <c r="B63" s="282"/>
      <c r="C63" s="283"/>
      <c r="D63" s="256"/>
      <c r="E63" s="159"/>
      <c r="F63" s="139"/>
      <c r="G63" s="27"/>
      <c r="H63" s="139"/>
      <c r="I63" s="139"/>
      <c r="J63" s="27"/>
      <c r="K63" s="27"/>
      <c r="L63" s="152"/>
      <c r="M63" s="152"/>
      <c r="N63" s="142"/>
    </row>
    <row r="64" spans="1:14" s="3" customFormat="1" x14ac:dyDescent="0.2">
      <c r="A64" s="298" t="s">
        <v>7</v>
      </c>
      <c r="B64" s="282"/>
      <c r="C64" s="283"/>
      <c r="D64" s="256"/>
      <c r="E64" s="159"/>
      <c r="F64" s="139"/>
      <c r="G64" s="27"/>
      <c r="H64" s="139"/>
      <c r="I64" s="139"/>
      <c r="J64" s="27"/>
      <c r="K64" s="27"/>
      <c r="L64" s="152"/>
      <c r="M64" s="152"/>
      <c r="N64" s="142"/>
    </row>
    <row r="65" spans="1:14" s="3" customFormat="1" x14ac:dyDescent="0.2">
      <c r="A65" s="298" t="s">
        <v>8</v>
      </c>
      <c r="B65" s="282"/>
      <c r="C65" s="283"/>
      <c r="D65" s="256"/>
      <c r="E65" s="159"/>
      <c r="F65" s="139"/>
      <c r="G65" s="27"/>
      <c r="H65" s="139"/>
      <c r="I65" s="139"/>
      <c r="J65" s="27"/>
      <c r="K65" s="27"/>
      <c r="L65" s="152"/>
      <c r="M65" s="152"/>
      <c r="N65" s="142"/>
    </row>
    <row r="66" spans="1:14" s="3" customFormat="1" ht="15.75" x14ac:dyDescent="0.2">
      <c r="A66" s="32" t="s">
        <v>328</v>
      </c>
      <c r="B66" s="312"/>
      <c r="C66" s="313"/>
      <c r="D66" s="256"/>
      <c r="E66" s="170"/>
      <c r="F66" s="139"/>
      <c r="G66" s="27"/>
      <c r="H66" s="139"/>
      <c r="I66" s="139"/>
      <c r="J66" s="27"/>
      <c r="K66" s="27"/>
      <c r="L66" s="152"/>
      <c r="M66" s="152"/>
      <c r="N66" s="142"/>
    </row>
    <row r="67" spans="1:14" s="3" customFormat="1" ht="15.75" x14ac:dyDescent="0.2">
      <c r="A67" s="31" t="s">
        <v>326</v>
      </c>
      <c r="B67" s="282"/>
      <c r="C67" s="283"/>
      <c r="D67" s="256"/>
      <c r="E67" s="170"/>
      <c r="F67" s="139"/>
      <c r="G67" s="27"/>
      <c r="H67" s="139"/>
      <c r="I67" s="139"/>
      <c r="J67" s="27"/>
      <c r="K67" s="27"/>
      <c r="L67" s="152"/>
      <c r="M67" s="152"/>
      <c r="N67" s="142"/>
    </row>
    <row r="68" spans="1:14" s="3" customFormat="1" ht="15.75" x14ac:dyDescent="0.2">
      <c r="A68" s="31" t="s">
        <v>327</v>
      </c>
      <c r="B68" s="282"/>
      <c r="C68" s="283"/>
      <c r="D68" s="256"/>
      <c r="E68" s="170"/>
      <c r="F68" s="139"/>
      <c r="G68" s="27"/>
      <c r="H68" s="139"/>
      <c r="I68" s="139"/>
      <c r="J68" s="27"/>
      <c r="K68" s="27"/>
      <c r="L68" s="152"/>
      <c r="M68" s="152"/>
      <c r="N68" s="142"/>
    </row>
    <row r="69" spans="1:14" s="3" customFormat="1" ht="15.75" x14ac:dyDescent="0.2">
      <c r="A69" s="32" t="s">
        <v>329</v>
      </c>
      <c r="B69" s="312"/>
      <c r="C69" s="313"/>
      <c r="D69" s="256"/>
      <c r="E69" s="170"/>
      <c r="F69" s="139"/>
      <c r="G69" s="27"/>
      <c r="H69" s="139"/>
      <c r="I69" s="139"/>
      <c r="J69" s="27"/>
      <c r="K69" s="27"/>
      <c r="L69" s="152"/>
      <c r="M69" s="152"/>
      <c r="N69" s="142"/>
    </row>
    <row r="70" spans="1:14" s="3" customFormat="1" ht="15.75" x14ac:dyDescent="0.2">
      <c r="A70" s="31" t="s">
        <v>326</v>
      </c>
      <c r="B70" s="282"/>
      <c r="C70" s="283"/>
      <c r="D70" s="256"/>
      <c r="E70" s="170"/>
      <c r="F70" s="139"/>
      <c r="G70" s="27"/>
      <c r="H70" s="139"/>
      <c r="I70" s="139"/>
      <c r="J70" s="27"/>
      <c r="K70" s="27"/>
      <c r="L70" s="152"/>
      <c r="M70" s="152"/>
      <c r="N70" s="142"/>
    </row>
    <row r="71" spans="1:14" s="3" customFormat="1" ht="15.75" x14ac:dyDescent="0.2">
      <c r="A71" s="39" t="s">
        <v>327</v>
      </c>
      <c r="B71" s="284"/>
      <c r="C71" s="285"/>
      <c r="D71" s="257"/>
      <c r="E71" s="160"/>
      <c r="F71" s="139"/>
      <c r="G71" s="27"/>
      <c r="H71" s="139"/>
      <c r="I71" s="139"/>
      <c r="J71" s="27"/>
      <c r="K71" s="27"/>
      <c r="L71" s="152"/>
      <c r="M71" s="152"/>
      <c r="N71" s="142"/>
    </row>
    <row r="72" spans="1:14" s="3" customFormat="1" ht="15.75" x14ac:dyDescent="0.25">
      <c r="A72" s="157"/>
      <c r="B72" s="147"/>
      <c r="C72" s="147"/>
      <c r="D72" s="147"/>
      <c r="E72" s="147"/>
      <c r="F72" s="136"/>
      <c r="G72" s="136"/>
      <c r="H72" s="136"/>
      <c r="I72" s="136"/>
      <c r="J72" s="136"/>
      <c r="K72" s="136"/>
      <c r="L72" s="136"/>
      <c r="M72" s="136"/>
      <c r="N72" s="142"/>
    </row>
    <row r="73" spans="1:14" x14ac:dyDescent="0.2">
      <c r="A73" s="148"/>
    </row>
    <row r="74" spans="1:14" ht="15.75" x14ac:dyDescent="0.25">
      <c r="A74" s="141" t="s">
        <v>306</v>
      </c>
      <c r="C74" s="20"/>
      <c r="D74" s="20"/>
      <c r="E74" s="20"/>
      <c r="F74" s="20"/>
      <c r="G74" s="20"/>
      <c r="H74" s="20"/>
      <c r="I74" s="20"/>
      <c r="J74" s="20"/>
      <c r="K74" s="20"/>
      <c r="L74" s="20"/>
      <c r="M74" s="20"/>
    </row>
    <row r="75" spans="1:14" ht="15.75" x14ac:dyDescent="0.25">
      <c r="B75" s="360"/>
      <c r="C75" s="360"/>
      <c r="D75" s="360"/>
      <c r="E75" s="361"/>
      <c r="F75" s="360"/>
      <c r="G75" s="360"/>
      <c r="H75" s="360"/>
      <c r="I75" s="361"/>
      <c r="J75" s="360"/>
      <c r="K75" s="360"/>
      <c r="L75" s="360"/>
      <c r="M75" s="361"/>
    </row>
    <row r="76" spans="1:14" x14ac:dyDescent="0.2">
      <c r="A76" s="138"/>
      <c r="B76" s="357" t="s">
        <v>0</v>
      </c>
      <c r="C76" s="358"/>
      <c r="D76" s="359"/>
      <c r="E76" s="357"/>
      <c r="F76" s="358" t="s">
        <v>1</v>
      </c>
      <c r="G76" s="358"/>
      <c r="H76" s="358"/>
      <c r="I76" s="359"/>
      <c r="J76" s="357" t="s">
        <v>2</v>
      </c>
      <c r="K76" s="358"/>
      <c r="L76" s="358"/>
      <c r="M76" s="359"/>
    </row>
    <row r="77" spans="1:14" x14ac:dyDescent="0.2">
      <c r="A77" s="134"/>
      <c r="B77" s="145" t="s">
        <v>400</v>
      </c>
      <c r="C77" s="145" t="s">
        <v>401</v>
      </c>
      <c r="D77" s="242" t="s">
        <v>3</v>
      </c>
      <c r="E77" s="307" t="s">
        <v>37</v>
      </c>
      <c r="F77" s="145" t="s">
        <v>400</v>
      </c>
      <c r="G77" s="145" t="s">
        <v>401</v>
      </c>
      <c r="H77" s="242" t="s">
        <v>3</v>
      </c>
      <c r="I77" s="307" t="s">
        <v>37</v>
      </c>
      <c r="J77" s="145" t="s">
        <v>400</v>
      </c>
      <c r="K77" s="145" t="s">
        <v>401</v>
      </c>
      <c r="L77" s="242" t="s">
        <v>3</v>
      </c>
      <c r="M77" s="155" t="s">
        <v>37</v>
      </c>
    </row>
    <row r="78" spans="1:14" x14ac:dyDescent="0.2">
      <c r="A78" s="403"/>
      <c r="B78" s="149"/>
      <c r="C78" s="149"/>
      <c r="D78" s="243" t="s">
        <v>4</v>
      </c>
      <c r="E78" s="149" t="s">
        <v>38</v>
      </c>
      <c r="F78" s="154"/>
      <c r="G78" s="154"/>
      <c r="H78" s="242" t="s">
        <v>4</v>
      </c>
      <c r="I78" s="149" t="s">
        <v>38</v>
      </c>
      <c r="J78" s="154"/>
      <c r="K78" s="154"/>
      <c r="L78" s="242" t="s">
        <v>4</v>
      </c>
      <c r="M78" s="149" t="s">
        <v>38</v>
      </c>
    </row>
    <row r="79" spans="1:14" ht="15.75" x14ac:dyDescent="0.2">
      <c r="A79" s="12" t="s">
        <v>30</v>
      </c>
      <c r="B79" s="355">
        <v>102316.625</v>
      </c>
      <c r="C79" s="355">
        <v>105535.337</v>
      </c>
      <c r="D79" s="251">
        <f t="shared" ref="D79:D142" si="18">IF(B79=0, "    ---- ", IF(ABS(ROUND(100/B79*C79-100,1))&lt;999,ROUND(100/B79*C79-100,1),IF(ROUND(100/B79*C79-100,1)&gt;999,999,-999)))</f>
        <v>3.1</v>
      </c>
      <c r="E79" s="170">
        <f>IFERROR(100/'Skjema total MA'!C79*C79,0)</f>
        <v>0.90403565395950325</v>
      </c>
      <c r="F79" s="354">
        <v>998554.39199999999</v>
      </c>
      <c r="G79" s="354">
        <v>1117923.8729999999</v>
      </c>
      <c r="H79" s="251">
        <f t="shared" ref="H79:H142" si="19">IF(F79=0, "    ---- ", IF(ABS(ROUND(100/F79*G79-100,1))&lt;999,ROUND(100/F79*G79-100,1),IF(ROUND(100/F79*G79-100,1)&gt;999,999,-999)))</f>
        <v>12</v>
      </c>
      <c r="I79" s="170">
        <f>IFERROR(100/'Skjema total MA'!F79*G79,0)</f>
        <v>4.8383549136262527</v>
      </c>
      <c r="J79" s="311">
        <f t="shared" ref="J79:K110" si="20">SUM(B79,F79)</f>
        <v>1100871.017</v>
      </c>
      <c r="K79" s="318">
        <f t="shared" si="20"/>
        <v>1223459.21</v>
      </c>
      <c r="L79" s="255">
        <f t="shared" ref="L79:L142" si="21">IF(J79=0, "    ---- ", IF(ABS(ROUND(100/J79*K79-100,1))&lt;999,ROUND(100/J79*K79-100,1),IF(ROUND(100/J79*K79-100,1)&gt;999,999,-999)))</f>
        <v>11.1</v>
      </c>
      <c r="M79" s="170">
        <f>IFERROR(100/'Skjema total MA'!I79*K79,0)</f>
        <v>3.5177842463450908</v>
      </c>
    </row>
    <row r="80" spans="1:14" x14ac:dyDescent="0.2">
      <c r="A80" s="18" t="s">
        <v>9</v>
      </c>
      <c r="B80" s="37">
        <v>102316.625</v>
      </c>
      <c r="C80" s="139">
        <v>105535.337</v>
      </c>
      <c r="D80" s="159">
        <f t="shared" si="18"/>
        <v>3.1</v>
      </c>
      <c r="E80" s="170">
        <f>IFERROR(100/'Skjema total MA'!C80*C80,0)</f>
        <v>0.92401623643491626</v>
      </c>
      <c r="F80" s="229"/>
      <c r="G80" s="139"/>
      <c r="H80" s="159"/>
      <c r="I80" s="170"/>
      <c r="J80" s="288">
        <f t="shared" si="20"/>
        <v>102316.625</v>
      </c>
      <c r="K80" s="37">
        <f t="shared" si="20"/>
        <v>105535.337</v>
      </c>
      <c r="L80" s="256">
        <f t="shared" si="21"/>
        <v>3.1</v>
      </c>
      <c r="M80" s="170">
        <f>IFERROR(100/'Skjema total MA'!I80*K80,0)</f>
        <v>0.92401623643491626</v>
      </c>
    </row>
    <row r="81" spans="1:14" x14ac:dyDescent="0.2">
      <c r="A81" s="18" t="s">
        <v>10</v>
      </c>
      <c r="B81" s="293"/>
      <c r="C81" s="294"/>
      <c r="D81" s="159"/>
      <c r="E81" s="170"/>
      <c r="F81" s="293">
        <v>998554.39199999999</v>
      </c>
      <c r="G81" s="294">
        <v>1117923.8729999999</v>
      </c>
      <c r="H81" s="159">
        <f t="shared" si="19"/>
        <v>12</v>
      </c>
      <c r="I81" s="170">
        <f>IFERROR(100/'Skjema total MA'!F81*G81,0)</f>
        <v>4.8824380895676791</v>
      </c>
      <c r="J81" s="288">
        <f t="shared" si="20"/>
        <v>998554.39199999999</v>
      </c>
      <c r="K81" s="37">
        <f t="shared" si="20"/>
        <v>1117923.8729999999</v>
      </c>
      <c r="L81" s="256">
        <f t="shared" si="21"/>
        <v>12</v>
      </c>
      <c r="M81" s="170">
        <f>IFERROR(100/'Skjema total MA'!I81*K81,0)</f>
        <v>4.845994041522717</v>
      </c>
    </row>
    <row r="82" spans="1:14" ht="15.75" x14ac:dyDescent="0.2">
      <c r="A82" s="298" t="s">
        <v>330</v>
      </c>
      <c r="B82" s="282"/>
      <c r="C82" s="282"/>
      <c r="D82" s="159"/>
      <c r="E82" s="237"/>
      <c r="F82" s="282"/>
      <c r="G82" s="282"/>
      <c r="H82" s="159"/>
      <c r="I82" s="237"/>
      <c r="J82" s="291"/>
      <c r="K82" s="291"/>
      <c r="L82" s="159"/>
      <c r="M82" s="159"/>
    </row>
    <row r="83" spans="1:14" x14ac:dyDescent="0.2">
      <c r="A83" s="298" t="s">
        <v>12</v>
      </c>
      <c r="B83" s="295"/>
      <c r="C83" s="296"/>
      <c r="D83" s="159"/>
      <c r="E83" s="237"/>
      <c r="F83" s="282"/>
      <c r="G83" s="282"/>
      <c r="H83" s="159"/>
      <c r="I83" s="237"/>
      <c r="J83" s="291"/>
      <c r="K83" s="291"/>
      <c r="L83" s="159"/>
      <c r="M83" s="159"/>
    </row>
    <row r="84" spans="1:14" x14ac:dyDescent="0.2">
      <c r="A84" s="298" t="s">
        <v>13</v>
      </c>
      <c r="B84" s="230"/>
      <c r="C84" s="290"/>
      <c r="D84" s="159"/>
      <c r="E84" s="237"/>
      <c r="F84" s="282"/>
      <c r="G84" s="282"/>
      <c r="H84" s="159"/>
      <c r="I84" s="237"/>
      <c r="J84" s="291"/>
      <c r="K84" s="291"/>
      <c r="L84" s="159"/>
      <c r="M84" s="159"/>
    </row>
    <row r="85" spans="1:14" ht="15.75" x14ac:dyDescent="0.2">
      <c r="A85" s="298" t="s">
        <v>331</v>
      </c>
      <c r="B85" s="282"/>
      <c r="C85" s="282"/>
      <c r="D85" s="159"/>
      <c r="E85" s="237"/>
      <c r="F85" s="282">
        <v>998554.39199999999</v>
      </c>
      <c r="G85" s="282">
        <v>1117923.8729999999</v>
      </c>
      <c r="H85" s="159">
        <f t="shared" si="19"/>
        <v>12</v>
      </c>
      <c r="I85" s="237">
        <f>IFERROR(100/'Skjema total MA'!F85*G85,0)</f>
        <v>0</v>
      </c>
      <c r="J85" s="37">
        <f t="shared" ref="J85" si="22">SUM(B85,F85)</f>
        <v>998554.39199999999</v>
      </c>
      <c r="K85" s="37">
        <f t="shared" ref="K85" si="23">SUM(C85,G85)</f>
        <v>1117923.8729999999</v>
      </c>
      <c r="L85" s="256">
        <f t="shared" si="21"/>
        <v>12</v>
      </c>
      <c r="M85" s="159">
        <f>IFERROR(100/'Skjema total MA'!I85*K85,0)</f>
        <v>0</v>
      </c>
    </row>
    <row r="86" spans="1:14" x14ac:dyDescent="0.2">
      <c r="A86" s="298" t="s">
        <v>12</v>
      </c>
      <c r="B86" s="230"/>
      <c r="C86" s="290"/>
      <c r="D86" s="159"/>
      <c r="E86" s="237"/>
      <c r="F86" s="282"/>
      <c r="G86" s="282"/>
      <c r="H86" s="159"/>
      <c r="I86" s="237"/>
      <c r="J86" s="291"/>
      <c r="K86" s="291"/>
      <c r="L86" s="159"/>
      <c r="M86" s="159"/>
    </row>
    <row r="87" spans="1:14" s="3" customFormat="1" x14ac:dyDescent="0.2">
      <c r="A87" s="298" t="s">
        <v>13</v>
      </c>
      <c r="B87" s="230"/>
      <c r="C87" s="290"/>
      <c r="D87" s="159"/>
      <c r="E87" s="237"/>
      <c r="F87" s="282">
        <v>998554.39199999999</v>
      </c>
      <c r="G87" s="282">
        <v>1117923.8729999999</v>
      </c>
      <c r="H87" s="159">
        <f t="shared" si="19"/>
        <v>12</v>
      </c>
      <c r="I87" s="237">
        <f>IFERROR(100/'Skjema total MA'!F87*G87,0)</f>
        <v>0</v>
      </c>
      <c r="J87" s="37">
        <f t="shared" ref="J87" si="24">SUM(B87,F87)</f>
        <v>998554.39199999999</v>
      </c>
      <c r="K87" s="37">
        <f t="shared" ref="K87" si="25">SUM(C87,G87)</f>
        <v>1117923.8729999999</v>
      </c>
      <c r="L87" s="256">
        <f t="shared" si="21"/>
        <v>12</v>
      </c>
      <c r="M87" s="159">
        <f>IFERROR(100/'Skjema total MA'!I87*K87,0)</f>
        <v>0</v>
      </c>
      <c r="N87" s="142"/>
    </row>
    <row r="88" spans="1:14" s="3" customFormat="1" x14ac:dyDescent="0.2">
      <c r="A88" s="18" t="s">
        <v>33</v>
      </c>
      <c r="B88" s="229"/>
      <c r="C88" s="139"/>
      <c r="D88" s="159"/>
      <c r="E88" s="170"/>
      <c r="F88" s="229"/>
      <c r="G88" s="139"/>
      <c r="H88" s="159"/>
      <c r="I88" s="170"/>
      <c r="J88" s="288"/>
      <c r="K88" s="37"/>
      <c r="L88" s="256"/>
      <c r="M88" s="170"/>
      <c r="N88" s="142"/>
    </row>
    <row r="89" spans="1:14" ht="15.75" x14ac:dyDescent="0.2">
      <c r="A89" s="18" t="s">
        <v>332</v>
      </c>
      <c r="B89" s="229">
        <v>102316.625</v>
      </c>
      <c r="C89" s="229">
        <v>105535.337</v>
      </c>
      <c r="D89" s="159">
        <f t="shared" si="18"/>
        <v>3.1</v>
      </c>
      <c r="E89" s="170">
        <f>IFERROR(100/'Skjema total MA'!C89*C89,0)</f>
        <v>0.93727982177682934</v>
      </c>
      <c r="F89" s="229">
        <v>998554.39199999999</v>
      </c>
      <c r="G89" s="139">
        <v>1117923.8729999999</v>
      </c>
      <c r="H89" s="159">
        <f t="shared" si="19"/>
        <v>12</v>
      </c>
      <c r="I89" s="170">
        <f>IFERROR(100/'Skjema total MA'!F89*G89,0)</f>
        <v>4.8852933837513497</v>
      </c>
      <c r="J89" s="288">
        <f t="shared" si="20"/>
        <v>1100871.017</v>
      </c>
      <c r="K89" s="37">
        <f t="shared" si="20"/>
        <v>1223459.21</v>
      </c>
      <c r="L89" s="256">
        <f t="shared" si="21"/>
        <v>11.1</v>
      </c>
      <c r="M89" s="170">
        <f>IFERROR(100/'Skjema total MA'!I89*K89,0)</f>
        <v>3.5833172235265147</v>
      </c>
    </row>
    <row r="90" spans="1:14" x14ac:dyDescent="0.2">
      <c r="A90" s="18" t="s">
        <v>9</v>
      </c>
      <c r="B90" s="229">
        <v>102316.625</v>
      </c>
      <c r="C90" s="139">
        <v>105535.337</v>
      </c>
      <c r="D90" s="159">
        <f t="shared" si="18"/>
        <v>3.1</v>
      </c>
      <c r="E90" s="170">
        <f>IFERROR(100/'Skjema total MA'!C90*C90,0)</f>
        <v>0.95153676524911834</v>
      </c>
      <c r="F90" s="229"/>
      <c r="G90" s="139"/>
      <c r="H90" s="159"/>
      <c r="I90" s="170"/>
      <c r="J90" s="288">
        <f t="shared" si="20"/>
        <v>102316.625</v>
      </c>
      <c r="K90" s="37">
        <f t="shared" si="20"/>
        <v>105535.337</v>
      </c>
      <c r="L90" s="256">
        <f t="shared" si="21"/>
        <v>3.1</v>
      </c>
      <c r="M90" s="170">
        <f>IFERROR(100/'Skjema total MA'!I90*K90,0)</f>
        <v>0.95153667945585141</v>
      </c>
    </row>
    <row r="91" spans="1:14" x14ac:dyDescent="0.2">
      <c r="A91" s="18" t="s">
        <v>10</v>
      </c>
      <c r="B91" s="293"/>
      <c r="C91" s="294"/>
      <c r="D91" s="159"/>
      <c r="E91" s="170"/>
      <c r="F91" s="293">
        <v>998554.39199999999</v>
      </c>
      <c r="G91" s="294">
        <v>1117923.8729999999</v>
      </c>
      <c r="H91" s="159">
        <f t="shared" si="19"/>
        <v>12</v>
      </c>
      <c r="I91" s="170">
        <f>IFERROR(100/'Skjema total MA'!F91*G91,0)</f>
        <v>4.8852933837513497</v>
      </c>
      <c r="J91" s="288">
        <f t="shared" si="20"/>
        <v>998554.39199999999</v>
      </c>
      <c r="K91" s="37">
        <f t="shared" si="20"/>
        <v>1117923.8729999999</v>
      </c>
      <c r="L91" s="256">
        <f t="shared" si="21"/>
        <v>12</v>
      </c>
      <c r="M91" s="170">
        <f>IFERROR(100/'Skjema total MA'!I91*K91,0)</f>
        <v>4.8495407106884487</v>
      </c>
    </row>
    <row r="92" spans="1:14" ht="15.75" x14ac:dyDescent="0.2">
      <c r="A92" s="298" t="s">
        <v>330</v>
      </c>
      <c r="B92" s="282"/>
      <c r="C92" s="282"/>
      <c r="D92" s="159"/>
      <c r="E92" s="237"/>
      <c r="F92" s="282"/>
      <c r="G92" s="282"/>
      <c r="H92" s="159"/>
      <c r="I92" s="237"/>
      <c r="J92" s="291"/>
      <c r="K92" s="291"/>
      <c r="L92" s="159"/>
      <c r="M92" s="159"/>
    </row>
    <row r="93" spans="1:14" x14ac:dyDescent="0.2">
      <c r="A93" s="298" t="s">
        <v>12</v>
      </c>
      <c r="B93" s="230"/>
      <c r="C93" s="290"/>
      <c r="D93" s="159"/>
      <c r="E93" s="237"/>
      <c r="F93" s="282"/>
      <c r="G93" s="282"/>
      <c r="H93" s="159"/>
      <c r="I93" s="237"/>
      <c r="J93" s="291"/>
      <c r="K93" s="291"/>
      <c r="L93" s="159"/>
      <c r="M93" s="159"/>
    </row>
    <row r="94" spans="1:14" x14ac:dyDescent="0.2">
      <c r="A94" s="298" t="s">
        <v>13</v>
      </c>
      <c r="B94" s="230"/>
      <c r="C94" s="290"/>
      <c r="D94" s="159"/>
      <c r="E94" s="237"/>
      <c r="F94" s="282"/>
      <c r="G94" s="282"/>
      <c r="H94" s="159"/>
      <c r="I94" s="237"/>
      <c r="J94" s="291"/>
      <c r="K94" s="291"/>
      <c r="L94" s="159"/>
      <c r="M94" s="159"/>
    </row>
    <row r="95" spans="1:14" ht="15.75" x14ac:dyDescent="0.2">
      <c r="A95" s="298" t="s">
        <v>331</v>
      </c>
      <c r="B95" s="282"/>
      <c r="C95" s="282"/>
      <c r="D95" s="159"/>
      <c r="E95" s="237"/>
      <c r="F95" s="282">
        <v>998554.39199999999</v>
      </c>
      <c r="G95" s="282">
        <v>1117923.8729999999</v>
      </c>
      <c r="H95" s="159">
        <f t="shared" si="19"/>
        <v>12</v>
      </c>
      <c r="I95" s="237">
        <f>IFERROR(100/'Skjema total MA'!F95*G95,0)</f>
        <v>0</v>
      </c>
      <c r="J95" s="37">
        <f t="shared" ref="J95" si="26">SUM(B95,F95)</f>
        <v>998554.39199999999</v>
      </c>
      <c r="K95" s="37">
        <f t="shared" ref="K95" si="27">SUM(C95,G95)</f>
        <v>1117923.8729999999</v>
      </c>
      <c r="L95" s="256">
        <f t="shared" si="21"/>
        <v>12</v>
      </c>
      <c r="M95" s="159">
        <f>IFERROR(100/'Skjema total MA'!I95*K95,0)</f>
        <v>0</v>
      </c>
    </row>
    <row r="96" spans="1:14" x14ac:dyDescent="0.2">
      <c r="A96" s="298" t="s">
        <v>12</v>
      </c>
      <c r="B96" s="230"/>
      <c r="C96" s="290"/>
      <c r="D96" s="159"/>
      <c r="E96" s="237"/>
      <c r="F96" s="282"/>
      <c r="G96" s="282"/>
      <c r="H96" s="159"/>
      <c r="I96" s="237"/>
      <c r="J96" s="291"/>
      <c r="K96" s="291"/>
      <c r="L96" s="159"/>
      <c r="M96" s="159"/>
    </row>
    <row r="97" spans="1:13" x14ac:dyDescent="0.2">
      <c r="A97" s="298" t="s">
        <v>13</v>
      </c>
      <c r="B97" s="230"/>
      <c r="C97" s="290"/>
      <c r="D97" s="159"/>
      <c r="E97" s="237"/>
      <c r="F97" s="282">
        <v>998554.39199999999</v>
      </c>
      <c r="G97" s="282">
        <v>1117923.8729999999</v>
      </c>
      <c r="H97" s="159">
        <f t="shared" si="19"/>
        <v>12</v>
      </c>
      <c r="I97" s="237">
        <f>IFERROR(100/'Skjema total MA'!F97*G97,0)</f>
        <v>0</v>
      </c>
      <c r="J97" s="37">
        <f t="shared" ref="J97" si="28">SUM(B97,F97)</f>
        <v>998554.39199999999</v>
      </c>
      <c r="K97" s="37">
        <f t="shared" ref="K97" si="29">SUM(C97,G97)</f>
        <v>1117923.8729999999</v>
      </c>
      <c r="L97" s="256">
        <f t="shared" si="21"/>
        <v>12</v>
      </c>
      <c r="M97" s="159">
        <f>IFERROR(100/'Skjema total MA'!I97*K97,0)</f>
        <v>0</v>
      </c>
    </row>
    <row r="98" spans="1:13" ht="15.75" x14ac:dyDescent="0.2">
      <c r="A98" s="18" t="s">
        <v>342</v>
      </c>
      <c r="B98" s="229"/>
      <c r="C98" s="139"/>
      <c r="D98" s="159"/>
      <c r="E98" s="170"/>
      <c r="F98" s="229"/>
      <c r="G98" s="139"/>
      <c r="H98" s="159"/>
      <c r="I98" s="170"/>
      <c r="J98" s="288"/>
      <c r="K98" s="37"/>
      <c r="L98" s="256"/>
      <c r="M98" s="170"/>
    </row>
    <row r="99" spans="1:13" ht="15.75" x14ac:dyDescent="0.2">
      <c r="A99" s="11" t="s">
        <v>29</v>
      </c>
      <c r="B99" s="310">
        <v>1733.798</v>
      </c>
      <c r="C99" s="310">
        <v>4719</v>
      </c>
      <c r="D99" s="159">
        <f t="shared" si="18"/>
        <v>172.2</v>
      </c>
      <c r="E99" s="170">
        <f>IFERROR(100/'Skjema total MA'!C99*C99,0)</f>
        <v>1.4616670249542214</v>
      </c>
      <c r="F99" s="310">
        <v>59259.875999999997</v>
      </c>
      <c r="G99" s="310">
        <v>61276</v>
      </c>
      <c r="H99" s="159">
        <f t="shared" si="19"/>
        <v>3.4</v>
      </c>
      <c r="I99" s="170">
        <f>IFERROR(100/'Skjema total MA'!F99*G99,0)</f>
        <v>5.0218081336363358</v>
      </c>
      <c r="J99" s="311">
        <f t="shared" si="20"/>
        <v>60993.673999999999</v>
      </c>
      <c r="K99" s="231">
        <f t="shared" si="20"/>
        <v>65995</v>
      </c>
      <c r="L99" s="256">
        <f t="shared" si="21"/>
        <v>8.1999999999999993</v>
      </c>
      <c r="M99" s="170">
        <f>IFERROR(100/'Skjema total MA'!I99*K99,0)</f>
        <v>4.2769232464177245</v>
      </c>
    </row>
    <row r="100" spans="1:13" x14ac:dyDescent="0.2">
      <c r="A100" s="18" t="s">
        <v>9</v>
      </c>
      <c r="B100" s="229">
        <v>1733.798</v>
      </c>
      <c r="C100" s="139">
        <v>4719</v>
      </c>
      <c r="D100" s="159">
        <f t="shared" si="18"/>
        <v>172.2</v>
      </c>
      <c r="E100" s="170">
        <f>IFERROR(100/'Skjema total MA'!C100*C100,0)</f>
        <v>1.8271229891425453</v>
      </c>
      <c r="F100" s="229"/>
      <c r="G100" s="139"/>
      <c r="H100" s="159"/>
      <c r="I100" s="170"/>
      <c r="J100" s="288">
        <f t="shared" si="20"/>
        <v>1733.798</v>
      </c>
      <c r="K100" s="37">
        <f t="shared" si="20"/>
        <v>4719</v>
      </c>
      <c r="L100" s="256">
        <f t="shared" si="21"/>
        <v>172.2</v>
      </c>
      <c r="M100" s="170">
        <f>IFERROR(100/'Skjema total MA'!I100*K100,0)</f>
        <v>1.8271229891425453</v>
      </c>
    </row>
    <row r="101" spans="1:13" x14ac:dyDescent="0.2">
      <c r="A101" s="18" t="s">
        <v>10</v>
      </c>
      <c r="B101" s="229"/>
      <c r="C101" s="139"/>
      <c r="D101" s="159"/>
      <c r="E101" s="170"/>
      <c r="F101" s="293">
        <v>59259.875999999997</v>
      </c>
      <c r="G101" s="293">
        <v>61276</v>
      </c>
      <c r="H101" s="159">
        <f t="shared" si="19"/>
        <v>3.4</v>
      </c>
      <c r="I101" s="170">
        <f>IFERROR(100/'Skjema total MA'!F101*G101,0)</f>
        <v>6.1030308091624459</v>
      </c>
      <c r="J101" s="288">
        <f t="shared" si="20"/>
        <v>59259.875999999997</v>
      </c>
      <c r="K101" s="37">
        <f t="shared" si="20"/>
        <v>61276</v>
      </c>
      <c r="L101" s="256">
        <f t="shared" si="21"/>
        <v>3.4</v>
      </c>
      <c r="M101" s="170">
        <f>IFERROR(100/'Skjema total MA'!I101*K101,0)</f>
        <v>6.0610932241796878</v>
      </c>
    </row>
    <row r="102" spans="1:13" ht="15.75" x14ac:dyDescent="0.2">
      <c r="A102" s="298" t="s">
        <v>330</v>
      </c>
      <c r="B102" s="282"/>
      <c r="C102" s="282"/>
      <c r="D102" s="159"/>
      <c r="E102" s="237"/>
      <c r="F102" s="282"/>
      <c r="G102" s="282"/>
      <c r="H102" s="159"/>
      <c r="I102" s="237"/>
      <c r="J102" s="291"/>
      <c r="K102" s="291"/>
      <c r="L102" s="159"/>
      <c r="M102" s="159"/>
    </row>
    <row r="103" spans="1:13" x14ac:dyDescent="0.2">
      <c r="A103" s="298" t="s">
        <v>12</v>
      </c>
      <c r="B103" s="230"/>
      <c r="C103" s="290"/>
      <c r="D103" s="159"/>
      <c r="E103" s="237"/>
      <c r="F103" s="282"/>
      <c r="G103" s="282"/>
      <c r="H103" s="159"/>
      <c r="I103" s="237"/>
      <c r="J103" s="291"/>
      <c r="K103" s="291"/>
      <c r="L103" s="159"/>
      <c r="M103" s="159"/>
    </row>
    <row r="104" spans="1:13" x14ac:dyDescent="0.2">
      <c r="A104" s="298" t="s">
        <v>13</v>
      </c>
      <c r="B104" s="230"/>
      <c r="C104" s="290"/>
      <c r="D104" s="159"/>
      <c r="E104" s="237"/>
      <c r="F104" s="282"/>
      <c r="G104" s="282"/>
      <c r="H104" s="159"/>
      <c r="I104" s="237"/>
      <c r="J104" s="291"/>
      <c r="K104" s="291"/>
      <c r="L104" s="159"/>
      <c r="M104" s="159"/>
    </row>
    <row r="105" spans="1:13" ht="15.75" x14ac:dyDescent="0.2">
      <c r="A105" s="298" t="s">
        <v>331</v>
      </c>
      <c r="B105" s="282"/>
      <c r="C105" s="282"/>
      <c r="D105" s="159"/>
      <c r="E105" s="237"/>
      <c r="F105" s="282">
        <v>59259.875999999997</v>
      </c>
      <c r="G105" s="282">
        <v>61276</v>
      </c>
      <c r="H105" s="159">
        <f t="shared" si="19"/>
        <v>3.4</v>
      </c>
      <c r="I105" s="237">
        <f>IFERROR(100/'Skjema total MA'!F105*G105,0)</f>
        <v>0</v>
      </c>
      <c r="J105" s="37">
        <f t="shared" ref="J105" si="30">SUM(B105,F105)</f>
        <v>59259.875999999997</v>
      </c>
      <c r="K105" s="37">
        <f t="shared" ref="K105" si="31">SUM(C105,G105)</f>
        <v>61276</v>
      </c>
      <c r="L105" s="256">
        <f t="shared" si="21"/>
        <v>3.4</v>
      </c>
      <c r="M105" s="159">
        <f>IFERROR(100/'Skjema total MA'!I105*K105,0)</f>
        <v>0</v>
      </c>
    </row>
    <row r="106" spans="1:13" x14ac:dyDescent="0.2">
      <c r="A106" s="298" t="s">
        <v>12</v>
      </c>
      <c r="B106" s="230"/>
      <c r="C106" s="290"/>
      <c r="D106" s="159"/>
      <c r="E106" s="237"/>
      <c r="F106" s="282"/>
      <c r="G106" s="282"/>
      <c r="H106" s="159"/>
      <c r="I106" s="237"/>
      <c r="J106" s="291"/>
      <c r="K106" s="291"/>
      <c r="L106" s="159"/>
      <c r="M106" s="159"/>
    </row>
    <row r="107" spans="1:13" x14ac:dyDescent="0.2">
      <c r="A107" s="298" t="s">
        <v>13</v>
      </c>
      <c r="B107" s="230"/>
      <c r="C107" s="290"/>
      <c r="D107" s="159"/>
      <c r="E107" s="237"/>
      <c r="F107" s="282">
        <v>59259.875999999997</v>
      </c>
      <c r="G107" s="282">
        <v>61276</v>
      </c>
      <c r="H107" s="159">
        <f t="shared" si="19"/>
        <v>3.4</v>
      </c>
      <c r="I107" s="237">
        <f>IFERROR(100/'Skjema total MA'!F107*G107,0)</f>
        <v>0</v>
      </c>
      <c r="J107" s="37">
        <f t="shared" ref="J107" si="32">SUM(B107,F107)</f>
        <v>59259.875999999997</v>
      </c>
      <c r="K107" s="37">
        <f t="shared" ref="K107" si="33">SUM(C107,G107)</f>
        <v>61276</v>
      </c>
      <c r="L107" s="256">
        <f t="shared" si="21"/>
        <v>3.4</v>
      </c>
      <c r="M107" s="159">
        <f>IFERROR(100/'Skjema total MA'!I107*K107,0)</f>
        <v>0</v>
      </c>
    </row>
    <row r="108" spans="1:13" x14ac:dyDescent="0.2">
      <c r="A108" s="18" t="s">
        <v>33</v>
      </c>
      <c r="B108" s="229"/>
      <c r="C108" s="139"/>
      <c r="D108" s="159"/>
      <c r="E108" s="170"/>
      <c r="F108" s="229"/>
      <c r="G108" s="139"/>
      <c r="H108" s="159"/>
      <c r="I108" s="170"/>
      <c r="J108" s="288"/>
      <c r="K108" s="37"/>
      <c r="L108" s="256"/>
      <c r="M108" s="170"/>
    </row>
    <row r="109" spans="1:13" ht="15.75" x14ac:dyDescent="0.2">
      <c r="A109" s="18" t="s">
        <v>332</v>
      </c>
      <c r="B109" s="229">
        <v>1733.798</v>
      </c>
      <c r="C109" s="139">
        <v>4719</v>
      </c>
      <c r="D109" s="159">
        <f t="shared" si="18"/>
        <v>172.2</v>
      </c>
      <c r="E109" s="170">
        <f>IFERROR(100/'Skjema total MA'!C109*C109,0)</f>
        <v>1.8946396311992548</v>
      </c>
      <c r="F109" s="293">
        <v>59259.875999999997</v>
      </c>
      <c r="G109" s="293">
        <v>61276</v>
      </c>
      <c r="H109" s="159">
        <f t="shared" si="19"/>
        <v>3.4</v>
      </c>
      <c r="I109" s="170">
        <f>IFERROR(100/'Skjema total MA'!F109*G109,0)</f>
        <v>6.1030308091624459</v>
      </c>
      <c r="J109" s="288">
        <f t="shared" si="20"/>
        <v>60993.673999999999</v>
      </c>
      <c r="K109" s="37">
        <f t="shared" si="20"/>
        <v>65995</v>
      </c>
      <c r="L109" s="256">
        <f t="shared" si="21"/>
        <v>8.1999999999999993</v>
      </c>
      <c r="M109" s="170">
        <f>IFERROR(100/'Skjema total MA'!I109*K109,0)</f>
        <v>5.2665522301227696</v>
      </c>
    </row>
    <row r="110" spans="1:13" x14ac:dyDescent="0.2">
      <c r="A110" s="18" t="s">
        <v>9</v>
      </c>
      <c r="B110" s="229">
        <v>1733.798</v>
      </c>
      <c r="C110" s="139">
        <v>4719</v>
      </c>
      <c r="D110" s="159">
        <f t="shared" si="18"/>
        <v>172.2</v>
      </c>
      <c r="E110" s="170">
        <f>IFERROR(100/'Skjema total MA'!C110*C110,0)</f>
        <v>1.9490004356766228</v>
      </c>
      <c r="F110" s="293"/>
      <c r="G110" s="294"/>
      <c r="H110" s="159"/>
      <c r="I110" s="170"/>
      <c r="J110" s="288">
        <f t="shared" si="20"/>
        <v>1733.798</v>
      </c>
      <c r="K110" s="37">
        <f t="shared" si="20"/>
        <v>4719</v>
      </c>
      <c r="L110" s="256">
        <f t="shared" si="21"/>
        <v>172.2</v>
      </c>
      <c r="M110" s="170">
        <f>IFERROR(100/'Skjema total MA'!I110*K110,0)</f>
        <v>1.9490004356766228</v>
      </c>
    </row>
    <row r="111" spans="1:13" x14ac:dyDescent="0.2">
      <c r="A111" s="18" t="s">
        <v>10</v>
      </c>
      <c r="B111" s="293"/>
      <c r="C111" s="294"/>
      <c r="D111" s="159"/>
      <c r="E111" s="170"/>
      <c r="F111" s="293">
        <v>59259.875999999997</v>
      </c>
      <c r="G111" s="294">
        <v>61276</v>
      </c>
      <c r="H111" s="159">
        <f t="shared" si="19"/>
        <v>3.4</v>
      </c>
      <c r="I111" s="170">
        <f>IFERROR(100/'Skjema total MA'!F111*G111,0)</f>
        <v>6.1030308091624459</v>
      </c>
      <c r="J111" s="288">
        <f t="shared" ref="J111:K142" si="34">SUM(B111,F111)</f>
        <v>59259.875999999997</v>
      </c>
      <c r="K111" s="37">
        <f t="shared" si="34"/>
        <v>61276</v>
      </c>
      <c r="L111" s="256">
        <f t="shared" si="21"/>
        <v>3.4</v>
      </c>
      <c r="M111" s="170">
        <f>IFERROR(100/'Skjema total MA'!I111*K111,0)</f>
        <v>6.0610932241796878</v>
      </c>
    </row>
    <row r="112" spans="1:13" ht="15.75" x14ac:dyDescent="0.2">
      <c r="A112" s="298" t="s">
        <v>330</v>
      </c>
      <c r="B112" s="282"/>
      <c r="C112" s="282"/>
      <c r="D112" s="159"/>
      <c r="E112" s="237"/>
      <c r="F112" s="282"/>
      <c r="G112" s="282"/>
      <c r="H112" s="159"/>
      <c r="I112" s="237"/>
      <c r="J112" s="291"/>
      <c r="K112" s="291"/>
      <c r="L112" s="159"/>
      <c r="M112" s="159"/>
    </row>
    <row r="113" spans="1:13" x14ac:dyDescent="0.2">
      <c r="A113" s="298" t="s">
        <v>12</v>
      </c>
      <c r="B113" s="230"/>
      <c r="C113" s="290"/>
      <c r="D113" s="159"/>
      <c r="E113" s="237"/>
      <c r="F113" s="282"/>
      <c r="G113" s="282"/>
      <c r="H113" s="159"/>
      <c r="I113" s="237"/>
      <c r="J113" s="291"/>
      <c r="K113" s="291"/>
      <c r="L113" s="159"/>
      <c r="M113" s="159"/>
    </row>
    <row r="114" spans="1:13" x14ac:dyDescent="0.2">
      <c r="A114" s="298" t="s">
        <v>13</v>
      </c>
      <c r="B114" s="230"/>
      <c r="C114" s="290"/>
      <c r="D114" s="159"/>
      <c r="E114" s="237"/>
      <c r="F114" s="282"/>
      <c r="G114" s="282"/>
      <c r="H114" s="159"/>
      <c r="I114" s="237"/>
      <c r="J114" s="291"/>
      <c r="K114" s="291"/>
      <c r="L114" s="159"/>
      <c r="M114" s="159"/>
    </row>
    <row r="115" spans="1:13" ht="15.75" x14ac:dyDescent="0.2">
      <c r="A115" s="298" t="s">
        <v>331</v>
      </c>
      <c r="B115" s="282"/>
      <c r="C115" s="282"/>
      <c r="D115" s="159"/>
      <c r="E115" s="237"/>
      <c r="F115" s="282">
        <v>59259.875999999997</v>
      </c>
      <c r="G115" s="282">
        <v>61276</v>
      </c>
      <c r="H115" s="159">
        <f t="shared" si="19"/>
        <v>3.4</v>
      </c>
      <c r="I115" s="237">
        <f>IFERROR(100/'Skjema total MA'!F115*G115,0)</f>
        <v>0</v>
      </c>
      <c r="J115" s="37">
        <f t="shared" ref="J115" si="35">SUM(B115,F115)</f>
        <v>59259.875999999997</v>
      </c>
      <c r="K115" s="37">
        <f t="shared" ref="K115" si="36">SUM(C115,G115)</f>
        <v>61276</v>
      </c>
      <c r="L115" s="256">
        <f t="shared" si="21"/>
        <v>3.4</v>
      </c>
      <c r="M115" s="159">
        <f>IFERROR(100/'Skjema total MA'!I115*K115,0)</f>
        <v>0</v>
      </c>
    </row>
    <row r="116" spans="1:13" x14ac:dyDescent="0.2">
      <c r="A116" s="298" t="s">
        <v>12</v>
      </c>
      <c r="B116" s="230"/>
      <c r="C116" s="290"/>
      <c r="D116" s="159"/>
      <c r="E116" s="237"/>
      <c r="F116" s="282"/>
      <c r="G116" s="282"/>
      <c r="H116" s="159"/>
      <c r="I116" s="237"/>
      <c r="J116" s="291"/>
      <c r="K116" s="291"/>
      <c r="L116" s="159"/>
      <c r="M116" s="159"/>
    </row>
    <row r="117" spans="1:13" x14ac:dyDescent="0.2">
      <c r="A117" s="298" t="s">
        <v>13</v>
      </c>
      <c r="B117" s="232"/>
      <c r="C117" s="297"/>
      <c r="D117" s="159"/>
      <c r="E117" s="237"/>
      <c r="F117" s="282">
        <v>59259.875999999997</v>
      </c>
      <c r="G117" s="282">
        <v>61276</v>
      </c>
      <c r="H117" s="159">
        <f t="shared" si="19"/>
        <v>3.4</v>
      </c>
      <c r="I117" s="237">
        <f>IFERROR(100/'Skjema total MA'!F117*G117,0)</f>
        <v>0</v>
      </c>
      <c r="J117" s="37">
        <f t="shared" ref="J117" si="37">SUM(B117,F117)</f>
        <v>59259.875999999997</v>
      </c>
      <c r="K117" s="37">
        <f t="shared" ref="K117" si="38">SUM(C117,G117)</f>
        <v>61276</v>
      </c>
      <c r="L117" s="256">
        <f t="shared" si="21"/>
        <v>3.4</v>
      </c>
      <c r="M117" s="159">
        <f>IFERROR(100/'Skjema total MA'!I117*K117,0)</f>
        <v>0</v>
      </c>
    </row>
    <row r="118" spans="1:13" ht="15.75" x14ac:dyDescent="0.2">
      <c r="A118" s="18" t="s">
        <v>342</v>
      </c>
      <c r="B118" s="229"/>
      <c r="C118" s="139"/>
      <c r="D118" s="159"/>
      <c r="E118" s="170"/>
      <c r="F118" s="229"/>
      <c r="G118" s="139"/>
      <c r="H118" s="159"/>
      <c r="I118" s="170"/>
      <c r="J118" s="288"/>
      <c r="K118" s="37"/>
      <c r="L118" s="256"/>
      <c r="M118" s="170"/>
    </row>
    <row r="119" spans="1:13" ht="15.75" x14ac:dyDescent="0.2">
      <c r="A119" s="11" t="s">
        <v>28</v>
      </c>
      <c r="B119" s="355">
        <v>487247.26199999999</v>
      </c>
      <c r="C119" s="355">
        <v>529675.42500000005</v>
      </c>
      <c r="D119" s="159">
        <f t="shared" si="18"/>
        <v>8.6999999999999993</v>
      </c>
      <c r="E119" s="170">
        <f>IFERROR(100/'Skjema total MA'!C119*C119,0)</f>
        <v>0.14201091150400227</v>
      </c>
      <c r="F119" s="354">
        <v>8473610.0439999998</v>
      </c>
      <c r="G119" s="354">
        <v>9771723.6429999992</v>
      </c>
      <c r="H119" s="159">
        <f t="shared" si="19"/>
        <v>15.3</v>
      </c>
      <c r="I119" s="170">
        <f>IFERROR(100/'Skjema total MA'!F119*G119,0)</f>
        <v>5.4980236984429887</v>
      </c>
      <c r="J119" s="311">
        <f t="shared" si="34"/>
        <v>8960857.3059999999</v>
      </c>
      <c r="K119" s="231">
        <f t="shared" si="34"/>
        <v>10301399.068</v>
      </c>
      <c r="L119" s="256">
        <f t="shared" si="21"/>
        <v>15</v>
      </c>
      <c r="M119" s="170">
        <f>IFERROR(100/'Skjema total MA'!I119*K119,0)</f>
        <v>1.8705541164287836</v>
      </c>
    </row>
    <row r="120" spans="1:13" x14ac:dyDescent="0.2">
      <c r="A120" s="18" t="s">
        <v>9</v>
      </c>
      <c r="B120" s="229">
        <v>487247.26199999999</v>
      </c>
      <c r="C120" s="139">
        <v>529675.42500000005</v>
      </c>
      <c r="D120" s="159">
        <f t="shared" si="18"/>
        <v>8.6999999999999993</v>
      </c>
      <c r="E120" s="170">
        <f>IFERROR(100/'Skjema total MA'!C120*C120,0)</f>
        <v>0.1429200812791086</v>
      </c>
      <c r="F120" s="229"/>
      <c r="G120" s="139"/>
      <c r="H120" s="159"/>
      <c r="I120" s="170"/>
      <c r="J120" s="288">
        <f t="shared" si="34"/>
        <v>487247.26199999999</v>
      </c>
      <c r="K120" s="37">
        <f t="shared" si="34"/>
        <v>529675.42500000005</v>
      </c>
      <c r="L120" s="256">
        <f t="shared" si="21"/>
        <v>8.6999999999999993</v>
      </c>
      <c r="M120" s="170">
        <f>IFERROR(100/'Skjema total MA'!I120*K120,0)</f>
        <v>0.1429200812791086</v>
      </c>
    </row>
    <row r="121" spans="1:13" x14ac:dyDescent="0.2">
      <c r="A121" s="18" t="s">
        <v>10</v>
      </c>
      <c r="B121" s="229"/>
      <c r="C121" s="139"/>
      <c r="D121" s="159"/>
      <c r="E121" s="170"/>
      <c r="F121" s="229">
        <v>8473610.0439999998</v>
      </c>
      <c r="G121" s="139">
        <v>9771723.6429999992</v>
      </c>
      <c r="H121" s="159">
        <f t="shared" si="19"/>
        <v>15.3</v>
      </c>
      <c r="I121" s="170">
        <f>IFERROR(100/'Skjema total MA'!F121*G121,0)</f>
        <v>5.5046866990303256</v>
      </c>
      <c r="J121" s="288">
        <f t="shared" si="34"/>
        <v>8473610.0439999998</v>
      </c>
      <c r="K121" s="37">
        <f t="shared" si="34"/>
        <v>9771723.6429999992</v>
      </c>
      <c r="L121" s="256">
        <f t="shared" si="21"/>
        <v>15.3</v>
      </c>
      <c r="M121" s="170">
        <f>IFERROR(100/'Skjema total MA'!I121*K121,0)</f>
        <v>5.4350882012402257</v>
      </c>
    </row>
    <row r="122" spans="1:13" ht="15.75" x14ac:dyDescent="0.2">
      <c r="A122" s="298" t="s">
        <v>330</v>
      </c>
      <c r="B122" s="282"/>
      <c r="C122" s="282"/>
      <c r="D122" s="159"/>
      <c r="E122" s="237"/>
      <c r="F122" s="282"/>
      <c r="G122" s="282"/>
      <c r="H122" s="159"/>
      <c r="I122" s="237"/>
      <c r="J122" s="291"/>
      <c r="K122" s="291"/>
      <c r="L122" s="159"/>
      <c r="M122" s="159"/>
    </row>
    <row r="123" spans="1:13" x14ac:dyDescent="0.2">
      <c r="A123" s="298" t="s">
        <v>12</v>
      </c>
      <c r="B123" s="230"/>
      <c r="C123" s="290"/>
      <c r="D123" s="159"/>
      <c r="E123" s="237"/>
      <c r="F123" s="282"/>
      <c r="G123" s="282"/>
      <c r="H123" s="159"/>
      <c r="I123" s="237"/>
      <c r="J123" s="291"/>
      <c r="K123" s="291"/>
      <c r="L123" s="159"/>
      <c r="M123" s="159"/>
    </row>
    <row r="124" spans="1:13" x14ac:dyDescent="0.2">
      <c r="A124" s="298" t="s">
        <v>13</v>
      </c>
      <c r="B124" s="230"/>
      <c r="C124" s="290"/>
      <c r="D124" s="159"/>
      <c r="E124" s="237"/>
      <c r="F124" s="282"/>
      <c r="G124" s="282"/>
      <c r="H124" s="159"/>
      <c r="I124" s="237"/>
      <c r="J124" s="291"/>
      <c r="K124" s="291"/>
      <c r="L124" s="159"/>
      <c r="M124" s="159"/>
    </row>
    <row r="125" spans="1:13" ht="15.75" x14ac:dyDescent="0.2">
      <c r="A125" s="298" t="s">
        <v>331</v>
      </c>
      <c r="B125" s="282"/>
      <c r="C125" s="282"/>
      <c r="D125" s="159"/>
      <c r="E125" s="237"/>
      <c r="F125" s="282">
        <v>8473610.0439999998</v>
      </c>
      <c r="G125" s="282">
        <v>9771723.6429999992</v>
      </c>
      <c r="H125" s="159">
        <f t="shared" si="19"/>
        <v>15.3</v>
      </c>
      <c r="I125" s="237">
        <f>IFERROR(100/'Skjema total MA'!F125*G125,0)</f>
        <v>0</v>
      </c>
      <c r="J125" s="37">
        <f t="shared" ref="J125" si="39">SUM(B125,F125)</f>
        <v>8473610.0439999998</v>
      </c>
      <c r="K125" s="37">
        <f t="shared" ref="K125" si="40">SUM(C125,G125)</f>
        <v>9771723.6429999992</v>
      </c>
      <c r="L125" s="256">
        <f t="shared" si="21"/>
        <v>15.3</v>
      </c>
      <c r="M125" s="159">
        <f>IFERROR(100/'Skjema total MA'!I125*K125,0)</f>
        <v>0</v>
      </c>
    </row>
    <row r="126" spans="1:13" x14ac:dyDescent="0.2">
      <c r="A126" s="298" t="s">
        <v>12</v>
      </c>
      <c r="B126" s="230"/>
      <c r="C126" s="290"/>
      <c r="D126" s="159"/>
      <c r="E126" s="237"/>
      <c r="F126" s="282"/>
      <c r="G126" s="282"/>
      <c r="H126" s="159"/>
      <c r="I126" s="237"/>
      <c r="J126" s="291"/>
      <c r="K126" s="291"/>
      <c r="L126" s="159"/>
      <c r="M126" s="159"/>
    </row>
    <row r="127" spans="1:13" x14ac:dyDescent="0.2">
      <c r="A127" s="298" t="s">
        <v>13</v>
      </c>
      <c r="B127" s="230"/>
      <c r="C127" s="290"/>
      <c r="D127" s="159"/>
      <c r="E127" s="237"/>
      <c r="F127" s="282">
        <v>8473610.0439999998</v>
      </c>
      <c r="G127" s="282">
        <v>9771723.6429999992</v>
      </c>
      <c r="H127" s="159">
        <f t="shared" si="19"/>
        <v>15.3</v>
      </c>
      <c r="I127" s="237">
        <f>IFERROR(100/'Skjema total MA'!F127*G127,0)</f>
        <v>0</v>
      </c>
      <c r="J127" s="37">
        <f t="shared" ref="J127" si="41">SUM(B127,F127)</f>
        <v>8473610.0439999998</v>
      </c>
      <c r="K127" s="37">
        <f t="shared" ref="K127" si="42">SUM(C127,G127)</f>
        <v>9771723.6429999992</v>
      </c>
      <c r="L127" s="256">
        <f t="shared" si="21"/>
        <v>15.3</v>
      </c>
      <c r="M127" s="159">
        <f>IFERROR(100/'Skjema total MA'!I127*K127,0)</f>
        <v>0</v>
      </c>
    </row>
    <row r="128" spans="1:13" x14ac:dyDescent="0.2">
      <c r="A128" s="18" t="s">
        <v>34</v>
      </c>
      <c r="B128" s="229"/>
      <c r="C128" s="139"/>
      <c r="D128" s="159"/>
      <c r="E128" s="170"/>
      <c r="F128" s="229"/>
      <c r="G128" s="139"/>
      <c r="H128" s="159"/>
      <c r="I128" s="170"/>
      <c r="J128" s="288"/>
      <c r="K128" s="37"/>
      <c r="L128" s="256"/>
      <c r="M128" s="170"/>
    </row>
    <row r="129" spans="1:13" ht="15.75" x14ac:dyDescent="0.2">
      <c r="A129" s="18" t="s">
        <v>332</v>
      </c>
      <c r="B129" s="229">
        <v>487247.26199999999</v>
      </c>
      <c r="C129" s="229">
        <v>529675.42500000005</v>
      </c>
      <c r="D129" s="159">
        <f t="shared" si="18"/>
        <v>8.6999999999999993</v>
      </c>
      <c r="E129" s="170">
        <f>IFERROR(100/'Skjema total MA'!C129*C129,0)</f>
        <v>0.14391452674540497</v>
      </c>
      <c r="F129" s="293">
        <v>8473610.0439999998</v>
      </c>
      <c r="G129" s="293">
        <v>9771723.6429999992</v>
      </c>
      <c r="H129" s="159">
        <f t="shared" si="19"/>
        <v>15.3</v>
      </c>
      <c r="I129" s="170">
        <f>IFERROR(100/'Skjema total MA'!F129*G129,0)</f>
        <v>5.516658789237491</v>
      </c>
      <c r="J129" s="288">
        <f t="shared" si="34"/>
        <v>8960857.3059999999</v>
      </c>
      <c r="K129" s="37">
        <f t="shared" si="34"/>
        <v>10301399.068</v>
      </c>
      <c r="L129" s="256">
        <f t="shared" si="21"/>
        <v>15</v>
      </c>
      <c r="M129" s="170">
        <f>IFERROR(100/'Skjema total MA'!I129*K129,0)</f>
        <v>1.8895415501326549</v>
      </c>
    </row>
    <row r="130" spans="1:13" x14ac:dyDescent="0.2">
      <c r="A130" s="18" t="s">
        <v>9</v>
      </c>
      <c r="B130" s="293">
        <v>487247.26199999999</v>
      </c>
      <c r="C130" s="294">
        <v>529675.42500000005</v>
      </c>
      <c r="D130" s="159">
        <f t="shared" si="18"/>
        <v>8.6999999999999993</v>
      </c>
      <c r="E130" s="170">
        <f>IFERROR(100/'Skjema total MA'!C130*C130,0)</f>
        <v>0.14480890636139807</v>
      </c>
      <c r="F130" s="229"/>
      <c r="G130" s="139"/>
      <c r="H130" s="159"/>
      <c r="I130" s="170"/>
      <c r="J130" s="288">
        <f t="shared" si="34"/>
        <v>487247.26199999999</v>
      </c>
      <c r="K130" s="37">
        <f t="shared" si="34"/>
        <v>529675.42500000005</v>
      </c>
      <c r="L130" s="256">
        <f t="shared" si="21"/>
        <v>8.6999999999999993</v>
      </c>
      <c r="M130" s="170">
        <f>IFERROR(100/'Skjema total MA'!I130*K130,0)</f>
        <v>0.14480890636139807</v>
      </c>
    </row>
    <row r="131" spans="1:13" x14ac:dyDescent="0.2">
      <c r="A131" s="18" t="s">
        <v>10</v>
      </c>
      <c r="B131" s="293"/>
      <c r="C131" s="294"/>
      <c r="D131" s="159"/>
      <c r="E131" s="170"/>
      <c r="F131" s="229">
        <v>8473610.0439999998</v>
      </c>
      <c r="G131" s="229">
        <v>9771723.6429999992</v>
      </c>
      <c r="H131" s="159">
        <f t="shared" si="19"/>
        <v>15.3</v>
      </c>
      <c r="I131" s="170">
        <f>IFERROR(100/'Skjema total MA'!F131*G131,0)</f>
        <v>5.516658789237491</v>
      </c>
      <c r="J131" s="288">
        <f t="shared" si="34"/>
        <v>8473610.0439999998</v>
      </c>
      <c r="K131" s="37">
        <f t="shared" si="34"/>
        <v>9771723.6429999992</v>
      </c>
      <c r="L131" s="256">
        <f t="shared" si="21"/>
        <v>15.3</v>
      </c>
      <c r="M131" s="170">
        <f>IFERROR(100/'Skjema total MA'!I131*K131,0)</f>
        <v>5.4467591510623912</v>
      </c>
    </row>
    <row r="132" spans="1:13" ht="15.75" x14ac:dyDescent="0.2">
      <c r="A132" s="298" t="s">
        <v>330</v>
      </c>
      <c r="B132" s="282"/>
      <c r="C132" s="282"/>
      <c r="D132" s="159"/>
      <c r="E132" s="237"/>
      <c r="F132" s="282"/>
      <c r="G132" s="282"/>
      <c r="H132" s="159"/>
      <c r="I132" s="237"/>
      <c r="J132" s="291"/>
      <c r="K132" s="291"/>
      <c r="L132" s="159"/>
      <c r="M132" s="159"/>
    </row>
    <row r="133" spans="1:13" x14ac:dyDescent="0.2">
      <c r="A133" s="298" t="s">
        <v>12</v>
      </c>
      <c r="B133" s="230"/>
      <c r="C133" s="290"/>
      <c r="D133" s="159"/>
      <c r="E133" s="237"/>
      <c r="F133" s="282"/>
      <c r="G133" s="282"/>
      <c r="H133" s="159"/>
      <c r="I133" s="237"/>
      <c r="J133" s="291"/>
      <c r="K133" s="291"/>
      <c r="L133" s="159"/>
      <c r="M133" s="159"/>
    </row>
    <row r="134" spans="1:13" x14ac:dyDescent="0.2">
      <c r="A134" s="298" t="s">
        <v>13</v>
      </c>
      <c r="B134" s="230"/>
      <c r="C134" s="290"/>
      <c r="D134" s="159"/>
      <c r="E134" s="237"/>
      <c r="F134" s="282"/>
      <c r="G134" s="282"/>
      <c r="H134" s="159"/>
      <c r="I134" s="237"/>
      <c r="J134" s="291"/>
      <c r="K134" s="291"/>
      <c r="L134" s="159"/>
      <c r="M134" s="159"/>
    </row>
    <row r="135" spans="1:13" ht="15.75" x14ac:dyDescent="0.2">
      <c r="A135" s="298" t="s">
        <v>331</v>
      </c>
      <c r="B135" s="282"/>
      <c r="C135" s="282"/>
      <c r="D135" s="159"/>
      <c r="E135" s="237"/>
      <c r="F135" s="282">
        <v>8473610.0439999998</v>
      </c>
      <c r="G135" s="282">
        <v>9771723.6429999992</v>
      </c>
      <c r="H135" s="159">
        <f t="shared" si="19"/>
        <v>15.3</v>
      </c>
      <c r="I135" s="237">
        <f>IFERROR(100/'Skjema total MA'!F135*G135,0)</f>
        <v>0</v>
      </c>
      <c r="J135" s="37">
        <f t="shared" ref="J135" si="43">SUM(B135,F135)</f>
        <v>8473610.0439999998</v>
      </c>
      <c r="K135" s="37">
        <f t="shared" ref="K135" si="44">SUM(C135,G135)</f>
        <v>9771723.6429999992</v>
      </c>
      <c r="L135" s="256">
        <f t="shared" si="21"/>
        <v>15.3</v>
      </c>
      <c r="M135" s="159">
        <f>IFERROR(100/'Skjema total MA'!I135*K135,0)</f>
        <v>0</v>
      </c>
    </row>
    <row r="136" spans="1:13" x14ac:dyDescent="0.2">
      <c r="A136" s="298" t="s">
        <v>12</v>
      </c>
      <c r="B136" s="230"/>
      <c r="C136" s="290"/>
      <c r="D136" s="159"/>
      <c r="E136" s="237"/>
      <c r="F136" s="282"/>
      <c r="G136" s="282"/>
      <c r="H136" s="159"/>
      <c r="I136" s="237"/>
      <c r="J136" s="291"/>
      <c r="K136" s="291"/>
      <c r="L136" s="159"/>
      <c r="M136" s="159"/>
    </row>
    <row r="137" spans="1:13" x14ac:dyDescent="0.2">
      <c r="A137" s="298" t="s">
        <v>13</v>
      </c>
      <c r="B137" s="230"/>
      <c r="C137" s="290"/>
      <c r="D137" s="159"/>
      <c r="E137" s="237"/>
      <c r="F137" s="282">
        <v>8473610.0439999998</v>
      </c>
      <c r="G137" s="282">
        <v>9771723.6429999992</v>
      </c>
      <c r="H137" s="159">
        <f t="shared" si="19"/>
        <v>15.3</v>
      </c>
      <c r="I137" s="237">
        <f>IFERROR(100/'Skjema total MA'!F137*G137,0)</f>
        <v>0</v>
      </c>
      <c r="J137" s="37">
        <f t="shared" ref="J137" si="45">SUM(B137,F137)</f>
        <v>8473610.0439999998</v>
      </c>
      <c r="K137" s="37">
        <f t="shared" ref="K137" si="46">SUM(C137,G137)</f>
        <v>9771723.6429999992</v>
      </c>
      <c r="L137" s="256">
        <f t="shared" si="21"/>
        <v>15.3</v>
      </c>
      <c r="M137" s="159">
        <f>IFERROR(100/'Skjema total MA'!I137*K137,0)</f>
        <v>0</v>
      </c>
    </row>
    <row r="138" spans="1:13" ht="15.75" x14ac:dyDescent="0.2">
      <c r="A138" s="18" t="s">
        <v>342</v>
      </c>
      <c r="B138" s="229"/>
      <c r="C138" s="139"/>
      <c r="D138" s="159"/>
      <c r="E138" s="170"/>
      <c r="F138" s="229"/>
      <c r="G138" s="139"/>
      <c r="H138" s="159"/>
      <c r="I138" s="170"/>
      <c r="J138" s="288"/>
      <c r="K138" s="37"/>
      <c r="L138" s="256"/>
      <c r="M138" s="170"/>
    </row>
    <row r="139" spans="1:13" ht="15.75" x14ac:dyDescent="0.2">
      <c r="A139" s="18" t="s">
        <v>343</v>
      </c>
      <c r="B139" s="229">
        <v>14413.95</v>
      </c>
      <c r="C139" s="229">
        <v>24704.841</v>
      </c>
      <c r="D139" s="159">
        <f t="shared" si="18"/>
        <v>71.400000000000006</v>
      </c>
      <c r="E139" s="170">
        <f>IFERROR(100/'Skjema total MA'!C139*C139,0)</f>
        <v>9.1684050377163848E-3</v>
      </c>
      <c r="F139" s="229">
        <v>77605.062000000005</v>
      </c>
      <c r="G139" s="229">
        <v>149181.13200000001</v>
      </c>
      <c r="H139" s="159">
        <f t="shared" si="19"/>
        <v>92.2</v>
      </c>
      <c r="I139" s="170">
        <f>IFERROR(100/'Skjema total MA'!F139*G139,0)</f>
        <v>2.5633830566711642</v>
      </c>
      <c r="J139" s="288">
        <f t="shared" si="34"/>
        <v>92019.012000000002</v>
      </c>
      <c r="K139" s="37">
        <f t="shared" si="34"/>
        <v>173885.973</v>
      </c>
      <c r="L139" s="256">
        <f t="shared" si="21"/>
        <v>89</v>
      </c>
      <c r="M139" s="170">
        <f>IFERROR(100/'Skjema total MA'!I139*K139,0)</f>
        <v>6.3167875955157479E-2</v>
      </c>
    </row>
    <row r="140" spans="1:13" ht="15.75" x14ac:dyDescent="0.2">
      <c r="A140" s="18" t="s">
        <v>334</v>
      </c>
      <c r="B140" s="229"/>
      <c r="C140" s="229"/>
      <c r="D140" s="159"/>
      <c r="E140" s="170"/>
      <c r="F140" s="229">
        <v>2896561.3810000001</v>
      </c>
      <c r="G140" s="229">
        <v>3435776.679</v>
      </c>
      <c r="H140" s="159">
        <f t="shared" si="19"/>
        <v>18.600000000000001</v>
      </c>
      <c r="I140" s="170">
        <f>IFERROR(100/'Skjema total MA'!F140*G140,0)</f>
        <v>6.1593405504855712</v>
      </c>
      <c r="J140" s="288">
        <f t="shared" si="34"/>
        <v>2896561.3810000001</v>
      </c>
      <c r="K140" s="37">
        <f t="shared" si="34"/>
        <v>3435776.679</v>
      </c>
      <c r="L140" s="256">
        <f t="shared" si="21"/>
        <v>18.600000000000001</v>
      </c>
      <c r="M140" s="170">
        <f>IFERROR(100/'Skjema total MA'!I140*K140,0)</f>
        <v>6.0779752846977111</v>
      </c>
    </row>
    <row r="141" spans="1:13" ht="15.75" x14ac:dyDescent="0.2">
      <c r="A141" s="18" t="s">
        <v>335</v>
      </c>
      <c r="B141" s="229"/>
      <c r="C141" s="229"/>
      <c r="D141" s="159"/>
      <c r="E141" s="170"/>
      <c r="F141" s="229"/>
      <c r="G141" s="229"/>
      <c r="H141" s="159"/>
      <c r="I141" s="170"/>
      <c r="J141" s="288"/>
      <c r="K141" s="37"/>
      <c r="L141" s="256"/>
      <c r="M141" s="170"/>
    </row>
    <row r="142" spans="1:13" ht="15.75" x14ac:dyDescent="0.2">
      <c r="A142" s="11" t="s">
        <v>27</v>
      </c>
      <c r="B142" s="310">
        <v>26755.958999999999</v>
      </c>
      <c r="C142" s="152">
        <v>28343.875</v>
      </c>
      <c r="D142" s="159">
        <f t="shared" si="18"/>
        <v>5.9</v>
      </c>
      <c r="E142" s="170">
        <f>IFERROR(100/'Skjema total MA'!C142*C142,0)</f>
        <v>2.2878533149007549</v>
      </c>
      <c r="F142" s="310">
        <v>430681.91800000001</v>
      </c>
      <c r="G142" s="152">
        <v>537289.73100000003</v>
      </c>
      <c r="H142" s="159">
        <f t="shared" si="19"/>
        <v>24.8</v>
      </c>
      <c r="I142" s="170">
        <f>IFERROR(100/'Skjema total MA'!F142*G142,0)</f>
        <v>8.8572024024029261</v>
      </c>
      <c r="J142" s="311">
        <f t="shared" si="34"/>
        <v>457437.87699999998</v>
      </c>
      <c r="K142" s="231">
        <f t="shared" si="34"/>
        <v>565633.60600000003</v>
      </c>
      <c r="L142" s="256">
        <f t="shared" si="21"/>
        <v>23.7</v>
      </c>
      <c r="M142" s="170">
        <f>IFERROR(100/'Skjema total MA'!I142*K142,0)</f>
        <v>7.7430821907708554</v>
      </c>
    </row>
    <row r="143" spans="1:13" x14ac:dyDescent="0.2">
      <c r="A143" s="18" t="s">
        <v>9</v>
      </c>
      <c r="B143" s="229">
        <v>26755.958999999999</v>
      </c>
      <c r="C143" s="139">
        <v>28343.875</v>
      </c>
      <c r="D143" s="159">
        <f t="shared" ref="D143:D151" si="47">IF(B143=0, "    ---- ", IF(ABS(ROUND(100/B143*C143-100,1))&lt;999,ROUND(100/B143*C143-100,1),IF(ROUND(100/B143*C143-100,1)&gt;999,999,-999)))</f>
        <v>5.9</v>
      </c>
      <c r="E143" s="170">
        <f>IFERROR(100/'Skjema total MA'!C143*C143,0)</f>
        <v>2.2956440880897939</v>
      </c>
      <c r="F143" s="229"/>
      <c r="G143" s="139"/>
      <c r="H143" s="159"/>
      <c r="I143" s="170"/>
      <c r="J143" s="288">
        <f t="shared" ref="J143:K156" si="48">SUM(B143,F143)</f>
        <v>26755.958999999999</v>
      </c>
      <c r="K143" s="37">
        <f t="shared" si="48"/>
        <v>28343.875</v>
      </c>
      <c r="L143" s="256">
        <f t="shared" ref="L143:L156" si="49">IF(J143=0, "    ---- ", IF(ABS(ROUND(100/J143*K143-100,1))&lt;999,ROUND(100/J143*K143-100,1),IF(ROUND(100/J143*K143-100,1)&gt;999,999,-999)))</f>
        <v>5.9</v>
      </c>
      <c r="M143" s="170">
        <f>IFERROR(100/'Skjema total MA'!I143*K143,0)</f>
        <v>2.2956440880897939</v>
      </c>
    </row>
    <row r="144" spans="1:13" x14ac:dyDescent="0.2">
      <c r="A144" s="18" t="s">
        <v>10</v>
      </c>
      <c r="B144" s="229"/>
      <c r="C144" s="139"/>
      <c r="D144" s="159"/>
      <c r="E144" s="170"/>
      <c r="F144" s="229">
        <v>430681.91800000001</v>
      </c>
      <c r="G144" s="139">
        <v>537289.73100000003</v>
      </c>
      <c r="H144" s="159">
        <f t="shared" ref="H144:H156" si="50">IF(F144=0, "    ---- ", IF(ABS(ROUND(100/F144*G144-100,1))&lt;999,ROUND(100/F144*G144-100,1),IF(ROUND(100/F144*G144-100,1)&gt;999,999,-999)))</f>
        <v>24.8</v>
      </c>
      <c r="I144" s="170">
        <f>IFERROR(100/'Skjema total MA'!F144*G144,0)</f>
        <v>8.8572024024029261</v>
      </c>
      <c r="J144" s="288">
        <f t="shared" si="48"/>
        <v>430681.91800000001</v>
      </c>
      <c r="K144" s="37">
        <f t="shared" si="48"/>
        <v>537289.73100000003</v>
      </c>
      <c r="L144" s="256">
        <f t="shared" si="49"/>
        <v>24.8</v>
      </c>
      <c r="M144" s="170">
        <f>IFERROR(100/'Skjema total MA'!I144*K144,0)</f>
        <v>8.8510677389069876</v>
      </c>
    </row>
    <row r="145" spans="1:14" x14ac:dyDescent="0.2">
      <c r="A145" s="18" t="s">
        <v>34</v>
      </c>
      <c r="B145" s="229"/>
      <c r="C145" s="139"/>
      <c r="D145" s="159"/>
      <c r="E145" s="170"/>
      <c r="F145" s="229"/>
      <c r="G145" s="139"/>
      <c r="H145" s="159"/>
      <c r="I145" s="170"/>
      <c r="J145" s="288"/>
      <c r="K145" s="37"/>
      <c r="L145" s="256"/>
      <c r="M145" s="170"/>
    </row>
    <row r="146" spans="1:14" x14ac:dyDescent="0.2">
      <c r="A146" s="298" t="s">
        <v>15</v>
      </c>
      <c r="B146" s="282"/>
      <c r="C146" s="282"/>
      <c r="D146" s="159"/>
      <c r="E146" s="237"/>
      <c r="F146" s="282"/>
      <c r="G146" s="282"/>
      <c r="H146" s="159"/>
      <c r="I146" s="237"/>
      <c r="J146" s="291"/>
      <c r="K146" s="291"/>
      <c r="L146" s="159"/>
      <c r="M146" s="159"/>
    </row>
    <row r="147" spans="1:14" ht="15.75" x14ac:dyDescent="0.2">
      <c r="A147" s="18" t="s">
        <v>344</v>
      </c>
      <c r="B147" s="229">
        <v>14552.067999999999</v>
      </c>
      <c r="C147" s="229">
        <v>12340.38</v>
      </c>
      <c r="D147" s="159">
        <f t="shared" si="47"/>
        <v>-15.2</v>
      </c>
      <c r="E147" s="170">
        <f>IFERROR(100/'Skjema total MA'!C147*C147,0)</f>
        <v>2.2132182464039545</v>
      </c>
      <c r="F147" s="229">
        <v>76567.308000000005</v>
      </c>
      <c r="G147" s="229">
        <v>64717.866999999998</v>
      </c>
      <c r="H147" s="159">
        <f t="shared" si="50"/>
        <v>-15.5</v>
      </c>
      <c r="I147" s="170">
        <f>IFERROR(100/'Skjema total MA'!F147*G147,0)</f>
        <v>100</v>
      </c>
      <c r="J147" s="288">
        <f t="shared" si="48"/>
        <v>91119.376000000004</v>
      </c>
      <c r="K147" s="37">
        <f t="shared" si="48"/>
        <v>77058.247000000003</v>
      </c>
      <c r="L147" s="256">
        <f t="shared" si="49"/>
        <v>-15.4</v>
      </c>
      <c r="M147" s="170">
        <f>IFERROR(100/'Skjema total MA'!I147*K147,0)</f>
        <v>12.382929710090583</v>
      </c>
    </row>
    <row r="148" spans="1:14" ht="15.75" x14ac:dyDescent="0.2">
      <c r="A148" s="18" t="s">
        <v>336</v>
      </c>
      <c r="B148" s="229"/>
      <c r="C148" s="229"/>
      <c r="D148" s="159"/>
      <c r="E148" s="170"/>
      <c r="F148" s="229">
        <v>47976.913999999997</v>
      </c>
      <c r="G148" s="229">
        <v>78312.195000000007</v>
      </c>
      <c r="H148" s="159">
        <f t="shared" si="50"/>
        <v>63.2</v>
      </c>
      <c r="I148" s="170">
        <f>IFERROR(100/'Skjema total MA'!F148*G148,0)</f>
        <v>6.950252555348861</v>
      </c>
      <c r="J148" s="288">
        <f t="shared" si="48"/>
        <v>47976.913999999997</v>
      </c>
      <c r="K148" s="37">
        <f t="shared" si="48"/>
        <v>78312.195000000007</v>
      </c>
      <c r="L148" s="256">
        <f t="shared" si="49"/>
        <v>63.2</v>
      </c>
      <c r="M148" s="170">
        <f>IFERROR(100/'Skjema total MA'!I148*K148,0)</f>
        <v>6.9501668342999903</v>
      </c>
    </row>
    <row r="149" spans="1:14" ht="15.75" x14ac:dyDescent="0.2">
      <c r="A149" s="18" t="s">
        <v>335</v>
      </c>
      <c r="B149" s="229"/>
      <c r="C149" s="229"/>
      <c r="D149" s="159"/>
      <c r="E149" s="170"/>
      <c r="F149" s="229"/>
      <c r="G149" s="229"/>
      <c r="H149" s="159"/>
      <c r="I149" s="170"/>
      <c r="J149" s="288"/>
      <c r="K149" s="37"/>
      <c r="L149" s="256"/>
      <c r="M149" s="170"/>
    </row>
    <row r="150" spans="1:14" ht="15.75" x14ac:dyDescent="0.2">
      <c r="A150" s="11" t="s">
        <v>26</v>
      </c>
      <c r="B150" s="310">
        <v>31113.226999999999</v>
      </c>
      <c r="C150" s="152">
        <v>41841.036</v>
      </c>
      <c r="D150" s="159">
        <f t="shared" si="47"/>
        <v>34.5</v>
      </c>
      <c r="E150" s="170">
        <f>IFERROR(100/'Skjema total MA'!C150*C150,0)</f>
        <v>4.7929164934807718</v>
      </c>
      <c r="F150" s="310">
        <v>422586.89299999998</v>
      </c>
      <c r="G150" s="152">
        <v>554352.42099999997</v>
      </c>
      <c r="H150" s="159">
        <f t="shared" si="50"/>
        <v>31.2</v>
      </c>
      <c r="I150" s="170">
        <f>IFERROR(100/'Skjema total MA'!F150*G150,0)</f>
        <v>8.9367869019894215</v>
      </c>
      <c r="J150" s="311">
        <f t="shared" si="48"/>
        <v>453700.12</v>
      </c>
      <c r="K150" s="231">
        <f t="shared" si="48"/>
        <v>596193.45699999994</v>
      </c>
      <c r="L150" s="256">
        <f t="shared" si="49"/>
        <v>31.4</v>
      </c>
      <c r="M150" s="170">
        <f>IFERROR(100/'Skjema total MA'!I150*K150,0)</f>
        <v>8.4255526720219631</v>
      </c>
    </row>
    <row r="151" spans="1:14" x14ac:dyDescent="0.2">
      <c r="A151" s="18" t="s">
        <v>9</v>
      </c>
      <c r="B151" s="229">
        <v>31113.226999999999</v>
      </c>
      <c r="C151" s="139">
        <v>41841.036</v>
      </c>
      <c r="D151" s="159">
        <f t="shared" si="47"/>
        <v>34.5</v>
      </c>
      <c r="E151" s="170">
        <f>IFERROR(100/'Skjema total MA'!C151*C151,0)</f>
        <v>5.0612006298484031</v>
      </c>
      <c r="F151" s="229"/>
      <c r="G151" s="139"/>
      <c r="H151" s="159"/>
      <c r="I151" s="170"/>
      <c r="J151" s="288">
        <f t="shared" si="48"/>
        <v>31113.226999999999</v>
      </c>
      <c r="K151" s="37">
        <f t="shared" si="48"/>
        <v>41841.036</v>
      </c>
      <c r="L151" s="256">
        <f t="shared" si="49"/>
        <v>34.5</v>
      </c>
      <c r="M151" s="170">
        <f>IFERROR(100/'Skjema total MA'!I151*K151,0)</f>
        <v>5.0612006298484031</v>
      </c>
    </row>
    <row r="152" spans="1:14" x14ac:dyDescent="0.2">
      <c r="A152" s="18" t="s">
        <v>10</v>
      </c>
      <c r="B152" s="229"/>
      <c r="C152" s="139"/>
      <c r="D152" s="159"/>
      <c r="E152" s="170"/>
      <c r="F152" s="229">
        <v>422586.89299999998</v>
      </c>
      <c r="G152" s="139">
        <v>554352.42099999997</v>
      </c>
      <c r="H152" s="159">
        <f t="shared" si="50"/>
        <v>31.2</v>
      </c>
      <c r="I152" s="170">
        <f>IFERROR(100/'Skjema total MA'!F152*G152,0)</f>
        <v>8.9367869019894215</v>
      </c>
      <c r="J152" s="288">
        <f t="shared" si="48"/>
        <v>422586.89299999998</v>
      </c>
      <c r="K152" s="37">
        <f t="shared" si="48"/>
        <v>554352.42099999997</v>
      </c>
      <c r="L152" s="256">
        <f t="shared" si="49"/>
        <v>31.2</v>
      </c>
      <c r="M152" s="170">
        <f>IFERROR(100/'Skjema total MA'!I152*K152,0)</f>
        <v>8.8706120396644437</v>
      </c>
    </row>
    <row r="153" spans="1:14" x14ac:dyDescent="0.2">
      <c r="A153" s="18" t="s">
        <v>34</v>
      </c>
      <c r="B153" s="229"/>
      <c r="C153" s="139"/>
      <c r="D153" s="159"/>
      <c r="E153" s="170"/>
      <c r="F153" s="229"/>
      <c r="G153" s="139"/>
      <c r="H153" s="159"/>
      <c r="I153" s="170"/>
      <c r="J153" s="288"/>
      <c r="K153" s="37"/>
      <c r="L153" s="256"/>
      <c r="M153" s="170"/>
    </row>
    <row r="154" spans="1:14" x14ac:dyDescent="0.2">
      <c r="A154" s="298" t="s">
        <v>14</v>
      </c>
      <c r="B154" s="282"/>
      <c r="C154" s="282"/>
      <c r="D154" s="159"/>
      <c r="E154" s="237"/>
      <c r="F154" s="282"/>
      <c r="G154" s="282"/>
      <c r="H154" s="159"/>
      <c r="I154" s="237"/>
      <c r="J154" s="291"/>
      <c r="K154" s="291"/>
      <c r="L154" s="159"/>
      <c r="M154" s="159"/>
    </row>
    <row r="155" spans="1:14" ht="15.75" x14ac:dyDescent="0.2">
      <c r="A155" s="18" t="s">
        <v>333</v>
      </c>
      <c r="B155" s="229"/>
      <c r="C155" s="229"/>
      <c r="D155" s="159"/>
      <c r="E155" s="170"/>
      <c r="F155" s="229"/>
      <c r="G155" s="229"/>
      <c r="H155" s="159"/>
      <c r="I155" s="170"/>
      <c r="J155" s="288"/>
      <c r="K155" s="37"/>
      <c r="L155" s="256"/>
      <c r="M155" s="170"/>
    </row>
    <row r="156" spans="1:14" ht="15.75" x14ac:dyDescent="0.2">
      <c r="A156" s="18" t="s">
        <v>334</v>
      </c>
      <c r="B156" s="229"/>
      <c r="C156" s="229"/>
      <c r="D156" s="159"/>
      <c r="E156" s="170"/>
      <c r="F156" s="229">
        <v>53900.491000000002</v>
      </c>
      <c r="G156" s="229">
        <v>82609.967000000004</v>
      </c>
      <c r="H156" s="159">
        <f t="shared" si="50"/>
        <v>53.3</v>
      </c>
      <c r="I156" s="170">
        <f>IFERROR(100/'Skjema total MA'!F156*G156,0)</f>
        <v>9.1167319067027517</v>
      </c>
      <c r="J156" s="288">
        <f t="shared" si="48"/>
        <v>53900.491000000002</v>
      </c>
      <c r="K156" s="37">
        <f t="shared" si="48"/>
        <v>82609.967000000004</v>
      </c>
      <c r="L156" s="256">
        <f t="shared" si="49"/>
        <v>53.3</v>
      </c>
      <c r="M156" s="170">
        <f>IFERROR(100/'Skjema total MA'!I156*K156,0)</f>
        <v>9.0798980538838912</v>
      </c>
    </row>
    <row r="157" spans="1:14" ht="15.75" x14ac:dyDescent="0.2">
      <c r="A157" s="9" t="s">
        <v>335</v>
      </c>
      <c r="B157" s="38"/>
      <c r="C157" s="38"/>
      <c r="D157" s="160"/>
      <c r="E157" s="201"/>
      <c r="F157" s="38"/>
      <c r="G157" s="38"/>
      <c r="H157" s="160"/>
      <c r="I157" s="160"/>
      <c r="J157" s="289"/>
      <c r="K157" s="38"/>
      <c r="L157" s="257"/>
      <c r="M157" s="160"/>
    </row>
    <row r="158" spans="1:14" x14ac:dyDescent="0.2">
      <c r="A158" s="148"/>
      <c r="L158" s="20"/>
      <c r="M158" s="20"/>
      <c r="N158" s="20"/>
    </row>
    <row r="159" spans="1:14" x14ac:dyDescent="0.2">
      <c r="L159" s="20"/>
      <c r="M159" s="20"/>
      <c r="N159" s="20"/>
    </row>
    <row r="160" spans="1:14" ht="15.75" x14ac:dyDescent="0.25">
      <c r="A160" s="158" t="s">
        <v>35</v>
      </c>
    </row>
    <row r="161" spans="1:14" ht="15.75" x14ac:dyDescent="0.25">
      <c r="B161" s="360"/>
      <c r="C161" s="360"/>
      <c r="D161" s="360"/>
      <c r="E161" s="361"/>
      <c r="F161" s="360"/>
      <c r="G161" s="360"/>
      <c r="H161" s="360"/>
      <c r="I161" s="361"/>
      <c r="J161" s="360"/>
      <c r="K161" s="360"/>
      <c r="L161" s="360"/>
      <c r="M161" s="361"/>
    </row>
    <row r="162" spans="1:14" s="3" customFormat="1" x14ac:dyDescent="0.2">
      <c r="A162" s="138"/>
      <c r="B162" s="357" t="s">
        <v>0</v>
      </c>
      <c r="C162" s="358"/>
      <c r="D162" s="358"/>
      <c r="E162" s="358"/>
      <c r="F162" s="357" t="s">
        <v>1</v>
      </c>
      <c r="G162" s="358"/>
      <c r="H162" s="358"/>
      <c r="I162" s="359"/>
      <c r="J162" s="357" t="s">
        <v>2</v>
      </c>
      <c r="K162" s="358"/>
      <c r="L162" s="358"/>
      <c r="M162" s="359"/>
      <c r="N162" s="142"/>
    </row>
    <row r="163" spans="1:14" s="3" customFormat="1" x14ac:dyDescent="0.2">
      <c r="A163" s="134"/>
      <c r="B163" s="145" t="s">
        <v>400</v>
      </c>
      <c r="C163" s="145" t="s">
        <v>401</v>
      </c>
      <c r="D163" s="242" t="s">
        <v>3</v>
      </c>
      <c r="E163" s="307" t="s">
        <v>37</v>
      </c>
      <c r="F163" s="145" t="s">
        <v>400</v>
      </c>
      <c r="G163" s="145" t="s">
        <v>401</v>
      </c>
      <c r="H163" s="242" t="s">
        <v>3</v>
      </c>
      <c r="I163" s="307" t="s">
        <v>37</v>
      </c>
      <c r="J163" s="145" t="s">
        <v>400</v>
      </c>
      <c r="K163" s="145" t="s">
        <v>401</v>
      </c>
      <c r="L163" s="242" t="s">
        <v>3</v>
      </c>
      <c r="M163" s="155" t="s">
        <v>37</v>
      </c>
      <c r="N163" s="142"/>
    </row>
    <row r="164" spans="1:14" s="3" customFormat="1" x14ac:dyDescent="0.2">
      <c r="A164" s="403"/>
      <c r="B164" s="149"/>
      <c r="C164" s="149"/>
      <c r="D164" s="243" t="s">
        <v>4</v>
      </c>
      <c r="E164" s="149" t="s">
        <v>38</v>
      </c>
      <c r="F164" s="154"/>
      <c r="G164" s="154"/>
      <c r="H164" s="242" t="s">
        <v>4</v>
      </c>
      <c r="I164" s="149" t="s">
        <v>38</v>
      </c>
      <c r="J164" s="154"/>
      <c r="K164" s="154"/>
      <c r="L164" s="242" t="s">
        <v>4</v>
      </c>
      <c r="M164" s="149" t="s">
        <v>38</v>
      </c>
      <c r="N164" s="142"/>
    </row>
    <row r="165" spans="1:14" s="3" customFormat="1" ht="15.75" x14ac:dyDescent="0.2">
      <c r="A165" s="12" t="s">
        <v>337</v>
      </c>
      <c r="B165" s="231"/>
      <c r="C165" s="311"/>
      <c r="D165" s="251"/>
      <c r="E165" s="170"/>
      <c r="F165" s="318"/>
      <c r="G165" s="319"/>
      <c r="H165" s="252"/>
      <c r="I165" s="159"/>
      <c r="J165" s="320"/>
      <c r="K165" s="320"/>
      <c r="L165" s="255"/>
      <c r="M165" s="170"/>
      <c r="N165" s="142"/>
    </row>
    <row r="166" spans="1:14" s="3" customFormat="1" ht="15.75" x14ac:dyDescent="0.2">
      <c r="A166" s="11" t="s">
        <v>338</v>
      </c>
      <c r="B166" s="231"/>
      <c r="C166" s="311"/>
      <c r="D166" s="159"/>
      <c r="E166" s="170"/>
      <c r="F166" s="231"/>
      <c r="G166" s="311"/>
      <c r="H166" s="236"/>
      <c r="I166" s="159"/>
      <c r="J166" s="310"/>
      <c r="K166" s="310"/>
      <c r="L166" s="256"/>
      <c r="M166" s="170"/>
      <c r="N166" s="142"/>
    </row>
    <row r="167" spans="1:14" s="3" customFormat="1" ht="15.75" x14ac:dyDescent="0.2">
      <c r="A167" s="11" t="s">
        <v>339</v>
      </c>
      <c r="B167" s="231"/>
      <c r="C167" s="311"/>
      <c r="D167" s="159"/>
      <c r="E167" s="170"/>
      <c r="F167" s="231"/>
      <c r="G167" s="311"/>
      <c r="H167" s="236"/>
      <c r="I167" s="159"/>
      <c r="J167" s="310"/>
      <c r="K167" s="310"/>
      <c r="L167" s="256"/>
      <c r="M167" s="170"/>
      <c r="N167" s="142"/>
    </row>
    <row r="168" spans="1:14" s="3" customFormat="1" ht="15.75" x14ac:dyDescent="0.2">
      <c r="A168" s="11" t="s">
        <v>340</v>
      </c>
      <c r="B168" s="231"/>
      <c r="C168" s="311"/>
      <c r="D168" s="159"/>
      <c r="E168" s="170"/>
      <c r="F168" s="231"/>
      <c r="G168" s="311"/>
      <c r="H168" s="236"/>
      <c r="I168" s="159"/>
      <c r="J168" s="310"/>
      <c r="K168" s="310"/>
      <c r="L168" s="256"/>
      <c r="M168" s="170"/>
      <c r="N168" s="142"/>
    </row>
    <row r="169" spans="1:14" s="3" customFormat="1" ht="15.75" x14ac:dyDescent="0.2">
      <c r="A169" s="34" t="s">
        <v>341</v>
      </c>
      <c r="B169" s="277"/>
      <c r="C169" s="317"/>
      <c r="D169" s="160"/>
      <c r="E169" s="201"/>
      <c r="F169" s="277"/>
      <c r="G169" s="317"/>
      <c r="H169" s="239"/>
      <c r="I169" s="160"/>
      <c r="J169" s="316"/>
      <c r="K169" s="316"/>
      <c r="L169" s="257"/>
      <c r="M169" s="160"/>
      <c r="N169" s="142"/>
    </row>
    <row r="170" spans="1:14" s="3" customFormat="1" x14ac:dyDescent="0.2">
      <c r="A170" s="161"/>
      <c r="B170" s="27"/>
      <c r="C170" s="27"/>
      <c r="D170" s="152"/>
      <c r="E170" s="152"/>
      <c r="F170" s="27"/>
      <c r="G170" s="27"/>
      <c r="H170" s="152"/>
      <c r="I170" s="152"/>
      <c r="J170" s="27"/>
      <c r="K170" s="27"/>
      <c r="L170" s="152"/>
      <c r="M170" s="152"/>
      <c r="N170" s="142"/>
    </row>
    <row r="171" spans="1:14" x14ac:dyDescent="0.2">
      <c r="A171" s="161"/>
      <c r="B171" s="27"/>
      <c r="C171" s="27"/>
      <c r="D171" s="152"/>
      <c r="E171" s="152"/>
      <c r="F171" s="27"/>
      <c r="G171" s="27"/>
      <c r="H171" s="152"/>
      <c r="I171" s="152"/>
      <c r="J171" s="27"/>
      <c r="K171" s="27"/>
      <c r="L171" s="152"/>
      <c r="M171" s="152"/>
      <c r="N171" s="142"/>
    </row>
    <row r="172" spans="1:14" x14ac:dyDescent="0.2">
      <c r="A172" s="161"/>
      <c r="B172" s="27"/>
      <c r="C172" s="27"/>
      <c r="D172" s="152"/>
      <c r="E172" s="152"/>
      <c r="F172" s="27"/>
      <c r="G172" s="27"/>
      <c r="H172" s="152"/>
      <c r="I172" s="152"/>
      <c r="J172" s="27"/>
      <c r="K172" s="27"/>
      <c r="L172" s="152"/>
      <c r="M172" s="152"/>
      <c r="N172" s="142"/>
    </row>
    <row r="173" spans="1:14" x14ac:dyDescent="0.2">
      <c r="A173" s="140"/>
      <c r="B173" s="140"/>
      <c r="C173" s="140"/>
      <c r="D173" s="140"/>
      <c r="E173" s="140"/>
      <c r="F173" s="140"/>
      <c r="G173" s="140"/>
      <c r="H173" s="140"/>
      <c r="I173" s="140"/>
      <c r="J173" s="140"/>
      <c r="K173" s="140"/>
      <c r="L173" s="140"/>
      <c r="M173" s="140"/>
      <c r="N173" s="140"/>
    </row>
    <row r="174" spans="1:14" ht="15.75" x14ac:dyDescent="0.25">
      <c r="B174" s="136"/>
      <c r="C174" s="136"/>
      <c r="D174" s="136"/>
      <c r="E174" s="136"/>
      <c r="F174" s="136"/>
      <c r="G174" s="136"/>
      <c r="H174" s="136"/>
      <c r="I174" s="136"/>
      <c r="J174" s="136"/>
      <c r="K174" s="136"/>
      <c r="L174" s="136"/>
      <c r="M174" s="136"/>
      <c r="N174" s="136"/>
    </row>
    <row r="175" spans="1:14" ht="15.75" x14ac:dyDescent="0.25">
      <c r="B175" s="150"/>
      <c r="C175" s="150"/>
      <c r="D175" s="150"/>
      <c r="E175" s="150"/>
      <c r="F175" s="150"/>
      <c r="G175" s="150"/>
      <c r="H175" s="150"/>
      <c r="I175" s="150"/>
      <c r="J175" s="150"/>
      <c r="K175" s="150"/>
      <c r="L175" s="150"/>
      <c r="M175" s="150"/>
      <c r="N175" s="150"/>
    </row>
    <row r="176" spans="1:14" ht="15.75" x14ac:dyDescent="0.25">
      <c r="B176" s="150"/>
      <c r="C176" s="150"/>
      <c r="D176" s="150"/>
      <c r="E176" s="150"/>
      <c r="F176" s="150"/>
      <c r="G176" s="150"/>
      <c r="H176" s="150"/>
      <c r="I176" s="150"/>
      <c r="J176" s="150"/>
      <c r="K176" s="150"/>
      <c r="L176" s="150"/>
      <c r="M176" s="150"/>
      <c r="N176" s="150"/>
    </row>
  </sheetData>
  <conditionalFormatting sqref="B57:C59">
    <cfRule type="expression" dxfId="2521" priority="132">
      <formula>kvartal &lt; 4</formula>
    </cfRule>
  </conditionalFormatting>
  <conditionalFormatting sqref="B63:C65">
    <cfRule type="expression" dxfId="2520" priority="131">
      <formula>kvartal &lt; 4</formula>
    </cfRule>
  </conditionalFormatting>
  <conditionalFormatting sqref="B37">
    <cfRule type="expression" dxfId="2519" priority="130">
      <formula>kvartal &lt; 4</formula>
    </cfRule>
  </conditionalFormatting>
  <conditionalFormatting sqref="B38">
    <cfRule type="expression" dxfId="2518" priority="129">
      <formula>kvartal &lt; 4</formula>
    </cfRule>
  </conditionalFormatting>
  <conditionalFormatting sqref="B39">
    <cfRule type="expression" dxfId="2517" priority="128">
      <formula>kvartal &lt; 4</formula>
    </cfRule>
  </conditionalFormatting>
  <conditionalFormatting sqref="A34">
    <cfRule type="expression" dxfId="2516" priority="1">
      <formula>kvartal &lt; 4</formula>
    </cfRule>
  </conditionalFormatting>
  <conditionalFormatting sqref="C37">
    <cfRule type="expression" dxfId="2515" priority="127">
      <formula>kvartal &lt; 4</formula>
    </cfRule>
  </conditionalFormatting>
  <conditionalFormatting sqref="C38">
    <cfRule type="expression" dxfId="2514" priority="126">
      <formula>kvartal &lt; 4</formula>
    </cfRule>
  </conditionalFormatting>
  <conditionalFormatting sqref="C39">
    <cfRule type="expression" dxfId="2513" priority="125">
      <formula>kvartal &lt; 4</formula>
    </cfRule>
  </conditionalFormatting>
  <conditionalFormatting sqref="B26:C28">
    <cfRule type="expression" dxfId="2512" priority="124">
      <formula>kvartal &lt; 4</formula>
    </cfRule>
  </conditionalFormatting>
  <conditionalFormatting sqref="B32:C33">
    <cfRule type="expression" dxfId="2511" priority="123">
      <formula>kvartal &lt; 4</formula>
    </cfRule>
  </conditionalFormatting>
  <conditionalFormatting sqref="B34">
    <cfRule type="expression" dxfId="2510" priority="122">
      <formula>kvartal &lt; 4</formula>
    </cfRule>
  </conditionalFormatting>
  <conditionalFormatting sqref="C34">
    <cfRule type="expression" dxfId="2509" priority="121">
      <formula>kvartal &lt; 4</formula>
    </cfRule>
  </conditionalFormatting>
  <conditionalFormatting sqref="F26:G28">
    <cfRule type="expression" dxfId="2508" priority="120">
      <formula>kvartal &lt; 4</formula>
    </cfRule>
  </conditionalFormatting>
  <conditionalFormatting sqref="F32">
    <cfRule type="expression" dxfId="2507" priority="119">
      <formula>kvartal &lt; 4</formula>
    </cfRule>
  </conditionalFormatting>
  <conditionalFormatting sqref="G32">
    <cfRule type="expression" dxfId="2506" priority="118">
      <formula>kvartal &lt; 4</formula>
    </cfRule>
  </conditionalFormatting>
  <conditionalFormatting sqref="F33">
    <cfRule type="expression" dxfId="2505" priority="117">
      <formula>kvartal &lt; 4</formula>
    </cfRule>
  </conditionalFormatting>
  <conditionalFormatting sqref="G33">
    <cfRule type="expression" dxfId="2504" priority="116">
      <formula>kvartal &lt; 4</formula>
    </cfRule>
  </conditionalFormatting>
  <conditionalFormatting sqref="F34">
    <cfRule type="expression" dxfId="2503" priority="115">
      <formula>kvartal &lt; 4</formula>
    </cfRule>
  </conditionalFormatting>
  <conditionalFormatting sqref="G34">
    <cfRule type="expression" dxfId="2502" priority="114">
      <formula>kvartal &lt; 4</formula>
    </cfRule>
  </conditionalFormatting>
  <conditionalFormatting sqref="F37">
    <cfRule type="expression" dxfId="2501" priority="113">
      <formula>kvartal &lt; 4</formula>
    </cfRule>
  </conditionalFormatting>
  <conditionalFormatting sqref="F38">
    <cfRule type="expression" dxfId="2500" priority="112">
      <formula>kvartal &lt; 4</formula>
    </cfRule>
  </conditionalFormatting>
  <conditionalFormatting sqref="F39">
    <cfRule type="expression" dxfId="2499" priority="111">
      <formula>kvartal &lt; 4</formula>
    </cfRule>
  </conditionalFormatting>
  <conditionalFormatting sqref="G37">
    <cfRule type="expression" dxfId="2498" priority="110">
      <formula>kvartal &lt; 4</formula>
    </cfRule>
  </conditionalFormatting>
  <conditionalFormatting sqref="G38">
    <cfRule type="expression" dxfId="2497" priority="109">
      <formula>kvartal &lt; 4</formula>
    </cfRule>
  </conditionalFormatting>
  <conditionalFormatting sqref="G39">
    <cfRule type="expression" dxfId="2496" priority="108">
      <formula>kvartal &lt; 4</formula>
    </cfRule>
  </conditionalFormatting>
  <conditionalFormatting sqref="B29">
    <cfRule type="expression" dxfId="2495" priority="107">
      <formula>kvartal &lt; 4</formula>
    </cfRule>
  </conditionalFormatting>
  <conditionalFormatting sqref="C29">
    <cfRule type="expression" dxfId="2494" priority="106">
      <formula>kvartal &lt; 4</formula>
    </cfRule>
  </conditionalFormatting>
  <conditionalFormatting sqref="F29">
    <cfRule type="expression" dxfId="2493" priority="105">
      <formula>kvartal &lt; 4</formula>
    </cfRule>
  </conditionalFormatting>
  <conditionalFormatting sqref="G29">
    <cfRule type="expression" dxfId="2492" priority="104">
      <formula>kvartal &lt; 4</formula>
    </cfRule>
  </conditionalFormatting>
  <conditionalFormatting sqref="J27:K27 J29:K29">
    <cfRule type="expression" dxfId="2491" priority="103">
      <formula>kvartal &lt; 4</formula>
    </cfRule>
  </conditionalFormatting>
  <conditionalFormatting sqref="J34:K34">
    <cfRule type="expression" dxfId="2490" priority="102">
      <formula>kvartal &lt; 4</formula>
    </cfRule>
  </conditionalFormatting>
  <conditionalFormatting sqref="B82">
    <cfRule type="expression" dxfId="2489" priority="100">
      <formula>kvartal &lt; 4</formula>
    </cfRule>
  </conditionalFormatting>
  <conditionalFormatting sqref="C82">
    <cfRule type="expression" dxfId="2488" priority="99">
      <formula>kvartal &lt; 4</formula>
    </cfRule>
  </conditionalFormatting>
  <conditionalFormatting sqref="B85">
    <cfRule type="expression" dxfId="2487" priority="98">
      <formula>kvartal &lt; 4</formula>
    </cfRule>
  </conditionalFormatting>
  <conditionalFormatting sqref="C85">
    <cfRule type="expression" dxfId="2486" priority="97">
      <formula>kvartal &lt; 4</formula>
    </cfRule>
  </conditionalFormatting>
  <conditionalFormatting sqref="B92">
    <cfRule type="expression" dxfId="2485" priority="96">
      <formula>kvartal &lt; 4</formula>
    </cfRule>
  </conditionalFormatting>
  <conditionalFormatting sqref="C92">
    <cfRule type="expression" dxfId="2484" priority="95">
      <formula>kvartal &lt; 4</formula>
    </cfRule>
  </conditionalFormatting>
  <conditionalFormatting sqref="B95">
    <cfRule type="expression" dxfId="2483" priority="94">
      <formula>kvartal &lt; 4</formula>
    </cfRule>
  </conditionalFormatting>
  <conditionalFormatting sqref="C95">
    <cfRule type="expression" dxfId="2482" priority="93">
      <formula>kvartal &lt; 4</formula>
    </cfRule>
  </conditionalFormatting>
  <conditionalFormatting sqref="B102">
    <cfRule type="expression" dxfId="2481" priority="92">
      <formula>kvartal &lt; 4</formula>
    </cfRule>
  </conditionalFormatting>
  <conditionalFormatting sqref="C102">
    <cfRule type="expression" dxfId="2480" priority="91">
      <formula>kvartal &lt; 4</formula>
    </cfRule>
  </conditionalFormatting>
  <conditionalFormatting sqref="B105">
    <cfRule type="expression" dxfId="2479" priority="90">
      <formula>kvartal &lt; 4</formula>
    </cfRule>
  </conditionalFormatting>
  <conditionalFormatting sqref="C105">
    <cfRule type="expression" dxfId="2478" priority="89">
      <formula>kvartal &lt; 4</formula>
    </cfRule>
  </conditionalFormatting>
  <conditionalFormatting sqref="B112">
    <cfRule type="expression" dxfId="2477" priority="88">
      <formula>kvartal &lt; 4</formula>
    </cfRule>
  </conditionalFormatting>
  <conditionalFormatting sqref="C112">
    <cfRule type="expression" dxfId="2476" priority="87">
      <formula>kvartal &lt; 4</formula>
    </cfRule>
  </conditionalFormatting>
  <conditionalFormatting sqref="B115">
    <cfRule type="expression" dxfId="2475" priority="86">
      <formula>kvartal &lt; 4</formula>
    </cfRule>
  </conditionalFormatting>
  <conditionalFormatting sqref="C115">
    <cfRule type="expression" dxfId="2474" priority="85">
      <formula>kvartal &lt; 4</formula>
    </cfRule>
  </conditionalFormatting>
  <conditionalFormatting sqref="B122">
    <cfRule type="expression" dxfId="2473" priority="84">
      <formula>kvartal &lt; 4</formula>
    </cfRule>
  </conditionalFormatting>
  <conditionalFormatting sqref="C122">
    <cfRule type="expression" dxfId="2472" priority="83">
      <formula>kvartal &lt; 4</formula>
    </cfRule>
  </conditionalFormatting>
  <conditionalFormatting sqref="B125">
    <cfRule type="expression" dxfId="2471" priority="82">
      <formula>kvartal &lt; 4</formula>
    </cfRule>
  </conditionalFormatting>
  <conditionalFormatting sqref="C125">
    <cfRule type="expression" dxfId="2470" priority="81">
      <formula>kvartal &lt; 4</formula>
    </cfRule>
  </conditionalFormatting>
  <conditionalFormatting sqref="B132">
    <cfRule type="expression" dxfId="2469" priority="80">
      <formula>kvartal &lt; 4</formula>
    </cfRule>
  </conditionalFormatting>
  <conditionalFormatting sqref="C132">
    <cfRule type="expression" dxfId="2468" priority="79">
      <formula>kvartal &lt; 4</formula>
    </cfRule>
  </conditionalFormatting>
  <conditionalFormatting sqref="B135">
    <cfRule type="expression" dxfId="2467" priority="78">
      <formula>kvartal &lt; 4</formula>
    </cfRule>
  </conditionalFormatting>
  <conditionalFormatting sqref="C135">
    <cfRule type="expression" dxfId="2466" priority="77">
      <formula>kvartal &lt; 4</formula>
    </cfRule>
  </conditionalFormatting>
  <conditionalFormatting sqref="B146">
    <cfRule type="expression" dxfId="2465" priority="76">
      <formula>kvartal &lt; 4</formula>
    </cfRule>
  </conditionalFormatting>
  <conditionalFormatting sqref="C146">
    <cfRule type="expression" dxfId="2464" priority="75">
      <formula>kvartal &lt; 4</formula>
    </cfRule>
  </conditionalFormatting>
  <conditionalFormatting sqref="B154">
    <cfRule type="expression" dxfId="2463" priority="74">
      <formula>kvartal &lt; 4</formula>
    </cfRule>
  </conditionalFormatting>
  <conditionalFormatting sqref="C154">
    <cfRule type="expression" dxfId="2462" priority="73">
      <formula>kvartal &lt; 4</formula>
    </cfRule>
  </conditionalFormatting>
  <conditionalFormatting sqref="F83">
    <cfRule type="expression" dxfId="2461" priority="72">
      <formula>kvartal &lt; 4</formula>
    </cfRule>
  </conditionalFormatting>
  <conditionalFormatting sqref="G83">
    <cfRule type="expression" dxfId="2460" priority="71">
      <formula>kvartal &lt; 4</formula>
    </cfRule>
  </conditionalFormatting>
  <conditionalFormatting sqref="F84:G84">
    <cfRule type="expression" dxfId="2459" priority="70">
      <formula>kvartal &lt; 4</formula>
    </cfRule>
  </conditionalFormatting>
  <conditionalFormatting sqref="F86:G87">
    <cfRule type="expression" dxfId="2458" priority="69">
      <formula>kvartal &lt; 4</formula>
    </cfRule>
  </conditionalFormatting>
  <conditionalFormatting sqref="F93:G94">
    <cfRule type="expression" dxfId="2457" priority="68">
      <formula>kvartal &lt; 4</formula>
    </cfRule>
  </conditionalFormatting>
  <conditionalFormatting sqref="F96:G97">
    <cfRule type="expression" dxfId="2456" priority="67">
      <formula>kvartal &lt; 4</formula>
    </cfRule>
  </conditionalFormatting>
  <conditionalFormatting sqref="F103:G104">
    <cfRule type="expression" dxfId="2455" priority="66">
      <formula>kvartal &lt; 4</formula>
    </cfRule>
  </conditionalFormatting>
  <conditionalFormatting sqref="F106:G107">
    <cfRule type="expression" dxfId="2454" priority="65">
      <formula>kvartal &lt; 4</formula>
    </cfRule>
  </conditionalFormatting>
  <conditionalFormatting sqref="F113:G114">
    <cfRule type="expression" dxfId="2453" priority="64">
      <formula>kvartal &lt; 4</formula>
    </cfRule>
  </conditionalFormatting>
  <conditionalFormatting sqref="F116:G117">
    <cfRule type="expression" dxfId="2452" priority="63">
      <formula>kvartal &lt; 4</formula>
    </cfRule>
  </conditionalFormatting>
  <conditionalFormatting sqref="F123:G124">
    <cfRule type="expression" dxfId="2451" priority="62">
      <formula>kvartal &lt; 4</formula>
    </cfRule>
  </conditionalFormatting>
  <conditionalFormatting sqref="F126:G127">
    <cfRule type="expression" dxfId="2450" priority="61">
      <formula>kvartal &lt; 4</formula>
    </cfRule>
  </conditionalFormatting>
  <conditionalFormatting sqref="F133:G134">
    <cfRule type="expression" dxfId="2449" priority="60">
      <formula>kvartal &lt; 4</formula>
    </cfRule>
  </conditionalFormatting>
  <conditionalFormatting sqref="F136:G137">
    <cfRule type="expression" dxfId="2448" priority="59">
      <formula>kvartal &lt; 4</formula>
    </cfRule>
  </conditionalFormatting>
  <conditionalFormatting sqref="F146">
    <cfRule type="expression" dxfId="2447" priority="58">
      <formula>kvartal &lt; 4</formula>
    </cfRule>
  </conditionalFormatting>
  <conditionalFormatting sqref="G146">
    <cfRule type="expression" dxfId="2446" priority="57">
      <formula>kvartal &lt; 4</formula>
    </cfRule>
  </conditionalFormatting>
  <conditionalFormatting sqref="F154:G154">
    <cfRule type="expression" dxfId="2445" priority="56">
      <formula>kvartal &lt; 4</formula>
    </cfRule>
  </conditionalFormatting>
  <conditionalFormatting sqref="F82:G82">
    <cfRule type="expression" dxfId="2444" priority="55">
      <formula>kvartal &lt; 4</formula>
    </cfRule>
  </conditionalFormatting>
  <conditionalFormatting sqref="F85:G85">
    <cfRule type="expression" dxfId="2443" priority="54">
      <formula>kvartal &lt; 4</formula>
    </cfRule>
  </conditionalFormatting>
  <conditionalFormatting sqref="F92:G92">
    <cfRule type="expression" dxfId="2442" priority="53">
      <formula>kvartal &lt; 4</formula>
    </cfRule>
  </conditionalFormatting>
  <conditionalFormatting sqref="F95:G95">
    <cfRule type="expression" dxfId="2441" priority="52">
      <formula>kvartal &lt; 4</formula>
    </cfRule>
  </conditionalFormatting>
  <conditionalFormatting sqref="F102:G102">
    <cfRule type="expression" dxfId="2440" priority="51">
      <formula>kvartal &lt; 4</formula>
    </cfRule>
  </conditionalFormatting>
  <conditionalFormatting sqref="F105:G105">
    <cfRule type="expression" dxfId="2439" priority="50">
      <formula>kvartal &lt; 4</formula>
    </cfRule>
  </conditionalFormatting>
  <conditionalFormatting sqref="F112:G112">
    <cfRule type="expression" dxfId="2438" priority="49">
      <formula>kvartal &lt; 4</formula>
    </cfRule>
  </conditionalFormatting>
  <conditionalFormatting sqref="F115">
    <cfRule type="expression" dxfId="2437" priority="48">
      <formula>kvartal &lt; 4</formula>
    </cfRule>
  </conditionalFormatting>
  <conditionalFormatting sqref="G115">
    <cfRule type="expression" dxfId="2436" priority="47">
      <formula>kvartal &lt; 4</formula>
    </cfRule>
  </conditionalFormatting>
  <conditionalFormatting sqref="F122:G122">
    <cfRule type="expression" dxfId="2435" priority="46">
      <formula>kvartal &lt; 4</formula>
    </cfRule>
  </conditionalFormatting>
  <conditionalFormatting sqref="F125">
    <cfRule type="expression" dxfId="2434" priority="45">
      <formula>kvartal &lt; 4</formula>
    </cfRule>
  </conditionalFormatting>
  <conditionalFormatting sqref="G125">
    <cfRule type="expression" dxfId="2433" priority="44">
      <formula>kvartal &lt; 4</formula>
    </cfRule>
  </conditionalFormatting>
  <conditionalFormatting sqref="F132">
    <cfRule type="expression" dxfId="2432" priority="43">
      <formula>kvartal &lt; 4</formula>
    </cfRule>
  </conditionalFormatting>
  <conditionalFormatting sqref="G132">
    <cfRule type="expression" dxfId="2431" priority="42">
      <formula>kvartal &lt; 4</formula>
    </cfRule>
  </conditionalFormatting>
  <conditionalFormatting sqref="G135">
    <cfRule type="expression" dxfId="2430" priority="41">
      <formula>kvartal &lt; 4</formula>
    </cfRule>
  </conditionalFormatting>
  <conditionalFormatting sqref="F135">
    <cfRule type="expression" dxfId="2429" priority="40">
      <formula>kvartal &lt; 4</formula>
    </cfRule>
  </conditionalFormatting>
  <conditionalFormatting sqref="J82:K84 J86:K86">
    <cfRule type="expression" dxfId="2428" priority="39">
      <formula>kvartal &lt; 4</formula>
    </cfRule>
  </conditionalFormatting>
  <conditionalFormatting sqref="J92:K94 J96:K96">
    <cfRule type="expression" dxfId="2427" priority="37">
      <formula>kvartal &lt; 4</formula>
    </cfRule>
  </conditionalFormatting>
  <conditionalFormatting sqref="J102:K104 J106:K106">
    <cfRule type="expression" dxfId="2426" priority="36">
      <formula>kvartal &lt; 4</formula>
    </cfRule>
  </conditionalFormatting>
  <conditionalFormatting sqref="J112:K114 J116:K116">
    <cfRule type="expression" dxfId="2425" priority="35">
      <formula>kvartal &lt; 4</formula>
    </cfRule>
  </conditionalFormatting>
  <conditionalFormatting sqref="J122:K124 J126:K126">
    <cfRule type="expression" dxfId="2424" priority="34">
      <formula>kvartal &lt; 4</formula>
    </cfRule>
  </conditionalFormatting>
  <conditionalFormatting sqref="J132:K134 J136:K136">
    <cfRule type="expression" dxfId="2423" priority="33">
      <formula>kvartal &lt; 4</formula>
    </cfRule>
  </conditionalFormatting>
  <conditionalFormatting sqref="J146:K146">
    <cfRule type="expression" dxfId="2422" priority="32">
      <formula>kvartal &lt; 4</formula>
    </cfRule>
  </conditionalFormatting>
  <conditionalFormatting sqref="J154:K154">
    <cfRule type="expression" dxfId="2421" priority="31">
      <formula>kvartal &lt; 4</formula>
    </cfRule>
  </conditionalFormatting>
  <conditionalFormatting sqref="A26:A28">
    <cfRule type="expression" dxfId="2420" priority="15">
      <formula>kvartal &lt; 4</formula>
    </cfRule>
  </conditionalFormatting>
  <conditionalFormatting sqref="A32:A33">
    <cfRule type="expression" dxfId="2419" priority="14">
      <formula>kvartal &lt; 4</formula>
    </cfRule>
  </conditionalFormatting>
  <conditionalFormatting sqref="A37:A39">
    <cfRule type="expression" dxfId="2418" priority="13">
      <formula>kvartal &lt; 4</formula>
    </cfRule>
  </conditionalFormatting>
  <conditionalFormatting sqref="A57:A59">
    <cfRule type="expression" dxfId="2417" priority="12">
      <formula>kvartal &lt; 4</formula>
    </cfRule>
  </conditionalFormatting>
  <conditionalFormatting sqref="A63:A65">
    <cfRule type="expression" dxfId="2416" priority="11">
      <formula>kvartal &lt; 4</formula>
    </cfRule>
  </conditionalFormatting>
  <conditionalFormatting sqref="A82:A87">
    <cfRule type="expression" dxfId="2415" priority="10">
      <formula>kvartal &lt; 4</formula>
    </cfRule>
  </conditionalFormatting>
  <conditionalFormatting sqref="A92:A97">
    <cfRule type="expression" dxfId="2414" priority="9">
      <formula>kvartal &lt; 4</formula>
    </cfRule>
  </conditionalFormatting>
  <conditionalFormatting sqref="A102:A107">
    <cfRule type="expression" dxfId="2413" priority="8">
      <formula>kvartal &lt; 4</formula>
    </cfRule>
  </conditionalFormatting>
  <conditionalFormatting sqref="A112:A117">
    <cfRule type="expression" dxfId="2412" priority="7">
      <formula>kvartal &lt; 4</formula>
    </cfRule>
  </conditionalFormatting>
  <conditionalFormatting sqref="A122:A127">
    <cfRule type="expression" dxfId="2411" priority="6">
      <formula>kvartal &lt; 4</formula>
    </cfRule>
  </conditionalFormatting>
  <conditionalFormatting sqref="A132:A137">
    <cfRule type="expression" dxfId="2410" priority="5">
      <formula>kvartal &lt; 4</formula>
    </cfRule>
  </conditionalFormatting>
  <conditionalFormatting sqref="A146">
    <cfRule type="expression" dxfId="2409" priority="4">
      <formula>kvartal &lt; 4</formula>
    </cfRule>
  </conditionalFormatting>
  <conditionalFormatting sqref="A154">
    <cfRule type="expression" dxfId="2408" priority="3">
      <formula>kvartal &lt; 4</formula>
    </cfRule>
  </conditionalFormatting>
  <conditionalFormatting sqref="A29">
    <cfRule type="expression" dxfId="2407" priority="2">
      <formula>kvartal &lt; 4</formula>
    </cfRule>
  </conditionalFormatting>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s q m i d = " 8 f 6 9 7 3 f 7 - 0 8 c 0 - 4 5 7 9 - b f 5 c - 6 c 7 f a d 0 9 0 d 4 1 "   x m l n s = " h t t p : / / s c h e m a s . m i c r o s o f t . c o m / D a t a M a s h u p " > A A A A A P k D A A B Q S w M E F A A C A A g A N X 1 2 S t z 3 K b 2 n A A A A + A A A A B I A H A B D b 2 5 m a W c v U G F j a 2 F n Z S 5 4 b W w g o h g A K K A U A A A A A A A A A A A A A A A A A A A A A A A A A A A A h Y 8 x D o I w G I W v Q r r T U m B A 8 l M G V 1 E T E + N a S 4 V G K I Y W y 9 0 c P J J X k E R R N 8 f 3 8 r 3 k e 4 / b H f K x b b y r 7 I 3 q d I Y o D p A n t e h K p a s M D f b k J y h n s O X i z C v p T b A 2 6 W h U h m p r L y k h z j n s I t z 1 F Q m D g J J D s d q J W r b c V 9 p Y r o V E n 1 X 5 f 4 U Y 7 F 8 y L M R R g u N 4 Q T F N K J C 5 h k L p L x J O x j g A 8 l P C c m j s 0 E u m j / 5 6 A 2 S O Q N 4 v 2 B N Q S w M E F A A C A A g A N X 1 2 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V 9 d k p 3 i M u 3 8 A A A A F U B A A A T A B w A R m 9 y b X V s Y X M v U 2 V j d G l v b j E u b S C i G A A o o B Q A A A A A A A A A A A A A A A A A A A A A A A A A A A B 9 j 8 F q w k A Q h s 8 u + A 7 D H i S B E P Q c A o U 0 J 0 E U p S 0 s S 9 i Y g a b Z Z H V 2 E y z i s Y / S J / H F u q n S 0 k v n M g P z f / 8 / Y 3 H v a t P B 9 t Y X y Z R N m X 1 V h B U 8 K q c g B Y 2 O g a + 1 I t W i Q 3 p C q m q / y E 9 7 1 H H W E 2 H n n g 0 1 p T F N E J 7 F y u t S / q N H L i 8 i M 5 3 z M h n B t 9 m y 1 h V 6 j + 1 R x 2 N O q S w G 3 N J g j 3 q + 4 B F w X Q 9 F q / w k N j 3 S e 8 r z l z w D U Z V G x u J Q 4 B h e H A i t d 1 X 2 z X S S T S Y P 1 0 / y r h x m s O r b E i n e m R 2 e X P D 3 e H H 9 I H m e X 0 K Y 8 W j E m k G R U / q O / s 8 u b 9 o 7 D z z h M m R 1 9 / t W 8 g V Q S w E C L Q A U A A I A C A A 1 f X Z K 3 P c p v a c A A A D 4 A A A A E g A A A A A A A A A A A A A A A A A A A A A A Q 2 9 u Z m l n L 1 B h Y 2 t h Z 2 U u e G 1 s U E s B A i 0 A F A A C A A g A N X 1 2 S g / K 6 a u k A A A A 6 Q A A A B M A A A A A A A A A A A A A A A A A 8 w A A A F t D b 2 5 0 Z W 5 0 X 1 R 5 c G V z X S 5 4 b W x Q S w E C L Q A U A A I A C A A 1 f X Z K d 4 j L t / A A A A B V A Q A A E w A A A A A A A A A A A A A A A A D k A Q A A R m 9 y b X V s Y X M v U 2 V j d G l v b j E u b V B L B Q Y A A A A A A w A D A M I A A A A h A w A A A A A 9 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P l B 1 Y m x p Y z w v V 2 9 y a 2 J v b 2 t H c m 9 1 c F R 5 c G U + P C 9 Q Z X J t a X N z a W 9 u T G l z d D 5 V C w A A A A A A A D M L 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E Y X R h P C 9 J d G V t U G F 0 a D 4 8 L 0 l 0 Z W 1 M b 2 N h d G l v b j 4 8 U 3 R h Y m x l R W 5 0 c m l l c z 4 8 R W 5 0 c n k g V H l w Z T 0 i S X N Q c m l 2 Y X R l I i B W Y W x 1 Z T 0 i b D A i I C 8 + P E V u d H J 5 I F R 5 c G U 9 I k 5 h b W V V c G R h d G V k Q W Z 0 Z X J G a W x s I i B W Y W x 1 Z T 0 i b D A i I C 8 + P E V u d H J 5 I F R 5 c G U 9 I k Z p b G x F b m F i b G V k I i B W Y W x 1 Z T 0 i b D A i I C 8 + P E V u d H J 5 I F R 5 c G U 9 I k Z p b G x U b 0 R h d G F N b 2 R l b E V u Y W J s Z W Q i I F Z h b H V l P S J s M C I g L z 4 8 R W 5 0 c n k g V H l w Z T 0 i Q n V m Z m V y T m V 4 d F J l Z n J l c 2 g i I F Z h b H V l P S J s M S I g L z 4 8 R W 5 0 c n k g V H l w Z T 0 i U m V z d W x 0 V H l w Z S I g V m F s d W U 9 I n N U Y W J s Z S I g L z 4 8 R W 5 0 c n k g V H l w Z T 0 i R m l s b F N 0 Y X R 1 c y I g V m F s d W U 9 I n N D b 2 1 w b G V 0 Z S I g L z 4 8 R W 5 0 c n k g V H l w Z T 0 i R m l s b E x h c 3 R V c G R h d G V k I i B W Y W x 1 Z T 0 i Z D I w M T c t M D M t M j J U M D k 6 M z Y 6 M T Q u O T k 5 M D c y N l o i I C 8 + P E V u d H J 5 I F R 5 c G U 9 I k Z p b G x l Z E N v b X B s Z X R l U m V z d W x 0 V G 9 X b 3 J r c 2 h l Z X Q i I F Z h b H V l P S J s M S I g L z 4 8 R W 5 0 c n k g V H l w Z T 0 i Q W R k Z W R U b 0 R h d G F N b 2 R l b C I g V m F s d W U 9 I m w w I i A v P j x F b n R y e S B U e X B l P S J S Z W N v d m V y e V R h c m d l d F N o Z W V 0 I i B W Y W x 1 Z T 0 i c 0 F y a z I i I C 8 + P E V u d H J 5 I F R 5 c G U 9 I l J l Y 2 9 2 Z X J 5 V G F y Z 2 V 0 Q 2 9 s d W 1 u I i B W Y W x 1 Z T 0 i b D E i I C 8 + P E V u d H J 5 I F R 5 c G U 9 I l J l Y 2 9 2 Z X J 5 V G F y Z 2 V 0 U m 9 3 I i B W Y W x 1 Z T 0 i b D E i I C 8 + P E V u d H J 5 I F R 5 c G U 9 I l F 1 Z X J 5 S U Q i I F Z h b H V l P S J z N G U 4 M 2 F k Z D k t Z W N j Y i 0 0 Z W Y 2 L T l j Z j g t N m I y O T h k Z j A 0 N G M 5 I i A v P j x F b n R y e S B U e X B l P S J G a W x s R X J y b 3 J D b 2 R l I i B W Y W x 1 Z T 0 i c 1 V u a 2 5 v d 2 4 i I C 8 + P E V u d H J 5 I F R 5 c G U 9 I k Z p b G x D b 2 x 1 b W 5 U e X B l c y I g V m F s d W U 9 I n N C Z 0 l D Q W d J Q 0 F n V T 0 i I C 8 + P E V u d H J 5 I F R 5 c G U 9 I k Z p b G x D b 3 V u d C I g V m F s d W U 9 I m w 5 M z M 4 I i A v P j x F b n R y e S B U e X B l P S J G a W x s Q 2 9 s d W 1 u T m F t Z X M i I F Z h b H V l P S J z W y Z x d W 9 0 O 3 P D u G t l b s O 4 a 2 t l b C Z x d W 9 0 O y w m c X V v d D t z Z W x z a 2 F w X 2 l k J n F 1 b 3 Q 7 L C Z x d W 9 0 O 8 O l c i Z x d W 9 0 O y w m c X V v d D t r d m F y d G F s J n F 1 b 3 Q 7 L C Z x d W 9 0 O 3 R h Y m V s b F 9 p Z C Z x d W 9 0 O y w m c X V v d D t y Y W R f a W Q m c X V v d D s s J n F 1 b 3 Q 7 a 2 F 0 Z W d v c m l f a W Q m c X V v d D s s J n F 1 b 3 Q 7 d m V y Z G k m c X V v d D t d I i A v P j x F b n R y e S B U e X B l P S J G a W x s R X J y b 3 J D b 3 V u d C I g V m F s d W U 9 I m w w I i A v P j x F b n R y e S B U e X B l P S J S Z W x h d G l v b n N o a X B J b m Z v Q 2 9 u d G F p b m V y I i B W Y W x 1 Z T 0 i c 3 s m c X V v d D t j b 2 x 1 b W 5 D b 3 V u d C Z x d W 9 0 O z o 4 L C Z x d W 9 0 O 2 t l e U N v b H V t b k 5 h b W V z J n F 1 b 3 Q 7 O l t d L C Z x d W 9 0 O 3 F 1 Z X J 5 U m V s Y X R p b 2 5 z a G l w c y Z x d W 9 0 O z p b X S w m c X V v d D t j b 2 x 1 b W 5 J Z G V u d G l 0 a W V z J n F 1 b 3 Q 7 O l s m c X V v d D t T Z W N 0 a W 9 u M S 9 E Y X R h L 0 t p b G R l L n t z w 7 h r Z W 7 D u G t r Z W w s M H 0 m c X V v d D s s J n F 1 b 3 Q 7 U 2 V j d G l v b j E v R G F 0 Y S 9 L a W x k Z S 5 7 c 2 V s c 2 t h c F 9 p Z C w x f S Z x d W 9 0 O y w m c X V v d D t T Z W N 0 a W 9 u M S 9 E Y X R h L 0 t p b G R l L n v D p X I s M n 0 m c X V v d D s s J n F 1 b 3 Q 7 U 2 V j d G l v b j E v R G F 0 Y S 9 L a W x k Z S 5 7 a 3 Z h c n R h b C w z f S Z x d W 9 0 O y w m c X V v d D t T Z W N 0 a W 9 u M S 9 E Y X R h L 0 t p b G R l L n t 0 Y W J l b G x f a W Q s N H 0 m c X V v d D s s J n F 1 b 3 Q 7 U 2 V j d G l v b j E v R G F 0 Y S 9 L a W x k Z S 5 7 c m F k X 2 l k L D V 9 J n F 1 b 3 Q 7 L C Z x d W 9 0 O 1 N l Y 3 R p b 2 4 x L 0 R h d G E v S 2 l s Z G U u e 2 t h d G V n b 3 J p X 2 l k L D Z 9 J n F 1 b 3 Q 7 L C Z x d W 9 0 O 1 N l Y 3 R p b 2 4 x L 0 R h d G E v S 2 l s Z G U u e 3 Z l c m R p L D d 9 J n F 1 b 3 Q 7 X S w m c X V v d D t D b 2 x 1 b W 5 D b 3 V u d C Z x d W 9 0 O z o 4 L C Z x d W 9 0 O 0 t l e U N v b H V t b k 5 h b W V z J n F 1 b 3 Q 7 O l t d L C Z x d W 9 0 O 0 N v b H V t b k l k Z W 5 0 a X R p Z X M m c X V v d D s 6 W y Z x d W 9 0 O 1 N l Y 3 R p b 2 4 x L 0 R h d G E v S 2 l s Z G U u e 3 P D u G t l b s O 4 a 2 t l b C w w f S Z x d W 9 0 O y w m c X V v d D t T Z W N 0 a W 9 u M S 9 E Y X R h L 0 t p b G R l L n t z Z W x z a 2 F w X 2 l k L D F 9 J n F 1 b 3 Q 7 L C Z x d W 9 0 O 1 N l Y 3 R p b 2 4 x L 0 R h d G E v S 2 l s Z G U u e 8 O l c i w y f S Z x d W 9 0 O y w m c X V v d D t T Z W N 0 a W 9 u M S 9 E Y X R h L 0 t p b G R l L n t r d m F y d G F s L D N 9 J n F 1 b 3 Q 7 L C Z x d W 9 0 O 1 N l Y 3 R p b 2 4 x L 0 R h d G E v S 2 l s Z G U u e 3 R h Y m V s b F 9 p Z C w 0 f S Z x d W 9 0 O y w m c X V v d D t T Z W N 0 a W 9 u M S 9 E Y X R h L 0 t p b G R l L n t y Y W R f a W Q s N X 0 m c X V v d D s s J n F 1 b 3 Q 7 U 2 V j d G l v b j E v R G F 0 Y S 9 L a W x k Z S 5 7 a 2 F 0 Z W d v c m l f a W Q s N n 0 m c X V v d D s s J n F 1 b 3 Q 7 U 2 V j d G l v b j E v R G F 0 Y S 9 L a W x k Z S 5 7 d m V y Z G k s N 3 0 m c X V v d D t d L C Z x d W 9 0 O 1 J l b G F 0 a W 9 u c 2 h p c E l u Z m 8 m c X V v d D s 6 W 1 1 9 I i A v P j w v U 3 R h Y m x l R W 5 0 c m l l c z 4 8 L 0 l 0 Z W 0 + P E l 0 Z W 0 + P E l 0 Z W 1 M b 2 N h d G l v b j 4 8 S X R l b V R 5 c G U + R m 9 y b X V s Y T w v S X R l b V R 5 c G U + P E l 0 Z W 1 Q Y X R o P l N l Y 3 R p b 2 4 x L 0 R h d G E v S 2 l s Z G U 8 L 0 l 0 Z W 1 Q Y X R o P j w v S X R l b U x v Y 2 F 0 a W 9 u P j x T d G F i b G V F b n R y a W V z I C 8 + P C 9 J d G V t P j x J d G V t P j x J d G V t T G 9 j Y X R p b 2 4 + P E l 0 Z W 1 U e X B l P k Z v c m 1 1 b G E 8 L 0 l 0 Z W 1 U e X B l P j x J d G V t U G F 0 a D 5 T Z W N 0 a W 9 u M S 9 E Y X R h L 1 B h c m F t Z X R l c l Z l c m R p P C 9 J d G V t U G F 0 a D 4 8 L 0 l 0 Z W 1 M b 2 N h d G l v b j 4 8 U 3 R h Y m x l R W 5 0 c m l l c y A v P j w v S X R l b T 4 8 L 0 l 0 Z W 1 z P j w v T G 9 j Y W x Q Y W N r Y W d l T W V 0 Y W R h d G F G a W x l P h Y A A A B Q S w U G A A A A A A A A A A A A A A A A A A A A A A A A 2 g A A A A E A A A D Q j J 3 f A R X R E Y x 6 A M B P w p f r A Q A A A N h r R 6 N J N l l N g 4 a f f M k H b a Q A A A A A A g A A A A A A A 2 Y A A M A A A A A Q A A A A y I X G O o 3 V Z g D e h E Q F f n Y e L w A A A A A E g A A A o A A A A B A A A A D z B / M B 2 C L R k u 8 + X 2 K g y / L Y U A A A A K U R G 3 9 s Y V U 8 R P F J D E r N g a + r 9 N A C Y G 9 6 x U f k y U V C p 1 k 1 1 G l H J 1 e E A N S F H 4 G 0 8 2 q N b N g R 6 q E n f D 8 T B n C v P 3 a l i E 6 A P n 7 F Q t o x e h f Q 6 M X 4 S T x l F A A A A H Q F f 9 w S g P + O w f c c k 0 P C v F O o s c Q z < / D a t a M a s h u p > 
</file>

<file path=customXml/item2.xml><?xml version="1.0" encoding="utf-8"?>
<ct:contentTypeSchema xmlns:ct="http://schemas.microsoft.com/office/2006/metadata/contentType" xmlns:ma="http://schemas.microsoft.com/office/2006/metadata/properties/metaAttributes" ct:_="" ma:_="" ma:contentTypeName="Statistikk" ma:contentTypeID="0x0101000C511E5DF31BAD48807550FE88829D9D0038FF55C83469DE4F9B7DCA1B89E318DA" ma:contentTypeVersion="4" ma:contentTypeDescription="" ma:contentTypeScope="" ma:versionID="ca25aed54c960d52022b61f452b943cb">
  <xsd:schema xmlns:xsd="http://www.w3.org/2001/XMLSchema" xmlns:xs="http://www.w3.org/2001/XMLSchema" xmlns:p="http://schemas.microsoft.com/office/2006/metadata/properties" xmlns:ns2="6edf9311-6556-4af2-85ff-d57844cfe120" xmlns:ns3="d35b3e2b-d440-44dd-b9dd-e54a3943adc2" targetNamespace="http://schemas.microsoft.com/office/2006/metadata/properties" ma:root="true" ma:fieldsID="6aaeb2f404abc7033daa625e0dd95337" ns2:_="" ns3:_="">
    <xsd:import namespace="6edf9311-6556-4af2-85ff-d57844cfe120"/>
    <xsd:import namespace="d35b3e2b-d440-44dd-b9dd-e54a3943adc2"/>
    <xsd:element name="properties">
      <xsd:complexType>
        <xsd:sequence>
          <xsd:element name="documentManagement">
            <xsd:complexType>
              <xsd:all>
                <xsd:element ref="ns2:a0e180d50ff4423da66c611fe0af74a4" minOccurs="0"/>
                <xsd:element ref="ns2:TaxCatchAll"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9311-6556-4af2-85ff-d57844cfe120" elementFormDefault="qualified">
    <xsd:import namespace="http://schemas.microsoft.com/office/2006/documentManagement/types"/>
    <xsd:import namespace="http://schemas.microsoft.com/office/infopath/2007/PartnerControls"/>
    <xsd:element name="a0e180d50ff4423da66c611fe0af74a4" ma:index="8" ma:taxonomy="true" ma:internalName="a0e180d50ff4423da66c611fe0af74a4" ma:taxonomyFieldName="Statistikk" ma:displayName="Statistikk" ma:indexed="true" ma:default="" ma:fieldId="{a0e180d5-0ff4-423d-a66c-611fe0af74a4}" ma:sspId="dab2b8ef-c951-45bf-a0d0-9b3f2fbb5ccb" ma:termSetId="11bf6401-ff6f-43ab-90c7-9959af6e779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0ebe59-b68a-4ac7-afab-48fa3cf54c5c}" ma:internalName="TaxCatchAll" ma:showField="CatchAllData"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0ebe59-b68a-4ac7-afab-48fa3cf54c5c}" ma:internalName="TaxCatchAllLabel" ma:readOnly="true" ma:showField="CatchAllDataLabel"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kument-ID-verdi" ma:description="Verdien for dokument-IDen som er tilordnet elementet." ma:internalName="_dlc_DocId" ma:readOnly="true">
      <xsd:simpleType>
        <xsd:restriction base="dms:Text"/>
      </xsd:simpleType>
    </xsd:element>
    <xsd:element name="_dlc_DocIdUrl" ma:index="1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5b3e2b-d440-44dd-b9dd-e54a3943adc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a0e180d50ff4423da66c611fe0af74a4 xmlns="6edf9311-6556-4af2-85ff-d57844cfe120">
      <Terms xmlns="http://schemas.microsoft.com/office/infopath/2007/PartnerControls"/>
    </a0e180d50ff4423da66c611fe0af74a4>
    <TaxCatchAll xmlns="6edf9311-6556-4af2-85ff-d57844cfe120" xsi:nil="true"/>
    <_dlc_DocId xmlns="6edf9311-6556-4af2-85ff-d57844cfe120">2020-123998358-382</_dlc_DocId>
    <_dlc_DocIdUrl xmlns="6edf9311-6556-4af2-85ff-d57844cfe120">
      <Url>https://finansnorge.sharepoint.com/sites/intranett/arkiv/_layouts/15/DocIdRedir.aspx?ID=2020-123998358-382</Url>
      <Description>2020-123998358-382</Description>
    </_dlc_DocIdUrl>
  </documentManagement>
</p:properties>
</file>

<file path=customXml/itemProps1.xml><?xml version="1.0" encoding="utf-8"?>
<ds:datastoreItem xmlns:ds="http://schemas.openxmlformats.org/officeDocument/2006/customXml" ds:itemID="{4FFCA602-5785-4EE4-BAE8-D135BB800CD1}">
  <ds:schemaRefs>
    <ds:schemaRef ds:uri="http://schemas.microsoft.com/DataMashup"/>
  </ds:schemaRefs>
</ds:datastoreItem>
</file>

<file path=customXml/itemProps2.xml><?xml version="1.0" encoding="utf-8"?>
<ds:datastoreItem xmlns:ds="http://schemas.openxmlformats.org/officeDocument/2006/customXml" ds:itemID="{AA3950A9-1FD2-4A55-9CFB-8B0AE4C6C629}"/>
</file>

<file path=customXml/itemProps3.xml><?xml version="1.0" encoding="utf-8"?>
<ds:datastoreItem xmlns:ds="http://schemas.openxmlformats.org/officeDocument/2006/customXml" ds:itemID="{20EB92D6-F318-4445-AC0D-7E675D448B9B}"/>
</file>

<file path=customXml/itemProps4.xml><?xml version="1.0" encoding="utf-8"?>
<ds:datastoreItem xmlns:ds="http://schemas.openxmlformats.org/officeDocument/2006/customXml" ds:itemID="{609B48D0-A5D4-4254-96FB-7F619376A700}"/>
</file>

<file path=customXml/itemProps5.xml><?xml version="1.0" encoding="utf-8"?>
<ds:datastoreItem xmlns:ds="http://schemas.openxmlformats.org/officeDocument/2006/customXml" ds:itemID="{A2BE7FBB-B2AD-495B-99FB-56D22D7649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39</vt:i4>
      </vt:variant>
      <vt:variant>
        <vt:lpstr>Navngitte områder</vt:lpstr>
      </vt:variant>
      <vt:variant>
        <vt:i4>16</vt:i4>
      </vt:variant>
    </vt:vector>
  </HeadingPairs>
  <TitlesOfParts>
    <vt:vector size="55" baseType="lpstr">
      <vt:lpstr>Forside</vt:lpstr>
      <vt:lpstr>Innhold</vt:lpstr>
      <vt:lpstr>Figurer</vt:lpstr>
      <vt:lpstr>Tabel 1.1</vt:lpstr>
      <vt:lpstr>Tabell 1.2</vt:lpstr>
      <vt:lpstr>Tabell 1.3</vt:lpstr>
      <vt:lpstr>Skjema total MA</vt:lpstr>
      <vt:lpstr>ACE European Group</vt:lpstr>
      <vt:lpstr>Danica Pensjonsforsikring</vt:lpstr>
      <vt:lpstr>DNB Livsforsikring</vt:lpstr>
      <vt:lpstr>Eika Forsikring AS</vt:lpstr>
      <vt:lpstr>Frende Livsforsikring</vt:lpstr>
      <vt:lpstr>Frende Skadeforsikring</vt:lpstr>
      <vt:lpstr>Gjensidige Forsikring</vt:lpstr>
      <vt:lpstr>Gjensidige Pensjon</vt:lpstr>
      <vt:lpstr>Handelsbanken Liv</vt:lpstr>
      <vt:lpstr>If Skadeforsikring NUF</vt:lpstr>
      <vt:lpstr>KLP</vt:lpstr>
      <vt:lpstr>KLP Bedriftspensjon AS</vt:lpstr>
      <vt:lpstr>KLP Skadeforsikring AS</vt:lpstr>
      <vt:lpstr>Landbruksforsikring AS</vt:lpstr>
      <vt:lpstr>NEMI Forsikring</vt:lpstr>
      <vt:lpstr>Nordea Liv </vt:lpstr>
      <vt:lpstr>Oslo Pensjonsforsikring</vt:lpstr>
      <vt:lpstr>SHB Liv</vt:lpstr>
      <vt:lpstr>Silver Pensjonsforsikring AS</vt:lpstr>
      <vt:lpstr>Sparebank 1</vt:lpstr>
      <vt:lpstr>Storebrand Livsforsikring</vt:lpstr>
      <vt:lpstr>Telenor Forsikring</vt:lpstr>
      <vt:lpstr>Tryg Forsikring</vt:lpstr>
      <vt:lpstr>Tabell 4</vt:lpstr>
      <vt:lpstr>Tabell 5.1</vt:lpstr>
      <vt:lpstr>Tabell 5.2</vt:lpstr>
      <vt:lpstr>Tabell 5.3</vt:lpstr>
      <vt:lpstr>Tabell 6</vt:lpstr>
      <vt:lpstr>Tabell 7a</vt:lpstr>
      <vt:lpstr>Tabell 7b</vt:lpstr>
      <vt:lpstr>Tabell 8</vt:lpstr>
      <vt:lpstr>Noter og kommentarer</vt:lpstr>
      <vt:lpstr>'ACE European Group'!Utskriftsområde</vt:lpstr>
      <vt:lpstr>'NEMI Forsikring'!Utskriftsområde</vt:lpstr>
      <vt:lpstr>'Noter og kommentarer'!Utskriftsområde</vt:lpstr>
      <vt:lpstr>'Skjema total MA'!Utskriftsområde</vt:lpstr>
      <vt:lpstr>'Tabell 4'!Utskriftsområde</vt:lpstr>
      <vt:lpstr>'Tabell 5.1'!Utskriftsområde</vt:lpstr>
      <vt:lpstr>'Tabell 5.2'!Utskriftsområde</vt:lpstr>
      <vt:lpstr>'Tabell 6'!Utskriftsområde</vt:lpstr>
      <vt:lpstr>'Tabell 7a'!Utskriftsområde</vt:lpstr>
      <vt:lpstr>'Tabell 7b'!Utskriftsområde</vt:lpstr>
      <vt:lpstr>'Tabell 4'!Utskriftstitler</vt:lpstr>
      <vt:lpstr>'Tabell 5.1'!Utskriftstitler</vt:lpstr>
      <vt:lpstr>'Tabell 5.2'!Utskriftstitler</vt:lpstr>
      <vt:lpstr>'Tabell 6'!Utskriftstitler</vt:lpstr>
      <vt:lpstr>'Tabell 7a'!Utskriftstitler</vt:lpstr>
      <vt:lpstr>'Tabell 7b'!Utskriftstitler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Anne-Kathrine Johansen</dc:creator>
  <cp:lastModifiedBy>Roxicca Thirumeny</cp:lastModifiedBy>
  <cp:lastPrinted>2017-03-30T10:40:16Z</cp:lastPrinted>
  <dcterms:created xsi:type="dcterms:W3CDTF">2010-12-15T10:21:26Z</dcterms:created>
  <dcterms:modified xsi:type="dcterms:W3CDTF">2018-01-05T14:17:13Z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0x0101000C511E5DF31BAD48807550FE88829D9D0038FF55C83469DE4F9B7DCA1B89E318DA</vt:lpwstr>
  </property>
  <property fmtid="{D5CDD505-2E9C-101B-9397-08002B2CF9AE}" pid="3" name="_dlc_DocIdItemGuid">
    <vt:lpwstr>f030b91c-54ab-4db2-8dd6-afd19dd79e56</vt:lpwstr>
  </property>
  <property fmtid="{D5CDD505-2E9C-101B-9397-08002B2CF9AE}" pid="4" name="Avtale">
    <vt:lpwstr/>
  </property>
  <property fmtid="{D5CDD505-2E9C-101B-9397-08002B2CF9AE}" pid="5" name="n5dc56bd60b9453d8a2d716a3ace2936">
    <vt:lpwstr/>
  </property>
  <property fmtid="{D5CDD505-2E9C-101B-9397-08002B2CF9AE}" pid="6" name="Korrespondanse_x002d_fnf">
    <vt:lpwstr/>
  </property>
  <property fmtid="{D5CDD505-2E9C-101B-9397-08002B2CF9AE}" pid="7" name="pb5e3c85e100497daa11dd5a916fed68">
    <vt:lpwstr/>
  </property>
  <property fmtid="{D5CDD505-2E9C-101B-9397-08002B2CF9AE}" pid="8" name="Korrespondanse">
    <vt:lpwstr/>
  </property>
  <property fmtid="{D5CDD505-2E9C-101B-9397-08002B2CF9AE}" pid="9" name="b42cd6bccb18471bb7f8fb6f2b7f8ea5">
    <vt:lpwstr/>
  </property>
  <property fmtid="{D5CDD505-2E9C-101B-9397-08002B2CF9AE}" pid="10" name="Statistikk">
    <vt:lpwstr/>
  </property>
  <property fmtid="{D5CDD505-2E9C-101B-9397-08002B2CF9AE}" pid="11" name="Korrespondanse-fnf">
    <vt:lpwstr/>
  </property>
</Properties>
</file>